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omments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9.xml" ContentType="application/vnd.openxmlformats-officedocument.spreadsheetml.comments+xml"/>
  <Override PartName="/xl/comments10.xml" ContentType="application/vnd.openxmlformats-officedocument.spreadsheetml.comments+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11.xml" ContentType="application/vnd.openxmlformats-officedocument.spreadsheetml.comments+xml"/>
  <Override PartName="/xl/comments12.xml" ContentType="application/vnd.openxmlformats-officedocument.spreadsheetml.comments+xml"/>
  <Override PartName="/xl/drawings/drawing6.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7.xml" ContentType="application/vnd.openxmlformats-officedocument.drawing+xml"/>
  <Override PartName="/xl/charts/chart3.xml" ContentType="application/vnd.openxmlformats-officedocument.drawingml.chart+xml"/>
  <Override PartName="/xl/comments15.xml" ContentType="application/vnd.openxmlformats-officedocument.spreadsheetml.comments+xml"/>
  <Override PartName="/xl/comments16.xml" ContentType="application/vnd.openxmlformats-officedocument.spreadsheetml.comments+xml"/>
  <Override PartName="/xl/pivotTables/pivotTable1.xml" ContentType="application/vnd.openxmlformats-officedocument.spreadsheetml.pivotTable+xml"/>
  <Override PartName="/xl/comments17.xml" ContentType="application/vnd.openxmlformats-officedocument.spreadsheetml.comments+xml"/>
  <Override PartName="/xl/comments18.xml" ContentType="application/vnd.openxmlformats-officedocument.spreadsheetml.comments+xml"/>
  <Override PartName="/xl/drawings/drawing8.xml" ContentType="application/vnd.openxmlformats-officedocument.drawing+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O:\Valuation\RNA Advisors\Hua Medicine\VD 06.30.2018\6 - Analysis\"/>
    </mc:Choice>
  </mc:AlternateContent>
  <bookViews>
    <workbookView xWindow="0" yWindow="0" windowWidth="20490" windowHeight="6555" tabRatio="890" firstSheet="6" activeTab="6"/>
  </bookViews>
  <sheets>
    <sheet name="Model Guidelines" sheetId="123" r:id="rId1"/>
    <sheet name="Change Log" sheetId="228" r:id="rId2"/>
    <sheet name="MASTER PubCo Inputs" sheetId="79" r:id="rId3"/>
    <sheet name="Notes &amp; Assumptions" sheetId="142" r:id="rId4"/>
    <sheet name="Checklist" sheetId="248" r:id="rId5"/>
    <sheet name="Exhibits--&gt;&gt;" sheetId="86" r:id="rId6"/>
    <sheet name="Title" sheetId="1" r:id="rId7"/>
    <sheet name="Outline" sheetId="133" r:id="rId8"/>
    <sheet name="_CIQHiddenCacheSheet" sheetId="342" state="veryHidden" r:id="rId9"/>
    <sheet name="Val Summ" sheetId="4" r:id="rId10"/>
    <sheet name="CHART VAL" sheetId="320" r:id="rId11"/>
    <sheet name="Allocation Method &gt;&gt;" sheetId="90" r:id="rId12"/>
    <sheet name="Hybrid OPM" sheetId="236" r:id="rId13"/>
    <sheet name="IPO Waterfall" sheetId="73" r:id="rId14"/>
    <sheet name="OPM Hybrid (Liquidation)" sheetId="241" r:id="rId15"/>
    <sheet name="OPM Hybrid (Redemption)" sheetId="274" r:id="rId16"/>
    <sheet name="Financial Statements &gt;&gt;" sheetId="94" r:id="rId17"/>
    <sheet name="Projections" sheetId="277" r:id="rId18"/>
    <sheet name="Hist IS" sheetId="10" r:id="rId19"/>
    <sheet name="Hist BS" sheetId="8" r:id="rId20"/>
    <sheet name="Discount Rate FP &gt;&gt;" sheetId="27" r:id="rId21"/>
    <sheet name="WACC IPO" sheetId="40" r:id="rId22"/>
    <sheet name="RoR Stage of Dev" sheetId="38" r:id="rId23"/>
    <sheet name="GCM FP &gt;&gt;" sheetId="21" r:id="rId24"/>
    <sheet name="Comp.1" sheetId="47" r:id="rId25"/>
    <sheet name="Market Trends since Prior Val" sheetId="332" r:id="rId26"/>
    <sheet name="Comp.6" sheetId="15" r:id="rId27"/>
    <sheet name="GTM FP &gt;&gt;" sheetId="22" r:id="rId28"/>
    <sheet name="Trans.1" sheetId="57" r:id="rId29"/>
    <sheet name="Trans.2" sheetId="59" r:id="rId30"/>
    <sheet name="Sec. Trans" sheetId="330" r:id="rId31"/>
    <sheet name="Cap Structure FP &gt;&gt;" sheetId="24" r:id="rId32"/>
    <sheet name="Cap Table" sheetId="63" r:id="rId33"/>
    <sheet name="Econ Rights" sheetId="64" r:id="rId34"/>
    <sheet name="Support FP &gt;&gt;" sheetId="25" r:id="rId35"/>
    <sheet name="DLOM" sheetId="243" r:id="rId36"/>
    <sheet name="Asset Vol OPM Liquidation" sheetId="244" r:id="rId37"/>
    <sheet name="Asset Vol OPM Redemption" sheetId="276" r:id="rId38"/>
    <sheet name="Asset Vol_DLOM" sheetId="275" r:id="rId39"/>
    <sheet name="Equity Vol" sheetId="13" r:id="rId40"/>
    <sheet name="Risk-Free Rates" sheetId="14" r:id="rId41"/>
    <sheet name="IPO Data_BioPharma" sheetId="233" r:id="rId42"/>
    <sheet name="Workpapers -&gt;&gt;&gt;" sheetId="285" r:id="rId43"/>
    <sheet name="Title WPS" sheetId="283" r:id="rId44"/>
    <sheet name="Outline WPS" sheetId="284" r:id="rId45"/>
    <sheet name="rNPV Analysis" sheetId="280" r:id="rId46"/>
    <sheet name="Comp.5" sheetId="306" r:id="rId47"/>
    <sheet name="Cost of Capital_Avance" sheetId="281" r:id="rId48"/>
    <sheet name="WACC CAPM" sheetId="300" r:id="rId49"/>
    <sheet name="Beta Calc" sheetId="301" r:id="rId50"/>
    <sheet name="Diabetes Type II_China Summary" sheetId="305" r:id="rId51"/>
    <sheet name="Comparative Sheet" sheetId="334" r:id="rId52"/>
    <sheet name="PBC -&gt;&gt;&gt;" sheetId="231" r:id="rId53"/>
    <sheet name="IS Forecast" sheetId="337" r:id="rId54"/>
    <sheet name="统计" sheetId="341" r:id="rId55"/>
    <sheet name="汇总" sheetId="324" r:id="rId56"/>
    <sheet name="ESOP All_June" sheetId="327" r:id="rId57"/>
    <sheet name="Cayman Consolidated_June" sheetId="325" r:id="rId58"/>
    <sheet name="Onshore Structure_June" sheetId="326" r:id="rId59"/>
    <sheet name="ESOP All_March" sheetId="323" r:id="rId60"/>
    <sheet name="Cayman Consolidated_March" sheetId="310" r:id="rId61"/>
    <sheet name="Onshore Structure_March" sheetId="311" r:id="rId62"/>
    <sheet name="Series D" sheetId="321" r:id="rId63"/>
    <sheet name="Series E" sheetId="322" r:id="rId64"/>
    <sheet name="ESOP All" sheetId="290" r:id="rId65"/>
    <sheet name="Cayman Consolidated" sheetId="264" r:id="rId66"/>
    <sheet name="Onshore Structure" sheetId="265" r:id="rId67"/>
    <sheet name="China Revenues" sheetId="282" r:id="rId68"/>
    <sheet name="Scope" sheetId="266" r:id="rId69"/>
    <sheet name="Ordinary Share" sheetId="267" r:id="rId70"/>
    <sheet name="Series A-1" sheetId="268" r:id="rId71"/>
    <sheet name="Series A-2" sheetId="269" r:id="rId72"/>
    <sheet name="Series B" sheetId="270" r:id="rId73"/>
    <sheet name="Series C (Cayman)" sheetId="271" r:id="rId74"/>
    <sheet name="Series C (JV)" sheetId="272" r:id="rId75"/>
    <sheet name="Sheet6" sheetId="273" r:id="rId76"/>
    <sheet name="CAPIQ -&gt;&gt;&gt;" sheetId="230" r:id="rId77"/>
    <sheet name="Capital IQ Sheet-GPC" sheetId="200" r:id="rId78"/>
    <sheet name="Capital IQ Sheet-STM" sheetId="204" r:id="rId79"/>
    <sheet name="STM" sheetId="214" r:id="rId80"/>
    <sheet name="Capital IQ DATA" sheetId="213" r:id="rId81"/>
    <sheet name="&lt;DO NOT INCLUDE&gt;" sheetId="26" r:id="rId82"/>
    <sheet name="China" sheetId="304" r:id="rId83"/>
    <sheet name="List Data" sheetId="106" r:id="rId84"/>
    <sheet name="Template Details" sheetId="88" r:id="rId85"/>
  </sheets>
  <externalReferences>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s>
  <definedNames>
    <definedName name="_" localSheetId="37" hidden="1">#REF!</definedName>
    <definedName name="_" localSheetId="38" hidden="1">#REF!</definedName>
    <definedName name="_" localSheetId="4" hidden="1">#REF!</definedName>
    <definedName name="_" localSheetId="46" hidden="1">#REF!</definedName>
    <definedName name="_" localSheetId="47" hidden="1">#REF!</definedName>
    <definedName name="_" localSheetId="50" hidden="1">#REF!</definedName>
    <definedName name="_" localSheetId="41" hidden="1">#REF!</definedName>
    <definedName name="_" localSheetId="15" hidden="1">#REF!</definedName>
    <definedName name="_" localSheetId="17" hidden="1">#REF!</definedName>
    <definedName name="_" localSheetId="30" hidden="1">#REF!</definedName>
    <definedName name="_" localSheetId="42" hidden="1">#REF!</definedName>
    <definedName name="_" hidden="1">#REF!</definedName>
    <definedName name="__123Graph_A" hidden="1">'[1]Sheet1 (2)'!$H$20:$O$20</definedName>
    <definedName name="__123Graph_B" hidden="1">'[1]Sheet1 (2)'!$H$15:$O$15</definedName>
    <definedName name="__123Graph_X" hidden="1">'[1]Sheet1 (2)'!$H$3:$P$3</definedName>
    <definedName name="__FDS_HYPERLINK_TOGGLE_STATE__" hidden="1">"ON"</definedName>
    <definedName name="__FDS_UNIQUE_RANGE_ID_GENERATOR_COUNTER" localSheetId="53" hidden="1">1</definedName>
    <definedName name="__FDS_UNIQUE_RANGE_ID_GENERATOR_COUNTER" hidden="1">209</definedName>
    <definedName name="__IntlFixup" hidden="1">TRUE</definedName>
    <definedName name="__IntlFixupTable" localSheetId="37" hidden="1">#REF!</definedName>
    <definedName name="__IntlFixupTable" localSheetId="38" hidden="1">#REF!</definedName>
    <definedName name="__IntlFixupTable" localSheetId="4" hidden="1">#REF!</definedName>
    <definedName name="__IntlFixupTable" localSheetId="46" hidden="1">#REF!</definedName>
    <definedName name="__IntlFixupTable" localSheetId="47" hidden="1">#REF!</definedName>
    <definedName name="__IntlFixupTable" localSheetId="50" hidden="1">#REF!</definedName>
    <definedName name="__IntlFixupTable" localSheetId="41" hidden="1">#REF!</definedName>
    <definedName name="__IntlFixupTable" localSheetId="15" hidden="1">#REF!</definedName>
    <definedName name="__IntlFixupTable" localSheetId="17" hidden="1">#REF!</definedName>
    <definedName name="__IntlFixupTable" localSheetId="30" hidden="1">#REF!</definedName>
    <definedName name="__IntlFixupTable" localSheetId="42" hidden="1">#REF!</definedName>
    <definedName name="__IntlFixupTable" hidden="1">#REF!</definedName>
    <definedName name="__r" hidden="1">"Formula removed, name can be deleted."</definedName>
    <definedName name="_1__123Graph_ACHART_1" hidden="1">[2]Africa!$B$19:$V$19</definedName>
    <definedName name="_1__FDSAUDITLINK__" localSheetId="10" hidden="1">{"fdsup://directions/FAT Viewer?action=UPDATE&amp;creator=factset&amp;DYN_ARGS=TRUE&amp;DOC_NAME=FAT:FQL_AUDITING_CLIENT_TEMPLATE.FAT&amp;display_string=Audit&amp;VAR:KEY=MRELINIDUN&amp;VAR:QUERY=RkZfRU5UUlBSX1ZBTF9EQUlMWSg0MDM2NiwsLCwsJ0RJTCcp&amp;WINDOW=FIRST_POPUP&amp;HEIGHT=450&amp;WIDTH=","450&amp;START_MAXIMIZED=FALSE&amp;VAR:CALENDAR=FIVEDAY&amp;VAR:SYMBOL=95058710&amp;VAR:INDEX=0"}</definedName>
    <definedName name="_1__FDSAUDITLINK__" hidden="1">{"fdsup://directions/FAT Viewer?action=UPDATE&amp;creator=factset&amp;DYN_ARGS=TRUE&amp;DOC_NAME=FAT:FQL_AUDITING_CLIENT_TEMPLATE.FAT&amp;display_string=Audit&amp;VAR:KEY=MRELINIDUN&amp;VAR:QUERY=RkZfRU5UUlBSX1ZBTF9EQUlMWSg0MDM2NiwsLCwsJ0RJTCcp&amp;WINDOW=FIRST_POPUP&amp;HEIGHT=450&amp;WIDTH=","450&amp;START_MAXIMIZED=FALSE&amp;VAR:CALENDAR=FIVEDAY&amp;VAR:SYMBOL=95058710&amp;VAR:INDEX=0"}</definedName>
    <definedName name="_10__123Graph_ACHART_18" hidden="1">[2]Ocean!$B$28:$V$28</definedName>
    <definedName name="_10__FDSAUDITLINK__" localSheetId="10" hidden="1">{"fdsup://directions/FAT Viewer?action=UPDATE&amp;creator=factset&amp;DYN_ARGS=TRUE&amp;DOC_NAME=FAT:FQL_AUDITING_CLIENT_TEMPLATE.FAT&amp;display_string=Audit&amp;VAR:KEY=YBCBUFQRWT&amp;VAR:QUERY=RkZfRU5UUlBSX1ZBTF9EQUlMWSg0MDM2NiwsLCxVU0QsJ0RJTCcp&amp;WINDOW=FIRST_POPUP&amp;HEIGHT=450&amp;WI","DTH=450&amp;START_MAXIMIZED=FALSE&amp;VAR:CALENDAR=FIVEDAY&amp;VAR:SYMBOL=58013510&amp;VAR:INDEX=0"}</definedName>
    <definedName name="_10__FDSAUDITLINK__" hidden="1">{"fdsup://directions/FAT Viewer?action=UPDATE&amp;creator=factset&amp;DYN_ARGS=TRUE&amp;DOC_NAME=FAT:FQL_AUDITING_CLIENT_TEMPLATE.FAT&amp;display_string=Audit&amp;VAR:KEY=YBCBUFQRWT&amp;VAR:QUERY=RkZfRU5UUlBSX1ZBTF9EQUlMWSg0MDM2NiwsLCxVU0QsJ0RJTCcp&amp;WINDOW=FIRST_POPUP&amp;HEIGHT=450&amp;WI","DTH=450&amp;START_MAXIMIZED=FALSE&amp;VAR:CALENDAR=FIVEDAY&amp;VAR:SYMBOL=58013510&amp;VAR:INDEX=0"}</definedName>
    <definedName name="_100__FDSAUDITLINK__" localSheetId="10" hidden="1">{"fdsup://directions/FAT Viewer?action=UPDATE&amp;creator=factset&amp;DYN_ARGS=TRUE&amp;DOC_NAME=FAT:FQL_AUDITING_CLIENT_TEMPLATE.FAT&amp;display_string=Audit&amp;VAR:KEY=RSPALYPSBO&amp;VAR:QUERY=RkZfRU5UUlBSX1ZBTF9EQUlMWSg0MDM2NSwsLCxVU0QsJ0RJTCcp&amp;WINDOW=FIRST_POPUP&amp;HEIGHT=450&amp;WI","DTH=450&amp;START_MAXIMIZED=FALSE&amp;VAR:CALENDAR=FIVEDAY&amp;VAR:SYMBOL=B01JCK&amp;VAR:INDEX=0"}</definedName>
    <definedName name="_100__FDSAUDITLINK__" hidden="1">{"fdsup://directions/FAT Viewer?action=UPDATE&amp;creator=factset&amp;DYN_ARGS=TRUE&amp;DOC_NAME=FAT:FQL_AUDITING_CLIENT_TEMPLATE.FAT&amp;display_string=Audit&amp;VAR:KEY=RSPALYPSBO&amp;VAR:QUERY=RkZfRU5UUlBSX1ZBTF9EQUlMWSg0MDM2NSwsLCxVU0QsJ0RJTCcp&amp;WINDOW=FIRST_POPUP&amp;HEIGHT=450&amp;WI","DTH=450&amp;START_MAXIMIZED=FALSE&amp;VAR:CALENDAR=FIVEDAY&amp;VAR:SYMBOL=B01JCK&amp;VAR:INDEX=0"}</definedName>
    <definedName name="_101__FDSAUDITLINK__" localSheetId="10" hidden="1">{"fdsup://directions/FAT Viewer?action=UPDATE&amp;creator=factset&amp;DYN_ARGS=TRUE&amp;DOC_NAME=FAT:FQL_AUDITING_CLIENT_TEMPLATE.FAT&amp;display_string=Audit&amp;VAR:KEY=VENSJAPABO&amp;VAR:QUERY=RkZfRU5UUlBSX1ZBTF9EQUlMWSg0MDM2NSwsLCxVU0QsJ0RJTCcp&amp;WINDOW=FIRST_POPUP&amp;HEIGHT=450&amp;WI","DTH=450&amp;START_MAXIMIZED=FALSE&amp;VAR:CALENDAR=FIVEDAY&amp;VAR:SYMBOL=B1YVKN&amp;VAR:INDEX=0"}</definedName>
    <definedName name="_101__FDSAUDITLINK__" hidden="1">{"fdsup://directions/FAT Viewer?action=UPDATE&amp;creator=factset&amp;DYN_ARGS=TRUE&amp;DOC_NAME=FAT:FQL_AUDITING_CLIENT_TEMPLATE.FAT&amp;display_string=Audit&amp;VAR:KEY=VENSJAPABO&amp;VAR:QUERY=RkZfRU5UUlBSX1ZBTF9EQUlMWSg0MDM2NSwsLCxVU0QsJ0RJTCcp&amp;WINDOW=FIRST_POPUP&amp;HEIGHT=450&amp;WI","DTH=450&amp;START_MAXIMIZED=FALSE&amp;VAR:CALENDAR=FIVEDAY&amp;VAR:SYMBOL=B1YVKN&amp;VAR:INDEX=0"}</definedName>
    <definedName name="_102__FDSAUDITLINK__" localSheetId="10" hidden="1">{"fdsup://directions/FAT Viewer?action=UPDATE&amp;creator=factset&amp;DYN_ARGS=TRUE&amp;DOC_NAME=FAT:FQL_AUDITING_CLIENT_TEMPLATE.FAT&amp;display_string=Audit&amp;VAR:KEY=PYJGRSDMRY&amp;VAR:QUERY=RkZfRU5UUlBSX1ZBTF9EQUlMWSg0MDM2NSwsLCxVU0QsJ0RJTCcp&amp;WINDOW=FIRST_POPUP&amp;HEIGHT=450&amp;WI","DTH=450&amp;START_MAXIMIZED=FALSE&amp;VAR:CALENDAR=FIVEDAY&amp;VAR:SYMBOL=B3Z9VV&amp;VAR:INDEX=0"}</definedName>
    <definedName name="_102__FDSAUDITLINK__" hidden="1">{"fdsup://directions/FAT Viewer?action=UPDATE&amp;creator=factset&amp;DYN_ARGS=TRUE&amp;DOC_NAME=FAT:FQL_AUDITING_CLIENT_TEMPLATE.FAT&amp;display_string=Audit&amp;VAR:KEY=PYJGRSDMRY&amp;VAR:QUERY=RkZfRU5UUlBSX1ZBTF9EQUlMWSg0MDM2NSwsLCxVU0QsJ0RJTCcp&amp;WINDOW=FIRST_POPUP&amp;HEIGHT=450&amp;WI","DTH=450&amp;START_MAXIMIZED=FALSE&amp;VAR:CALENDAR=FIVEDAY&amp;VAR:SYMBOL=B3Z9VV&amp;VAR:INDEX=0"}</definedName>
    <definedName name="_103__FDSAUDITLINK__" localSheetId="10" hidden="1">{"fdsup://directions/FAT Viewer?action=UPDATE&amp;creator=factset&amp;DYN_ARGS=TRUE&amp;DOC_NAME=FAT:FQL_AUDITING_CLIENT_TEMPLATE.FAT&amp;display_string=Audit&amp;VAR:KEY=REJCXELEVE&amp;VAR:QUERY=RkZfRU5UUlBSX1ZBTF9EQUlMWSg0MDM2NSwsLCwsJ0RJTCcp&amp;WINDOW=FIRST_POPUP&amp;HEIGHT=450&amp;WIDTH=","450&amp;START_MAXIMIZED=FALSE&amp;VAR:CALENDAR=FIVEDAY&amp;VAR:SYMBOL=B3LVC2&amp;VAR:INDEX=0"}</definedName>
    <definedName name="_103__FDSAUDITLINK__" hidden="1">{"fdsup://directions/FAT Viewer?action=UPDATE&amp;creator=factset&amp;DYN_ARGS=TRUE&amp;DOC_NAME=FAT:FQL_AUDITING_CLIENT_TEMPLATE.FAT&amp;display_string=Audit&amp;VAR:KEY=REJCXELEVE&amp;VAR:QUERY=RkZfRU5UUlBSX1ZBTF9EQUlMWSg0MDM2NSwsLCwsJ0RJTCcp&amp;WINDOW=FIRST_POPUP&amp;HEIGHT=450&amp;WIDTH=","450&amp;START_MAXIMIZED=FALSE&amp;VAR:CALENDAR=FIVEDAY&amp;VAR:SYMBOL=B3LVC2&amp;VAR:INDEX=0"}</definedName>
    <definedName name="_104__FDSAUDITLINK__" localSheetId="10" hidden="1">{"fdsup://directions/FAT Viewer?action=UPDATE&amp;creator=factset&amp;DYN_ARGS=TRUE&amp;DOC_NAME=FAT:FQL_AUDITING_CLIENT_TEMPLATE.FAT&amp;display_string=Audit&amp;VAR:KEY=FATQBYJCBM&amp;VAR:QUERY=RkZfRU5UUlBSX1ZBTF9EQUlMWSg0MDM2NSwsLCxVU0QsJ0RJTCcp&amp;WINDOW=FIRST_POPUP&amp;HEIGHT=450&amp;WI","DTH=450&amp;START_MAXIMIZED=FALSE&amp;VAR:CALENDAR=FIVEDAY&amp;VAR:SYMBOL=B3LVC2&amp;VAR:INDEX=0"}</definedName>
    <definedName name="_104__FDSAUDITLINK__" hidden="1">{"fdsup://directions/FAT Viewer?action=UPDATE&amp;creator=factset&amp;DYN_ARGS=TRUE&amp;DOC_NAME=FAT:FQL_AUDITING_CLIENT_TEMPLATE.FAT&amp;display_string=Audit&amp;VAR:KEY=FATQBYJCBM&amp;VAR:QUERY=RkZfRU5UUlBSX1ZBTF9EQUlMWSg0MDM2NSwsLCxVU0QsJ0RJTCcp&amp;WINDOW=FIRST_POPUP&amp;HEIGHT=450&amp;WI","DTH=450&amp;START_MAXIMIZED=FALSE&amp;VAR:CALENDAR=FIVEDAY&amp;VAR:SYMBOL=B3LVC2&amp;VAR:INDEX=0"}</definedName>
    <definedName name="_105__FDSAUDITLINK__" localSheetId="10" hidden="1">{"fdsup://directions/FAT Viewer?action=UPDATE&amp;creator=factset&amp;DYN_ARGS=TRUE&amp;DOC_NAME=FAT:FQL_AUDITING_CLIENT_TEMPLATE.FAT&amp;display_string=Audit&amp;VAR:KEY=PKHSDUXYVK&amp;VAR:QUERY=RkZfRU5UUlBSX1ZBTF9EQUlMWSg0MDM2NiwsLCwsJ0RJTCcp&amp;WINDOW=FIRST_POPUP&amp;HEIGHT=450&amp;WIDTH=","450&amp;START_MAXIMIZED=FALSE&amp;VAR:CALENDAR=FIVEDAY&amp;VAR:SYMBOL=605737&amp;VAR:INDEX=0"}</definedName>
    <definedName name="_105__FDSAUDITLINK__" hidden="1">{"fdsup://directions/FAT Viewer?action=UPDATE&amp;creator=factset&amp;DYN_ARGS=TRUE&amp;DOC_NAME=FAT:FQL_AUDITING_CLIENT_TEMPLATE.FAT&amp;display_string=Audit&amp;VAR:KEY=PKHSDUXYVK&amp;VAR:QUERY=RkZfRU5UUlBSX1ZBTF9EQUlMWSg0MDM2NiwsLCwsJ0RJTCcp&amp;WINDOW=FIRST_POPUP&amp;HEIGHT=450&amp;WIDTH=","450&amp;START_MAXIMIZED=FALSE&amp;VAR:CALENDAR=FIVEDAY&amp;VAR:SYMBOL=605737&amp;VAR:INDEX=0"}</definedName>
    <definedName name="_106__FDSAUDITLINK__" localSheetId="10" hidden="1">{"fdsup://directions/FAT Viewer?action=UPDATE&amp;creator=factset&amp;DYN_ARGS=TRUE&amp;DOC_NAME=FAT:FQL_AUDITING_CLIENT_TEMPLATE.FAT&amp;display_string=Audit&amp;VAR:KEY=PEXEZSTAFA&amp;VAR:QUERY=RkZfRU5UUlBSX1ZBTF9EQUlMWSg0MDM2NiwsLCwsJ0RJTCcp&amp;WINDOW=FIRST_POPUP&amp;HEIGHT=450&amp;WIDTH=","450&amp;START_MAXIMIZED=FALSE&amp;VAR:CALENDAR=FIVEDAY&amp;VAR:SYMBOL=669615&amp;VAR:INDEX=0"}</definedName>
    <definedName name="_106__FDSAUDITLINK__" hidden="1">{"fdsup://directions/FAT Viewer?action=UPDATE&amp;creator=factset&amp;DYN_ARGS=TRUE&amp;DOC_NAME=FAT:FQL_AUDITING_CLIENT_TEMPLATE.FAT&amp;display_string=Audit&amp;VAR:KEY=PEXEZSTAFA&amp;VAR:QUERY=RkZfRU5UUlBSX1ZBTF9EQUlMWSg0MDM2NiwsLCwsJ0RJTCcp&amp;WINDOW=FIRST_POPUP&amp;HEIGHT=450&amp;WIDTH=","450&amp;START_MAXIMIZED=FALSE&amp;VAR:CALENDAR=FIVEDAY&amp;VAR:SYMBOL=669615&amp;VAR:INDEX=0"}</definedName>
    <definedName name="_107__FDSAUDITLINK__" localSheetId="10" hidden="1">{"fdsup://directions/FAT Viewer?action=UPDATE&amp;creator=factset&amp;DYN_ARGS=TRUE&amp;DOC_NAME=FAT:FQL_AUDITING_CLIENT_TEMPLATE.FAT&amp;display_string=Audit&amp;VAR:KEY=JKZYFWPYJI&amp;VAR:QUERY=RkZfRU5UUlBSX1ZBTF9EQUlMWSg0MDM2NiwsLCwsJ0RJTCcp&amp;WINDOW=FIRST_POPUP&amp;HEIGHT=450&amp;WIDTH=","450&amp;START_MAXIMIZED=FALSE&amp;VAR:CALENDAR=FIVEDAY&amp;VAR:SYMBOL=506472&amp;VAR:INDEX=0"}</definedName>
    <definedName name="_107__FDSAUDITLINK__" hidden="1">{"fdsup://directions/FAT Viewer?action=UPDATE&amp;creator=factset&amp;DYN_ARGS=TRUE&amp;DOC_NAME=FAT:FQL_AUDITING_CLIENT_TEMPLATE.FAT&amp;display_string=Audit&amp;VAR:KEY=JKZYFWPYJI&amp;VAR:QUERY=RkZfRU5UUlBSX1ZBTF9EQUlMWSg0MDM2NiwsLCwsJ0RJTCcp&amp;WINDOW=FIRST_POPUP&amp;HEIGHT=450&amp;WIDTH=","450&amp;START_MAXIMIZED=FALSE&amp;VAR:CALENDAR=FIVEDAY&amp;VAR:SYMBOL=506472&amp;VAR:INDEX=0"}</definedName>
    <definedName name="_108__FDSAUDITLINK__" localSheetId="10" hidden="1">{"fdsup://directions/FAT Viewer?action=UPDATE&amp;creator=factset&amp;DYN_ARGS=TRUE&amp;DOC_NAME=FAT:FQL_AUDITING_CLIENT_TEMPLATE.FAT&amp;display_string=Audit&amp;VAR:KEY=XOFUVOTAXW&amp;VAR:QUERY=RkZfRU5UUlBSX1ZBTF9EQUlMWSg0MDM2NiwsLCwsJ0RJTCcp&amp;WINDOW=FIRST_POPUP&amp;HEIGHT=450&amp;WIDTH=","450&amp;START_MAXIMIZED=FALSE&amp;VAR:CALENDAR=FIVEDAY&amp;VAR:SYMBOL=403197&amp;VAR:INDEX=0"}</definedName>
    <definedName name="_108__FDSAUDITLINK__" hidden="1">{"fdsup://directions/FAT Viewer?action=UPDATE&amp;creator=factset&amp;DYN_ARGS=TRUE&amp;DOC_NAME=FAT:FQL_AUDITING_CLIENT_TEMPLATE.FAT&amp;display_string=Audit&amp;VAR:KEY=XOFUVOTAXW&amp;VAR:QUERY=RkZfRU5UUlBSX1ZBTF9EQUlMWSg0MDM2NiwsLCwsJ0RJTCcp&amp;WINDOW=FIRST_POPUP&amp;HEIGHT=450&amp;WIDTH=","450&amp;START_MAXIMIZED=FALSE&amp;VAR:CALENDAR=FIVEDAY&amp;VAR:SYMBOL=403197&amp;VAR:INDEX=0"}</definedName>
    <definedName name="_109__FDSAUDITLINK__" localSheetId="10" hidden="1">{"fdsup://directions/FAT Viewer?action=UPDATE&amp;creator=factset&amp;DYN_ARGS=TRUE&amp;DOC_NAME=FAT:FQL_AUDITING_CLIENT_TEMPLATE.FAT&amp;display_string=Audit&amp;VAR:KEY=TSZEBCFEDE&amp;VAR:QUERY=RkZfRU5UUlBSX1ZBTF9EQUlMWSg0MDM2NiwsLCwsJ0RJTCcp&amp;WINDOW=FIRST_POPUP&amp;HEIGHT=450&amp;WIDTH=","450&amp;START_MAXIMIZED=FALSE&amp;VAR:CALENDAR=FIVEDAY&amp;VAR:SYMBOL=65410610&amp;VAR:INDEX=0"}</definedName>
    <definedName name="_109__FDSAUDITLINK__" hidden="1">{"fdsup://directions/FAT Viewer?action=UPDATE&amp;creator=factset&amp;DYN_ARGS=TRUE&amp;DOC_NAME=FAT:FQL_AUDITING_CLIENT_TEMPLATE.FAT&amp;display_string=Audit&amp;VAR:KEY=TSZEBCFEDE&amp;VAR:QUERY=RkZfRU5UUlBSX1ZBTF9EQUlMWSg0MDM2NiwsLCwsJ0RJTCcp&amp;WINDOW=FIRST_POPUP&amp;HEIGHT=450&amp;WIDTH=","450&amp;START_MAXIMIZED=FALSE&amp;VAR:CALENDAR=FIVEDAY&amp;VAR:SYMBOL=65410610&amp;VAR:INDEX=0"}</definedName>
    <definedName name="_11__123Graph_ACHART_19" hidden="1">'[2]S Amer'!$B$19:$V$19</definedName>
    <definedName name="_11__FDSAUDITLINK__" localSheetId="10" hidden="1">{"fdsup://directions/FAT Viewer?action=UPDATE&amp;creator=factset&amp;DYN_ARGS=TRUE&amp;DOC_NAME=FAT:FQL_AUDITING_CLIENT_TEMPLATE.FAT&amp;display_string=Audit&amp;VAR:KEY=SVCFMTMNEH&amp;VAR:QUERY=RkZfRU5UUlBSX1ZBTF9EQUlMWSg0MDM2NiwsLCwsJ0RJTCcp&amp;WINDOW=FIRST_POPUP&amp;HEIGHT=450&amp;WIDTH=","450&amp;START_MAXIMIZED=FALSE&amp;VAR:CALENDAR=FIVEDAY&amp;VAR:SYMBOL=600298&amp;VAR:INDEX=0"}</definedName>
    <definedName name="_11__FDSAUDITLINK__" hidden="1">{"fdsup://directions/FAT Viewer?action=UPDATE&amp;creator=factset&amp;DYN_ARGS=TRUE&amp;DOC_NAME=FAT:FQL_AUDITING_CLIENT_TEMPLATE.FAT&amp;display_string=Audit&amp;VAR:KEY=SVCFMTMNEH&amp;VAR:QUERY=RkZfRU5UUlBSX1ZBTF9EQUlMWSg0MDM2NiwsLCwsJ0RJTCcp&amp;WINDOW=FIRST_POPUP&amp;HEIGHT=450&amp;WIDTH=","450&amp;START_MAXIMIZED=FALSE&amp;VAR:CALENDAR=FIVEDAY&amp;VAR:SYMBOL=600298&amp;VAR:INDEX=0"}</definedName>
    <definedName name="_110__FDSAUDITLINK__" localSheetId="10" hidden="1">{"fdsup://directions/FAT Viewer?action=UPDATE&amp;creator=factset&amp;DYN_ARGS=TRUE&amp;DOC_NAME=FAT:FQL_AUDITING_CLIENT_TEMPLATE.FAT&amp;display_string=Audit&amp;VAR:KEY=TKLKDUXUPW&amp;VAR:QUERY=RkZfRU5UUlBSX1ZBTF9EQUlMWSg0MDM2NiwsLCxVU0QsJ0RJTCcp&amp;WINDOW=FIRST_POPUP&amp;HEIGHT=450&amp;WI","DTH=450&amp;START_MAXIMIZED=FALSE&amp;VAR:CALENDAR=FIVEDAY&amp;VAR:SYMBOL=605737&amp;VAR:INDEX=0"}</definedName>
    <definedName name="_110__FDSAUDITLINK__" hidden="1">{"fdsup://directions/FAT Viewer?action=UPDATE&amp;creator=factset&amp;DYN_ARGS=TRUE&amp;DOC_NAME=FAT:FQL_AUDITING_CLIENT_TEMPLATE.FAT&amp;display_string=Audit&amp;VAR:KEY=TKLKDUXUPW&amp;VAR:QUERY=RkZfRU5UUlBSX1ZBTF9EQUlMWSg0MDM2NiwsLCxVU0QsJ0RJTCcp&amp;WINDOW=FIRST_POPUP&amp;HEIGHT=450&amp;WI","DTH=450&amp;START_MAXIMIZED=FALSE&amp;VAR:CALENDAR=FIVEDAY&amp;VAR:SYMBOL=605737&amp;VAR:INDEX=0"}</definedName>
    <definedName name="_111__FDSAUDITLINK__" localSheetId="10" hidden="1">{"fdsup://directions/FAT Viewer?action=UPDATE&amp;creator=factset&amp;DYN_ARGS=TRUE&amp;DOC_NAME=FAT:FQL_AUDITING_CLIENT_TEMPLATE.FAT&amp;display_string=Audit&amp;VAR:KEY=HAXAJOHWZA&amp;VAR:QUERY=RkZfRU5UUlBSX1ZBTF9EQUlMWSg0MDM2NiwsLCxVU0QsJ0RJTCcp&amp;WINDOW=FIRST_POPUP&amp;HEIGHT=450&amp;WI","DTH=450&amp;START_MAXIMIZED=FALSE&amp;VAR:CALENDAR=FIVEDAY&amp;VAR:SYMBOL=669615&amp;VAR:INDEX=0"}</definedName>
    <definedName name="_111__FDSAUDITLINK__" hidden="1">{"fdsup://directions/FAT Viewer?action=UPDATE&amp;creator=factset&amp;DYN_ARGS=TRUE&amp;DOC_NAME=FAT:FQL_AUDITING_CLIENT_TEMPLATE.FAT&amp;display_string=Audit&amp;VAR:KEY=HAXAJOHWZA&amp;VAR:QUERY=RkZfRU5UUlBSX1ZBTF9EQUlMWSg0MDM2NiwsLCxVU0QsJ0RJTCcp&amp;WINDOW=FIRST_POPUP&amp;HEIGHT=450&amp;WI","DTH=450&amp;START_MAXIMIZED=FALSE&amp;VAR:CALENDAR=FIVEDAY&amp;VAR:SYMBOL=669615&amp;VAR:INDEX=0"}</definedName>
    <definedName name="_112__FDSAUDITLINK__" localSheetId="10" hidden="1">{"fdsup://directions/FAT Viewer?action=UPDATE&amp;creator=factset&amp;DYN_ARGS=TRUE&amp;DOC_NAME=FAT:FQL_AUDITING_CLIENT_TEMPLATE.FAT&amp;display_string=Audit&amp;VAR:KEY=ZQJONOLIXY&amp;VAR:QUERY=RkZfRU5UUlBSX1ZBTF9EQUlMWSg0MDM2NiwsLCxVU0QsJ0RJTCcp&amp;WINDOW=FIRST_POPUP&amp;HEIGHT=450&amp;WI","DTH=450&amp;START_MAXIMIZED=FALSE&amp;VAR:CALENDAR=FIVEDAY&amp;VAR:SYMBOL=506472&amp;VAR:INDEX=0"}</definedName>
    <definedName name="_112__FDSAUDITLINK__" hidden="1">{"fdsup://directions/FAT Viewer?action=UPDATE&amp;creator=factset&amp;DYN_ARGS=TRUE&amp;DOC_NAME=FAT:FQL_AUDITING_CLIENT_TEMPLATE.FAT&amp;display_string=Audit&amp;VAR:KEY=ZQJONOLIXY&amp;VAR:QUERY=RkZfRU5UUlBSX1ZBTF9EQUlMWSg0MDM2NiwsLCxVU0QsJ0RJTCcp&amp;WINDOW=FIRST_POPUP&amp;HEIGHT=450&amp;WI","DTH=450&amp;START_MAXIMIZED=FALSE&amp;VAR:CALENDAR=FIVEDAY&amp;VAR:SYMBOL=506472&amp;VAR:INDEX=0"}</definedName>
    <definedName name="_113__FDSAUDITLINK__" localSheetId="10" hidden="1">{"fdsup://directions/FAT Viewer?action=UPDATE&amp;creator=factset&amp;DYN_ARGS=TRUE&amp;DOC_NAME=FAT:FQL_AUDITING_CLIENT_TEMPLATE.FAT&amp;display_string=Audit&amp;VAR:KEY=RQDUTGDARW&amp;VAR:QUERY=RkZfRU5UUlBSX1ZBTF9EQUlMWSg0MDM2NiwsLCxVU0QsJ0RJTCcp&amp;WINDOW=FIRST_POPUP&amp;HEIGHT=450&amp;WI","DTH=450&amp;START_MAXIMIZED=FALSE&amp;VAR:CALENDAR=FIVEDAY&amp;VAR:SYMBOL=403197&amp;VAR:INDEX=0"}</definedName>
    <definedName name="_113__FDSAUDITLINK__" hidden="1">{"fdsup://directions/FAT Viewer?action=UPDATE&amp;creator=factset&amp;DYN_ARGS=TRUE&amp;DOC_NAME=FAT:FQL_AUDITING_CLIENT_TEMPLATE.FAT&amp;display_string=Audit&amp;VAR:KEY=RQDUTGDARW&amp;VAR:QUERY=RkZfRU5UUlBSX1ZBTF9EQUlMWSg0MDM2NiwsLCxVU0QsJ0RJTCcp&amp;WINDOW=FIRST_POPUP&amp;HEIGHT=450&amp;WI","DTH=450&amp;START_MAXIMIZED=FALSE&amp;VAR:CALENDAR=FIVEDAY&amp;VAR:SYMBOL=403197&amp;VAR:INDEX=0"}</definedName>
    <definedName name="_114__FDSAUDITLINK__" localSheetId="10" hidden="1">{"fdsup://directions/FAT Viewer?action=UPDATE&amp;creator=factset&amp;DYN_ARGS=TRUE&amp;DOC_NAME=FAT:FQL_AUDITING_CLIENT_TEMPLATE.FAT&amp;display_string=Audit&amp;VAR:KEY=PAFQBMRYPA&amp;VAR:QUERY=RkZfRU5UUlBSX1ZBTF9EQUlMWSg0MDM2NiwsLCxVU0QsJ0RJTCcp&amp;WINDOW=FIRST_POPUP&amp;HEIGHT=450&amp;WI","DTH=450&amp;START_MAXIMIZED=FALSE&amp;VAR:CALENDAR=FIVEDAY&amp;VAR:SYMBOL=65410610&amp;VAR:INDEX=0"}</definedName>
    <definedName name="_114__FDSAUDITLINK__" hidden="1">{"fdsup://directions/FAT Viewer?action=UPDATE&amp;creator=factset&amp;DYN_ARGS=TRUE&amp;DOC_NAME=FAT:FQL_AUDITING_CLIENT_TEMPLATE.FAT&amp;display_string=Audit&amp;VAR:KEY=PAFQBMRYPA&amp;VAR:QUERY=RkZfRU5UUlBSX1ZBTF9EQUlMWSg0MDM2NiwsLCxVU0QsJ0RJTCcp&amp;WINDOW=FIRST_POPUP&amp;HEIGHT=450&amp;WI","DTH=450&amp;START_MAXIMIZED=FALSE&amp;VAR:CALENDAR=FIVEDAY&amp;VAR:SYMBOL=65410610&amp;VAR:INDEX=0"}</definedName>
    <definedName name="_115__FDSAUDITLINK__" localSheetId="10" hidden="1">{"fdsup://directions/FAT Viewer?action=UPDATE&amp;creator=factset&amp;DYN_ARGS=TRUE&amp;DOC_NAME=FAT:FQL_AUDITING_CLIENT_TEMPLATE.FAT&amp;display_string=Audit&amp;VAR:KEY=TUNYHCBSNK&amp;VAR:QUERY=RkZfRU5UUlBSX1ZBTF9EQUlMWSg0MDM2NiwsLCwsJ0RJTCcp&amp;WINDOW=FIRST_POPUP&amp;HEIGHT=450&amp;WIDTH=","450&amp;START_MAXIMIZED=FALSE&amp;VAR:CALENDAR=FIVEDAY&amp;VAR:SYMBOL=B3Z9VV&amp;VAR:INDEX=0"}</definedName>
    <definedName name="_115__FDSAUDITLINK__" hidden="1">{"fdsup://directions/FAT Viewer?action=UPDATE&amp;creator=factset&amp;DYN_ARGS=TRUE&amp;DOC_NAME=FAT:FQL_AUDITING_CLIENT_TEMPLATE.FAT&amp;display_string=Audit&amp;VAR:KEY=TUNYHCBSNK&amp;VAR:QUERY=RkZfRU5UUlBSX1ZBTF9EQUlMWSg0MDM2NiwsLCwsJ0RJTCcp&amp;WINDOW=FIRST_POPUP&amp;HEIGHT=450&amp;WIDTH=","450&amp;START_MAXIMIZED=FALSE&amp;VAR:CALENDAR=FIVEDAY&amp;VAR:SYMBOL=B3Z9VV&amp;VAR:INDEX=0"}</definedName>
    <definedName name="_116__FDSAUDITLINK__" localSheetId="10" hidden="1">{"fdsup://directions/FAT Viewer?action=UPDATE&amp;creator=factset&amp;DYN_ARGS=TRUE&amp;DOC_NAME=FAT:FQL_AUDITING_CLIENT_TEMPLATE.FAT&amp;display_string=Audit&amp;VAR:KEY=HWJQBSBGFE&amp;VAR:QUERY=RkZfRU5UUlBSX1ZBTF9EQUlMWSg0MDM2NiwsLCwsJ0RJTCcp&amp;WINDOW=FIRST_POPUP&amp;HEIGHT=450&amp;WIDTH=","450&amp;START_MAXIMIZED=FALSE&amp;VAR:CALENDAR=FIVEDAY&amp;VAR:SYMBOL=B51BL7&amp;VAR:INDEX=0"}</definedName>
    <definedName name="_116__FDSAUDITLINK__" hidden="1">{"fdsup://directions/FAT Viewer?action=UPDATE&amp;creator=factset&amp;DYN_ARGS=TRUE&amp;DOC_NAME=FAT:FQL_AUDITING_CLIENT_TEMPLATE.FAT&amp;display_string=Audit&amp;VAR:KEY=HWJQBSBGFE&amp;VAR:QUERY=RkZfRU5UUlBSX1ZBTF9EQUlMWSg0MDM2NiwsLCwsJ0RJTCcp&amp;WINDOW=FIRST_POPUP&amp;HEIGHT=450&amp;WIDTH=","450&amp;START_MAXIMIZED=FALSE&amp;VAR:CALENDAR=FIVEDAY&amp;VAR:SYMBOL=B51BL7&amp;VAR:INDEX=0"}</definedName>
    <definedName name="_117__FDSAUDITLINK__" localSheetId="10" hidden="1">{"fdsup://directions/FAT Viewer?action=UPDATE&amp;creator=factset&amp;DYN_ARGS=TRUE&amp;DOC_NAME=FAT:FQL_AUDITING_CLIENT_TEMPLATE.FAT&amp;display_string=Audit&amp;VAR:KEY=TQRAPQRMTC&amp;VAR:QUERY=RkZfRU5UUlBSX1ZBTF9EQUlMWSg0MDM2NiwsLCwsJ0RJTCcp&amp;WINDOW=FIRST_POPUP&amp;HEIGHT=450&amp;WIDTH=","450&amp;START_MAXIMIZED=FALSE&amp;VAR:CALENDAR=FIVEDAY&amp;VAR:SYMBOL=B01JCK&amp;VAR:INDEX=0"}</definedName>
    <definedName name="_117__FDSAUDITLINK__" hidden="1">{"fdsup://directions/FAT Viewer?action=UPDATE&amp;creator=factset&amp;DYN_ARGS=TRUE&amp;DOC_NAME=FAT:FQL_AUDITING_CLIENT_TEMPLATE.FAT&amp;display_string=Audit&amp;VAR:KEY=TQRAPQRMTC&amp;VAR:QUERY=RkZfRU5UUlBSX1ZBTF9EQUlMWSg0MDM2NiwsLCwsJ0RJTCcp&amp;WINDOW=FIRST_POPUP&amp;HEIGHT=450&amp;WIDTH=","450&amp;START_MAXIMIZED=FALSE&amp;VAR:CALENDAR=FIVEDAY&amp;VAR:SYMBOL=B01JCK&amp;VAR:INDEX=0"}</definedName>
    <definedName name="_118__FDSAUDITLINK__" localSheetId="10" hidden="1">{"fdsup://directions/FAT Viewer?action=UPDATE&amp;creator=factset&amp;DYN_ARGS=TRUE&amp;DOC_NAME=FAT:FQL_AUDITING_CLIENT_TEMPLATE.FAT&amp;display_string=Audit&amp;VAR:KEY=HGLYZGVODS&amp;VAR:QUERY=RkZfRU5UUlBSX1ZBTF9EQUlMWSg0MDM2NiwsLCwsJ0RJTCcp&amp;WINDOW=FIRST_POPUP&amp;HEIGHT=450&amp;WIDTH=","450&amp;START_MAXIMIZED=FALSE&amp;VAR:CALENDAR=FIVEDAY&amp;VAR:SYMBOL=B1YVKN&amp;VAR:INDEX=0"}</definedName>
    <definedName name="_118__FDSAUDITLINK__" hidden="1">{"fdsup://directions/FAT Viewer?action=UPDATE&amp;creator=factset&amp;DYN_ARGS=TRUE&amp;DOC_NAME=FAT:FQL_AUDITING_CLIENT_TEMPLATE.FAT&amp;display_string=Audit&amp;VAR:KEY=HGLYZGVODS&amp;VAR:QUERY=RkZfRU5UUlBSX1ZBTF9EQUlMWSg0MDM2NiwsLCwsJ0RJTCcp&amp;WINDOW=FIRST_POPUP&amp;HEIGHT=450&amp;WIDTH=","450&amp;START_MAXIMIZED=FALSE&amp;VAR:CALENDAR=FIVEDAY&amp;VAR:SYMBOL=B1YVKN&amp;VAR:INDEX=0"}</definedName>
    <definedName name="_119__FDSAUDITLINK__" localSheetId="10" hidden="1">{"fdsup://directions/FAT Viewer?action=UPDATE&amp;creator=factset&amp;DYN_ARGS=TRUE&amp;DOC_NAME=FAT:FQL_AUDITING_CLIENT_TEMPLATE.FAT&amp;display_string=Audit&amp;VAR:KEY=XUPWFGDCTG&amp;VAR:QUERY=RkZfRU5UUlBSX1ZBTF9EQUlMWSg0MDM2NiwsLCwsJ0RJTCcp&amp;WINDOW=FIRST_POPUP&amp;HEIGHT=450&amp;WIDTH=","450&amp;START_MAXIMIZED=FALSE&amp;VAR:CALENDAR=FIVEDAY&amp;VAR:SYMBOL=658653&amp;VAR:INDEX=0"}</definedName>
    <definedName name="_119__FDSAUDITLINK__" hidden="1">{"fdsup://directions/FAT Viewer?action=UPDATE&amp;creator=factset&amp;DYN_ARGS=TRUE&amp;DOC_NAME=FAT:FQL_AUDITING_CLIENT_TEMPLATE.FAT&amp;display_string=Audit&amp;VAR:KEY=XUPWFGDCTG&amp;VAR:QUERY=RkZfRU5UUlBSX1ZBTF9EQUlMWSg0MDM2NiwsLCwsJ0RJTCcp&amp;WINDOW=FIRST_POPUP&amp;HEIGHT=450&amp;WIDTH=","450&amp;START_MAXIMIZED=FALSE&amp;VAR:CALENDAR=FIVEDAY&amp;VAR:SYMBOL=658653&amp;VAR:INDEX=0"}</definedName>
    <definedName name="_12__123Graph_ACHART_2" hidden="1">[2]Africa!$B$14:$V$14</definedName>
    <definedName name="_12__FDSAUDITLINK__" localSheetId="10" hidden="1">{"fdsup://directions/FAT Viewer?action=UPDATE&amp;creator=factset&amp;DYN_ARGS=TRUE&amp;DOC_NAME=FAT:FQL_AUDITING_CLIENT_TEMPLATE.FAT&amp;display_string=Audit&amp;VAR:KEY=UPEPWDAVAV&amp;VAR:QUERY=RkZfRU5UUlBSX1ZBTF9EQUlMWSg0MDM2NiwsLCxVU0QsJ0RJTCcp&amp;WINDOW=FIRST_POPUP&amp;HEIGHT=450&amp;WI","DTH=450&amp;START_MAXIMIZED=FALSE&amp;VAR:CALENDAR=FIVEDAY&amp;VAR:SYMBOL=600298&amp;VAR:INDEX=0"}</definedName>
    <definedName name="_12__FDSAUDITLINK__" hidden="1">{"fdsup://directions/FAT Viewer?action=UPDATE&amp;creator=factset&amp;DYN_ARGS=TRUE&amp;DOC_NAME=FAT:FQL_AUDITING_CLIENT_TEMPLATE.FAT&amp;display_string=Audit&amp;VAR:KEY=UPEPWDAVAV&amp;VAR:QUERY=RkZfRU5UUlBSX1ZBTF9EQUlMWSg0MDM2NiwsLCxVU0QsJ0RJTCcp&amp;WINDOW=FIRST_POPUP&amp;HEIGHT=450&amp;WI","DTH=450&amp;START_MAXIMIZED=FALSE&amp;VAR:CALENDAR=FIVEDAY&amp;VAR:SYMBOL=600298&amp;VAR:INDEX=0"}</definedName>
    <definedName name="_120__FDSAUDITLINK__" localSheetId="10" hidden="1">{"fdsup://directions/FAT Viewer?action=UPDATE&amp;creator=factset&amp;DYN_ARGS=TRUE&amp;DOC_NAME=FAT:FQL_AUDITING_CLIENT_TEMPLATE.FAT&amp;display_string=Audit&amp;VAR:KEY=FIDAXIBODC&amp;VAR:QUERY=RkZfRU5UUlBSX1ZBTF9EQUlMWSg0MDM2NiwsLCxVU0QsJ0RJTCcp&amp;WINDOW=FIRST_POPUP&amp;HEIGHT=450&amp;WI","DTH=450&amp;START_MAXIMIZED=FALSE&amp;VAR:CALENDAR=FIVEDAY&amp;VAR:SYMBOL=B3Z9VV&amp;VAR:INDEX=0"}</definedName>
    <definedName name="_120__FDSAUDITLINK__" hidden="1">{"fdsup://directions/FAT Viewer?action=UPDATE&amp;creator=factset&amp;DYN_ARGS=TRUE&amp;DOC_NAME=FAT:FQL_AUDITING_CLIENT_TEMPLATE.FAT&amp;display_string=Audit&amp;VAR:KEY=FIDAXIBODC&amp;VAR:QUERY=RkZfRU5UUlBSX1ZBTF9EQUlMWSg0MDM2NiwsLCxVU0QsJ0RJTCcp&amp;WINDOW=FIRST_POPUP&amp;HEIGHT=450&amp;WI","DTH=450&amp;START_MAXIMIZED=FALSE&amp;VAR:CALENDAR=FIVEDAY&amp;VAR:SYMBOL=B3Z9VV&amp;VAR:INDEX=0"}</definedName>
    <definedName name="_121__FDSAUDITLINK__" localSheetId="10" hidden="1">{"fdsup://directions/FAT Viewer?action=UPDATE&amp;creator=factset&amp;DYN_ARGS=TRUE&amp;DOC_NAME=FAT:FQL_AUDITING_CLIENT_TEMPLATE.FAT&amp;display_string=Audit&amp;VAR:KEY=PORSNUBMVC&amp;VAR:QUERY=RkZfRU5UUlBSX1ZBTF9EQUlMWSg0MDM2NiwsLCxVU0QsJ0RJTCcp&amp;WINDOW=FIRST_POPUP&amp;HEIGHT=450&amp;WI","DTH=450&amp;START_MAXIMIZED=FALSE&amp;VAR:CALENDAR=FIVEDAY&amp;VAR:SYMBOL=B51BL7&amp;VAR:INDEX=0"}</definedName>
    <definedName name="_121__FDSAUDITLINK__" hidden="1">{"fdsup://directions/FAT Viewer?action=UPDATE&amp;creator=factset&amp;DYN_ARGS=TRUE&amp;DOC_NAME=FAT:FQL_AUDITING_CLIENT_TEMPLATE.FAT&amp;display_string=Audit&amp;VAR:KEY=PORSNUBMVC&amp;VAR:QUERY=RkZfRU5UUlBSX1ZBTF9EQUlMWSg0MDM2NiwsLCxVU0QsJ0RJTCcp&amp;WINDOW=FIRST_POPUP&amp;HEIGHT=450&amp;WI","DTH=450&amp;START_MAXIMIZED=FALSE&amp;VAR:CALENDAR=FIVEDAY&amp;VAR:SYMBOL=B51BL7&amp;VAR:INDEX=0"}</definedName>
    <definedName name="_122__FDSAUDITLINK__" localSheetId="10" hidden="1">{"fdsup://directions/FAT Viewer?action=UPDATE&amp;creator=factset&amp;DYN_ARGS=TRUE&amp;DOC_NAME=FAT:FQL_AUDITING_CLIENT_TEMPLATE.FAT&amp;display_string=Audit&amp;VAR:KEY=JGBURSPSVS&amp;VAR:QUERY=RkZfRU5UUlBSX1ZBTF9EQUlMWSg0MDM2NiwsLCxVU0QsJ0RJTCcp&amp;WINDOW=FIRST_POPUP&amp;HEIGHT=450&amp;WI","DTH=450&amp;START_MAXIMIZED=FALSE&amp;VAR:CALENDAR=FIVEDAY&amp;VAR:SYMBOL=B01JCK&amp;VAR:INDEX=0"}</definedName>
    <definedName name="_122__FDSAUDITLINK__" hidden="1">{"fdsup://directions/FAT Viewer?action=UPDATE&amp;creator=factset&amp;DYN_ARGS=TRUE&amp;DOC_NAME=FAT:FQL_AUDITING_CLIENT_TEMPLATE.FAT&amp;display_string=Audit&amp;VAR:KEY=JGBURSPSVS&amp;VAR:QUERY=RkZfRU5UUlBSX1ZBTF9EQUlMWSg0MDM2NiwsLCxVU0QsJ0RJTCcp&amp;WINDOW=FIRST_POPUP&amp;HEIGHT=450&amp;WI","DTH=450&amp;START_MAXIMIZED=FALSE&amp;VAR:CALENDAR=FIVEDAY&amp;VAR:SYMBOL=B01JCK&amp;VAR:INDEX=0"}</definedName>
    <definedName name="_123__FDSAUDITLINK__" localSheetId="10" hidden="1">{"fdsup://directions/FAT Viewer?action=UPDATE&amp;creator=factset&amp;DYN_ARGS=TRUE&amp;DOC_NAME=FAT:FQL_AUDITING_CLIENT_TEMPLATE.FAT&amp;display_string=Audit&amp;VAR:KEY=BWLUPQLSLM&amp;VAR:QUERY=RkZfRU5UUlBSX1ZBTF9EQUlMWSg0MDM2NiwsLCxVU0QsJ0RJTCcp&amp;WINDOW=FIRST_POPUP&amp;HEIGHT=450&amp;WI","DTH=450&amp;START_MAXIMIZED=FALSE&amp;VAR:CALENDAR=FIVEDAY&amp;VAR:SYMBOL=B1YVKN&amp;VAR:INDEX=0"}</definedName>
    <definedName name="_123__FDSAUDITLINK__" hidden="1">{"fdsup://directions/FAT Viewer?action=UPDATE&amp;creator=factset&amp;DYN_ARGS=TRUE&amp;DOC_NAME=FAT:FQL_AUDITING_CLIENT_TEMPLATE.FAT&amp;display_string=Audit&amp;VAR:KEY=BWLUPQLSLM&amp;VAR:QUERY=RkZfRU5UUlBSX1ZBTF9EQUlMWSg0MDM2NiwsLCxVU0QsJ0RJTCcp&amp;WINDOW=FIRST_POPUP&amp;HEIGHT=450&amp;WI","DTH=450&amp;START_MAXIMIZED=FALSE&amp;VAR:CALENDAR=FIVEDAY&amp;VAR:SYMBOL=B1YVKN&amp;VAR:INDEX=0"}</definedName>
    <definedName name="_124__FDSAUDITLINK__" localSheetId="10" hidden="1">{"fdsup://directions/FAT Viewer?action=UPDATE&amp;creator=factset&amp;DYN_ARGS=TRUE&amp;DOC_NAME=FAT:FQL_AUDITING_CLIENT_TEMPLATE.FAT&amp;display_string=Audit&amp;VAR:KEY=VCLGPWFIRG&amp;VAR:QUERY=RkZfRU5UUlBSX1ZBTF9EQUlMWSg0MDM2NiwsLCxVU0QsJ0RJTCcp&amp;WINDOW=FIRST_POPUP&amp;HEIGHT=450&amp;WI","DTH=450&amp;START_MAXIMIZED=FALSE&amp;VAR:CALENDAR=FIVEDAY&amp;VAR:SYMBOL=658653&amp;VAR:INDEX=0"}</definedName>
    <definedName name="_124__FDSAUDITLINK__" hidden="1">{"fdsup://directions/FAT Viewer?action=UPDATE&amp;creator=factset&amp;DYN_ARGS=TRUE&amp;DOC_NAME=FAT:FQL_AUDITING_CLIENT_TEMPLATE.FAT&amp;display_string=Audit&amp;VAR:KEY=VCLGPWFIRG&amp;VAR:QUERY=RkZfRU5UUlBSX1ZBTF9EQUlMWSg0MDM2NiwsLCxVU0QsJ0RJTCcp&amp;WINDOW=FIRST_POPUP&amp;HEIGHT=450&amp;WI","DTH=450&amp;START_MAXIMIZED=FALSE&amp;VAR:CALENDAR=FIVEDAY&amp;VAR:SYMBOL=658653&amp;VAR:INDEX=0"}</definedName>
    <definedName name="_125__FDSAUDITLINK__" localSheetId="10" hidden="1">{"fdsup://directions/FAT Viewer?action=UPDATE&amp;creator=factset&amp;DYN_ARGS=TRUE&amp;DOC_NAME=FAT:FQL_AUDITING_CLIENT_TEMPLATE.FAT&amp;display_string=Audit&amp;VAR:KEY=WVOBSFWZSD&amp;VAR:QUERY=RkZfRU5UUlBSX1ZBTF9EQUlMWSg0MDM2OCwsLCwsJ0RJTCcp&amp;WINDOW=FIRST_POPUP&amp;HEIGHT=450&amp;WIDTH=","450&amp;START_MAXIMIZED=FALSE&amp;VAR:CALENDAR=FIVEDAY&amp;VAR:SYMBOL=605737&amp;VAR:INDEX=0"}</definedName>
    <definedName name="_125__FDSAUDITLINK__" hidden="1">{"fdsup://directions/FAT Viewer?action=UPDATE&amp;creator=factset&amp;DYN_ARGS=TRUE&amp;DOC_NAME=FAT:FQL_AUDITING_CLIENT_TEMPLATE.FAT&amp;display_string=Audit&amp;VAR:KEY=WVOBSFWZSD&amp;VAR:QUERY=RkZfRU5UUlBSX1ZBTF9EQUlMWSg0MDM2OCwsLCwsJ0RJTCcp&amp;WINDOW=FIRST_POPUP&amp;HEIGHT=450&amp;WIDTH=","450&amp;START_MAXIMIZED=FALSE&amp;VAR:CALENDAR=FIVEDAY&amp;VAR:SYMBOL=605737&amp;VAR:INDEX=0"}</definedName>
    <definedName name="_126__FDSAUDITLINK__" localSheetId="10" hidden="1">{"fdsup://directions/FAT Viewer?action=UPDATE&amp;creator=factset&amp;DYN_ARGS=TRUE&amp;DOC_NAME=FAT:FQL_AUDITING_CLIENT_TEMPLATE.FAT&amp;display_string=Audit&amp;VAR:KEY=QJYFANSJIV&amp;VAR:QUERY=RkZfRU5UUlBSX1ZBTF9EQUlMWSg0MDM2OCwsLCwsJ0RJTCcp&amp;WINDOW=FIRST_POPUP&amp;HEIGHT=450&amp;WIDTH=","450&amp;START_MAXIMIZED=FALSE&amp;VAR:CALENDAR=FIVEDAY&amp;VAR:SYMBOL=669615&amp;VAR:INDEX=0"}</definedName>
    <definedName name="_126__FDSAUDITLINK__" hidden="1">{"fdsup://directions/FAT Viewer?action=UPDATE&amp;creator=factset&amp;DYN_ARGS=TRUE&amp;DOC_NAME=FAT:FQL_AUDITING_CLIENT_TEMPLATE.FAT&amp;display_string=Audit&amp;VAR:KEY=QJYFANSJIV&amp;VAR:QUERY=RkZfRU5UUlBSX1ZBTF9EQUlMWSg0MDM2OCwsLCwsJ0RJTCcp&amp;WINDOW=FIRST_POPUP&amp;HEIGHT=450&amp;WIDTH=","450&amp;START_MAXIMIZED=FALSE&amp;VAR:CALENDAR=FIVEDAY&amp;VAR:SYMBOL=669615&amp;VAR:INDEX=0"}</definedName>
    <definedName name="_127__FDSAUDITLINK__" localSheetId="10" hidden="1">{"fdsup://directions/FAT Viewer?action=UPDATE&amp;creator=factset&amp;DYN_ARGS=TRUE&amp;DOC_NAME=FAT:FQL_AUDITING_CLIENT_TEMPLATE.FAT&amp;display_string=Audit&amp;VAR:KEY=SXOFIBCXSZ&amp;VAR:QUERY=RkZfRU5UUlBSX1ZBTF9EQUlMWSg0MDM2OCwsLCwsJ0RJTCcp&amp;WINDOW=FIRST_POPUP&amp;HEIGHT=450&amp;WIDTH=","450&amp;START_MAXIMIZED=FALSE&amp;VAR:CALENDAR=FIVEDAY&amp;VAR:SYMBOL=506472&amp;VAR:INDEX=0"}</definedName>
    <definedName name="_127__FDSAUDITLINK__" hidden="1">{"fdsup://directions/FAT Viewer?action=UPDATE&amp;creator=factset&amp;DYN_ARGS=TRUE&amp;DOC_NAME=FAT:FQL_AUDITING_CLIENT_TEMPLATE.FAT&amp;display_string=Audit&amp;VAR:KEY=SXOFIBCXSZ&amp;VAR:QUERY=RkZfRU5UUlBSX1ZBTF9EQUlMWSg0MDM2OCwsLCwsJ0RJTCcp&amp;WINDOW=FIRST_POPUP&amp;HEIGHT=450&amp;WIDTH=","450&amp;START_MAXIMIZED=FALSE&amp;VAR:CALENDAR=FIVEDAY&amp;VAR:SYMBOL=506472&amp;VAR:INDEX=0"}</definedName>
    <definedName name="_128__FDSAUDITLINK__" localSheetId="10" hidden="1">{"fdsup://directions/FAT Viewer?action=UPDATE&amp;creator=factset&amp;DYN_ARGS=TRUE&amp;DOC_NAME=FAT:FQL_AUDITING_CLIENT_TEMPLATE.FAT&amp;display_string=Audit&amp;VAR:KEY=QHQDOLOXUR&amp;VAR:QUERY=RkZfRU5UUlBSX1ZBTF9EQUlMWSg0MDM2OCwsLCwsJ0RJTCcp&amp;WINDOW=FIRST_POPUP&amp;HEIGHT=450&amp;WIDTH=","450&amp;START_MAXIMIZED=FALSE&amp;VAR:CALENDAR=FIVEDAY&amp;VAR:SYMBOL=403197&amp;VAR:INDEX=0"}</definedName>
    <definedName name="_128__FDSAUDITLINK__" hidden="1">{"fdsup://directions/FAT Viewer?action=UPDATE&amp;creator=factset&amp;DYN_ARGS=TRUE&amp;DOC_NAME=FAT:FQL_AUDITING_CLIENT_TEMPLATE.FAT&amp;display_string=Audit&amp;VAR:KEY=QHQDOLOXUR&amp;VAR:QUERY=RkZfRU5UUlBSX1ZBTF9EQUlMWSg0MDM2OCwsLCwsJ0RJTCcp&amp;WINDOW=FIRST_POPUP&amp;HEIGHT=450&amp;WIDTH=","450&amp;START_MAXIMIZED=FALSE&amp;VAR:CALENDAR=FIVEDAY&amp;VAR:SYMBOL=403197&amp;VAR:INDEX=0"}</definedName>
    <definedName name="_129__FDSAUDITLINK__" localSheetId="10" hidden="1">{"fdsup://directions/FAT Viewer?action=UPDATE&amp;creator=factset&amp;DYN_ARGS=TRUE&amp;DOC_NAME=FAT:FQL_AUDITING_CLIENT_TEMPLATE.FAT&amp;display_string=Audit&amp;VAR:KEY=UJIBWFQNCZ&amp;VAR:QUERY=RkZfRU5UUlBSX1ZBTF9EQUlMWSg0MDM2OCwsLCwsJ0RJTCcp&amp;WINDOW=FIRST_POPUP&amp;HEIGHT=450&amp;WIDTH=","450&amp;START_MAXIMIZED=FALSE&amp;VAR:CALENDAR=FIVEDAY&amp;VAR:SYMBOL=65410610&amp;VAR:INDEX=0"}</definedName>
    <definedName name="_129__FDSAUDITLINK__" hidden="1">{"fdsup://directions/FAT Viewer?action=UPDATE&amp;creator=factset&amp;DYN_ARGS=TRUE&amp;DOC_NAME=FAT:FQL_AUDITING_CLIENT_TEMPLATE.FAT&amp;display_string=Audit&amp;VAR:KEY=UJIBWFQNCZ&amp;VAR:QUERY=RkZfRU5UUlBSX1ZBTF9EQUlMWSg0MDM2OCwsLCwsJ0RJTCcp&amp;WINDOW=FIRST_POPUP&amp;HEIGHT=450&amp;WIDTH=","450&amp;START_MAXIMIZED=FALSE&amp;VAR:CALENDAR=FIVEDAY&amp;VAR:SYMBOL=65410610&amp;VAR:INDEX=0"}</definedName>
    <definedName name="_13__123Graph_ACHART_20" hidden="1">'[2]S Amer'!$B$14:$V$14</definedName>
    <definedName name="_13__FDSAUDITLINK__" localSheetId="10" hidden="1">{"fdsup://directions/FAT Viewer?action=UPDATE&amp;creator=factset&amp;DYN_ARGS=TRUE&amp;DOC_NAME=FAT:FQL_AUDITING_CLIENT_TEMPLATE.FAT&amp;display_string=Audit&amp;VAR:KEY=GZENALIHQZ&amp;VAR:QUERY=RkZfRU5UUlBSX1ZBTF9EQUlMWSg0MDM2NiwsLCwsJ0RJTCcp&amp;WINDOW=FIRST_POPUP&amp;HEIGHT=450&amp;WIDTH=","450&amp;START_MAXIMIZED=FALSE&amp;VAR:CALENDAR=FIVEDAY&amp;VAR:SYMBOL=B15SCH&amp;VAR:INDEX=0"}</definedName>
    <definedName name="_13__FDSAUDITLINK__" hidden="1">{"fdsup://directions/FAT Viewer?action=UPDATE&amp;creator=factset&amp;DYN_ARGS=TRUE&amp;DOC_NAME=FAT:FQL_AUDITING_CLIENT_TEMPLATE.FAT&amp;display_string=Audit&amp;VAR:KEY=GZENALIHQZ&amp;VAR:QUERY=RkZfRU5UUlBSX1ZBTF9EQUlMWSg0MDM2NiwsLCwsJ0RJTCcp&amp;WINDOW=FIRST_POPUP&amp;HEIGHT=450&amp;WIDTH=","450&amp;START_MAXIMIZED=FALSE&amp;VAR:CALENDAR=FIVEDAY&amp;VAR:SYMBOL=B15SCH&amp;VAR:INDEX=0"}</definedName>
    <definedName name="_130__FDSAUDITLINK__" localSheetId="10" hidden="1">{"fdsup://directions/FAT Viewer?action=UPDATE&amp;creator=factset&amp;DYN_ARGS=TRUE&amp;DOC_NAME=FAT:FQL_AUDITING_CLIENT_TEMPLATE.FAT&amp;display_string=Audit&amp;VAR:KEY=MNMHEZAVCF&amp;VAR:QUERY=RkZfRU5UUlBSX1ZBTF9EQUlMWSg0MDM2OCwsLCxVU0QsJ0RJTCcp&amp;WINDOW=FIRST_POPUP&amp;HEIGHT=450&amp;WI","DTH=450&amp;START_MAXIMIZED=FALSE&amp;VAR:CALENDAR=FIVEDAY&amp;VAR:SYMBOL=605737&amp;VAR:INDEX=0"}</definedName>
    <definedName name="_130__FDSAUDITLINK__" hidden="1">{"fdsup://directions/FAT Viewer?action=UPDATE&amp;creator=factset&amp;DYN_ARGS=TRUE&amp;DOC_NAME=FAT:FQL_AUDITING_CLIENT_TEMPLATE.FAT&amp;display_string=Audit&amp;VAR:KEY=MNMHEZAVCF&amp;VAR:QUERY=RkZfRU5UUlBSX1ZBTF9EQUlMWSg0MDM2OCwsLCxVU0QsJ0RJTCcp&amp;WINDOW=FIRST_POPUP&amp;HEIGHT=450&amp;WI","DTH=450&amp;START_MAXIMIZED=FALSE&amp;VAR:CALENDAR=FIVEDAY&amp;VAR:SYMBOL=605737&amp;VAR:INDEX=0"}</definedName>
    <definedName name="_131__FDSAUDITLINK__" localSheetId="10" hidden="1">{"fdsup://directions/FAT Viewer?action=UPDATE&amp;creator=factset&amp;DYN_ARGS=TRUE&amp;DOC_NAME=FAT:FQL_AUDITING_CLIENT_TEMPLATE.FAT&amp;display_string=Audit&amp;VAR:KEY=UXINCTADGT&amp;VAR:QUERY=RkZfRU5UUlBSX1ZBTF9EQUlMWSg0MDM2OCwsLCxVU0QsJ0RJTCcp&amp;WINDOW=FIRST_POPUP&amp;HEIGHT=450&amp;WI","DTH=450&amp;START_MAXIMIZED=FALSE&amp;VAR:CALENDAR=FIVEDAY&amp;VAR:SYMBOL=669615&amp;VAR:INDEX=0"}</definedName>
    <definedName name="_131__FDSAUDITLINK__" hidden="1">{"fdsup://directions/FAT Viewer?action=UPDATE&amp;creator=factset&amp;DYN_ARGS=TRUE&amp;DOC_NAME=FAT:FQL_AUDITING_CLIENT_TEMPLATE.FAT&amp;display_string=Audit&amp;VAR:KEY=UXINCTADGT&amp;VAR:QUERY=RkZfRU5UUlBSX1ZBTF9EQUlMWSg0MDM2OCwsLCxVU0QsJ0RJTCcp&amp;WINDOW=FIRST_POPUP&amp;HEIGHT=450&amp;WI","DTH=450&amp;START_MAXIMIZED=FALSE&amp;VAR:CALENDAR=FIVEDAY&amp;VAR:SYMBOL=669615&amp;VAR:INDEX=0"}</definedName>
    <definedName name="_132__FDSAUDITLINK__" localSheetId="10" hidden="1">{"fdsup://directions/FAT Viewer?action=UPDATE&amp;creator=factset&amp;DYN_ARGS=TRUE&amp;DOC_NAME=FAT:FQL_AUDITING_CLIENT_TEMPLATE.FAT&amp;display_string=Audit&amp;VAR:KEY=GFOXIXGNSP&amp;VAR:QUERY=RkZfRU5UUlBSX1ZBTF9EQUlMWSg0MDM2OCwsLCxVU0QsJ0RJTCcp&amp;WINDOW=FIRST_POPUP&amp;HEIGHT=450&amp;WI","DTH=450&amp;START_MAXIMIZED=FALSE&amp;VAR:CALENDAR=FIVEDAY&amp;VAR:SYMBOL=506472&amp;VAR:INDEX=0"}</definedName>
    <definedName name="_132__FDSAUDITLINK__" hidden="1">{"fdsup://directions/FAT Viewer?action=UPDATE&amp;creator=factset&amp;DYN_ARGS=TRUE&amp;DOC_NAME=FAT:FQL_AUDITING_CLIENT_TEMPLATE.FAT&amp;display_string=Audit&amp;VAR:KEY=GFOXIXGNSP&amp;VAR:QUERY=RkZfRU5UUlBSX1ZBTF9EQUlMWSg0MDM2OCwsLCxVU0QsJ0RJTCcp&amp;WINDOW=FIRST_POPUP&amp;HEIGHT=450&amp;WI","DTH=450&amp;START_MAXIMIZED=FALSE&amp;VAR:CALENDAR=FIVEDAY&amp;VAR:SYMBOL=506472&amp;VAR:INDEX=0"}</definedName>
    <definedName name="_133__FDSAUDITLINK__" localSheetId="10" hidden="1">{"fdsup://directions/FAT Viewer?action=UPDATE&amp;creator=factset&amp;DYN_ARGS=TRUE&amp;DOC_NAME=FAT:FQL_AUDITING_CLIENT_TEMPLATE.FAT&amp;display_string=Audit&amp;VAR:KEY=QFOPWPIBWP&amp;VAR:QUERY=RkZfRU5UUlBSX1ZBTF9EQUlMWSg0MDM2OCwsLCxVU0QsJ0RJTCcp&amp;WINDOW=FIRST_POPUP&amp;HEIGHT=450&amp;WI","DTH=450&amp;START_MAXIMIZED=FALSE&amp;VAR:CALENDAR=FIVEDAY&amp;VAR:SYMBOL=403197&amp;VAR:INDEX=0"}</definedName>
    <definedName name="_133__FDSAUDITLINK__" hidden="1">{"fdsup://directions/FAT Viewer?action=UPDATE&amp;creator=factset&amp;DYN_ARGS=TRUE&amp;DOC_NAME=FAT:FQL_AUDITING_CLIENT_TEMPLATE.FAT&amp;display_string=Audit&amp;VAR:KEY=QFOPWPIBWP&amp;VAR:QUERY=RkZfRU5UUlBSX1ZBTF9EQUlMWSg0MDM2OCwsLCxVU0QsJ0RJTCcp&amp;WINDOW=FIRST_POPUP&amp;HEIGHT=450&amp;WI","DTH=450&amp;START_MAXIMIZED=FALSE&amp;VAR:CALENDAR=FIVEDAY&amp;VAR:SYMBOL=403197&amp;VAR:INDEX=0"}</definedName>
    <definedName name="_134__FDSAUDITLINK__" localSheetId="10" hidden="1">{"fdsup://directions/FAT Viewer?action=UPDATE&amp;creator=factset&amp;DYN_ARGS=TRUE&amp;DOC_NAME=FAT:FQL_AUDITING_CLIENT_TEMPLATE.FAT&amp;display_string=Audit&amp;VAR:KEY=WVMFCBQTGZ&amp;VAR:QUERY=RkZfRU5UUlBSX1ZBTF9EQUlMWSg0MDM2OCwsLCxVU0QsJ0RJTCcp&amp;WINDOW=FIRST_POPUP&amp;HEIGHT=450&amp;WI","DTH=450&amp;START_MAXIMIZED=FALSE&amp;VAR:CALENDAR=FIVEDAY&amp;VAR:SYMBOL=65410610&amp;VAR:INDEX=0"}</definedName>
    <definedName name="_134__FDSAUDITLINK__" hidden="1">{"fdsup://directions/FAT Viewer?action=UPDATE&amp;creator=factset&amp;DYN_ARGS=TRUE&amp;DOC_NAME=FAT:FQL_AUDITING_CLIENT_TEMPLATE.FAT&amp;display_string=Audit&amp;VAR:KEY=WVMFCBQTGZ&amp;VAR:QUERY=RkZfRU5UUlBSX1ZBTF9EQUlMWSg0MDM2OCwsLCxVU0QsJ0RJTCcp&amp;WINDOW=FIRST_POPUP&amp;HEIGHT=450&amp;WI","DTH=450&amp;START_MAXIMIZED=FALSE&amp;VAR:CALENDAR=FIVEDAY&amp;VAR:SYMBOL=65410610&amp;VAR:INDEX=0"}</definedName>
    <definedName name="_135__FDSAUDITLINK__" localSheetId="10" hidden="1">{"fdsup://directions/FAT Viewer?action=UPDATE&amp;creator=factset&amp;DYN_ARGS=TRUE&amp;DOC_NAME=FAT:FQL_AUDITING_CLIENT_TEMPLATE.FAT&amp;display_string=Audit&amp;VAR:KEY=URGDSBGPGJ&amp;VAR:QUERY=RkZfRU5UUlBSX1ZBTF9EQUlMWSg0MDM2OCwsLCwsJ0RJTCcp&amp;WINDOW=FIRST_POPUP&amp;HEIGHT=450&amp;WIDTH=","450&amp;START_MAXIMIZED=FALSE&amp;VAR:CALENDAR=FIVEDAY&amp;VAR:SYMBOL=B3Z9VV&amp;VAR:INDEX=0"}</definedName>
    <definedName name="_135__FDSAUDITLINK__" hidden="1">{"fdsup://directions/FAT Viewer?action=UPDATE&amp;creator=factset&amp;DYN_ARGS=TRUE&amp;DOC_NAME=FAT:FQL_AUDITING_CLIENT_TEMPLATE.FAT&amp;display_string=Audit&amp;VAR:KEY=URGDSBGPGJ&amp;VAR:QUERY=RkZfRU5UUlBSX1ZBTF9EQUlMWSg0MDM2OCwsLCwsJ0RJTCcp&amp;WINDOW=FIRST_POPUP&amp;HEIGHT=450&amp;WIDTH=","450&amp;START_MAXIMIZED=FALSE&amp;VAR:CALENDAR=FIVEDAY&amp;VAR:SYMBOL=B3Z9VV&amp;VAR:INDEX=0"}</definedName>
    <definedName name="_136__FDSAUDITLINK__" localSheetId="10" hidden="1">{"fdsup://directions/FAT Viewer?action=UPDATE&amp;creator=factset&amp;DYN_ARGS=TRUE&amp;DOC_NAME=FAT:FQL_AUDITING_CLIENT_TEMPLATE.FAT&amp;display_string=Audit&amp;VAR:KEY=AZWBOLIJOJ&amp;VAR:QUERY=RkZfRU5UUlBSX1ZBTF9EQUlMWSg0MDM2OCwsLCwsJ0RJTCcp&amp;WINDOW=FIRST_POPUP&amp;HEIGHT=450&amp;WIDTH=","450&amp;START_MAXIMIZED=FALSE&amp;VAR:CALENDAR=FIVEDAY&amp;VAR:SYMBOL=B51BL7&amp;VAR:INDEX=0"}</definedName>
    <definedName name="_136__FDSAUDITLINK__" hidden="1">{"fdsup://directions/FAT Viewer?action=UPDATE&amp;creator=factset&amp;DYN_ARGS=TRUE&amp;DOC_NAME=FAT:FQL_AUDITING_CLIENT_TEMPLATE.FAT&amp;display_string=Audit&amp;VAR:KEY=AZWBOLIJOJ&amp;VAR:QUERY=RkZfRU5UUlBSX1ZBTF9EQUlMWSg0MDM2OCwsLCwsJ0RJTCcp&amp;WINDOW=FIRST_POPUP&amp;HEIGHT=450&amp;WIDTH=","450&amp;START_MAXIMIZED=FALSE&amp;VAR:CALENDAR=FIVEDAY&amp;VAR:SYMBOL=B51BL7&amp;VAR:INDEX=0"}</definedName>
    <definedName name="_137__FDSAUDITLINK__" localSheetId="10" hidden="1">{"fdsup://directions/FAT Viewer?action=UPDATE&amp;creator=factset&amp;DYN_ARGS=TRUE&amp;DOC_NAME=FAT:FQL_AUDITING_CLIENT_TEMPLATE.FAT&amp;display_string=Audit&amp;VAR:KEY=WXYJCRCHEN&amp;VAR:QUERY=RkZfRU5UUlBSX1ZBTF9EQUlMWSg0MDM2OCwsLCwsJ0RJTCcp&amp;WINDOW=FIRST_POPUP&amp;HEIGHT=450&amp;WIDTH=","450&amp;START_MAXIMIZED=FALSE&amp;VAR:CALENDAR=FIVEDAY&amp;VAR:SYMBOL=B01JCK&amp;VAR:INDEX=0"}</definedName>
    <definedName name="_137__FDSAUDITLINK__" hidden="1">{"fdsup://directions/FAT Viewer?action=UPDATE&amp;creator=factset&amp;DYN_ARGS=TRUE&amp;DOC_NAME=FAT:FQL_AUDITING_CLIENT_TEMPLATE.FAT&amp;display_string=Audit&amp;VAR:KEY=WXYJCRCHEN&amp;VAR:QUERY=RkZfRU5UUlBSX1ZBTF9EQUlMWSg0MDM2OCwsLCwsJ0RJTCcp&amp;WINDOW=FIRST_POPUP&amp;HEIGHT=450&amp;WIDTH=","450&amp;START_MAXIMIZED=FALSE&amp;VAR:CALENDAR=FIVEDAY&amp;VAR:SYMBOL=B01JCK&amp;VAR:INDEX=0"}</definedName>
    <definedName name="_138__FDSAUDITLINK__" localSheetId="10" hidden="1">{"fdsup://directions/FAT Viewer?action=UPDATE&amp;creator=factset&amp;DYN_ARGS=TRUE&amp;DOC_NAME=FAT:FQL_AUDITING_CLIENT_TEMPLATE.FAT&amp;display_string=Audit&amp;VAR:KEY=AVMJIXOVWL&amp;VAR:QUERY=RkZfRU5UUlBSX1ZBTF9EQUlMWSg0MDM2OCwsLCwsJ0RJTCcp&amp;WINDOW=FIRST_POPUP&amp;HEIGHT=450&amp;WIDTH=","450&amp;START_MAXIMIZED=FALSE&amp;VAR:CALENDAR=FIVEDAY&amp;VAR:SYMBOL=B1YVKN&amp;VAR:INDEX=0"}</definedName>
    <definedName name="_138__FDSAUDITLINK__" hidden="1">{"fdsup://directions/FAT Viewer?action=UPDATE&amp;creator=factset&amp;DYN_ARGS=TRUE&amp;DOC_NAME=FAT:FQL_AUDITING_CLIENT_TEMPLATE.FAT&amp;display_string=Audit&amp;VAR:KEY=AVMJIXOVWL&amp;VAR:QUERY=RkZfRU5UUlBSX1ZBTF9EQUlMWSg0MDM2OCwsLCwsJ0RJTCcp&amp;WINDOW=FIRST_POPUP&amp;HEIGHT=450&amp;WIDTH=","450&amp;START_MAXIMIZED=FALSE&amp;VAR:CALENDAR=FIVEDAY&amp;VAR:SYMBOL=B1YVKN&amp;VAR:INDEX=0"}</definedName>
    <definedName name="_139__FDSAUDITLINK__" localSheetId="10" hidden="1">{"fdsup://directions/FAT Viewer?action=UPDATE&amp;creator=factset&amp;DYN_ARGS=TRUE&amp;DOC_NAME=FAT:FQL_AUDITING_CLIENT_TEMPLATE.FAT&amp;display_string=Audit&amp;VAR:KEY=URYJUJSZQH&amp;VAR:QUERY=RkZfRU5UUlBSX1ZBTF9EQUlMWSg0MDM2OCwsLCwsJ0RJTCcp&amp;WINDOW=FIRST_POPUP&amp;HEIGHT=450&amp;WIDTH=","450&amp;START_MAXIMIZED=FALSE&amp;VAR:CALENDAR=FIVEDAY&amp;VAR:SYMBOL=658653&amp;VAR:INDEX=0"}</definedName>
    <definedName name="_139__FDSAUDITLINK__" hidden="1">{"fdsup://directions/FAT Viewer?action=UPDATE&amp;creator=factset&amp;DYN_ARGS=TRUE&amp;DOC_NAME=FAT:FQL_AUDITING_CLIENT_TEMPLATE.FAT&amp;display_string=Audit&amp;VAR:KEY=URYJUJSZQH&amp;VAR:QUERY=RkZfRU5UUlBSX1ZBTF9EQUlMWSg0MDM2OCwsLCwsJ0RJTCcp&amp;WINDOW=FIRST_POPUP&amp;HEIGHT=450&amp;WIDTH=","450&amp;START_MAXIMIZED=FALSE&amp;VAR:CALENDAR=FIVEDAY&amp;VAR:SYMBOL=658653&amp;VAR:INDEX=0"}</definedName>
    <definedName name="_14__123Graph_ACHART_21" hidden="1">'[2]S Amer'!$B$28:$V$28</definedName>
    <definedName name="_14__FDSAUDITLINK__" localSheetId="10" hidden="1">{"fdsup://directions/FAT Viewer?action=UPDATE&amp;creator=factset&amp;DYN_ARGS=TRUE&amp;DOC_NAME=FAT:FQL_AUDITING_CLIENT_TEMPLATE.FAT&amp;display_string=Audit&amp;VAR:KEY=ANEFKFOZQB&amp;VAR:QUERY=RkZfRU5UUlBSX1ZBTF9EQUlMWSg0MDM2NiwsLCxVU0QsJ0RJTCcp&amp;WINDOW=FIRST_POPUP&amp;HEIGHT=450&amp;WI","DTH=450&amp;START_MAXIMIZED=FALSE&amp;VAR:CALENDAR=FIVEDAY&amp;VAR:SYMBOL=B15SCH&amp;VAR:INDEX=0"}</definedName>
    <definedName name="_14__FDSAUDITLINK__" hidden="1">{"fdsup://directions/FAT Viewer?action=UPDATE&amp;creator=factset&amp;DYN_ARGS=TRUE&amp;DOC_NAME=FAT:FQL_AUDITING_CLIENT_TEMPLATE.FAT&amp;display_string=Audit&amp;VAR:KEY=ANEFKFOZQB&amp;VAR:QUERY=RkZfRU5UUlBSX1ZBTF9EQUlMWSg0MDM2NiwsLCxVU0QsJ0RJTCcp&amp;WINDOW=FIRST_POPUP&amp;HEIGHT=450&amp;WI","DTH=450&amp;START_MAXIMIZED=FALSE&amp;VAR:CALENDAR=FIVEDAY&amp;VAR:SYMBOL=B15SCH&amp;VAR:INDEX=0"}</definedName>
    <definedName name="_140__FDSAUDITLINK__" localSheetId="10" hidden="1">{"fdsup://directions/FAT Viewer?action=UPDATE&amp;creator=factset&amp;DYN_ARGS=TRUE&amp;DOC_NAME=FAT:FQL_AUDITING_CLIENT_TEMPLATE.FAT&amp;display_string=Audit&amp;VAR:KEY=STGLCBWBQJ&amp;VAR:QUERY=RkZfRU5UUlBSX1ZBTF9EQUlMWSg0MDM2OCwsLCxVU0QsJ0RJTCcp&amp;WINDOW=FIRST_POPUP&amp;HEIGHT=450&amp;WI","DTH=450&amp;START_MAXIMIZED=FALSE&amp;VAR:CALENDAR=FIVEDAY&amp;VAR:SYMBOL=B3Z9VV&amp;VAR:INDEX=0"}</definedName>
    <definedName name="_140__FDSAUDITLINK__" hidden="1">{"fdsup://directions/FAT Viewer?action=UPDATE&amp;creator=factset&amp;DYN_ARGS=TRUE&amp;DOC_NAME=FAT:FQL_AUDITING_CLIENT_TEMPLATE.FAT&amp;display_string=Audit&amp;VAR:KEY=STGLCBWBQJ&amp;VAR:QUERY=RkZfRU5UUlBSX1ZBTF9EQUlMWSg0MDM2OCwsLCxVU0QsJ0RJTCcp&amp;WINDOW=FIRST_POPUP&amp;HEIGHT=450&amp;WI","DTH=450&amp;START_MAXIMIZED=FALSE&amp;VAR:CALENDAR=FIVEDAY&amp;VAR:SYMBOL=B3Z9VV&amp;VAR:INDEX=0"}</definedName>
    <definedName name="_141__FDSAUDITLINK__" localSheetId="10" hidden="1">{"fdsup://directions/FAT Viewer?action=UPDATE&amp;creator=factset&amp;DYN_ARGS=TRUE&amp;DOC_NAME=FAT:FQL_AUDITING_CLIENT_TEMPLATE.FAT&amp;display_string=Audit&amp;VAR:KEY=ORKVCPAFWX&amp;VAR:QUERY=RkZfRU5UUlBSX1ZBTF9EQUlMWSg0MDM2OCwsLCxVU0QsJ0RJTCcp&amp;WINDOW=FIRST_POPUP&amp;HEIGHT=450&amp;WI","DTH=450&amp;START_MAXIMIZED=FALSE&amp;VAR:CALENDAR=FIVEDAY&amp;VAR:SYMBOL=B51BL7&amp;VAR:INDEX=0"}</definedName>
    <definedName name="_141__FDSAUDITLINK__" hidden="1">{"fdsup://directions/FAT Viewer?action=UPDATE&amp;creator=factset&amp;DYN_ARGS=TRUE&amp;DOC_NAME=FAT:FQL_AUDITING_CLIENT_TEMPLATE.FAT&amp;display_string=Audit&amp;VAR:KEY=ORKVCPAFWX&amp;VAR:QUERY=RkZfRU5UUlBSX1ZBTF9EQUlMWSg0MDM2OCwsLCxVU0QsJ0RJTCcp&amp;WINDOW=FIRST_POPUP&amp;HEIGHT=450&amp;WI","DTH=450&amp;START_MAXIMIZED=FALSE&amp;VAR:CALENDAR=FIVEDAY&amp;VAR:SYMBOL=B51BL7&amp;VAR:INDEX=0"}</definedName>
    <definedName name="_142__FDSAUDITLINK__" localSheetId="10" hidden="1">{"fdsup://directions/FAT Viewer?action=UPDATE&amp;creator=factset&amp;DYN_ARGS=TRUE&amp;DOC_NAME=FAT:FQL_AUDITING_CLIENT_TEMPLATE.FAT&amp;display_string=Audit&amp;VAR:KEY=SXAFSJETSP&amp;VAR:QUERY=RkZfRU5UUlBSX1ZBTF9EQUlMWSg0MDM2OCwsLCxVU0QsJ0RJTCcp&amp;WINDOW=FIRST_POPUP&amp;HEIGHT=450&amp;WI","DTH=450&amp;START_MAXIMIZED=FALSE&amp;VAR:CALENDAR=FIVEDAY&amp;VAR:SYMBOL=B01JCK&amp;VAR:INDEX=0"}</definedName>
    <definedName name="_142__FDSAUDITLINK__" hidden="1">{"fdsup://directions/FAT Viewer?action=UPDATE&amp;creator=factset&amp;DYN_ARGS=TRUE&amp;DOC_NAME=FAT:FQL_AUDITING_CLIENT_TEMPLATE.FAT&amp;display_string=Audit&amp;VAR:KEY=SXAFSJETSP&amp;VAR:QUERY=RkZfRU5UUlBSX1ZBTF9EQUlMWSg0MDM2OCwsLCxVU0QsJ0RJTCcp&amp;WINDOW=FIRST_POPUP&amp;HEIGHT=450&amp;WI","DTH=450&amp;START_MAXIMIZED=FALSE&amp;VAR:CALENDAR=FIVEDAY&amp;VAR:SYMBOL=B01JCK&amp;VAR:INDEX=0"}</definedName>
    <definedName name="_143__FDSAUDITLINK__" localSheetId="10" hidden="1">{"fdsup://directions/FAT Viewer?action=UPDATE&amp;creator=factset&amp;DYN_ARGS=TRUE&amp;DOC_NAME=FAT:FQL_AUDITING_CLIENT_TEMPLATE.FAT&amp;display_string=Audit&amp;VAR:KEY=WNAXITCTGZ&amp;VAR:QUERY=RkZfRU5UUlBSX1ZBTF9EQUlMWSg0MDM2OCwsLCxVU0QsJ0RJTCcp&amp;WINDOW=FIRST_POPUP&amp;HEIGHT=450&amp;WI","DTH=450&amp;START_MAXIMIZED=FALSE&amp;VAR:CALENDAR=FIVEDAY&amp;VAR:SYMBOL=B1YVKN&amp;VAR:INDEX=0"}</definedName>
    <definedName name="_143__FDSAUDITLINK__" hidden="1">{"fdsup://directions/FAT Viewer?action=UPDATE&amp;creator=factset&amp;DYN_ARGS=TRUE&amp;DOC_NAME=FAT:FQL_AUDITING_CLIENT_TEMPLATE.FAT&amp;display_string=Audit&amp;VAR:KEY=WNAXITCTGZ&amp;VAR:QUERY=RkZfRU5UUlBSX1ZBTF9EQUlMWSg0MDM2OCwsLCxVU0QsJ0RJTCcp&amp;WINDOW=FIRST_POPUP&amp;HEIGHT=450&amp;WI","DTH=450&amp;START_MAXIMIZED=FALSE&amp;VAR:CALENDAR=FIVEDAY&amp;VAR:SYMBOL=B1YVKN&amp;VAR:INDEX=0"}</definedName>
    <definedName name="_144__FDSAUDITLINK__" localSheetId="10" hidden="1">{"fdsup://directions/FAT Viewer?action=UPDATE&amp;creator=factset&amp;DYN_ARGS=TRUE&amp;DOC_NAME=FAT:FQL_AUDITING_CLIENT_TEMPLATE.FAT&amp;display_string=Audit&amp;VAR:KEY=MRYVKHILWR&amp;VAR:QUERY=RkZfRU5UUlBSX1ZBTF9EQUlMWSg0MDM2OCwsLCxVU0QsJ0RJTCcp&amp;WINDOW=FIRST_POPUP&amp;HEIGHT=450&amp;WI","DTH=450&amp;START_MAXIMIZED=FALSE&amp;VAR:CALENDAR=FIVEDAY&amp;VAR:SYMBOL=658653&amp;VAR:INDEX=0"}</definedName>
    <definedName name="_144__FDSAUDITLINK__" hidden="1">{"fdsup://directions/FAT Viewer?action=UPDATE&amp;creator=factset&amp;DYN_ARGS=TRUE&amp;DOC_NAME=FAT:FQL_AUDITING_CLIENT_TEMPLATE.FAT&amp;display_string=Audit&amp;VAR:KEY=MRYVKHILWR&amp;VAR:QUERY=RkZfRU5UUlBSX1ZBTF9EQUlMWSg0MDM2OCwsLCxVU0QsJ0RJTCcp&amp;WINDOW=FIRST_POPUP&amp;HEIGHT=450&amp;WI","DTH=450&amp;START_MAXIMIZED=FALSE&amp;VAR:CALENDAR=FIVEDAY&amp;VAR:SYMBOL=658653&amp;VAR:INDEX=0"}</definedName>
    <definedName name="_145__FDSAUDITLINK__" localSheetId="10" hidden="1">{"fdsup://directions/FAT Viewer?action=UPDATE&amp;creator=factset&amp;DYN_ARGS=TRUE&amp;DOC_NAME=FAT:FQL_AUDITING_CLIENT_TEMPLATE.FAT&amp;display_string=Audit&amp;VAR:KEY=VGDOLCVOBK&amp;VAR:QUERY=RkZfRU5UUlBSX1ZBTF9EQUlMWSg0MDM2OCwsLCwsJ0RJTCcp&amp;WINDOW=FIRST_POPUP&amp;HEIGHT=450&amp;WIDTH=","450&amp;START_MAXIMIZED=FALSE&amp;VAR:CALENDAR=FIVEDAY&amp;VAR:SYMBOL=95058710&amp;VAR:INDEX=0"}</definedName>
    <definedName name="_145__FDSAUDITLINK__" hidden="1">{"fdsup://directions/FAT Viewer?action=UPDATE&amp;creator=factset&amp;DYN_ARGS=TRUE&amp;DOC_NAME=FAT:FQL_AUDITING_CLIENT_TEMPLATE.FAT&amp;display_string=Audit&amp;VAR:KEY=VGDOLCVOBK&amp;VAR:QUERY=RkZfRU5UUlBSX1ZBTF9EQUlMWSg0MDM2OCwsLCwsJ0RJTCcp&amp;WINDOW=FIRST_POPUP&amp;HEIGHT=450&amp;WIDTH=","450&amp;START_MAXIMIZED=FALSE&amp;VAR:CALENDAR=FIVEDAY&amp;VAR:SYMBOL=95058710&amp;VAR:INDEX=0"}</definedName>
    <definedName name="_146__FDSAUDITLINK__" localSheetId="10" hidden="1">{"fdsup://directions/FAT Viewer?action=UPDATE&amp;creator=factset&amp;DYN_ARGS=TRUE&amp;DOC_NAME=FAT:FQL_AUDITING_CLIENT_TEMPLATE.FAT&amp;display_string=Audit&amp;VAR:KEY=VQZKBABGPM&amp;VAR:QUERY=RkZfRU5UUlBSX1ZBTF9EQUlMWSg0MDM2OCwsLCwsJ0RJTCcp&amp;WINDOW=FIRST_POPUP&amp;HEIGHT=450&amp;WIDTH=","450&amp;START_MAXIMIZED=FALSE&amp;VAR:CALENDAR=FIVEDAY&amp;VAR:SYMBOL=12120820&amp;VAR:INDEX=0"}</definedName>
    <definedName name="_146__FDSAUDITLINK__" hidden="1">{"fdsup://directions/FAT Viewer?action=UPDATE&amp;creator=factset&amp;DYN_ARGS=TRUE&amp;DOC_NAME=FAT:FQL_AUDITING_CLIENT_TEMPLATE.FAT&amp;display_string=Audit&amp;VAR:KEY=VQZKBABGPM&amp;VAR:QUERY=RkZfRU5UUlBSX1ZBTF9EQUlMWSg0MDM2OCwsLCwsJ0RJTCcp&amp;WINDOW=FIRST_POPUP&amp;HEIGHT=450&amp;WIDTH=","450&amp;START_MAXIMIZED=FALSE&amp;VAR:CALENDAR=FIVEDAY&amp;VAR:SYMBOL=12120820&amp;VAR:INDEX=0"}</definedName>
    <definedName name="_147__FDSAUDITLINK__" localSheetId="10" hidden="1">{"fdsup://directions/FAT Viewer?action=UPDATE&amp;creator=factset&amp;DYN_ARGS=TRUE&amp;DOC_NAME=FAT:FQL_AUDITING_CLIENT_TEMPLATE.FAT&amp;display_string=Audit&amp;VAR:KEY=FSFAPSDYPA&amp;VAR:QUERY=RkZfRU5UUlBSX1ZBTF9EQUlMWSg0MDM2OCwsLCwsJ0RJTCcp&amp;WINDOW=FIRST_POPUP&amp;HEIGHT=450&amp;WIDTH=","450&amp;START_MAXIMIZED=FALSE&amp;VAR:CALENDAR=FIVEDAY&amp;VAR:SYMBOL=98849810&amp;VAR:INDEX=0"}</definedName>
    <definedName name="_147__FDSAUDITLINK__" hidden="1">{"fdsup://directions/FAT Viewer?action=UPDATE&amp;creator=factset&amp;DYN_ARGS=TRUE&amp;DOC_NAME=FAT:FQL_AUDITING_CLIENT_TEMPLATE.FAT&amp;display_string=Audit&amp;VAR:KEY=FSFAPSDYPA&amp;VAR:QUERY=RkZfRU5UUlBSX1ZBTF9EQUlMWSg0MDM2OCwsLCwsJ0RJTCcp&amp;WINDOW=FIRST_POPUP&amp;HEIGHT=450&amp;WIDTH=","450&amp;START_MAXIMIZED=FALSE&amp;VAR:CALENDAR=FIVEDAY&amp;VAR:SYMBOL=98849810&amp;VAR:INDEX=0"}</definedName>
    <definedName name="_148__FDSAUDITLINK__" localSheetId="10" hidden="1">{"fdsup://directions/FAT Viewer?action=UPDATE&amp;creator=factset&amp;DYN_ARGS=TRUE&amp;DOC_NAME=FAT:FQL_AUDITING_CLIENT_TEMPLATE.FAT&amp;display_string=Audit&amp;VAR:KEY=HQTOZEFSXG&amp;VAR:QUERY=RkZfRU5UUlBSX1ZBTF9EQUlMWSg0MDM2OCwsLCwsJ0RJTCcp&amp;WINDOW=FIRST_POPUP&amp;HEIGHT=450&amp;WIDTH=","450&amp;START_MAXIMIZED=FALSE&amp;VAR:CALENDAR=FIVEDAY&amp;VAR:SYMBOL=85524410&amp;VAR:INDEX=0"}</definedName>
    <definedName name="_148__FDSAUDITLINK__" hidden="1">{"fdsup://directions/FAT Viewer?action=UPDATE&amp;creator=factset&amp;DYN_ARGS=TRUE&amp;DOC_NAME=FAT:FQL_AUDITING_CLIENT_TEMPLATE.FAT&amp;display_string=Audit&amp;VAR:KEY=HQTOZEFSXG&amp;VAR:QUERY=RkZfRU5UUlBSX1ZBTF9EQUlMWSg0MDM2OCwsLCwsJ0RJTCcp&amp;WINDOW=FIRST_POPUP&amp;HEIGHT=450&amp;WIDTH=","450&amp;START_MAXIMIZED=FALSE&amp;VAR:CALENDAR=FIVEDAY&amp;VAR:SYMBOL=85524410&amp;VAR:INDEX=0"}</definedName>
    <definedName name="_149__FDSAUDITLINK__" localSheetId="10" hidden="1">{"fdsup://directions/FAT Viewer?action=UPDATE&amp;creator=factset&amp;DYN_ARGS=TRUE&amp;DOC_NAME=FAT:FQL_AUDITING_CLIENT_TEMPLATE.FAT&amp;display_string=Audit&amp;VAR:KEY=PUPAJGNAHK&amp;VAR:QUERY=RkZfRU5UUlBSX1ZBTF9EQUlMWSg0MDM2OCwsLCwsJ0RJTCcp&amp;WINDOW=FIRST_POPUP&amp;HEIGHT=450&amp;WIDTH=","450&amp;START_MAXIMIZED=FALSE&amp;VAR:CALENDAR=FIVEDAY&amp;VAR:SYMBOL=58013510&amp;VAR:INDEX=0"}</definedName>
    <definedName name="_149__FDSAUDITLINK__" hidden="1">{"fdsup://directions/FAT Viewer?action=UPDATE&amp;creator=factset&amp;DYN_ARGS=TRUE&amp;DOC_NAME=FAT:FQL_AUDITING_CLIENT_TEMPLATE.FAT&amp;display_string=Audit&amp;VAR:KEY=PUPAJGNAHK&amp;VAR:QUERY=RkZfRU5UUlBSX1ZBTF9EQUlMWSg0MDM2OCwsLCwsJ0RJTCcp&amp;WINDOW=FIRST_POPUP&amp;HEIGHT=450&amp;WIDTH=","450&amp;START_MAXIMIZED=FALSE&amp;VAR:CALENDAR=FIVEDAY&amp;VAR:SYMBOL=58013510&amp;VAR:INDEX=0"}</definedName>
    <definedName name="_15__123Graph_ACHART_22" hidden="1">'[2]W Eur'!$B$19:$V$19</definedName>
    <definedName name="_15__FDSAUDITLINK__" localSheetId="10" hidden="1">{"fdsup://directions/FAT Viewer?action=UPDATE&amp;creator=factset&amp;DYN_ARGS=TRUE&amp;DOC_NAME=FAT:FQL_AUDITING_CLIENT_TEMPLATE.FAT&amp;display_string=Audit&amp;VAR:KEY=WBOZKRUNWH&amp;VAR:QUERY=RkZfRU5UUlBSX1ZBTF9EQUlMWSg0MDM2NiwsLCwsJ0RJTCcp&amp;WINDOW=FIRST_POPUP&amp;HEIGHT=450&amp;WIDTH=","450&amp;START_MAXIMIZED=FALSE&amp;VAR:CALENDAR=FIVEDAY&amp;VAR:SYMBOL=B07SFG&amp;VAR:INDEX=0"}</definedName>
    <definedName name="_15__FDSAUDITLINK__" hidden="1">{"fdsup://directions/FAT Viewer?action=UPDATE&amp;creator=factset&amp;DYN_ARGS=TRUE&amp;DOC_NAME=FAT:FQL_AUDITING_CLIENT_TEMPLATE.FAT&amp;display_string=Audit&amp;VAR:KEY=WBOZKRUNWH&amp;VAR:QUERY=RkZfRU5UUlBSX1ZBTF9EQUlMWSg0MDM2NiwsLCwsJ0RJTCcp&amp;WINDOW=FIRST_POPUP&amp;HEIGHT=450&amp;WIDTH=","450&amp;START_MAXIMIZED=FALSE&amp;VAR:CALENDAR=FIVEDAY&amp;VAR:SYMBOL=B07SFG&amp;VAR:INDEX=0"}</definedName>
    <definedName name="_150__FDSAUDITLINK__" localSheetId="10" hidden="1">{"fdsup://directions/FAT Viewer?action=UPDATE&amp;creator=factset&amp;DYN_ARGS=TRUE&amp;DOC_NAME=FAT:FQL_AUDITING_CLIENT_TEMPLATE.FAT&amp;display_string=Audit&amp;VAR:KEY=FEZYLQPYXS&amp;VAR:QUERY=RkZfRU5UUlBSX1ZBTF9EQUlMWSg0MDM2OCwsLCxVU0QsJ0RJTCcp&amp;WINDOW=FIRST_POPUP&amp;HEIGHT=450&amp;WI","DTH=450&amp;START_MAXIMIZED=FALSE&amp;VAR:CALENDAR=FIVEDAY&amp;VAR:SYMBOL=95058710&amp;VAR:INDEX=0"}</definedName>
    <definedName name="_150__FDSAUDITLINK__" hidden="1">{"fdsup://directions/FAT Viewer?action=UPDATE&amp;creator=factset&amp;DYN_ARGS=TRUE&amp;DOC_NAME=FAT:FQL_AUDITING_CLIENT_TEMPLATE.FAT&amp;display_string=Audit&amp;VAR:KEY=FEZYLQPYXS&amp;VAR:QUERY=RkZfRU5UUlBSX1ZBTF9EQUlMWSg0MDM2OCwsLCxVU0QsJ0RJTCcp&amp;WINDOW=FIRST_POPUP&amp;HEIGHT=450&amp;WI","DTH=450&amp;START_MAXIMIZED=FALSE&amp;VAR:CALENDAR=FIVEDAY&amp;VAR:SYMBOL=95058710&amp;VAR:INDEX=0"}</definedName>
    <definedName name="_151__FDSAUDITLINK__" localSheetId="10" hidden="1">{"fdsup://directions/FAT Viewer?action=UPDATE&amp;creator=factset&amp;DYN_ARGS=TRUE&amp;DOC_NAME=FAT:FQL_AUDITING_CLIENT_TEMPLATE.FAT&amp;display_string=Audit&amp;VAR:KEY=JQDYHWNYZW&amp;VAR:QUERY=RkZfRU5UUlBSX1ZBTF9EQUlMWSg0MDM2OCwsLCxVU0QsJ0RJTCcp&amp;WINDOW=FIRST_POPUP&amp;HEIGHT=450&amp;WI","DTH=450&amp;START_MAXIMIZED=FALSE&amp;VAR:CALENDAR=FIVEDAY&amp;VAR:SYMBOL=12120820&amp;VAR:INDEX=0"}</definedName>
    <definedName name="_151__FDSAUDITLINK__" hidden="1">{"fdsup://directions/FAT Viewer?action=UPDATE&amp;creator=factset&amp;DYN_ARGS=TRUE&amp;DOC_NAME=FAT:FQL_AUDITING_CLIENT_TEMPLATE.FAT&amp;display_string=Audit&amp;VAR:KEY=JQDYHWNYZW&amp;VAR:QUERY=RkZfRU5UUlBSX1ZBTF9EQUlMWSg0MDM2OCwsLCxVU0QsJ0RJTCcp&amp;WINDOW=FIRST_POPUP&amp;HEIGHT=450&amp;WI","DTH=450&amp;START_MAXIMIZED=FALSE&amp;VAR:CALENDAR=FIVEDAY&amp;VAR:SYMBOL=12120820&amp;VAR:INDEX=0"}</definedName>
    <definedName name="_152__FDSAUDITLINK__" localSheetId="10" hidden="1">{"fdsup://directions/FAT Viewer?action=UPDATE&amp;creator=factset&amp;DYN_ARGS=TRUE&amp;DOC_NAME=FAT:FQL_AUDITING_CLIENT_TEMPLATE.FAT&amp;display_string=Audit&amp;VAR:KEY=JIVMLCLEZG&amp;VAR:QUERY=RkZfRU5UUlBSX1ZBTF9EQUlMWSg0MDM2OCwsLCxVU0QsJ0RJTCcp&amp;WINDOW=FIRST_POPUP&amp;HEIGHT=450&amp;WI","DTH=450&amp;START_MAXIMIZED=FALSE&amp;VAR:CALENDAR=FIVEDAY&amp;VAR:SYMBOL=98849810&amp;VAR:INDEX=0"}</definedName>
    <definedName name="_152__FDSAUDITLINK__" hidden="1">{"fdsup://directions/FAT Viewer?action=UPDATE&amp;creator=factset&amp;DYN_ARGS=TRUE&amp;DOC_NAME=FAT:FQL_AUDITING_CLIENT_TEMPLATE.FAT&amp;display_string=Audit&amp;VAR:KEY=JIVMLCLEZG&amp;VAR:QUERY=RkZfRU5UUlBSX1ZBTF9EQUlMWSg0MDM2OCwsLCxVU0QsJ0RJTCcp&amp;WINDOW=FIRST_POPUP&amp;HEIGHT=450&amp;WI","DTH=450&amp;START_MAXIMIZED=FALSE&amp;VAR:CALENDAR=FIVEDAY&amp;VAR:SYMBOL=98849810&amp;VAR:INDEX=0"}</definedName>
    <definedName name="_153__FDSAUDITLINK__" localSheetId="10" hidden="1">{"fdsup://directions/FAT Viewer?action=UPDATE&amp;creator=factset&amp;DYN_ARGS=TRUE&amp;DOC_NAME=FAT:FQL_AUDITING_CLIENT_TEMPLATE.FAT&amp;display_string=Audit&amp;VAR:KEY=PGNKLOBGHG&amp;VAR:QUERY=RkZfRU5UUlBSX1ZBTF9EQUlMWSg0MDM2OCwsLCxVU0QsJ0RJTCcp&amp;WINDOW=FIRST_POPUP&amp;HEIGHT=450&amp;WI","DTH=450&amp;START_MAXIMIZED=FALSE&amp;VAR:CALENDAR=FIVEDAY&amp;VAR:SYMBOL=85524410&amp;VAR:INDEX=0"}</definedName>
    <definedName name="_153__FDSAUDITLINK__" hidden="1">{"fdsup://directions/FAT Viewer?action=UPDATE&amp;creator=factset&amp;DYN_ARGS=TRUE&amp;DOC_NAME=FAT:FQL_AUDITING_CLIENT_TEMPLATE.FAT&amp;display_string=Audit&amp;VAR:KEY=PGNKLOBGHG&amp;VAR:QUERY=RkZfRU5UUlBSX1ZBTF9EQUlMWSg0MDM2OCwsLCxVU0QsJ0RJTCcp&amp;WINDOW=FIRST_POPUP&amp;HEIGHT=450&amp;WI","DTH=450&amp;START_MAXIMIZED=FALSE&amp;VAR:CALENDAR=FIVEDAY&amp;VAR:SYMBOL=85524410&amp;VAR:INDEX=0"}</definedName>
    <definedName name="_154__FDSAUDITLINK__" localSheetId="10" hidden="1">{"fdsup://directions/FAT Viewer?action=UPDATE&amp;creator=factset&amp;DYN_ARGS=TRUE&amp;DOC_NAME=FAT:FQL_AUDITING_CLIENT_TEMPLATE.FAT&amp;display_string=Audit&amp;VAR:KEY=FOZAZKDOXS&amp;VAR:QUERY=RkZfRU5UUlBSX1ZBTF9EQUlMWSg0MDM2OCwsLCxVU0QsJ0RJTCcp&amp;WINDOW=FIRST_POPUP&amp;HEIGHT=450&amp;WI","DTH=450&amp;START_MAXIMIZED=FALSE&amp;VAR:CALENDAR=FIVEDAY&amp;VAR:SYMBOL=58013510&amp;VAR:INDEX=0"}</definedName>
    <definedName name="_154__FDSAUDITLINK__" hidden="1">{"fdsup://directions/FAT Viewer?action=UPDATE&amp;creator=factset&amp;DYN_ARGS=TRUE&amp;DOC_NAME=FAT:FQL_AUDITING_CLIENT_TEMPLATE.FAT&amp;display_string=Audit&amp;VAR:KEY=FOZAZKDOXS&amp;VAR:QUERY=RkZfRU5UUlBSX1ZBTF9EQUlMWSg0MDM2OCwsLCxVU0QsJ0RJTCcp&amp;WINDOW=FIRST_POPUP&amp;HEIGHT=450&amp;WI","DTH=450&amp;START_MAXIMIZED=FALSE&amp;VAR:CALENDAR=FIVEDAY&amp;VAR:SYMBOL=58013510&amp;VAR:INDEX=0"}</definedName>
    <definedName name="_155__FDSAUDITLINK__" localSheetId="10" hidden="1">{"fdsup://directions/FAT Viewer?action=UPDATE&amp;creator=factset&amp;DYN_ARGS=TRUE&amp;DOC_NAME=FAT:FQL_AUDITING_CLIENT_TEMPLATE.FAT&amp;display_string=Audit&amp;VAR:KEY=BYHEDOFMLC&amp;VAR:QUERY=RkZfRU5UUlBSX1ZBTF9EQUlMWSg0MDM2OCwsLCwsJ0RJTCcp&amp;WINDOW=FIRST_POPUP&amp;HEIGHT=450&amp;WIDTH=","450&amp;START_MAXIMIZED=FALSE&amp;VAR:CALENDAR=FIVEDAY&amp;VAR:SYMBOL=600298&amp;VAR:INDEX=0"}</definedName>
    <definedName name="_155__FDSAUDITLINK__" hidden="1">{"fdsup://directions/FAT Viewer?action=UPDATE&amp;creator=factset&amp;DYN_ARGS=TRUE&amp;DOC_NAME=FAT:FQL_AUDITING_CLIENT_TEMPLATE.FAT&amp;display_string=Audit&amp;VAR:KEY=BYHEDOFMLC&amp;VAR:QUERY=RkZfRU5UUlBSX1ZBTF9EQUlMWSg0MDM2OCwsLCwsJ0RJTCcp&amp;WINDOW=FIRST_POPUP&amp;HEIGHT=450&amp;WIDTH=","450&amp;START_MAXIMIZED=FALSE&amp;VAR:CALENDAR=FIVEDAY&amp;VAR:SYMBOL=600298&amp;VAR:INDEX=0"}</definedName>
    <definedName name="_156__FDSAUDITLINK__" localSheetId="10" hidden="1">{"fdsup://directions/FAT Viewer?action=UPDATE&amp;creator=factset&amp;DYN_ARGS=TRUE&amp;DOC_NAME=FAT:FQL_AUDITING_CLIENT_TEMPLATE.FAT&amp;display_string=Audit&amp;VAR:KEY=PEHIHUDYRK&amp;VAR:QUERY=RkZfRU5UUlBSX1ZBTF9EQUlMWSg0MDM2OCwsLCwsJ0RJTCcp&amp;WINDOW=FIRST_POPUP&amp;HEIGHT=450&amp;WIDTH=","450&amp;START_MAXIMIZED=FALSE&amp;VAR:CALENDAR=FIVEDAY&amp;VAR:SYMBOL=B15SCH&amp;VAR:INDEX=0"}</definedName>
    <definedName name="_156__FDSAUDITLINK__" hidden="1">{"fdsup://directions/FAT Viewer?action=UPDATE&amp;creator=factset&amp;DYN_ARGS=TRUE&amp;DOC_NAME=FAT:FQL_AUDITING_CLIENT_TEMPLATE.FAT&amp;display_string=Audit&amp;VAR:KEY=PEHIHUDYRK&amp;VAR:QUERY=RkZfRU5UUlBSX1ZBTF9EQUlMWSg0MDM2OCwsLCwsJ0RJTCcp&amp;WINDOW=FIRST_POPUP&amp;HEIGHT=450&amp;WIDTH=","450&amp;START_MAXIMIZED=FALSE&amp;VAR:CALENDAR=FIVEDAY&amp;VAR:SYMBOL=B15SCH&amp;VAR:INDEX=0"}</definedName>
    <definedName name="_157__FDSAUDITLINK__" localSheetId="10" hidden="1">{"fdsup://directions/FAT Viewer?action=UPDATE&amp;creator=factset&amp;DYN_ARGS=TRUE&amp;DOC_NAME=FAT:FQL_AUDITING_CLIENT_TEMPLATE.FAT&amp;display_string=Audit&amp;VAR:KEY=LCVKDQTUHE&amp;VAR:QUERY=RkZfRU5UUlBSX1ZBTF9EQUlMWSg0MDM2OCwsLCwsJ0RJTCcp&amp;WINDOW=FIRST_POPUP&amp;HEIGHT=450&amp;WIDTH=","450&amp;START_MAXIMIZED=FALSE&amp;VAR:CALENDAR=FIVEDAY&amp;VAR:SYMBOL=B07SFG&amp;VAR:INDEX=0"}</definedName>
    <definedName name="_157__FDSAUDITLINK__" hidden="1">{"fdsup://directions/FAT Viewer?action=UPDATE&amp;creator=factset&amp;DYN_ARGS=TRUE&amp;DOC_NAME=FAT:FQL_AUDITING_CLIENT_TEMPLATE.FAT&amp;display_string=Audit&amp;VAR:KEY=LCVKDQTUHE&amp;VAR:QUERY=RkZfRU5UUlBSX1ZBTF9EQUlMWSg0MDM2OCwsLCwsJ0RJTCcp&amp;WINDOW=FIRST_POPUP&amp;HEIGHT=450&amp;WIDTH=","450&amp;START_MAXIMIZED=FALSE&amp;VAR:CALENDAR=FIVEDAY&amp;VAR:SYMBOL=B07SFG&amp;VAR:INDEX=0"}</definedName>
    <definedName name="_158__FDSAUDITLINK__" localSheetId="10" hidden="1">{"fdsup://directions/FAT Viewer?action=UPDATE&amp;creator=factset&amp;DYN_ARGS=TRUE&amp;DOC_NAME=FAT:FQL_AUDITING_CLIENT_TEMPLATE.FAT&amp;display_string=Audit&amp;VAR:KEY=PSLWJWJIPC&amp;VAR:QUERY=RkZfRU5UUlBSX1ZBTF9EQUlMWSg0MDM2OCwsLCwsJ0RJTCcp&amp;WINDOW=FIRST_POPUP&amp;HEIGHT=450&amp;WIDTH=","450&amp;START_MAXIMIZED=FALSE&amp;VAR:CALENDAR=FIVEDAY&amp;VAR:SYMBOL=692847&amp;VAR:INDEX=0"}</definedName>
    <definedName name="_158__FDSAUDITLINK__" hidden="1">{"fdsup://directions/FAT Viewer?action=UPDATE&amp;creator=factset&amp;DYN_ARGS=TRUE&amp;DOC_NAME=FAT:FQL_AUDITING_CLIENT_TEMPLATE.FAT&amp;display_string=Audit&amp;VAR:KEY=PSLWJWJIPC&amp;VAR:QUERY=RkZfRU5UUlBSX1ZBTF9EQUlMWSg0MDM2OCwsLCwsJ0RJTCcp&amp;WINDOW=FIRST_POPUP&amp;HEIGHT=450&amp;WIDTH=","450&amp;START_MAXIMIZED=FALSE&amp;VAR:CALENDAR=FIVEDAY&amp;VAR:SYMBOL=692847&amp;VAR:INDEX=0"}</definedName>
    <definedName name="_159__FDSAUDITLINK__" localSheetId="10" hidden="1">{"fdsup://directions/FAT Viewer?action=UPDATE&amp;creator=factset&amp;DYN_ARGS=TRUE&amp;DOC_NAME=FAT:FQL_AUDITING_CLIENT_TEMPLATE.FAT&amp;display_string=Audit&amp;VAR:KEY=JEFYHKJYLC&amp;VAR:QUERY=RkZfRU5UUlBSX1ZBTF9EQUlMWSg0MDM2OCwsLCwsJ0RJTCcp&amp;WINDOW=FIRST_POPUP&amp;HEIGHT=450&amp;WIDTH=","450&amp;START_MAXIMIZED=FALSE&amp;VAR:CALENDAR=FIVEDAY&amp;VAR:SYMBOL=640409&amp;VAR:INDEX=0"}</definedName>
    <definedName name="_159__FDSAUDITLINK__" hidden="1">{"fdsup://directions/FAT Viewer?action=UPDATE&amp;creator=factset&amp;DYN_ARGS=TRUE&amp;DOC_NAME=FAT:FQL_AUDITING_CLIENT_TEMPLATE.FAT&amp;display_string=Audit&amp;VAR:KEY=JEFYHKJYLC&amp;VAR:QUERY=RkZfRU5UUlBSX1ZBTF9EQUlMWSg0MDM2OCwsLCwsJ0RJTCcp&amp;WINDOW=FIRST_POPUP&amp;HEIGHT=450&amp;WIDTH=","450&amp;START_MAXIMIZED=FALSE&amp;VAR:CALENDAR=FIVEDAY&amp;VAR:SYMBOL=640409&amp;VAR:INDEX=0"}</definedName>
    <definedName name="_16__123Graph_ACHART_23" hidden="1">'[2]W Eur'!$B$14:$V$14</definedName>
    <definedName name="_16__FDSAUDITLINK__" localSheetId="10" hidden="1">{"fdsup://directions/FAT Viewer?action=UPDATE&amp;creator=factset&amp;DYN_ARGS=TRUE&amp;DOC_NAME=FAT:FQL_AUDITING_CLIENT_TEMPLATE.FAT&amp;display_string=Audit&amp;VAR:KEY=CNQPUPARQX&amp;VAR:QUERY=RkZfRU5UUlBSX1ZBTF9EQUlMWSg0MDM2NiwsLCxVU0QsJ0RJTCcp&amp;WINDOW=FIRST_POPUP&amp;HEIGHT=450&amp;WI","DTH=450&amp;START_MAXIMIZED=FALSE&amp;VAR:CALENDAR=FIVEDAY&amp;VAR:SYMBOL=B07SFG&amp;VAR:INDEX=0"}</definedName>
    <definedName name="_16__FDSAUDITLINK__" hidden="1">{"fdsup://directions/FAT Viewer?action=UPDATE&amp;creator=factset&amp;DYN_ARGS=TRUE&amp;DOC_NAME=FAT:FQL_AUDITING_CLIENT_TEMPLATE.FAT&amp;display_string=Audit&amp;VAR:KEY=CNQPUPARQX&amp;VAR:QUERY=RkZfRU5UUlBSX1ZBTF9EQUlMWSg0MDM2NiwsLCxVU0QsJ0RJTCcp&amp;WINDOW=FIRST_POPUP&amp;HEIGHT=450&amp;WI","DTH=450&amp;START_MAXIMIZED=FALSE&amp;VAR:CALENDAR=FIVEDAY&amp;VAR:SYMBOL=B07SFG&amp;VAR:INDEX=0"}</definedName>
    <definedName name="_160__FDSAUDITLINK__" localSheetId="10" hidden="1">{"fdsup://directions/FAT Viewer?action=UPDATE&amp;creator=factset&amp;DYN_ARGS=TRUE&amp;DOC_NAME=FAT:FQL_AUDITING_CLIENT_TEMPLATE.FAT&amp;display_string=Audit&amp;VAR:KEY=FGVOTMBQRE&amp;VAR:QUERY=RkZfRU5UUlBSX1ZBTF9EQUlMWSg0MDM2OCwsLCwsJ0RJTCcp&amp;WINDOW=FIRST_POPUP&amp;HEIGHT=450&amp;WIDTH=","450&amp;START_MAXIMIZED=FALSE&amp;VAR:CALENDAR=FIVEDAY&amp;VAR:SYMBOL=611177&amp;VAR:INDEX=0"}</definedName>
    <definedName name="_160__FDSAUDITLINK__" hidden="1">{"fdsup://directions/FAT Viewer?action=UPDATE&amp;creator=factset&amp;DYN_ARGS=TRUE&amp;DOC_NAME=FAT:FQL_AUDITING_CLIENT_TEMPLATE.FAT&amp;display_string=Audit&amp;VAR:KEY=FGVOTMBQRE&amp;VAR:QUERY=RkZfRU5UUlBSX1ZBTF9EQUlMWSg0MDM2OCwsLCwsJ0RJTCcp&amp;WINDOW=FIRST_POPUP&amp;HEIGHT=450&amp;WIDTH=","450&amp;START_MAXIMIZED=FALSE&amp;VAR:CALENDAR=FIVEDAY&amp;VAR:SYMBOL=611177&amp;VAR:INDEX=0"}</definedName>
    <definedName name="_161__FDSAUDITLINK__" localSheetId="10" hidden="1">{"fdsup://directions/FAT Viewer?action=UPDATE&amp;creator=factset&amp;DYN_ARGS=TRUE&amp;DOC_NAME=FAT:FQL_AUDITING_CLIENT_TEMPLATE.FAT&amp;display_string=Audit&amp;VAR:KEY=TWBGPOLALM&amp;VAR:QUERY=RkZfRU5UUlBSX1ZBTF9EQUlMWSg0MDM2OCwsLCwsJ0RJTCcp&amp;WINDOW=FIRST_POPUP&amp;HEIGHT=450&amp;WIDTH=","450&amp;START_MAXIMIZED=FALSE&amp;VAR:CALENDAR=FIVEDAY&amp;VAR:SYMBOL=604260&amp;VAR:INDEX=0"}</definedName>
    <definedName name="_161__FDSAUDITLINK__" hidden="1">{"fdsup://directions/FAT Viewer?action=UPDATE&amp;creator=factset&amp;DYN_ARGS=TRUE&amp;DOC_NAME=FAT:FQL_AUDITING_CLIENT_TEMPLATE.FAT&amp;display_string=Audit&amp;VAR:KEY=TWBGPOLALM&amp;VAR:QUERY=RkZfRU5UUlBSX1ZBTF9EQUlMWSg0MDM2OCwsLCwsJ0RJTCcp&amp;WINDOW=FIRST_POPUP&amp;HEIGHT=450&amp;WIDTH=","450&amp;START_MAXIMIZED=FALSE&amp;VAR:CALENDAR=FIVEDAY&amp;VAR:SYMBOL=604260&amp;VAR:INDEX=0"}</definedName>
    <definedName name="_162__FDSAUDITLINK__" localSheetId="10" hidden="1">{"fdsup://directions/FAT Viewer?action=UPDATE&amp;creator=factset&amp;DYN_ARGS=TRUE&amp;DOC_NAME=FAT:FQL_AUDITING_CLIENT_TEMPLATE.FAT&amp;display_string=Audit&amp;VAR:KEY=DMHYFMHEPY&amp;VAR:QUERY=RkZfRU5UUlBSX1ZBTF9EQUlMWSg0MDM2OCwsLCxVU0QsJ0RJTCcp&amp;WINDOW=FIRST_POPUP&amp;HEIGHT=450&amp;WI","DTH=450&amp;START_MAXIMIZED=FALSE&amp;VAR:CALENDAR=FIVEDAY&amp;VAR:SYMBOL=600298&amp;VAR:INDEX=0"}</definedName>
    <definedName name="_162__FDSAUDITLINK__" hidden="1">{"fdsup://directions/FAT Viewer?action=UPDATE&amp;creator=factset&amp;DYN_ARGS=TRUE&amp;DOC_NAME=FAT:FQL_AUDITING_CLIENT_TEMPLATE.FAT&amp;display_string=Audit&amp;VAR:KEY=DMHYFMHEPY&amp;VAR:QUERY=RkZfRU5UUlBSX1ZBTF9EQUlMWSg0MDM2OCwsLCxVU0QsJ0RJTCcp&amp;WINDOW=FIRST_POPUP&amp;HEIGHT=450&amp;WI","DTH=450&amp;START_MAXIMIZED=FALSE&amp;VAR:CALENDAR=FIVEDAY&amp;VAR:SYMBOL=600298&amp;VAR:INDEX=0"}</definedName>
    <definedName name="_163__FDSAUDITLINK__" localSheetId="10" hidden="1">{"fdsup://directions/FAT Viewer?action=UPDATE&amp;creator=factset&amp;DYN_ARGS=TRUE&amp;DOC_NAME=FAT:FQL_AUDITING_CLIENT_TEMPLATE.FAT&amp;display_string=Audit&amp;VAR:KEY=BEHQVKLUBW&amp;VAR:QUERY=RkZfRU5UUlBSX1ZBTF9EQUlMWSg0MDM2OCwsLCxVU0QsJ0RJTCcp&amp;WINDOW=FIRST_POPUP&amp;HEIGHT=450&amp;WI","DTH=450&amp;START_MAXIMIZED=FALSE&amp;VAR:CALENDAR=FIVEDAY&amp;VAR:SYMBOL=B15SCH&amp;VAR:INDEX=0"}</definedName>
    <definedName name="_163__FDSAUDITLINK__" hidden="1">{"fdsup://directions/FAT Viewer?action=UPDATE&amp;creator=factset&amp;DYN_ARGS=TRUE&amp;DOC_NAME=FAT:FQL_AUDITING_CLIENT_TEMPLATE.FAT&amp;display_string=Audit&amp;VAR:KEY=BEHQVKLUBW&amp;VAR:QUERY=RkZfRU5UUlBSX1ZBTF9EQUlMWSg0MDM2OCwsLCxVU0QsJ0RJTCcp&amp;WINDOW=FIRST_POPUP&amp;HEIGHT=450&amp;WI","DTH=450&amp;START_MAXIMIZED=FALSE&amp;VAR:CALENDAR=FIVEDAY&amp;VAR:SYMBOL=B15SCH&amp;VAR:INDEX=0"}</definedName>
    <definedName name="_164__FDSAUDITLINK__" localSheetId="10" hidden="1">{"fdsup://directions/FAT Viewer?action=UPDATE&amp;creator=factset&amp;DYN_ARGS=TRUE&amp;DOC_NAME=FAT:FQL_AUDITING_CLIENT_TEMPLATE.FAT&amp;display_string=Audit&amp;VAR:KEY=XUZOPWRIJY&amp;VAR:QUERY=RkZfRU5UUlBSX1ZBTF9EQUlMWSg0MDM2OCwsLCxVU0QsJ0RJTCcp&amp;WINDOW=FIRST_POPUP&amp;HEIGHT=450&amp;WI","DTH=450&amp;START_MAXIMIZED=FALSE&amp;VAR:CALENDAR=FIVEDAY&amp;VAR:SYMBOL=B07SFG&amp;VAR:INDEX=0"}</definedName>
    <definedName name="_164__FDSAUDITLINK__" hidden="1">{"fdsup://directions/FAT Viewer?action=UPDATE&amp;creator=factset&amp;DYN_ARGS=TRUE&amp;DOC_NAME=FAT:FQL_AUDITING_CLIENT_TEMPLATE.FAT&amp;display_string=Audit&amp;VAR:KEY=XUZOPWRIJY&amp;VAR:QUERY=RkZfRU5UUlBSX1ZBTF9EQUlMWSg0MDM2OCwsLCxVU0QsJ0RJTCcp&amp;WINDOW=FIRST_POPUP&amp;HEIGHT=450&amp;WI","DTH=450&amp;START_MAXIMIZED=FALSE&amp;VAR:CALENDAR=FIVEDAY&amp;VAR:SYMBOL=B07SFG&amp;VAR:INDEX=0"}</definedName>
    <definedName name="_165__FDSAUDITLINK__" localSheetId="10" hidden="1">{"fdsup://directions/FAT Viewer?action=UPDATE&amp;creator=factset&amp;DYN_ARGS=TRUE&amp;DOC_NAME=FAT:FQL_AUDITING_CLIENT_TEMPLATE.FAT&amp;display_string=Audit&amp;VAR:KEY=LALQRGTAJO&amp;VAR:QUERY=RkZfRU5UUlBSX1ZBTF9EQUlMWSg0MDM2OCwsLCxVU0QsJ0RJTCcp&amp;WINDOW=FIRST_POPUP&amp;HEIGHT=450&amp;WI","DTH=450&amp;START_MAXIMIZED=FALSE&amp;VAR:CALENDAR=FIVEDAY&amp;VAR:SYMBOL=692847&amp;VAR:INDEX=0"}</definedName>
    <definedName name="_165__FDSAUDITLINK__" hidden="1">{"fdsup://directions/FAT Viewer?action=UPDATE&amp;creator=factset&amp;DYN_ARGS=TRUE&amp;DOC_NAME=FAT:FQL_AUDITING_CLIENT_TEMPLATE.FAT&amp;display_string=Audit&amp;VAR:KEY=LALQRGTAJO&amp;VAR:QUERY=RkZfRU5UUlBSX1ZBTF9EQUlMWSg0MDM2OCwsLCxVU0QsJ0RJTCcp&amp;WINDOW=FIRST_POPUP&amp;HEIGHT=450&amp;WI","DTH=450&amp;START_MAXIMIZED=FALSE&amp;VAR:CALENDAR=FIVEDAY&amp;VAR:SYMBOL=692847&amp;VAR:INDEX=0"}</definedName>
    <definedName name="_166__FDSAUDITLINK__" localSheetId="10" hidden="1">{"fdsup://directions/FAT Viewer?action=UPDATE&amp;creator=factset&amp;DYN_ARGS=TRUE&amp;DOC_NAME=FAT:FQL_AUDITING_CLIENT_TEMPLATE.FAT&amp;display_string=Audit&amp;VAR:KEY=ZQDUDQTIXS&amp;VAR:QUERY=RkZfRU5UUlBSX1ZBTF9EQUlMWSg0MDM2OCwsLCxVU0QsJ0RJTCcp&amp;WINDOW=FIRST_POPUP&amp;HEIGHT=450&amp;WI","DTH=450&amp;START_MAXIMIZED=FALSE&amp;VAR:CALENDAR=FIVEDAY&amp;VAR:SYMBOL=640409&amp;VAR:INDEX=0"}</definedName>
    <definedName name="_166__FDSAUDITLINK__" hidden="1">{"fdsup://directions/FAT Viewer?action=UPDATE&amp;creator=factset&amp;DYN_ARGS=TRUE&amp;DOC_NAME=FAT:FQL_AUDITING_CLIENT_TEMPLATE.FAT&amp;display_string=Audit&amp;VAR:KEY=ZQDUDQTIXS&amp;VAR:QUERY=RkZfRU5UUlBSX1ZBTF9EQUlMWSg0MDM2OCwsLCxVU0QsJ0RJTCcp&amp;WINDOW=FIRST_POPUP&amp;HEIGHT=450&amp;WI","DTH=450&amp;START_MAXIMIZED=FALSE&amp;VAR:CALENDAR=FIVEDAY&amp;VAR:SYMBOL=640409&amp;VAR:INDEX=0"}</definedName>
    <definedName name="_167__FDSAUDITLINK__" localSheetId="10" hidden="1">{"fdsup://directions/FAT Viewer?action=UPDATE&amp;creator=factset&amp;DYN_ARGS=TRUE&amp;DOC_NAME=FAT:FQL_AUDITING_CLIENT_TEMPLATE.FAT&amp;display_string=Audit&amp;VAR:KEY=NANEBYRIRQ&amp;VAR:QUERY=RkZfRU5UUlBSX1ZBTF9EQUlMWSg0MDM2OCwsLCxVU0QsJ0RJTCcp&amp;WINDOW=FIRST_POPUP&amp;HEIGHT=450&amp;WI","DTH=450&amp;START_MAXIMIZED=FALSE&amp;VAR:CALENDAR=FIVEDAY&amp;VAR:SYMBOL=611177&amp;VAR:INDEX=0"}</definedName>
    <definedName name="_167__FDSAUDITLINK__" hidden="1">{"fdsup://directions/FAT Viewer?action=UPDATE&amp;creator=factset&amp;DYN_ARGS=TRUE&amp;DOC_NAME=FAT:FQL_AUDITING_CLIENT_TEMPLATE.FAT&amp;display_string=Audit&amp;VAR:KEY=NANEBYRIRQ&amp;VAR:QUERY=RkZfRU5UUlBSX1ZBTF9EQUlMWSg0MDM2OCwsLCxVU0QsJ0RJTCcp&amp;WINDOW=FIRST_POPUP&amp;HEIGHT=450&amp;WI","DTH=450&amp;START_MAXIMIZED=FALSE&amp;VAR:CALENDAR=FIVEDAY&amp;VAR:SYMBOL=611177&amp;VAR:INDEX=0"}</definedName>
    <definedName name="_168__FDSAUDITLINK__" localSheetId="10" hidden="1">{"fdsup://directions/FAT Viewer?action=UPDATE&amp;creator=factset&amp;DYN_ARGS=TRUE&amp;DOC_NAME=FAT:FQL_AUDITING_CLIENT_TEMPLATE.FAT&amp;display_string=Audit&amp;VAR:KEY=ZAPKDYXYRG&amp;VAR:QUERY=RkZfRU5UUlBSX1ZBTF9EQUlMWSg0MDM2OCwsLCxVU0QsJ0RJTCcp&amp;WINDOW=FIRST_POPUP&amp;HEIGHT=450&amp;WI","DTH=450&amp;START_MAXIMIZED=FALSE&amp;VAR:CALENDAR=FIVEDAY&amp;VAR:SYMBOL=604260&amp;VAR:INDEX=0"}</definedName>
    <definedName name="_168__FDSAUDITLINK__" hidden="1">{"fdsup://directions/FAT Viewer?action=UPDATE&amp;creator=factset&amp;DYN_ARGS=TRUE&amp;DOC_NAME=FAT:FQL_AUDITING_CLIENT_TEMPLATE.FAT&amp;display_string=Audit&amp;VAR:KEY=ZAPKDYXYRG&amp;VAR:QUERY=RkZfRU5UUlBSX1ZBTF9EQUlMWSg0MDM2OCwsLCxVU0QsJ0RJTCcp&amp;WINDOW=FIRST_POPUP&amp;HEIGHT=450&amp;WI","DTH=450&amp;START_MAXIMIZED=FALSE&amp;VAR:CALENDAR=FIVEDAY&amp;VAR:SYMBOL=604260&amp;VAR:INDEX=0"}</definedName>
    <definedName name="_169__FDSAUDITLINK__" localSheetId="10" hidden="1">{"fdsup://directions/FAT Viewer?action=UPDATE&amp;creator=factset&amp;DYN_ARGS=TRUE&amp;DOC_NAME=FAT:FQL_AUDITING_CLIENT_TEMPLATE.FAT&amp;display_string=Audit&amp;VAR:KEY=FQVQJGLSDG&amp;VAR:QUERY=RkZfRU5UUlBSX1ZBTF9EQUlMWSg0MDM2OCwsLCwsJ0RJTCcp&amp;WINDOW=FIRST_POPUP&amp;HEIGHT=450&amp;WIDTH=","450&amp;START_MAXIMIZED=FALSE&amp;VAR:CALENDAR=FIVEDAY&amp;VAR:SYMBOL=654304&amp;VAR:INDEX=0"}</definedName>
    <definedName name="_169__FDSAUDITLINK__" hidden="1">{"fdsup://directions/FAT Viewer?action=UPDATE&amp;creator=factset&amp;DYN_ARGS=TRUE&amp;DOC_NAME=FAT:FQL_AUDITING_CLIENT_TEMPLATE.FAT&amp;display_string=Audit&amp;VAR:KEY=FQVQJGLSDG&amp;VAR:QUERY=RkZfRU5UUlBSX1ZBTF9EQUlMWSg0MDM2OCwsLCwsJ0RJTCcp&amp;WINDOW=FIRST_POPUP&amp;HEIGHT=450&amp;WIDTH=","450&amp;START_MAXIMIZED=FALSE&amp;VAR:CALENDAR=FIVEDAY&amp;VAR:SYMBOL=654304&amp;VAR:INDEX=0"}</definedName>
    <definedName name="_17__123Graph_ACHART_24" hidden="1">'[2]W Eur'!$B$28:$V$28</definedName>
    <definedName name="_17__FDSAUDITLINK__" localSheetId="10" hidden="1">{"fdsup://directions/FAT Viewer?action=UPDATE&amp;creator=factset&amp;DYN_ARGS=TRUE&amp;DOC_NAME=FAT:FQL_AUDITING_CLIENT_TEMPLATE.FAT&amp;display_string=Audit&amp;VAR:KEY=IRUNOBIVMN&amp;VAR:QUERY=RkZfRU5UUlBSX1ZBTF9EQUlMWSg0MDM2NiwsLCwsJ0RJTCcp&amp;WINDOW=FIRST_POPUP&amp;HEIGHT=450&amp;WIDTH=","450&amp;START_MAXIMIZED=FALSE&amp;VAR:CALENDAR=FIVEDAY&amp;VAR:SYMBOL=692847&amp;VAR:INDEX=0"}</definedName>
    <definedName name="_17__FDSAUDITLINK__" hidden="1">{"fdsup://directions/FAT Viewer?action=UPDATE&amp;creator=factset&amp;DYN_ARGS=TRUE&amp;DOC_NAME=FAT:FQL_AUDITING_CLIENT_TEMPLATE.FAT&amp;display_string=Audit&amp;VAR:KEY=IRUNOBIVMN&amp;VAR:QUERY=RkZfRU5UUlBSX1ZBTF9EQUlMWSg0MDM2NiwsLCwsJ0RJTCcp&amp;WINDOW=FIRST_POPUP&amp;HEIGHT=450&amp;WIDTH=","450&amp;START_MAXIMIZED=FALSE&amp;VAR:CALENDAR=FIVEDAY&amp;VAR:SYMBOL=692847&amp;VAR:INDEX=0"}</definedName>
    <definedName name="_170__FDSAUDITLINK__" localSheetId="10" hidden="1">{"fdsup://directions/FAT Viewer?action=UPDATE&amp;creator=factset&amp;DYN_ARGS=TRUE&amp;DOC_NAME=FAT:FQL_AUDITING_CLIENT_TEMPLATE.FAT&amp;display_string=Audit&amp;VAR:KEY=HCXQLWRUTA&amp;VAR:QUERY=RkZfRU5UUlBSX1ZBTF9EQUlMWSg0MDM2OCwsLCwsJ0RJTCcp&amp;WINDOW=FIRST_POPUP&amp;HEIGHT=450&amp;WIDTH=","450&amp;START_MAXIMIZED=FALSE&amp;VAR:CALENDAR=FIVEDAY&amp;VAR:SYMBOL=B04W2V&amp;VAR:INDEX=0"}</definedName>
    <definedName name="_170__FDSAUDITLINK__" hidden="1">{"fdsup://directions/FAT Viewer?action=UPDATE&amp;creator=factset&amp;DYN_ARGS=TRUE&amp;DOC_NAME=FAT:FQL_AUDITING_CLIENT_TEMPLATE.FAT&amp;display_string=Audit&amp;VAR:KEY=HCXQLWRUTA&amp;VAR:QUERY=RkZfRU5UUlBSX1ZBTF9EQUlMWSg0MDM2OCwsLCwsJ0RJTCcp&amp;WINDOW=FIRST_POPUP&amp;HEIGHT=450&amp;WIDTH=","450&amp;START_MAXIMIZED=FALSE&amp;VAR:CALENDAR=FIVEDAY&amp;VAR:SYMBOL=B04W2V&amp;VAR:INDEX=0"}</definedName>
    <definedName name="_171__FDSAUDITLINK__" localSheetId="10" hidden="1">{"fdsup://directions/FAT Viewer?action=UPDATE&amp;creator=factset&amp;DYN_ARGS=TRUE&amp;DOC_NAME=FAT:FQL_AUDITING_CLIENT_TEMPLATE.FAT&amp;display_string=Audit&amp;VAR:KEY=ZSRKZWNMHK&amp;VAR:QUERY=RkZfRU5UUlBSX1ZBTF9EQUlMWSg0MDM2OCwsLCwsJ0RJTCcp&amp;WINDOW=FIRST_POPUP&amp;HEIGHT=450&amp;WIDTH=","450&amp;START_MAXIMIZED=FALSE&amp;VAR:CALENDAR=FIVEDAY&amp;VAR:SYMBOL=B1TNRD&amp;VAR:INDEX=0"}</definedName>
    <definedName name="_171__FDSAUDITLINK__" hidden="1">{"fdsup://directions/FAT Viewer?action=UPDATE&amp;creator=factset&amp;DYN_ARGS=TRUE&amp;DOC_NAME=FAT:FQL_AUDITING_CLIENT_TEMPLATE.FAT&amp;display_string=Audit&amp;VAR:KEY=ZSRKZWNMHK&amp;VAR:QUERY=RkZfRU5UUlBSX1ZBTF9EQUlMWSg0MDM2OCwsLCwsJ0RJTCcp&amp;WINDOW=FIRST_POPUP&amp;HEIGHT=450&amp;WIDTH=","450&amp;START_MAXIMIZED=FALSE&amp;VAR:CALENDAR=FIVEDAY&amp;VAR:SYMBOL=B1TNRD&amp;VAR:INDEX=0"}</definedName>
    <definedName name="_172__FDSAUDITLINK__" localSheetId="10" hidden="1">{"fdsup://directions/FAT Viewer?action=UPDATE&amp;creator=factset&amp;DYN_ARGS=TRUE&amp;DOC_NAME=FAT:FQL_AUDITING_CLIENT_TEMPLATE.FAT&amp;display_string=Audit&amp;VAR:KEY=DEVGLENORA&amp;VAR:QUERY=RkZfRU5UUlBSX1ZBTF9EQUlMWSg0MDM2OCwsLCwsJ0RJTCcp&amp;WINDOW=FIRST_POPUP&amp;HEIGHT=450&amp;WIDTH=","450&amp;START_MAXIMIZED=FALSE&amp;VAR:CALENDAR=FIVEDAY&amp;VAR:SYMBOL=616095&amp;VAR:INDEX=0"}</definedName>
    <definedName name="_172__FDSAUDITLINK__" hidden="1">{"fdsup://directions/FAT Viewer?action=UPDATE&amp;creator=factset&amp;DYN_ARGS=TRUE&amp;DOC_NAME=FAT:FQL_AUDITING_CLIENT_TEMPLATE.FAT&amp;display_string=Audit&amp;VAR:KEY=DEVGLENORA&amp;VAR:QUERY=RkZfRU5UUlBSX1ZBTF9EQUlMWSg0MDM2OCwsLCwsJ0RJTCcp&amp;WINDOW=FIRST_POPUP&amp;HEIGHT=450&amp;WIDTH=","450&amp;START_MAXIMIZED=FALSE&amp;VAR:CALENDAR=FIVEDAY&amp;VAR:SYMBOL=616095&amp;VAR:INDEX=0"}</definedName>
    <definedName name="_173__FDSAUDITLINK__" localSheetId="10" hidden="1">{"fdsup://directions/FAT Viewer?action=UPDATE&amp;creator=factset&amp;DYN_ARGS=TRUE&amp;DOC_NAME=FAT:FQL_AUDITING_CLIENT_TEMPLATE.FAT&amp;display_string=Audit&amp;VAR:KEY=ROVSBSNIVC&amp;VAR:QUERY=RkZfRU5UUlBSX1ZBTF9EQUlMWSg0MDM2OCwsLCxVU0QsJ0RJTCcp&amp;WINDOW=FIRST_POPUP&amp;HEIGHT=450&amp;WI","DTH=450&amp;START_MAXIMIZED=FALSE&amp;VAR:CALENDAR=FIVEDAY&amp;VAR:SYMBOL=654304&amp;VAR:INDEX=0"}</definedName>
    <definedName name="_173__FDSAUDITLINK__" hidden="1">{"fdsup://directions/FAT Viewer?action=UPDATE&amp;creator=factset&amp;DYN_ARGS=TRUE&amp;DOC_NAME=FAT:FQL_AUDITING_CLIENT_TEMPLATE.FAT&amp;display_string=Audit&amp;VAR:KEY=ROVSBSNIVC&amp;VAR:QUERY=RkZfRU5UUlBSX1ZBTF9EQUlMWSg0MDM2OCwsLCxVU0QsJ0RJTCcp&amp;WINDOW=FIRST_POPUP&amp;HEIGHT=450&amp;WI","DTH=450&amp;START_MAXIMIZED=FALSE&amp;VAR:CALENDAR=FIVEDAY&amp;VAR:SYMBOL=654304&amp;VAR:INDEX=0"}</definedName>
    <definedName name="_174__FDSAUDITLINK__" localSheetId="10" hidden="1">{"fdsup://directions/FAT Viewer?action=UPDATE&amp;creator=factset&amp;DYN_ARGS=TRUE&amp;DOC_NAME=FAT:FQL_AUDITING_CLIENT_TEMPLATE.FAT&amp;display_string=Audit&amp;VAR:KEY=TEDWTIDUVE&amp;VAR:QUERY=RkZfRU5UUlBSX1ZBTF9EQUlMWSg0MDM2OCwsLCxVU0QsJ0RJTCcp&amp;WINDOW=FIRST_POPUP&amp;HEIGHT=450&amp;WI","DTH=450&amp;START_MAXIMIZED=FALSE&amp;VAR:CALENDAR=FIVEDAY&amp;VAR:SYMBOL=B04W2V&amp;VAR:INDEX=0"}</definedName>
    <definedName name="_174__FDSAUDITLINK__" hidden="1">{"fdsup://directions/FAT Viewer?action=UPDATE&amp;creator=factset&amp;DYN_ARGS=TRUE&amp;DOC_NAME=FAT:FQL_AUDITING_CLIENT_TEMPLATE.FAT&amp;display_string=Audit&amp;VAR:KEY=TEDWTIDUVE&amp;VAR:QUERY=RkZfRU5UUlBSX1ZBTF9EQUlMWSg0MDM2OCwsLCxVU0QsJ0RJTCcp&amp;WINDOW=FIRST_POPUP&amp;HEIGHT=450&amp;WI","DTH=450&amp;START_MAXIMIZED=FALSE&amp;VAR:CALENDAR=FIVEDAY&amp;VAR:SYMBOL=B04W2V&amp;VAR:INDEX=0"}</definedName>
    <definedName name="_175__FDSAUDITLINK__" localSheetId="10" hidden="1">{"fdsup://directions/FAT Viewer?action=UPDATE&amp;creator=factset&amp;DYN_ARGS=TRUE&amp;DOC_NAME=FAT:FQL_AUDITING_CLIENT_TEMPLATE.FAT&amp;display_string=Audit&amp;VAR:KEY=FGNKXKXQLU&amp;VAR:QUERY=RkZfRU5UUlBSX1ZBTF9EQUlMWSg0MDM2OCwsLCxVU0QsJ0RJTCcp&amp;WINDOW=FIRST_POPUP&amp;HEIGHT=450&amp;WI","DTH=450&amp;START_MAXIMIZED=FALSE&amp;VAR:CALENDAR=FIVEDAY&amp;VAR:SYMBOL=B1TNRD&amp;VAR:INDEX=0"}</definedName>
    <definedName name="_175__FDSAUDITLINK__" hidden="1">{"fdsup://directions/FAT Viewer?action=UPDATE&amp;creator=factset&amp;DYN_ARGS=TRUE&amp;DOC_NAME=FAT:FQL_AUDITING_CLIENT_TEMPLATE.FAT&amp;display_string=Audit&amp;VAR:KEY=FGNKXKXQLU&amp;VAR:QUERY=RkZfRU5UUlBSX1ZBTF9EQUlMWSg0MDM2OCwsLCxVU0QsJ0RJTCcp&amp;WINDOW=FIRST_POPUP&amp;HEIGHT=450&amp;WI","DTH=450&amp;START_MAXIMIZED=FALSE&amp;VAR:CALENDAR=FIVEDAY&amp;VAR:SYMBOL=B1TNRD&amp;VAR:INDEX=0"}</definedName>
    <definedName name="_176__FDSAUDITLINK__" localSheetId="10" hidden="1">{"fdsup://directions/FAT Viewer?action=UPDATE&amp;creator=factset&amp;DYN_ARGS=TRUE&amp;DOC_NAME=FAT:FQL_AUDITING_CLIENT_TEMPLATE.FAT&amp;display_string=Audit&amp;VAR:KEY=ZGNSRSFUXO&amp;VAR:QUERY=RkZfRU5UUlBSX1ZBTF9EQUlMWSg0MDM2OCwsLCxVU0QsJ0RJTCcp&amp;WINDOW=FIRST_POPUP&amp;HEIGHT=450&amp;WI","DTH=450&amp;START_MAXIMIZED=FALSE&amp;VAR:CALENDAR=FIVEDAY&amp;VAR:SYMBOL=616095&amp;VAR:INDEX=0"}</definedName>
    <definedName name="_176__FDSAUDITLINK__" hidden="1">{"fdsup://directions/FAT Viewer?action=UPDATE&amp;creator=factset&amp;DYN_ARGS=TRUE&amp;DOC_NAME=FAT:FQL_AUDITING_CLIENT_TEMPLATE.FAT&amp;display_string=Audit&amp;VAR:KEY=ZGNSRSFUXO&amp;VAR:QUERY=RkZfRU5UUlBSX1ZBTF9EQUlMWSg0MDM2OCwsLCxVU0QsJ0RJTCcp&amp;WINDOW=FIRST_POPUP&amp;HEIGHT=450&amp;WI","DTH=450&amp;START_MAXIMIZED=FALSE&amp;VAR:CALENDAR=FIVEDAY&amp;VAR:SYMBOL=616095&amp;VAR:INDEX=0"}</definedName>
    <definedName name="_177__FDSAUDITLINK__" localSheetId="10" hidden="1">{"fdsup://directions/FAT Viewer?action=UPDATE&amp;creator=factset&amp;DYN_ARGS=TRUE&amp;DOC_NAME=FAT:FQL_AUDITING_CLIENT_TEMPLATE.FAT&amp;display_string=Audit&amp;VAR:KEY=QTCZEXYPEL&amp;VAR:QUERY=RkZfRU5UUlBSX1ZBTF9EQUlMWSg0MDM3MiwsLCwsJ0RJTCcp&amp;WINDOW=FIRST_POPUP&amp;HEIGHT=450&amp;WIDTH=","450&amp;START_MAXIMIZED=FALSE&amp;VAR:CALENDAR=FIVEDAY&amp;VAR:SYMBOL=95058710&amp;VAR:INDEX=0"}</definedName>
    <definedName name="_177__FDSAUDITLINK__" hidden="1">{"fdsup://directions/FAT Viewer?action=UPDATE&amp;creator=factset&amp;DYN_ARGS=TRUE&amp;DOC_NAME=FAT:FQL_AUDITING_CLIENT_TEMPLATE.FAT&amp;display_string=Audit&amp;VAR:KEY=QTCZEXYPEL&amp;VAR:QUERY=RkZfRU5UUlBSX1ZBTF9EQUlMWSg0MDM3MiwsLCwsJ0RJTCcp&amp;WINDOW=FIRST_POPUP&amp;HEIGHT=450&amp;WIDTH=","450&amp;START_MAXIMIZED=FALSE&amp;VAR:CALENDAR=FIVEDAY&amp;VAR:SYMBOL=95058710&amp;VAR:INDEX=0"}</definedName>
    <definedName name="_178__FDSAUDITLINK__" localSheetId="10" hidden="1">{"fdsup://directions/FAT Viewer?action=UPDATE&amp;creator=factset&amp;DYN_ARGS=TRUE&amp;DOC_NAME=FAT:FQL_AUDITING_CLIENT_TEMPLATE.FAT&amp;display_string=Audit&amp;VAR:KEY=ITARYFEBIL&amp;VAR:QUERY=RkZfRU5UUlBSX1ZBTF9EQUlMWSg0MDM3MiwsLCwsJ0RJTCcp&amp;WINDOW=FIRST_POPUP&amp;HEIGHT=450&amp;WIDTH=","450&amp;START_MAXIMIZED=FALSE&amp;VAR:CALENDAR=FIVEDAY&amp;VAR:SYMBOL=12120820&amp;VAR:INDEX=0"}</definedName>
    <definedName name="_178__FDSAUDITLINK__" hidden="1">{"fdsup://directions/FAT Viewer?action=UPDATE&amp;creator=factset&amp;DYN_ARGS=TRUE&amp;DOC_NAME=FAT:FQL_AUDITING_CLIENT_TEMPLATE.FAT&amp;display_string=Audit&amp;VAR:KEY=ITARYFEBIL&amp;VAR:QUERY=RkZfRU5UUlBSX1ZBTF9EQUlMWSg0MDM3MiwsLCwsJ0RJTCcp&amp;WINDOW=FIRST_POPUP&amp;HEIGHT=450&amp;WIDTH=","450&amp;START_MAXIMIZED=FALSE&amp;VAR:CALENDAR=FIVEDAY&amp;VAR:SYMBOL=12120820&amp;VAR:INDEX=0"}</definedName>
    <definedName name="_179__FDSAUDITLINK__" localSheetId="10" hidden="1">{"fdsup://directions/FAT Viewer?action=UPDATE&amp;creator=factset&amp;DYN_ARGS=TRUE&amp;DOC_NAME=FAT:FQL_AUDITING_CLIENT_TEMPLATE.FAT&amp;display_string=Audit&amp;VAR:KEY=WFQFALGBAH&amp;VAR:QUERY=RkZfRU5UUlBSX1ZBTF9EQUlMWSg0MDM3MiwsLCwsJ0RJTCcp&amp;WINDOW=FIRST_POPUP&amp;HEIGHT=450&amp;WIDTH=","450&amp;START_MAXIMIZED=FALSE&amp;VAR:CALENDAR=FIVEDAY&amp;VAR:SYMBOL=98849810&amp;VAR:INDEX=0"}</definedName>
    <definedName name="_179__FDSAUDITLINK__" hidden="1">{"fdsup://directions/FAT Viewer?action=UPDATE&amp;creator=factset&amp;DYN_ARGS=TRUE&amp;DOC_NAME=FAT:FQL_AUDITING_CLIENT_TEMPLATE.FAT&amp;display_string=Audit&amp;VAR:KEY=WFQFALGBAH&amp;VAR:QUERY=RkZfRU5UUlBSX1ZBTF9EQUlMWSg0MDM3MiwsLCwsJ0RJTCcp&amp;WINDOW=FIRST_POPUP&amp;HEIGHT=450&amp;WIDTH=","450&amp;START_MAXIMIZED=FALSE&amp;VAR:CALENDAR=FIVEDAY&amp;VAR:SYMBOL=98849810&amp;VAR:INDEX=0"}</definedName>
    <definedName name="_18__123Graph_ACHART_3" hidden="1">[2]Africa!$B$28:$V$28</definedName>
    <definedName name="_18__FDSAUDITLINK__" localSheetId="10" hidden="1">{"fdsup://directions/FAT Viewer?action=UPDATE&amp;creator=factset&amp;DYN_ARGS=TRUE&amp;DOC_NAME=FAT:FQL_AUDITING_CLIENT_TEMPLATE.FAT&amp;display_string=Audit&amp;VAR:KEY=ILCHSVMLSV&amp;VAR:QUERY=RkZfRU5UUlBSX1ZBTF9EQUlMWSg0MDM2NiwsLCxVU0QsJ0RJTCcp&amp;WINDOW=FIRST_POPUP&amp;HEIGHT=450&amp;WI","DTH=450&amp;START_MAXIMIZED=FALSE&amp;VAR:CALENDAR=FIVEDAY&amp;VAR:SYMBOL=692847&amp;VAR:INDEX=0"}</definedName>
    <definedName name="_18__FDSAUDITLINK__" hidden="1">{"fdsup://directions/FAT Viewer?action=UPDATE&amp;creator=factset&amp;DYN_ARGS=TRUE&amp;DOC_NAME=FAT:FQL_AUDITING_CLIENT_TEMPLATE.FAT&amp;display_string=Audit&amp;VAR:KEY=ILCHSVMLSV&amp;VAR:QUERY=RkZfRU5UUlBSX1ZBTF9EQUlMWSg0MDM2NiwsLCxVU0QsJ0RJTCcp&amp;WINDOW=FIRST_POPUP&amp;HEIGHT=450&amp;WI","DTH=450&amp;START_MAXIMIZED=FALSE&amp;VAR:CALENDAR=FIVEDAY&amp;VAR:SYMBOL=692847&amp;VAR:INDEX=0"}</definedName>
    <definedName name="_180__FDSAUDITLINK__" localSheetId="10" hidden="1">{"fdsup://directions/FAT Viewer?action=UPDATE&amp;creator=factset&amp;DYN_ARGS=TRUE&amp;DOC_NAME=FAT:FQL_AUDITING_CLIENT_TEMPLATE.FAT&amp;display_string=Audit&amp;VAR:KEY=QNOHKJUFYX&amp;VAR:QUERY=RkZfRU5UUlBSX1ZBTF9EQUlMWSg0MDM3MiwsLCwsJ0RJTCcp&amp;WINDOW=FIRST_POPUP&amp;HEIGHT=450&amp;WIDTH=","450&amp;START_MAXIMIZED=FALSE&amp;VAR:CALENDAR=FIVEDAY&amp;VAR:SYMBOL=85524410&amp;VAR:INDEX=0"}</definedName>
    <definedName name="_180__FDSAUDITLINK__" hidden="1">{"fdsup://directions/FAT Viewer?action=UPDATE&amp;creator=factset&amp;DYN_ARGS=TRUE&amp;DOC_NAME=FAT:FQL_AUDITING_CLIENT_TEMPLATE.FAT&amp;display_string=Audit&amp;VAR:KEY=QNOHKJUFYX&amp;VAR:QUERY=RkZfRU5UUlBSX1ZBTF9EQUlMWSg0MDM3MiwsLCwsJ0RJTCcp&amp;WINDOW=FIRST_POPUP&amp;HEIGHT=450&amp;WIDTH=","450&amp;START_MAXIMIZED=FALSE&amp;VAR:CALENDAR=FIVEDAY&amp;VAR:SYMBOL=85524410&amp;VAR:INDEX=0"}</definedName>
    <definedName name="_181__FDSAUDITLINK__" localSheetId="10" hidden="1">{"fdsup://directions/FAT Viewer?action=UPDATE&amp;creator=factset&amp;DYN_ARGS=TRUE&amp;DOC_NAME=FAT:FQL_AUDITING_CLIENT_TEMPLATE.FAT&amp;display_string=Audit&amp;VAR:KEY=SZILOZCNIR&amp;VAR:QUERY=RkZfRU5UUlBSX1ZBTF9EQUlMWSg0MDM3MiwsLCwsJ0RJTCcp&amp;WINDOW=FIRST_POPUP&amp;HEIGHT=450&amp;WIDTH=","450&amp;START_MAXIMIZED=FALSE&amp;VAR:CALENDAR=FIVEDAY&amp;VAR:SYMBOL=58013510&amp;VAR:INDEX=0"}</definedName>
    <definedName name="_181__FDSAUDITLINK__" hidden="1">{"fdsup://directions/FAT Viewer?action=UPDATE&amp;creator=factset&amp;DYN_ARGS=TRUE&amp;DOC_NAME=FAT:FQL_AUDITING_CLIENT_TEMPLATE.FAT&amp;display_string=Audit&amp;VAR:KEY=SZILOZCNIR&amp;VAR:QUERY=RkZfRU5UUlBSX1ZBTF9EQUlMWSg0MDM3MiwsLCwsJ0RJTCcp&amp;WINDOW=FIRST_POPUP&amp;HEIGHT=450&amp;WIDTH=","450&amp;START_MAXIMIZED=FALSE&amp;VAR:CALENDAR=FIVEDAY&amp;VAR:SYMBOL=58013510&amp;VAR:INDEX=0"}</definedName>
    <definedName name="_182__FDSAUDITLINK__" localSheetId="10" hidden="1">{"fdsup://directions/FAT Viewer?action=UPDATE&amp;creator=factset&amp;DYN_ARGS=TRUE&amp;DOC_NAME=FAT:FQL_AUDITING_CLIENT_TEMPLATE.FAT&amp;display_string=Audit&amp;VAR:KEY=QPULQXKPQL&amp;VAR:QUERY=RkZfRU5UUlBSX1ZBTF9EQUlMWSg0MDM3MiwsLCxVU0QsJ0RJTCcp&amp;WINDOW=FIRST_POPUP&amp;HEIGHT=450&amp;WI","DTH=450&amp;START_MAXIMIZED=FALSE&amp;VAR:CALENDAR=FIVEDAY&amp;VAR:SYMBOL=95058710&amp;VAR:INDEX=0"}</definedName>
    <definedName name="_182__FDSAUDITLINK__" hidden="1">{"fdsup://directions/FAT Viewer?action=UPDATE&amp;creator=factset&amp;DYN_ARGS=TRUE&amp;DOC_NAME=FAT:FQL_AUDITING_CLIENT_TEMPLATE.FAT&amp;display_string=Audit&amp;VAR:KEY=QPULQXKPQL&amp;VAR:QUERY=RkZfRU5UUlBSX1ZBTF9EQUlMWSg0MDM3MiwsLCxVU0QsJ0RJTCcp&amp;WINDOW=FIRST_POPUP&amp;HEIGHT=450&amp;WI","DTH=450&amp;START_MAXIMIZED=FALSE&amp;VAR:CALENDAR=FIVEDAY&amp;VAR:SYMBOL=95058710&amp;VAR:INDEX=0"}</definedName>
    <definedName name="_183__FDSAUDITLINK__" localSheetId="10" hidden="1">{"fdsup://directions/FAT Viewer?action=UPDATE&amp;creator=factset&amp;DYN_ARGS=TRUE&amp;DOC_NAME=FAT:FQL_AUDITING_CLIENT_TEMPLATE.FAT&amp;display_string=Audit&amp;VAR:KEY=MPOTONEHIZ&amp;VAR:QUERY=RkZfRU5UUlBSX1ZBTF9EQUlMWSg0MDM3MiwsLCxVU0QsJ0RJTCcp&amp;WINDOW=FIRST_POPUP&amp;HEIGHT=450&amp;WI","DTH=450&amp;START_MAXIMIZED=FALSE&amp;VAR:CALENDAR=FIVEDAY&amp;VAR:SYMBOL=12120820&amp;VAR:INDEX=0"}</definedName>
    <definedName name="_183__FDSAUDITLINK__" hidden="1">{"fdsup://directions/FAT Viewer?action=UPDATE&amp;creator=factset&amp;DYN_ARGS=TRUE&amp;DOC_NAME=FAT:FQL_AUDITING_CLIENT_TEMPLATE.FAT&amp;display_string=Audit&amp;VAR:KEY=MPOTONEHIZ&amp;VAR:QUERY=RkZfRU5UUlBSX1ZBTF9EQUlMWSg0MDM3MiwsLCxVU0QsJ0RJTCcp&amp;WINDOW=FIRST_POPUP&amp;HEIGHT=450&amp;WI","DTH=450&amp;START_MAXIMIZED=FALSE&amp;VAR:CALENDAR=FIVEDAY&amp;VAR:SYMBOL=12120820&amp;VAR:INDEX=0"}</definedName>
    <definedName name="_184__FDSAUDITLINK__" localSheetId="10" hidden="1">{"fdsup://directions/FAT Viewer?action=UPDATE&amp;creator=factset&amp;DYN_ARGS=TRUE&amp;DOC_NAME=FAT:FQL_AUDITING_CLIENT_TEMPLATE.FAT&amp;display_string=Audit&amp;VAR:KEY=YPIXKTQVIR&amp;VAR:QUERY=RkZfRU5UUlBSX1ZBTF9EQUlMWSg0MDM3MiwsLCxVU0QsJ0RJTCcp&amp;WINDOW=FIRST_POPUP&amp;HEIGHT=450&amp;WI","DTH=450&amp;START_MAXIMIZED=FALSE&amp;VAR:CALENDAR=FIVEDAY&amp;VAR:SYMBOL=98849810&amp;VAR:INDEX=0"}</definedName>
    <definedName name="_184__FDSAUDITLINK__" hidden="1">{"fdsup://directions/FAT Viewer?action=UPDATE&amp;creator=factset&amp;DYN_ARGS=TRUE&amp;DOC_NAME=FAT:FQL_AUDITING_CLIENT_TEMPLATE.FAT&amp;display_string=Audit&amp;VAR:KEY=YPIXKTQVIR&amp;VAR:QUERY=RkZfRU5UUlBSX1ZBTF9EQUlMWSg0MDM3MiwsLCxVU0QsJ0RJTCcp&amp;WINDOW=FIRST_POPUP&amp;HEIGHT=450&amp;WI","DTH=450&amp;START_MAXIMIZED=FALSE&amp;VAR:CALENDAR=FIVEDAY&amp;VAR:SYMBOL=98849810&amp;VAR:INDEX=0"}</definedName>
    <definedName name="_185__FDSAUDITLINK__" localSheetId="10" hidden="1">{"fdsup://directions/FAT Viewer?action=UPDATE&amp;creator=factset&amp;DYN_ARGS=TRUE&amp;DOC_NAME=FAT:FQL_AUDITING_CLIENT_TEMPLATE.FAT&amp;display_string=Audit&amp;VAR:KEY=IPOBOFGZMT&amp;VAR:QUERY=RkZfRU5UUlBSX1ZBTF9EQUlMWSg0MDM3MiwsLCxVU0QsJ0RJTCcp&amp;WINDOW=FIRST_POPUP&amp;HEIGHT=450&amp;WI","DTH=450&amp;START_MAXIMIZED=FALSE&amp;VAR:CALENDAR=FIVEDAY&amp;VAR:SYMBOL=85524410&amp;VAR:INDEX=0"}</definedName>
    <definedName name="_185__FDSAUDITLINK__" hidden="1">{"fdsup://directions/FAT Viewer?action=UPDATE&amp;creator=factset&amp;DYN_ARGS=TRUE&amp;DOC_NAME=FAT:FQL_AUDITING_CLIENT_TEMPLATE.FAT&amp;display_string=Audit&amp;VAR:KEY=IPOBOFGZMT&amp;VAR:QUERY=RkZfRU5UUlBSX1ZBTF9EQUlMWSg0MDM3MiwsLCxVU0QsJ0RJTCcp&amp;WINDOW=FIRST_POPUP&amp;HEIGHT=450&amp;WI","DTH=450&amp;START_MAXIMIZED=FALSE&amp;VAR:CALENDAR=FIVEDAY&amp;VAR:SYMBOL=85524410&amp;VAR:INDEX=0"}</definedName>
    <definedName name="_186__FDSAUDITLINK__" localSheetId="10" hidden="1">{"fdsup://directions/FAT Viewer?action=UPDATE&amp;creator=factset&amp;DYN_ARGS=TRUE&amp;DOC_NAME=FAT:FQL_AUDITING_CLIENT_TEMPLATE.FAT&amp;display_string=Audit&amp;VAR:KEY=QRILALIPCT&amp;VAR:QUERY=RkZfRU5UUlBSX1ZBTF9EQUlMWSg0MDM3MiwsLCxVU0QsJ0RJTCcp&amp;WINDOW=FIRST_POPUP&amp;HEIGHT=450&amp;WI","DTH=450&amp;START_MAXIMIZED=FALSE&amp;VAR:CALENDAR=FIVEDAY&amp;VAR:SYMBOL=58013510&amp;VAR:INDEX=0"}</definedName>
    <definedName name="_186__FDSAUDITLINK__" hidden="1">{"fdsup://directions/FAT Viewer?action=UPDATE&amp;creator=factset&amp;DYN_ARGS=TRUE&amp;DOC_NAME=FAT:FQL_AUDITING_CLIENT_TEMPLATE.FAT&amp;display_string=Audit&amp;VAR:KEY=QRILALIPCT&amp;VAR:QUERY=RkZfRU5UUlBSX1ZBTF9EQUlMWSg0MDM3MiwsLCxVU0QsJ0RJTCcp&amp;WINDOW=FIRST_POPUP&amp;HEIGHT=450&amp;WI","DTH=450&amp;START_MAXIMIZED=FALSE&amp;VAR:CALENDAR=FIVEDAY&amp;VAR:SYMBOL=58013510&amp;VAR:INDEX=0"}</definedName>
    <definedName name="_187__FDSAUDITLINK__" localSheetId="10" hidden="1">{"fdsup://directions/FAT Viewer?action=UPDATE&amp;creator=factset&amp;DYN_ARGS=TRUE&amp;DOC_NAME=FAT:FQL_AUDITING_CLIENT_TEMPLATE.FAT&amp;display_string=Audit&amp;VAR:KEY=WRILGVQDAB&amp;VAR:QUERY=RkZfRU5UUlBSX1ZBTF9EQUlMWSg0MDM3MiwsLCwsJ0RJTCcp&amp;WINDOW=FIRST_POPUP&amp;HEIGHT=450&amp;WIDTH=","450&amp;START_MAXIMIZED=FALSE&amp;VAR:CALENDAR=FIVEDAY&amp;VAR:SYMBOL=600298&amp;VAR:INDEX=0"}</definedName>
    <definedName name="_187__FDSAUDITLINK__" hidden="1">{"fdsup://directions/FAT Viewer?action=UPDATE&amp;creator=factset&amp;DYN_ARGS=TRUE&amp;DOC_NAME=FAT:FQL_AUDITING_CLIENT_TEMPLATE.FAT&amp;display_string=Audit&amp;VAR:KEY=WRILGVQDAB&amp;VAR:QUERY=RkZfRU5UUlBSX1ZBTF9EQUlMWSg0MDM3MiwsLCwsJ0RJTCcp&amp;WINDOW=FIRST_POPUP&amp;HEIGHT=450&amp;WIDTH=","450&amp;START_MAXIMIZED=FALSE&amp;VAR:CALENDAR=FIVEDAY&amp;VAR:SYMBOL=600298&amp;VAR:INDEX=0"}</definedName>
    <definedName name="_188__FDSAUDITLINK__" localSheetId="10" hidden="1">{"fdsup://directions/FAT Viewer?action=UPDATE&amp;creator=factset&amp;DYN_ARGS=TRUE&amp;DOC_NAME=FAT:FQL_AUDITING_CLIENT_TEMPLATE.FAT&amp;display_string=Audit&amp;VAR:KEY=AHYPWRAHSD&amp;VAR:QUERY=RkZfRU5UUlBSX1ZBTF9EQUlMWSg0MDM3MiwsLCwsJ0RJTCcp&amp;WINDOW=FIRST_POPUP&amp;HEIGHT=450&amp;WIDTH=","450&amp;START_MAXIMIZED=FALSE&amp;VAR:CALENDAR=FIVEDAY&amp;VAR:SYMBOL=B15SCH&amp;VAR:INDEX=0"}</definedName>
    <definedName name="_188__FDSAUDITLINK__" hidden="1">{"fdsup://directions/FAT Viewer?action=UPDATE&amp;creator=factset&amp;DYN_ARGS=TRUE&amp;DOC_NAME=FAT:FQL_AUDITING_CLIENT_TEMPLATE.FAT&amp;display_string=Audit&amp;VAR:KEY=AHYPWRAHSD&amp;VAR:QUERY=RkZfRU5UUlBSX1ZBTF9EQUlMWSg0MDM3MiwsLCwsJ0RJTCcp&amp;WINDOW=FIRST_POPUP&amp;HEIGHT=450&amp;WIDTH=","450&amp;START_MAXIMIZED=FALSE&amp;VAR:CALENDAR=FIVEDAY&amp;VAR:SYMBOL=B15SCH&amp;VAR:INDEX=0"}</definedName>
    <definedName name="_189__FDSAUDITLINK__" localSheetId="10" hidden="1">{"fdsup://directions/FAT Viewer?action=UPDATE&amp;creator=factset&amp;DYN_ARGS=TRUE&amp;DOC_NAME=FAT:FQL_AUDITING_CLIENT_TEMPLATE.FAT&amp;display_string=Audit&amp;VAR:KEY=ARUXCNSNQF&amp;VAR:QUERY=RkZfRU5UUlBSX1ZBTF9EQUlMWSg0MDM3MiwsLCwsJ0RJTCcp&amp;WINDOW=FIRST_POPUP&amp;HEIGHT=450&amp;WIDTH=","450&amp;START_MAXIMIZED=FALSE&amp;VAR:CALENDAR=FIVEDAY&amp;VAR:SYMBOL=B07SFG&amp;VAR:INDEX=0"}</definedName>
    <definedName name="_189__FDSAUDITLINK__" hidden="1">{"fdsup://directions/FAT Viewer?action=UPDATE&amp;creator=factset&amp;DYN_ARGS=TRUE&amp;DOC_NAME=FAT:FQL_AUDITING_CLIENT_TEMPLATE.FAT&amp;display_string=Audit&amp;VAR:KEY=ARUXCNSNQF&amp;VAR:QUERY=RkZfRU5UUlBSX1ZBTF9EQUlMWSg0MDM3MiwsLCwsJ0RJTCcp&amp;WINDOW=FIRST_POPUP&amp;HEIGHT=450&amp;WIDTH=","450&amp;START_MAXIMIZED=FALSE&amp;VAR:CALENDAR=FIVEDAY&amp;VAR:SYMBOL=B07SFG&amp;VAR:INDEX=0"}</definedName>
    <definedName name="_19__123Graph_ACHART_4" hidden="1">'[2]C Amer'!$B$19:$V$19</definedName>
    <definedName name="_19__FDSAUDITLINK__" localSheetId="10" hidden="1">{"fdsup://directions/FAT Viewer?action=UPDATE&amp;creator=factset&amp;DYN_ARGS=TRUE&amp;DOC_NAME=FAT:FQL_AUDITING_CLIENT_TEMPLATE.FAT&amp;display_string=Audit&amp;VAR:KEY=WDCBKNWDAH&amp;VAR:QUERY=RkZfRU5UUlBSX1ZBTF9EQUlMWSg0MDM2NiwsLCwsJ0RJTCcp&amp;WINDOW=FIRST_POPUP&amp;HEIGHT=450&amp;WIDTH=","450&amp;START_MAXIMIZED=FALSE&amp;VAR:CALENDAR=FIVEDAY&amp;VAR:SYMBOL=640409&amp;VAR:INDEX=0"}</definedName>
    <definedName name="_19__FDSAUDITLINK__" hidden="1">{"fdsup://directions/FAT Viewer?action=UPDATE&amp;creator=factset&amp;DYN_ARGS=TRUE&amp;DOC_NAME=FAT:FQL_AUDITING_CLIENT_TEMPLATE.FAT&amp;display_string=Audit&amp;VAR:KEY=WDCBKNWDAH&amp;VAR:QUERY=RkZfRU5UUlBSX1ZBTF9EQUlMWSg0MDM2NiwsLCwsJ0RJTCcp&amp;WINDOW=FIRST_POPUP&amp;HEIGHT=450&amp;WIDTH=","450&amp;START_MAXIMIZED=FALSE&amp;VAR:CALENDAR=FIVEDAY&amp;VAR:SYMBOL=640409&amp;VAR:INDEX=0"}</definedName>
    <definedName name="_190__FDSAUDITLINK__" localSheetId="10" hidden="1">{"fdsup://directions/FAT Viewer?action=UPDATE&amp;creator=factset&amp;DYN_ARGS=TRUE&amp;DOC_NAME=FAT:FQL_AUDITING_CLIENT_TEMPLATE.FAT&amp;display_string=Audit&amp;VAR:KEY=KVQJKFKZWH&amp;VAR:QUERY=RkZfRU5UUlBSX1ZBTF9EQUlMWSg0MDM3MiwsLCwsJ0RJTCcp&amp;WINDOW=FIRST_POPUP&amp;HEIGHT=450&amp;WIDTH=","450&amp;START_MAXIMIZED=FALSE&amp;VAR:CALENDAR=FIVEDAY&amp;VAR:SYMBOL=692847&amp;VAR:INDEX=0"}</definedName>
    <definedName name="_190__FDSAUDITLINK__" hidden="1">{"fdsup://directions/FAT Viewer?action=UPDATE&amp;creator=factset&amp;DYN_ARGS=TRUE&amp;DOC_NAME=FAT:FQL_AUDITING_CLIENT_TEMPLATE.FAT&amp;display_string=Audit&amp;VAR:KEY=KVQJKFKZWH&amp;VAR:QUERY=RkZfRU5UUlBSX1ZBTF9EQUlMWSg0MDM3MiwsLCwsJ0RJTCcp&amp;WINDOW=FIRST_POPUP&amp;HEIGHT=450&amp;WIDTH=","450&amp;START_MAXIMIZED=FALSE&amp;VAR:CALENDAR=FIVEDAY&amp;VAR:SYMBOL=692847&amp;VAR:INDEX=0"}</definedName>
    <definedName name="_191__FDSAUDITLINK__" localSheetId="10" hidden="1">{"fdsup://directions/FAT Viewer?action=UPDATE&amp;creator=factset&amp;DYN_ARGS=TRUE&amp;DOC_NAME=FAT:FQL_AUDITING_CLIENT_TEMPLATE.FAT&amp;display_string=Audit&amp;VAR:KEY=UREVUZAPOX&amp;VAR:QUERY=RkZfRU5UUlBSX1ZBTF9EQUlMWSg0MDM3MiwsLCwsJ0RJTCcp&amp;WINDOW=FIRST_POPUP&amp;HEIGHT=450&amp;WIDTH=","450&amp;START_MAXIMIZED=FALSE&amp;VAR:CALENDAR=FIVEDAY&amp;VAR:SYMBOL=640409&amp;VAR:INDEX=0"}</definedName>
    <definedName name="_191__FDSAUDITLINK__" hidden="1">{"fdsup://directions/FAT Viewer?action=UPDATE&amp;creator=factset&amp;DYN_ARGS=TRUE&amp;DOC_NAME=FAT:FQL_AUDITING_CLIENT_TEMPLATE.FAT&amp;display_string=Audit&amp;VAR:KEY=UREVUZAPOX&amp;VAR:QUERY=RkZfRU5UUlBSX1ZBTF9EQUlMWSg0MDM3MiwsLCwsJ0RJTCcp&amp;WINDOW=FIRST_POPUP&amp;HEIGHT=450&amp;WIDTH=","450&amp;START_MAXIMIZED=FALSE&amp;VAR:CALENDAR=FIVEDAY&amp;VAR:SYMBOL=640409&amp;VAR:INDEX=0"}</definedName>
    <definedName name="_192__FDSAUDITLINK__" localSheetId="10" hidden="1">{"fdsup://directions/FAT Viewer?action=UPDATE&amp;creator=factset&amp;DYN_ARGS=TRUE&amp;DOC_NAME=FAT:FQL_AUDITING_CLIENT_TEMPLATE.FAT&amp;display_string=Audit&amp;VAR:KEY=ANQPGHOPED&amp;VAR:QUERY=RkZfRU5UUlBSX1ZBTF9EQUlMWSg0MDM3MiwsLCwsJ0RJTCcp&amp;WINDOW=FIRST_POPUP&amp;HEIGHT=450&amp;WIDTH=","450&amp;START_MAXIMIZED=FALSE&amp;VAR:CALENDAR=FIVEDAY&amp;VAR:SYMBOL=611177&amp;VAR:INDEX=0"}</definedName>
    <definedName name="_192__FDSAUDITLINK__" hidden="1">{"fdsup://directions/FAT Viewer?action=UPDATE&amp;creator=factset&amp;DYN_ARGS=TRUE&amp;DOC_NAME=FAT:FQL_AUDITING_CLIENT_TEMPLATE.FAT&amp;display_string=Audit&amp;VAR:KEY=ANQPGHOPED&amp;VAR:QUERY=RkZfRU5UUlBSX1ZBTF9EQUlMWSg0MDM3MiwsLCwsJ0RJTCcp&amp;WINDOW=FIRST_POPUP&amp;HEIGHT=450&amp;WIDTH=","450&amp;START_MAXIMIZED=FALSE&amp;VAR:CALENDAR=FIVEDAY&amp;VAR:SYMBOL=611177&amp;VAR:INDEX=0"}</definedName>
    <definedName name="_193__FDSAUDITLINK__" localSheetId="10" hidden="1">{"fdsup://directions/FAT Viewer?action=UPDATE&amp;creator=factset&amp;DYN_ARGS=TRUE&amp;DOC_NAME=FAT:FQL_AUDITING_CLIENT_TEMPLATE.FAT&amp;display_string=Audit&amp;VAR:KEY=WRUPKZIXQR&amp;VAR:QUERY=RkZfRU5UUlBSX1ZBTF9EQUlMWSg0MDM3MiwsLCwsJ0RJTCcp&amp;WINDOW=FIRST_POPUP&amp;HEIGHT=450&amp;WIDTH=","450&amp;START_MAXIMIZED=FALSE&amp;VAR:CALENDAR=FIVEDAY&amp;VAR:SYMBOL=604260&amp;VAR:INDEX=0"}</definedName>
    <definedName name="_193__FDSAUDITLINK__" hidden="1">{"fdsup://directions/FAT Viewer?action=UPDATE&amp;creator=factset&amp;DYN_ARGS=TRUE&amp;DOC_NAME=FAT:FQL_AUDITING_CLIENT_TEMPLATE.FAT&amp;display_string=Audit&amp;VAR:KEY=WRUPKZIXQR&amp;VAR:QUERY=RkZfRU5UUlBSX1ZBTF9EQUlMWSg0MDM3MiwsLCwsJ0RJTCcp&amp;WINDOW=FIRST_POPUP&amp;HEIGHT=450&amp;WIDTH=","450&amp;START_MAXIMIZED=FALSE&amp;VAR:CALENDAR=FIVEDAY&amp;VAR:SYMBOL=604260&amp;VAR:INDEX=0"}</definedName>
    <definedName name="_194__FDSAUDITLINK__" localSheetId="10" hidden="1">{"fdsup://directions/FAT Viewer?action=UPDATE&amp;creator=factset&amp;DYN_ARGS=TRUE&amp;DOC_NAME=FAT:FQL_AUDITING_CLIENT_TEMPLATE.FAT&amp;display_string=Audit&amp;VAR:KEY=KFALYHIRSH&amp;VAR:QUERY=RkZfRU5UUlBSX1ZBTF9EQUlMWSg0MDM3MiwsLCxVU0QsJ0RJTCcp&amp;WINDOW=FIRST_POPUP&amp;HEIGHT=450&amp;WI","DTH=450&amp;START_MAXIMIZED=FALSE&amp;VAR:CALENDAR=FIVEDAY&amp;VAR:SYMBOL=600298&amp;VAR:INDEX=0"}</definedName>
    <definedName name="_194__FDSAUDITLINK__" hidden="1">{"fdsup://directions/FAT Viewer?action=UPDATE&amp;creator=factset&amp;DYN_ARGS=TRUE&amp;DOC_NAME=FAT:FQL_AUDITING_CLIENT_TEMPLATE.FAT&amp;display_string=Audit&amp;VAR:KEY=KFALYHIRSH&amp;VAR:QUERY=RkZfRU5UUlBSX1ZBTF9EQUlMWSg0MDM3MiwsLCxVU0QsJ0RJTCcp&amp;WINDOW=FIRST_POPUP&amp;HEIGHT=450&amp;WI","DTH=450&amp;START_MAXIMIZED=FALSE&amp;VAR:CALENDAR=FIVEDAY&amp;VAR:SYMBOL=600298&amp;VAR:INDEX=0"}</definedName>
    <definedName name="_195__FDSAUDITLINK__" localSheetId="10" hidden="1">{"fdsup://directions/FAT Viewer?action=UPDATE&amp;creator=factset&amp;DYN_ARGS=TRUE&amp;DOC_NAME=FAT:FQL_AUDITING_CLIENT_TEMPLATE.FAT&amp;display_string=Audit&amp;VAR:KEY=UJUFWJCHMV&amp;VAR:QUERY=RkZfRU5UUlBSX1ZBTF9EQUlMWSg0MDM3MiwsLCxVU0QsJ0RJTCcp&amp;WINDOW=FIRST_POPUP&amp;HEIGHT=450&amp;WI","DTH=450&amp;START_MAXIMIZED=FALSE&amp;VAR:CALENDAR=FIVEDAY&amp;VAR:SYMBOL=B15SCH&amp;VAR:INDEX=0"}</definedName>
    <definedName name="_195__FDSAUDITLINK__" hidden="1">{"fdsup://directions/FAT Viewer?action=UPDATE&amp;creator=factset&amp;DYN_ARGS=TRUE&amp;DOC_NAME=FAT:FQL_AUDITING_CLIENT_TEMPLATE.FAT&amp;display_string=Audit&amp;VAR:KEY=UJUFWJCHMV&amp;VAR:QUERY=RkZfRU5UUlBSX1ZBTF9EQUlMWSg0MDM3MiwsLCxVU0QsJ0RJTCcp&amp;WINDOW=FIRST_POPUP&amp;HEIGHT=450&amp;WI","DTH=450&amp;START_MAXIMIZED=FALSE&amp;VAR:CALENDAR=FIVEDAY&amp;VAR:SYMBOL=B15SCH&amp;VAR:INDEX=0"}</definedName>
    <definedName name="_196__FDSAUDITLINK__" localSheetId="10" hidden="1">{"fdsup://directions/FAT Viewer?action=UPDATE&amp;creator=factset&amp;DYN_ARGS=TRUE&amp;DOC_NAME=FAT:FQL_AUDITING_CLIENT_TEMPLATE.FAT&amp;display_string=Audit&amp;VAR:KEY=WDSFIZGHMV&amp;VAR:QUERY=RkZfRU5UUlBSX1ZBTF9EQUlMWSg0MDM3MiwsLCxVU0QsJ0RJTCcp&amp;WINDOW=FIRST_POPUP&amp;HEIGHT=450&amp;WI","DTH=450&amp;START_MAXIMIZED=FALSE&amp;VAR:CALENDAR=FIVEDAY&amp;VAR:SYMBOL=B07SFG&amp;VAR:INDEX=0"}</definedName>
    <definedName name="_196__FDSAUDITLINK__" hidden="1">{"fdsup://directions/FAT Viewer?action=UPDATE&amp;creator=factset&amp;DYN_ARGS=TRUE&amp;DOC_NAME=FAT:FQL_AUDITING_CLIENT_TEMPLATE.FAT&amp;display_string=Audit&amp;VAR:KEY=WDSFIZGHMV&amp;VAR:QUERY=RkZfRU5UUlBSX1ZBTF9EQUlMWSg0MDM3MiwsLCxVU0QsJ0RJTCcp&amp;WINDOW=FIRST_POPUP&amp;HEIGHT=450&amp;WI","DTH=450&amp;START_MAXIMIZED=FALSE&amp;VAR:CALENDAR=FIVEDAY&amp;VAR:SYMBOL=B07SFG&amp;VAR:INDEX=0"}</definedName>
    <definedName name="_197__FDSAUDITLINK__" localSheetId="10" hidden="1">{"fdsup://directions/FAT Viewer?action=UPDATE&amp;creator=factset&amp;DYN_ARGS=TRUE&amp;DOC_NAME=FAT:FQL_AUDITING_CLIENT_TEMPLATE.FAT&amp;display_string=Audit&amp;VAR:KEY=GNYNOZIXIR&amp;VAR:QUERY=RkZfRU5UUlBSX1ZBTF9EQUlMWSg0MDM3MiwsLCxVU0QsJ0RJTCcp&amp;WINDOW=FIRST_POPUP&amp;HEIGHT=450&amp;WI","DTH=450&amp;START_MAXIMIZED=FALSE&amp;VAR:CALENDAR=FIVEDAY&amp;VAR:SYMBOL=692847&amp;VAR:INDEX=0"}</definedName>
    <definedName name="_197__FDSAUDITLINK__" hidden="1">{"fdsup://directions/FAT Viewer?action=UPDATE&amp;creator=factset&amp;DYN_ARGS=TRUE&amp;DOC_NAME=FAT:FQL_AUDITING_CLIENT_TEMPLATE.FAT&amp;display_string=Audit&amp;VAR:KEY=GNYNOZIXIR&amp;VAR:QUERY=RkZfRU5UUlBSX1ZBTF9EQUlMWSg0MDM3MiwsLCxVU0QsJ0RJTCcp&amp;WINDOW=FIRST_POPUP&amp;HEIGHT=450&amp;WI","DTH=450&amp;START_MAXIMIZED=FALSE&amp;VAR:CALENDAR=FIVEDAY&amp;VAR:SYMBOL=692847&amp;VAR:INDEX=0"}</definedName>
    <definedName name="_198__FDSAUDITLINK__" localSheetId="10" hidden="1">{"fdsup://directions/FAT Viewer?action=UPDATE&amp;creator=factset&amp;DYN_ARGS=TRUE&amp;DOC_NAME=FAT:FQL_AUDITING_CLIENT_TEMPLATE.FAT&amp;display_string=Audit&amp;VAR:KEY=AJUJOHEXUJ&amp;VAR:QUERY=RkZfRU5UUlBSX1ZBTF9EQUlMWSg0MDM3MiwsLCxVU0QsJ0RJTCcp&amp;WINDOW=FIRST_POPUP&amp;HEIGHT=450&amp;WI","DTH=450&amp;START_MAXIMIZED=FALSE&amp;VAR:CALENDAR=FIVEDAY&amp;VAR:SYMBOL=640409&amp;VAR:INDEX=0"}</definedName>
    <definedName name="_198__FDSAUDITLINK__" hidden="1">{"fdsup://directions/FAT Viewer?action=UPDATE&amp;creator=factset&amp;DYN_ARGS=TRUE&amp;DOC_NAME=FAT:FQL_AUDITING_CLIENT_TEMPLATE.FAT&amp;display_string=Audit&amp;VAR:KEY=AJUJOHEXUJ&amp;VAR:QUERY=RkZfRU5UUlBSX1ZBTF9EQUlMWSg0MDM3MiwsLCxVU0QsJ0RJTCcp&amp;WINDOW=FIRST_POPUP&amp;HEIGHT=450&amp;WI","DTH=450&amp;START_MAXIMIZED=FALSE&amp;VAR:CALENDAR=FIVEDAY&amp;VAR:SYMBOL=640409&amp;VAR:INDEX=0"}</definedName>
    <definedName name="_199__FDSAUDITLINK__" localSheetId="10" hidden="1">{"fdsup://directions/FAT Viewer?action=UPDATE&amp;creator=factset&amp;DYN_ARGS=TRUE&amp;DOC_NAME=FAT:FQL_AUDITING_CLIENT_TEMPLATE.FAT&amp;display_string=Audit&amp;VAR:KEY=CVKJOZGNQP&amp;VAR:QUERY=RkZfRU5UUlBSX1ZBTF9EQUlMWSg0MDM3MiwsLCxVU0QsJ0RJTCcp&amp;WINDOW=FIRST_POPUP&amp;HEIGHT=450&amp;WI","DTH=450&amp;START_MAXIMIZED=FALSE&amp;VAR:CALENDAR=FIVEDAY&amp;VAR:SYMBOL=611177&amp;VAR:INDEX=0"}</definedName>
    <definedName name="_199__FDSAUDITLINK__" hidden="1">{"fdsup://directions/FAT Viewer?action=UPDATE&amp;creator=factset&amp;DYN_ARGS=TRUE&amp;DOC_NAME=FAT:FQL_AUDITING_CLIENT_TEMPLATE.FAT&amp;display_string=Audit&amp;VAR:KEY=CVKJOZGNQP&amp;VAR:QUERY=RkZfRU5UUlBSX1ZBTF9EQUlMWSg0MDM3MiwsLCxVU0QsJ0RJTCcp&amp;WINDOW=FIRST_POPUP&amp;HEIGHT=450&amp;WI","DTH=450&amp;START_MAXIMIZED=FALSE&amp;VAR:CALENDAR=FIVEDAY&amp;VAR:SYMBOL=611177&amp;VAR:INDEX=0"}</definedName>
    <definedName name="_2" localSheetId="10" hidden="1">#REF!</definedName>
    <definedName name="_2" localSheetId="42" hidden="1">#REF!</definedName>
    <definedName name="_2" hidden="1">#REF!</definedName>
    <definedName name="_2__123Graph_ACHART_10" hidden="1">'[2]E Eur'!$B$14:$V$14</definedName>
    <definedName name="_2__FDSAUDITLINK__" localSheetId="10" hidden="1">{"fdsup://directions/FAT Viewer?action=UPDATE&amp;creator=factset&amp;DYN_ARGS=TRUE&amp;DOC_NAME=FAT:FQL_AUDITING_CLIENT_TEMPLATE.FAT&amp;display_string=Audit&amp;VAR:KEY=IFODUDADIP&amp;VAR:QUERY=RkZfRU5UUlBSX1ZBTF9EQUlMWSg0MDM2NiwsLCxVU0QsJ0RJTCcp&amp;WINDOW=FIRST_POPUP&amp;HEIGHT=450&amp;WI","DTH=450&amp;START_MAXIMIZED=FALSE&amp;VAR:CALENDAR=FIVEDAY&amp;VAR:SYMBOL=95058710&amp;VAR:INDEX=0"}</definedName>
    <definedName name="_2__FDSAUDITLINK__" hidden="1">{"fdsup://directions/FAT Viewer?action=UPDATE&amp;creator=factset&amp;DYN_ARGS=TRUE&amp;DOC_NAME=FAT:FQL_AUDITING_CLIENT_TEMPLATE.FAT&amp;display_string=Audit&amp;VAR:KEY=IFODUDADIP&amp;VAR:QUERY=RkZfRU5UUlBSX1ZBTF9EQUlMWSg0MDM2NiwsLCxVU0QsJ0RJTCcp&amp;WINDOW=FIRST_POPUP&amp;HEIGHT=450&amp;WI","DTH=450&amp;START_MAXIMIZED=FALSE&amp;VAR:CALENDAR=FIVEDAY&amp;VAR:SYMBOL=95058710&amp;VAR:INDEX=0"}</definedName>
    <definedName name="_20__123Graph_ACHART_5" hidden="1">'[2]C Amer'!$B$14:$V$14</definedName>
    <definedName name="_20__FDSAUDITLINK__" localSheetId="10" hidden="1">{"fdsup://directions/FAT Viewer?action=UPDATE&amp;creator=factset&amp;DYN_ARGS=TRUE&amp;DOC_NAME=FAT:FQL_AUDITING_CLIENT_TEMPLATE.FAT&amp;display_string=Audit&amp;VAR:KEY=UHKPODUPWH&amp;VAR:QUERY=RkZfRU5UUlBSX1ZBTF9EQUlMWSg0MDM2NiwsLCxVU0QsJ0RJTCcp&amp;WINDOW=FIRST_POPUP&amp;HEIGHT=450&amp;WI","DTH=450&amp;START_MAXIMIZED=FALSE&amp;VAR:CALENDAR=FIVEDAY&amp;VAR:SYMBOL=640409&amp;VAR:INDEX=0"}</definedName>
    <definedName name="_20__FDSAUDITLINK__" hidden="1">{"fdsup://directions/FAT Viewer?action=UPDATE&amp;creator=factset&amp;DYN_ARGS=TRUE&amp;DOC_NAME=FAT:FQL_AUDITING_CLIENT_TEMPLATE.FAT&amp;display_string=Audit&amp;VAR:KEY=UHKPODUPWH&amp;VAR:QUERY=RkZfRU5UUlBSX1ZBTF9EQUlMWSg0MDM2NiwsLCxVU0QsJ0RJTCcp&amp;WINDOW=FIRST_POPUP&amp;HEIGHT=450&amp;WI","DTH=450&amp;START_MAXIMIZED=FALSE&amp;VAR:CALENDAR=FIVEDAY&amp;VAR:SYMBOL=640409&amp;VAR:INDEX=0"}</definedName>
    <definedName name="_200__FDSAUDITLINK__" localSheetId="10" hidden="1">{"fdsup://directions/FAT Viewer?action=UPDATE&amp;creator=factset&amp;DYN_ARGS=TRUE&amp;DOC_NAME=FAT:FQL_AUDITING_CLIENT_TEMPLATE.FAT&amp;display_string=Audit&amp;VAR:KEY=GHMHQTKHAZ&amp;VAR:QUERY=RkZfRU5UUlBSX1ZBTF9EQUlMWSg0MDM3MiwsLCxVU0QsJ0RJTCcp&amp;WINDOW=FIRST_POPUP&amp;HEIGHT=450&amp;WI","DTH=450&amp;START_MAXIMIZED=FALSE&amp;VAR:CALENDAR=FIVEDAY&amp;VAR:SYMBOL=604260&amp;VAR:INDEX=0"}</definedName>
    <definedName name="_200__FDSAUDITLINK__" hidden="1">{"fdsup://directions/FAT Viewer?action=UPDATE&amp;creator=factset&amp;DYN_ARGS=TRUE&amp;DOC_NAME=FAT:FQL_AUDITING_CLIENT_TEMPLATE.FAT&amp;display_string=Audit&amp;VAR:KEY=GHMHQTKHAZ&amp;VAR:QUERY=RkZfRU5UUlBSX1ZBTF9EQUlMWSg0MDM3MiwsLCxVU0QsJ0RJTCcp&amp;WINDOW=FIRST_POPUP&amp;HEIGHT=450&amp;WI","DTH=450&amp;START_MAXIMIZED=FALSE&amp;VAR:CALENDAR=FIVEDAY&amp;VAR:SYMBOL=604260&amp;VAR:INDEX=0"}</definedName>
    <definedName name="_201__FDSAUDITLINK__" localSheetId="10" hidden="1">{"fdsup://directions/FAT Viewer?action=UPDATE&amp;creator=factset&amp;DYN_ARGS=TRUE&amp;DOC_NAME=FAT:FQL_AUDITING_CLIENT_TEMPLATE.FAT&amp;display_string=Audit&amp;VAR:KEY=EPAJMNEHCT&amp;VAR:QUERY=RkZfRU5UUlBSX1ZBTF9EQUlMWSg0MDM3MiwsLCwsJ0RJTCcp&amp;WINDOW=FIRST_POPUP&amp;HEIGHT=450&amp;WIDTH=","450&amp;START_MAXIMIZED=FALSE&amp;VAR:CALENDAR=FIVEDAY&amp;VAR:SYMBOL=654304&amp;VAR:INDEX=0"}</definedName>
    <definedName name="_201__FDSAUDITLINK__" hidden="1">{"fdsup://directions/FAT Viewer?action=UPDATE&amp;creator=factset&amp;DYN_ARGS=TRUE&amp;DOC_NAME=FAT:FQL_AUDITING_CLIENT_TEMPLATE.FAT&amp;display_string=Audit&amp;VAR:KEY=EPAJMNEHCT&amp;VAR:QUERY=RkZfRU5UUlBSX1ZBTF9EQUlMWSg0MDM3MiwsLCwsJ0RJTCcp&amp;WINDOW=FIRST_POPUP&amp;HEIGHT=450&amp;WIDTH=","450&amp;START_MAXIMIZED=FALSE&amp;VAR:CALENDAR=FIVEDAY&amp;VAR:SYMBOL=654304&amp;VAR:INDEX=0"}</definedName>
    <definedName name="_202__FDSAUDITLINK__" localSheetId="10" hidden="1">{"fdsup://directions/FAT Viewer?action=UPDATE&amp;creator=factset&amp;DYN_ARGS=TRUE&amp;DOC_NAME=FAT:FQL_AUDITING_CLIENT_TEMPLATE.FAT&amp;display_string=Audit&amp;VAR:KEY=CZIVQZERIF&amp;VAR:QUERY=RkZfRU5UUlBSX1ZBTF9EQUlMWSg0MDM3MiwsLCwsJ0RJTCcp&amp;WINDOW=FIRST_POPUP&amp;HEIGHT=450&amp;WIDTH=","450&amp;START_MAXIMIZED=FALSE&amp;VAR:CALENDAR=FIVEDAY&amp;VAR:SYMBOL=B04W2V&amp;VAR:INDEX=0"}</definedName>
    <definedName name="_202__FDSAUDITLINK__" hidden="1">{"fdsup://directions/FAT Viewer?action=UPDATE&amp;creator=factset&amp;DYN_ARGS=TRUE&amp;DOC_NAME=FAT:FQL_AUDITING_CLIENT_TEMPLATE.FAT&amp;display_string=Audit&amp;VAR:KEY=CZIVQZERIF&amp;VAR:QUERY=RkZfRU5UUlBSX1ZBTF9EQUlMWSg0MDM3MiwsLCwsJ0RJTCcp&amp;WINDOW=FIRST_POPUP&amp;HEIGHT=450&amp;WIDTH=","450&amp;START_MAXIMIZED=FALSE&amp;VAR:CALENDAR=FIVEDAY&amp;VAR:SYMBOL=B04W2V&amp;VAR:INDEX=0"}</definedName>
    <definedName name="_203__FDSAUDITLINK__" localSheetId="10" hidden="1">{"fdsup://directions/FAT Viewer?action=UPDATE&amp;creator=factset&amp;DYN_ARGS=TRUE&amp;DOC_NAME=FAT:FQL_AUDITING_CLIENT_TEMPLATE.FAT&amp;display_string=Audit&amp;VAR:KEY=SVIJWNUXMB&amp;VAR:QUERY=RkZfRU5UUlBSX1ZBTF9EQUlMWSg0MDM3MiwsLCwsJ0RJTCcp&amp;WINDOW=FIRST_POPUP&amp;HEIGHT=450&amp;WIDTH=","450&amp;START_MAXIMIZED=FALSE&amp;VAR:CALENDAR=FIVEDAY&amp;VAR:SYMBOL=B1TNRD&amp;VAR:INDEX=0"}</definedName>
    <definedName name="_203__FDSAUDITLINK__" hidden="1">{"fdsup://directions/FAT Viewer?action=UPDATE&amp;creator=factset&amp;DYN_ARGS=TRUE&amp;DOC_NAME=FAT:FQL_AUDITING_CLIENT_TEMPLATE.FAT&amp;display_string=Audit&amp;VAR:KEY=SVIJWNUXMB&amp;VAR:QUERY=RkZfRU5UUlBSX1ZBTF9EQUlMWSg0MDM3MiwsLCwsJ0RJTCcp&amp;WINDOW=FIRST_POPUP&amp;HEIGHT=450&amp;WIDTH=","450&amp;START_MAXIMIZED=FALSE&amp;VAR:CALENDAR=FIVEDAY&amp;VAR:SYMBOL=B1TNRD&amp;VAR:INDEX=0"}</definedName>
    <definedName name="_204__FDSAUDITLINK__" localSheetId="10" hidden="1">{"fdsup://directions/FAT Viewer?action=UPDATE&amp;creator=factset&amp;DYN_ARGS=TRUE&amp;DOC_NAME=FAT:FQL_AUDITING_CLIENT_TEMPLATE.FAT&amp;display_string=Audit&amp;VAR:KEY=KFKLKHGHYP&amp;VAR:QUERY=RkZfRU5UUlBSX1ZBTF9EQUlMWSg0MDM3MiwsLCwsJ0RJTCcp&amp;WINDOW=FIRST_POPUP&amp;HEIGHT=450&amp;WIDTH=","450&amp;START_MAXIMIZED=FALSE&amp;VAR:CALENDAR=FIVEDAY&amp;VAR:SYMBOL=616095&amp;VAR:INDEX=0"}</definedName>
    <definedName name="_204__FDSAUDITLINK__" hidden="1">{"fdsup://directions/FAT Viewer?action=UPDATE&amp;creator=factset&amp;DYN_ARGS=TRUE&amp;DOC_NAME=FAT:FQL_AUDITING_CLIENT_TEMPLATE.FAT&amp;display_string=Audit&amp;VAR:KEY=KFKLKHGHYP&amp;VAR:QUERY=RkZfRU5UUlBSX1ZBTF9EQUlMWSg0MDM3MiwsLCwsJ0RJTCcp&amp;WINDOW=FIRST_POPUP&amp;HEIGHT=450&amp;WIDTH=","450&amp;START_MAXIMIZED=FALSE&amp;VAR:CALENDAR=FIVEDAY&amp;VAR:SYMBOL=616095&amp;VAR:INDEX=0"}</definedName>
    <definedName name="_205__FDSAUDITLINK__" localSheetId="10" hidden="1">{"fdsup://directions/FAT Viewer?action=UPDATE&amp;creator=factset&amp;DYN_ARGS=TRUE&amp;DOC_NAME=FAT:FQL_AUDITING_CLIENT_TEMPLATE.FAT&amp;display_string=Audit&amp;VAR:KEY=YDEFUPCNAZ&amp;VAR:QUERY=RkZfRU5UUlBSX1ZBTF9EQUlMWSg0MDM3MiwsLCxVU0QsJ0RJTCcp&amp;WINDOW=FIRST_POPUP&amp;HEIGHT=450&amp;WI","DTH=450&amp;START_MAXIMIZED=FALSE&amp;VAR:CALENDAR=FIVEDAY&amp;VAR:SYMBOL=654304&amp;VAR:INDEX=0"}</definedName>
    <definedName name="_205__FDSAUDITLINK__" hidden="1">{"fdsup://directions/FAT Viewer?action=UPDATE&amp;creator=factset&amp;DYN_ARGS=TRUE&amp;DOC_NAME=FAT:FQL_AUDITING_CLIENT_TEMPLATE.FAT&amp;display_string=Audit&amp;VAR:KEY=YDEFUPCNAZ&amp;VAR:QUERY=RkZfRU5UUlBSX1ZBTF9EQUlMWSg0MDM3MiwsLCxVU0QsJ0RJTCcp&amp;WINDOW=FIRST_POPUP&amp;HEIGHT=450&amp;WI","DTH=450&amp;START_MAXIMIZED=FALSE&amp;VAR:CALENDAR=FIVEDAY&amp;VAR:SYMBOL=654304&amp;VAR:INDEX=0"}</definedName>
    <definedName name="_206__FDSAUDITLINK__" localSheetId="10" hidden="1">{"fdsup://directions/FAT Viewer?action=UPDATE&amp;creator=factset&amp;DYN_ARGS=TRUE&amp;DOC_NAME=FAT:FQL_AUDITING_CLIENT_TEMPLATE.FAT&amp;display_string=Audit&amp;VAR:KEY=MPQZMTIPIP&amp;VAR:QUERY=RkZfRU5UUlBSX1ZBTF9EQUlMWSg0MDM3MiwsLCxVU0QsJ0RJTCcp&amp;WINDOW=FIRST_POPUP&amp;HEIGHT=450&amp;WI","DTH=450&amp;START_MAXIMIZED=FALSE&amp;VAR:CALENDAR=FIVEDAY&amp;VAR:SYMBOL=B04W2V&amp;VAR:INDEX=0"}</definedName>
    <definedName name="_206__FDSAUDITLINK__" hidden="1">{"fdsup://directions/FAT Viewer?action=UPDATE&amp;creator=factset&amp;DYN_ARGS=TRUE&amp;DOC_NAME=FAT:FQL_AUDITING_CLIENT_TEMPLATE.FAT&amp;display_string=Audit&amp;VAR:KEY=MPQZMTIPIP&amp;VAR:QUERY=RkZfRU5UUlBSX1ZBTF9EQUlMWSg0MDM3MiwsLCxVU0QsJ0RJTCcp&amp;WINDOW=FIRST_POPUP&amp;HEIGHT=450&amp;WI","DTH=450&amp;START_MAXIMIZED=FALSE&amp;VAR:CALENDAR=FIVEDAY&amp;VAR:SYMBOL=B04W2V&amp;VAR:INDEX=0"}</definedName>
    <definedName name="_207__FDSAUDITLINK__" localSheetId="10" hidden="1">{"fdsup://directions/FAT Viewer?action=UPDATE&amp;creator=factset&amp;DYN_ARGS=TRUE&amp;DOC_NAME=FAT:FQL_AUDITING_CLIENT_TEMPLATE.FAT&amp;display_string=Audit&amp;VAR:KEY=WRWLQRWXGL&amp;VAR:QUERY=RkZfRU5UUlBSX1ZBTF9EQUlMWSg0MDM3MiwsLCxVU0QsJ0RJTCcp&amp;WINDOW=FIRST_POPUP&amp;HEIGHT=450&amp;WI","DTH=450&amp;START_MAXIMIZED=FALSE&amp;VAR:CALENDAR=FIVEDAY&amp;VAR:SYMBOL=B1TNRD&amp;VAR:INDEX=0"}</definedName>
    <definedName name="_207__FDSAUDITLINK__" hidden="1">{"fdsup://directions/FAT Viewer?action=UPDATE&amp;creator=factset&amp;DYN_ARGS=TRUE&amp;DOC_NAME=FAT:FQL_AUDITING_CLIENT_TEMPLATE.FAT&amp;display_string=Audit&amp;VAR:KEY=WRWLQRWXGL&amp;VAR:QUERY=RkZfRU5UUlBSX1ZBTF9EQUlMWSg0MDM3MiwsLCxVU0QsJ0RJTCcp&amp;WINDOW=FIRST_POPUP&amp;HEIGHT=450&amp;WI","DTH=450&amp;START_MAXIMIZED=FALSE&amp;VAR:CALENDAR=FIVEDAY&amp;VAR:SYMBOL=B1TNRD&amp;VAR:INDEX=0"}</definedName>
    <definedName name="_208__FDSAUDITLINK__" localSheetId="10" hidden="1">{"fdsup://directions/FAT Viewer?action=UPDATE&amp;creator=factset&amp;DYN_ARGS=TRUE&amp;DOC_NAME=FAT:FQL_AUDITING_CLIENT_TEMPLATE.FAT&amp;display_string=Audit&amp;VAR:KEY=KNILCFQJCZ&amp;VAR:QUERY=RkZfRU5UUlBSX1ZBTF9EQUlMWSg0MDM3MiwsLCxVU0QsJ0RJTCcp&amp;WINDOW=FIRST_POPUP&amp;HEIGHT=450&amp;WI","DTH=450&amp;START_MAXIMIZED=FALSE&amp;VAR:CALENDAR=FIVEDAY&amp;VAR:SYMBOL=616095&amp;VAR:INDEX=0"}</definedName>
    <definedName name="_208__FDSAUDITLINK__" hidden="1">{"fdsup://directions/FAT Viewer?action=UPDATE&amp;creator=factset&amp;DYN_ARGS=TRUE&amp;DOC_NAME=FAT:FQL_AUDITING_CLIENT_TEMPLATE.FAT&amp;display_string=Audit&amp;VAR:KEY=KNILCFQJCZ&amp;VAR:QUERY=RkZfRU5UUlBSX1ZBTF9EQUlMWSg0MDM3MiwsLCxVU0QsJ0RJTCcp&amp;WINDOW=FIRST_POPUP&amp;HEIGHT=450&amp;WI","DTH=450&amp;START_MAXIMIZED=FALSE&amp;VAR:CALENDAR=FIVEDAY&amp;VAR:SYMBOL=616095&amp;VAR:INDEX=0"}</definedName>
    <definedName name="_209__FDSAUDITLINK__" localSheetId="10" hidden="1">{"fdsup://directions/FAT Viewer?action=UPDATE&amp;creator=factset&amp;DYN_ARGS=TRUE&amp;DOC_NAME=FAT:FQL_AUDITING_CLIENT_TEMPLATE.FAT&amp;display_string=Audit&amp;VAR:KEY=SLENUHKNGJ&amp;VAR:QUERY=RkZfQ09HUyhBTk4sMTIvMzEvMjAwOSk=&amp;WINDOW=FIRST_POPUP&amp;HEIGHT=450&amp;WIDTH=450&amp;START_MAXIMI","ZED=FALSE&amp;VAR:CALENDAR=FIVEDAY&amp;VAR:SYMBOL=656946&amp;VAR:INDEX=0"}</definedName>
    <definedName name="_209__FDSAUDITLINK__" hidden="1">{"fdsup://directions/FAT Viewer?action=UPDATE&amp;creator=factset&amp;DYN_ARGS=TRUE&amp;DOC_NAME=FAT:FQL_AUDITING_CLIENT_TEMPLATE.FAT&amp;display_string=Audit&amp;VAR:KEY=SLENUHKNGJ&amp;VAR:QUERY=RkZfQ09HUyhBTk4sMTIvMzEvMjAwOSk=&amp;WINDOW=FIRST_POPUP&amp;HEIGHT=450&amp;WIDTH=450&amp;START_MAXIMI","ZED=FALSE&amp;VAR:CALENDAR=FIVEDAY&amp;VAR:SYMBOL=656946&amp;VAR:INDEX=0"}</definedName>
    <definedName name="_21__123Graph_ACHART_6" hidden="1">'[2]C Amer'!$B$28:$V$28</definedName>
    <definedName name="_21__FDSAUDITLINK__" localSheetId="10" hidden="1">{"fdsup://directions/FAT Viewer?action=UPDATE&amp;creator=factset&amp;DYN_ARGS=TRUE&amp;DOC_NAME=FAT:FQL_AUDITING_CLIENT_TEMPLATE.FAT&amp;display_string=Audit&amp;VAR:KEY=MDWHUFCHOV&amp;VAR:QUERY=RkZfRU5UUlBSX1ZBTF9EQUlMWSg0MDM2NiwsLCwsJ0RJTCcp&amp;WINDOW=FIRST_POPUP&amp;HEIGHT=450&amp;WIDTH=","450&amp;START_MAXIMIZED=FALSE&amp;VAR:CALENDAR=FIVEDAY&amp;VAR:SYMBOL=611177&amp;VAR:INDEX=0"}</definedName>
    <definedName name="_21__FDSAUDITLINK__" hidden="1">{"fdsup://directions/FAT Viewer?action=UPDATE&amp;creator=factset&amp;DYN_ARGS=TRUE&amp;DOC_NAME=FAT:FQL_AUDITING_CLIENT_TEMPLATE.FAT&amp;display_string=Audit&amp;VAR:KEY=MDWHUFCHOV&amp;VAR:QUERY=RkZfRU5UUlBSX1ZBTF9EQUlMWSg0MDM2NiwsLCwsJ0RJTCcp&amp;WINDOW=FIRST_POPUP&amp;HEIGHT=450&amp;WIDTH=","450&amp;START_MAXIMIZED=FALSE&amp;VAR:CALENDAR=FIVEDAY&amp;VAR:SYMBOL=611177&amp;VAR:INDEX=0"}</definedName>
    <definedName name="_210__FDSAUDITLINK__" localSheetId="10" hidden="1">{"fdsup://Directions/FactSet Auditing Viewer?action=AUDIT_VALUE&amp;DB=129&amp;ID1=656946&amp;VALUEID=02101&amp;SDATE=2009&amp;PERIODTYPE=ANN_STD&amp;window=popup_no_bar&amp;width=385&amp;height=120&amp;START_MAXIMIZED=FALSE&amp;creator=factset&amp;display_string=Audit"}</definedName>
    <definedName name="_210__FDSAUDITLINK__" hidden="1">{"fdsup://Directions/FactSet Auditing Viewer?action=AUDIT_VALUE&amp;DB=129&amp;ID1=656946&amp;VALUEID=02101&amp;SDATE=2009&amp;PERIODTYPE=ANN_STD&amp;window=popup_no_bar&amp;width=385&amp;height=120&amp;START_MAXIMIZED=FALSE&amp;creator=factset&amp;display_string=Audit"}</definedName>
    <definedName name="_211__FDSAUDITLINK__" localSheetId="10" hidden="1">{"fdsup://directions/FAT Viewer?action=UPDATE&amp;creator=factset&amp;DYN_ARGS=TRUE&amp;DOC_NAME=FAT:FQL_AUDITING_CLIENT_TEMPLATE.FAT&amp;display_string=Audit&amp;VAR:KEY=YLURYTYTSD&amp;VAR:QUERY=RkZfQ09HUyhBTk4sMTIvMzEvMjAwOSk=&amp;WINDOW=FIRST_POPUP&amp;HEIGHT=450&amp;WIDTH=450&amp;START_MAXIMI","ZED=FALSE&amp;VAR:CALENDAR=FIVEDAY&amp;VAR:SYMBOL=685850&amp;VAR:INDEX=0"}</definedName>
    <definedName name="_211__FDSAUDITLINK__" hidden="1">{"fdsup://directions/FAT Viewer?action=UPDATE&amp;creator=factset&amp;DYN_ARGS=TRUE&amp;DOC_NAME=FAT:FQL_AUDITING_CLIENT_TEMPLATE.FAT&amp;display_string=Audit&amp;VAR:KEY=YLURYTYTSD&amp;VAR:QUERY=RkZfQ09HUyhBTk4sMTIvMzEvMjAwOSk=&amp;WINDOW=FIRST_POPUP&amp;HEIGHT=450&amp;WIDTH=450&amp;START_MAXIMI","ZED=FALSE&amp;VAR:CALENDAR=FIVEDAY&amp;VAR:SYMBOL=685850&amp;VAR:INDEX=0"}</definedName>
    <definedName name="_212__FDSAUDITLINK__" localSheetId="10" hidden="1">{"fdsup://Directions/FactSet Auditing Viewer?action=AUDIT_VALUE&amp;DB=129&amp;ID1=685850&amp;VALUEID=02101&amp;SDATE=2009&amp;PERIODTYPE=ANN_STD&amp;window=popup_no_bar&amp;width=385&amp;height=120&amp;START_MAXIMIZED=FALSE&amp;creator=factset&amp;display_string=Audit"}</definedName>
    <definedName name="_212__FDSAUDITLINK__" hidden="1">{"fdsup://Directions/FactSet Auditing Viewer?action=AUDIT_VALUE&amp;DB=129&amp;ID1=685850&amp;VALUEID=02101&amp;SDATE=2009&amp;PERIODTYPE=ANN_STD&amp;window=popup_no_bar&amp;width=385&amp;height=120&amp;START_MAXIMIZED=FALSE&amp;creator=factset&amp;display_string=Audit"}</definedName>
    <definedName name="_213__FDSAUDITLINK__" localSheetId="10" hidden="1">{"fdsup://directions/FAT Viewer?action=UPDATE&amp;creator=factset&amp;DYN_ARGS=TRUE&amp;DOC_NAME=FAT:FQL_AUDITING_CLIENT_TEMPLATE.FAT&amp;display_string=Audit&amp;VAR:KEY=IVAJMDMFIN&amp;VAR:QUERY=RkZfQ09HUyhBTk4sMTIvMzEvMjAwOSk=&amp;WINDOW=FIRST_POPUP&amp;HEIGHT=450&amp;WIDTH=450&amp;START_MAXIMI","ZED=FALSE&amp;VAR:CALENDAR=FIVEDAY&amp;VAR:SYMBOL=646780&amp;VAR:INDEX=0"}</definedName>
    <definedName name="_213__FDSAUDITLINK__" hidden="1">{"fdsup://directions/FAT Viewer?action=UPDATE&amp;creator=factset&amp;DYN_ARGS=TRUE&amp;DOC_NAME=FAT:FQL_AUDITING_CLIENT_TEMPLATE.FAT&amp;display_string=Audit&amp;VAR:KEY=IVAJMDMFIN&amp;VAR:QUERY=RkZfQ09HUyhBTk4sMTIvMzEvMjAwOSk=&amp;WINDOW=FIRST_POPUP&amp;HEIGHT=450&amp;WIDTH=450&amp;START_MAXIMI","ZED=FALSE&amp;VAR:CALENDAR=FIVEDAY&amp;VAR:SYMBOL=646780&amp;VAR:INDEX=0"}</definedName>
    <definedName name="_214__FDSAUDITLINK__" localSheetId="10" hidden="1">{"fdsup://Directions/FactSet Auditing Viewer?action=AUDIT_VALUE&amp;DB=129&amp;ID1=646780&amp;VALUEID=18297&amp;SDATE=2007&amp;PERIODTYPE=ANN_STD&amp;window=popup_no_bar&amp;width=385&amp;height=120&amp;START_MAXIMIZED=FALSE&amp;creator=factset&amp;display_string=Audit"}</definedName>
    <definedName name="_214__FDSAUDITLINK__" hidden="1">{"fdsup://Directions/FactSet Auditing Viewer?action=AUDIT_VALUE&amp;DB=129&amp;ID1=646780&amp;VALUEID=18297&amp;SDATE=2007&amp;PERIODTYPE=ANN_STD&amp;window=popup_no_bar&amp;width=385&amp;height=120&amp;START_MAXIMIZED=FALSE&amp;creator=factset&amp;display_string=Audit"}</definedName>
    <definedName name="_215__FDSAUDITLINK__" localSheetId="10" hidden="1">{"fdsup://Directions/FactSet Auditing Viewer?action=AUDIT_VALUE&amp;DB=129&amp;ID1=646780&amp;VALUEID=02101&amp;SDATE=2009&amp;PERIODTYPE=ANN_STD&amp;window=popup_no_bar&amp;width=385&amp;height=120&amp;START_MAXIMIZED=FALSE&amp;creator=factset&amp;display_string=Audit"}</definedName>
    <definedName name="_215__FDSAUDITLINK__" hidden="1">{"fdsup://Directions/FactSet Auditing Viewer?action=AUDIT_VALUE&amp;DB=129&amp;ID1=646780&amp;VALUEID=02101&amp;SDATE=2009&amp;PERIODTYPE=ANN_STD&amp;window=popup_no_bar&amp;width=385&amp;height=120&amp;START_MAXIMIZED=FALSE&amp;creator=factset&amp;display_string=Audit"}</definedName>
    <definedName name="_216__FDSAUDITLINK__" localSheetId="10" hidden="1">{"fdsup://Directions/FactSet Auditing Viewer?action=AUDIT_VALUE&amp;DB=129&amp;ID1=646780&amp;VALUEID=02101&amp;SDATE=2007&amp;PERIODTYPE=ANN_STD&amp;window=popup_no_bar&amp;width=385&amp;height=120&amp;START_MAXIMIZED=FALSE&amp;creator=factset&amp;display_string=Audit"}</definedName>
    <definedName name="_216__FDSAUDITLINK__" hidden="1">{"fdsup://Directions/FactSet Auditing Viewer?action=AUDIT_VALUE&amp;DB=129&amp;ID1=646780&amp;VALUEID=02101&amp;SDATE=2007&amp;PERIODTYPE=ANN_STD&amp;window=popup_no_bar&amp;width=385&amp;height=120&amp;START_MAXIMIZED=FALSE&amp;creator=factset&amp;display_string=Audit"}</definedName>
    <definedName name="_217__FDSAUDITLINK__" localSheetId="10" hidden="1">{"fdsup://directions/FAT Viewer?action=UPDATE&amp;creator=factset&amp;DYN_ARGS=TRUE&amp;DOC_NAME=FAT:FQL_AUDITING_CLIENT_TEMPLATE.FAT&amp;display_string=Audit&amp;VAR:KEY=IHIHQVCNSX&amp;VAR:QUERY=RkZfQ09HUyhBTk4sMTIvMzEvMjAwOSk=&amp;WINDOW=FIRST_POPUP&amp;HEIGHT=450&amp;WIDTH=450&amp;START_MAXIMI","ZED=FALSE&amp;VAR:CALENDAR=FIVEDAY&amp;VAR:SYMBOL=659730&amp;VAR:INDEX=0"}</definedName>
    <definedName name="_217__FDSAUDITLINK__" hidden="1">{"fdsup://directions/FAT Viewer?action=UPDATE&amp;creator=factset&amp;DYN_ARGS=TRUE&amp;DOC_NAME=FAT:FQL_AUDITING_CLIENT_TEMPLATE.FAT&amp;display_string=Audit&amp;VAR:KEY=IHIHQVCNSX&amp;VAR:QUERY=RkZfQ09HUyhBTk4sMTIvMzEvMjAwOSk=&amp;WINDOW=FIRST_POPUP&amp;HEIGHT=450&amp;WIDTH=450&amp;START_MAXIMI","ZED=FALSE&amp;VAR:CALENDAR=FIVEDAY&amp;VAR:SYMBOL=659730&amp;VAR:INDEX=0"}</definedName>
    <definedName name="_218__FDSAUDITLINK__" localSheetId="10" hidden="1">{"fdsup://Directions/FactSet Auditing Viewer?action=AUDIT_VALUE&amp;DB=129&amp;ID1=659730&amp;VALUEID=18297&amp;SDATE=2007&amp;PERIODTYPE=ANN_STD&amp;window=popup_no_bar&amp;width=385&amp;height=120&amp;START_MAXIMIZED=FALSE&amp;creator=factset&amp;display_string=Audit"}</definedName>
    <definedName name="_218__FDSAUDITLINK__" hidden="1">{"fdsup://Directions/FactSet Auditing Viewer?action=AUDIT_VALUE&amp;DB=129&amp;ID1=659730&amp;VALUEID=18297&amp;SDATE=2007&amp;PERIODTYPE=ANN_STD&amp;window=popup_no_bar&amp;width=385&amp;height=120&amp;START_MAXIMIZED=FALSE&amp;creator=factset&amp;display_string=Audit"}</definedName>
    <definedName name="_219__FDSAUDITLINK__" localSheetId="10" hidden="1">{"fdsup://Directions/FactSet Auditing Viewer?action=AUDIT_VALUE&amp;DB=129&amp;ID1=659730&amp;VALUEID=01001&amp;SDATE=2008&amp;PERIODTYPE=ANN_STD&amp;window=popup_no_bar&amp;width=385&amp;height=120&amp;START_MAXIMIZED=FALSE&amp;creator=factset&amp;display_string=Audit"}</definedName>
    <definedName name="_219__FDSAUDITLINK__" hidden="1">{"fdsup://Directions/FactSet Auditing Viewer?action=AUDIT_VALUE&amp;DB=129&amp;ID1=659730&amp;VALUEID=01001&amp;SDATE=2008&amp;PERIODTYPE=ANN_STD&amp;window=popup_no_bar&amp;width=385&amp;height=120&amp;START_MAXIMIZED=FALSE&amp;creator=factset&amp;display_string=Audit"}</definedName>
    <definedName name="_22__123Graph_A_Chart_1A" hidden="1">'[3]Stock Price'!$B$4:$B$265</definedName>
    <definedName name="_22__123Graph_ACHART_7" hidden="1">'[2]E Asia'!$B$19:$V$19</definedName>
    <definedName name="_22__FDSAUDITLINK__" localSheetId="10" hidden="1">{"fdsup://directions/FAT Viewer?action=UPDATE&amp;creator=factset&amp;DYN_ARGS=TRUE&amp;DOC_NAME=FAT:FQL_AUDITING_CLIENT_TEMPLATE.FAT&amp;display_string=Audit&amp;VAR:KEY=OHQDWBINOJ&amp;VAR:QUERY=RkZfRU5UUlBSX1ZBTF9EQUlMWSg0MDM2NiwsLCxVU0QsJ0RJTCcp&amp;WINDOW=FIRST_POPUP&amp;HEIGHT=450&amp;WI","DTH=450&amp;START_MAXIMIZED=FALSE&amp;VAR:CALENDAR=FIVEDAY&amp;VAR:SYMBOL=611177&amp;VAR:INDEX=0"}</definedName>
    <definedName name="_22__FDSAUDITLINK__" hidden="1">{"fdsup://directions/FAT Viewer?action=UPDATE&amp;creator=factset&amp;DYN_ARGS=TRUE&amp;DOC_NAME=FAT:FQL_AUDITING_CLIENT_TEMPLATE.FAT&amp;display_string=Audit&amp;VAR:KEY=OHQDWBINOJ&amp;VAR:QUERY=RkZfRU5UUlBSX1ZBTF9EQUlMWSg0MDM2NiwsLCxVU0QsJ0RJTCcp&amp;WINDOW=FIRST_POPUP&amp;HEIGHT=450&amp;WI","DTH=450&amp;START_MAXIMIZED=FALSE&amp;VAR:CALENDAR=FIVEDAY&amp;VAR:SYMBOL=611177&amp;VAR:INDEX=0"}</definedName>
    <definedName name="_220__FDSAUDITLINK__" localSheetId="10" hidden="1">{"fdsup://Directions/FactSet Auditing Viewer?action=AUDIT_VALUE&amp;DB=129&amp;ID1=659730&amp;VALUEID=02101&amp;SDATE=2009&amp;PERIODTYPE=ANN_STD&amp;window=popup_no_bar&amp;width=385&amp;height=120&amp;START_MAXIMIZED=FALSE&amp;creator=factset&amp;display_string=Audit"}</definedName>
    <definedName name="_220__FDSAUDITLINK__" hidden="1">{"fdsup://Directions/FactSet Auditing Viewer?action=AUDIT_VALUE&amp;DB=129&amp;ID1=659730&amp;VALUEID=02101&amp;SDATE=2009&amp;PERIODTYPE=ANN_STD&amp;window=popup_no_bar&amp;width=385&amp;height=120&amp;START_MAXIMIZED=FALSE&amp;creator=factset&amp;display_string=Audit"}</definedName>
    <definedName name="_221__FDSAUDITLINK__" localSheetId="10" hidden="1">{"fdsup://Directions/FactSet Auditing Viewer?action=AUDIT_VALUE&amp;DB=129&amp;ID1=659730&amp;VALUEID=02101&amp;SDATE=2007&amp;PERIODTYPE=ANN_STD&amp;window=popup_no_bar&amp;width=385&amp;height=120&amp;START_MAXIMIZED=FALSE&amp;creator=factset&amp;display_string=Audit"}</definedName>
    <definedName name="_221__FDSAUDITLINK__" hidden="1">{"fdsup://Directions/FactSet Auditing Viewer?action=AUDIT_VALUE&amp;DB=129&amp;ID1=659730&amp;VALUEID=02101&amp;SDATE=2007&amp;PERIODTYPE=ANN_STD&amp;window=popup_no_bar&amp;width=385&amp;height=120&amp;START_MAXIMIZED=FALSE&amp;creator=factset&amp;display_string=Audit"}</definedName>
    <definedName name="_222__FDSAUDITLINK__" localSheetId="10" hidden="1">{"fdsup://directions/FAT Viewer?action=UPDATE&amp;creator=factset&amp;DYN_ARGS=TRUE&amp;DOC_NAME=FAT:FQL_AUDITING_CLIENT_TEMPLATE.FAT&amp;display_string=Audit&amp;VAR:KEY=ERSBWLEBSL&amp;VAR:QUERY=RkZfQ09HUyhBTk4sMTIvMzEvMjAwOSk=&amp;WINDOW=FIRST_POPUP&amp;HEIGHT=450&amp;WIDTH=450&amp;START_MAXIMI","ZED=FALSE&amp;VAR:CALENDAR=FIVEDAY&amp;VAR:INDEX=0"}</definedName>
    <definedName name="_222__FDSAUDITLINK__" hidden="1">{"fdsup://directions/FAT Viewer?action=UPDATE&amp;creator=factset&amp;DYN_ARGS=TRUE&amp;DOC_NAME=FAT:FQL_AUDITING_CLIENT_TEMPLATE.FAT&amp;display_string=Audit&amp;VAR:KEY=ERSBWLEBSL&amp;VAR:QUERY=RkZfQ09HUyhBTk4sMTIvMzEvMjAwOSk=&amp;WINDOW=FIRST_POPUP&amp;HEIGHT=450&amp;WIDTH=450&amp;START_MAXIMI","ZED=FALSE&amp;VAR:CALENDAR=FIVEDAY&amp;VAR:INDEX=0"}</definedName>
    <definedName name="_223__FDSAUDITLINK__" localSheetId="10" hidden="1">{"fdsup://directions/FAT Viewer?action=UPDATE&amp;creator=factset&amp;DYN_ARGS=TRUE&amp;DOC_NAME=FAT:FQL_AUDITING_CLIENT_TEMPLATE.FAT&amp;display_string=Audit&amp;VAR:KEY=ERSBWLEBSL&amp;VAR:QUERY=RkZfQ09HUyhBTk4sMTIvMzEvMjAwOSk=&amp;WINDOW=FIRST_POPUP&amp;HEIGHT=450&amp;WIDTH=450&amp;START_MAXIMI","ZED=FALSE&amp;VAR:CALENDAR=FIVEDAY&amp;VAR:INDEX=0"}</definedName>
    <definedName name="_223__FDSAUDITLINK__" hidden="1">{"fdsup://directions/FAT Viewer?action=UPDATE&amp;creator=factset&amp;DYN_ARGS=TRUE&amp;DOC_NAME=FAT:FQL_AUDITING_CLIENT_TEMPLATE.FAT&amp;display_string=Audit&amp;VAR:KEY=ERSBWLEBSL&amp;VAR:QUERY=RkZfQ09HUyhBTk4sMTIvMzEvMjAwOSk=&amp;WINDOW=FIRST_POPUP&amp;HEIGHT=450&amp;WIDTH=450&amp;START_MAXIMI","ZED=FALSE&amp;VAR:CALENDAR=FIVEDAY&amp;VAR:INDEX=0"}</definedName>
    <definedName name="_224__FDSAUDITLINK__" localSheetId="10" hidden="1">{"fdsup://directions/FAT Viewer?action=UPDATE&amp;creator=factset&amp;DYN_ARGS=TRUE&amp;DOC_NAME=FAT:FQL_AUDITING_CLIENT_TEMPLATE.FAT&amp;display_string=Audit&amp;VAR:KEY=KRAFCPATWH&amp;VAR:QUERY=RkZfQ09HUyhBTk4sMTIvMzEvMjAwOSk=&amp;WINDOW=FIRST_POPUP&amp;HEIGHT=450&amp;WIDTH=450&amp;START_MAXIMI","ZED=FALSE&amp;VAR:CALENDAR=FIVEDAY&amp;VAR:SYMBOL=B0MK5M&amp;VAR:INDEX=0"}</definedName>
    <definedName name="_224__FDSAUDITLINK__" hidden="1">{"fdsup://directions/FAT Viewer?action=UPDATE&amp;creator=factset&amp;DYN_ARGS=TRUE&amp;DOC_NAME=FAT:FQL_AUDITING_CLIENT_TEMPLATE.FAT&amp;display_string=Audit&amp;VAR:KEY=KRAFCPATWH&amp;VAR:QUERY=RkZfQ09HUyhBTk4sMTIvMzEvMjAwOSk=&amp;WINDOW=FIRST_POPUP&amp;HEIGHT=450&amp;WIDTH=450&amp;START_MAXIMI","ZED=FALSE&amp;VAR:CALENDAR=FIVEDAY&amp;VAR:SYMBOL=B0MK5M&amp;VAR:INDEX=0"}</definedName>
    <definedName name="_225__FDSAUDITLINK__" localSheetId="10" hidden="1">{"fdsup://Directions/FactSet Auditing Viewer?action=AUDIT_VALUE&amp;DB=129&amp;ID1=B0MK5M&amp;VALUEID=01001&amp;SDATE=2009&amp;PERIODTYPE=ANN_STD&amp;window=popup_no_bar&amp;width=385&amp;height=120&amp;START_MAXIMIZED=FALSE&amp;creator=factset&amp;display_string=Audit"}</definedName>
    <definedName name="_225__FDSAUDITLINK__" hidden="1">{"fdsup://Directions/FactSet Auditing Viewer?action=AUDIT_VALUE&amp;DB=129&amp;ID1=B0MK5M&amp;VALUEID=01001&amp;SDATE=2009&amp;PERIODTYPE=ANN_STD&amp;window=popup_no_bar&amp;width=385&amp;height=120&amp;START_MAXIMIZED=FALSE&amp;creator=factset&amp;display_string=Audit"}</definedName>
    <definedName name="_226__FDSAUDITLINK__" localSheetId="10" hidden="1">{"fdsup://directions/FAT Viewer?action=UPDATE&amp;creator=factset&amp;DYN_ARGS=TRUE&amp;DOC_NAME=FAT:FQL_AUDITING_CLIENT_TEMPLATE.FAT&amp;display_string=Audit&amp;VAR:KEY=EFEHOLEZUV&amp;VAR:QUERY=RkZfQ09HUyhBTk4sMTIvMzEvMjAwOSk=&amp;WINDOW=FIRST_POPUP&amp;HEIGHT=450&amp;WIDTH=450&amp;START_MAXIMI","ZED=FALSE&amp;VAR:CALENDAR=FIVEDAY&amp;VAR:SYMBOL=B0ZC0B&amp;VAR:INDEX=0"}</definedName>
    <definedName name="_226__FDSAUDITLINK__" hidden="1">{"fdsup://directions/FAT Viewer?action=UPDATE&amp;creator=factset&amp;DYN_ARGS=TRUE&amp;DOC_NAME=FAT:FQL_AUDITING_CLIENT_TEMPLATE.FAT&amp;display_string=Audit&amp;VAR:KEY=EFEHOLEZUV&amp;VAR:QUERY=RkZfQ09HUyhBTk4sMTIvMzEvMjAwOSk=&amp;WINDOW=FIRST_POPUP&amp;HEIGHT=450&amp;WIDTH=450&amp;START_MAXIMI","ZED=FALSE&amp;VAR:CALENDAR=FIVEDAY&amp;VAR:SYMBOL=B0ZC0B&amp;VAR:INDEX=0"}</definedName>
    <definedName name="_227__FDSAUDITLINK__" localSheetId="10" hidden="1">{"fdsup://Directions/FactSet Auditing Viewer?action=AUDIT_VALUE&amp;DB=129&amp;ID1=B0ZC0B&amp;VALUEID=18297&amp;SDATE=2008&amp;PERIODTYPE=ANN_STD&amp;window=popup_no_bar&amp;width=385&amp;height=120&amp;START_MAXIMIZED=FALSE&amp;creator=factset&amp;display_string=Audit"}</definedName>
    <definedName name="_227__FDSAUDITLINK__" hidden="1">{"fdsup://Directions/FactSet Auditing Viewer?action=AUDIT_VALUE&amp;DB=129&amp;ID1=B0ZC0B&amp;VALUEID=18297&amp;SDATE=2008&amp;PERIODTYPE=ANN_STD&amp;window=popup_no_bar&amp;width=385&amp;height=120&amp;START_MAXIMIZED=FALSE&amp;creator=factset&amp;display_string=Audit"}</definedName>
    <definedName name="_228__FDSAUDITLINK__" localSheetId="10" hidden="1">{"fdsup://Directions/FactSet Auditing Viewer?action=AUDIT_VALUE&amp;DB=129&amp;ID1=B0ZC0B&amp;VALUEID=01001&amp;SDATE=2009&amp;PERIODTYPE=ANN_STD&amp;window=popup_no_bar&amp;width=385&amp;height=120&amp;START_MAXIMIZED=FALSE&amp;creator=factset&amp;display_string=Audit"}</definedName>
    <definedName name="_228__FDSAUDITLINK__" hidden="1">{"fdsup://Directions/FactSet Auditing Viewer?action=AUDIT_VALUE&amp;DB=129&amp;ID1=B0ZC0B&amp;VALUEID=01001&amp;SDATE=2009&amp;PERIODTYPE=ANN_STD&amp;window=popup_no_bar&amp;width=385&amp;height=120&amp;START_MAXIMIZED=FALSE&amp;creator=factset&amp;display_string=Audit"}</definedName>
    <definedName name="_229__FDSAUDITLINK__" localSheetId="10" hidden="1">{"fdsup://directions/FAT Viewer?action=UPDATE&amp;creator=factset&amp;DYN_ARGS=TRUE&amp;DOC_NAME=FAT:FQL_AUDITING_CLIENT_TEMPLATE.FAT&amp;display_string=Audit&amp;VAR:KEY=KZAXWXSHGR&amp;VAR:QUERY=RkZfQ09HUyhBTk4sMTIvMzEvMjAwOSk=&amp;WINDOW=FIRST_POPUP&amp;HEIGHT=450&amp;WIDTH=450&amp;START_MAXIMI","ZED=FALSE&amp;VAR:CALENDAR=FIVEDAY&amp;VAR:SYMBOL=B049DZ&amp;VAR:INDEX=0"}</definedName>
    <definedName name="_229__FDSAUDITLINK__" hidden="1">{"fdsup://directions/FAT Viewer?action=UPDATE&amp;creator=factset&amp;DYN_ARGS=TRUE&amp;DOC_NAME=FAT:FQL_AUDITING_CLIENT_TEMPLATE.FAT&amp;display_string=Audit&amp;VAR:KEY=KZAXWXSHGR&amp;VAR:QUERY=RkZfQ09HUyhBTk4sMTIvMzEvMjAwOSk=&amp;WINDOW=FIRST_POPUP&amp;HEIGHT=450&amp;WIDTH=450&amp;START_MAXIMI","ZED=FALSE&amp;VAR:CALENDAR=FIVEDAY&amp;VAR:SYMBOL=B049DZ&amp;VAR:INDEX=0"}</definedName>
    <definedName name="_23__123Graph_AChart_1" hidden="1">[4]Total!$D$322:$D$325</definedName>
    <definedName name="_23__123Graph_ACHART_8" hidden="1">'[2]E Asia'!$B$14:$V$14</definedName>
    <definedName name="_23__FDSAUDITLINK__" localSheetId="10" hidden="1">{"fdsup://directions/FAT Viewer?action=UPDATE&amp;creator=factset&amp;DYN_ARGS=TRUE&amp;DOC_NAME=FAT:FQL_AUDITING_CLIENT_TEMPLATE.FAT&amp;display_string=Audit&amp;VAR:KEY=OFUXUVUJWN&amp;VAR:QUERY=RkZfRU5UUlBSX1ZBTF9EQUlMWSg0MDM2NiwsLCwsJ0RJTCcp&amp;WINDOW=FIRST_POPUP&amp;HEIGHT=450&amp;WIDTH=","450&amp;START_MAXIMIZED=FALSE&amp;VAR:CALENDAR=FIVEDAY&amp;VAR:SYMBOL=604260&amp;VAR:INDEX=0"}</definedName>
    <definedName name="_23__FDSAUDITLINK__" hidden="1">{"fdsup://directions/FAT Viewer?action=UPDATE&amp;creator=factset&amp;DYN_ARGS=TRUE&amp;DOC_NAME=FAT:FQL_AUDITING_CLIENT_TEMPLATE.FAT&amp;display_string=Audit&amp;VAR:KEY=OFUXUVUJWN&amp;VAR:QUERY=RkZfRU5UUlBSX1ZBTF9EQUlMWSg0MDM2NiwsLCwsJ0RJTCcp&amp;WINDOW=FIRST_POPUP&amp;HEIGHT=450&amp;WIDTH=","450&amp;START_MAXIMIZED=FALSE&amp;VAR:CALENDAR=FIVEDAY&amp;VAR:SYMBOL=604260&amp;VAR:INDEX=0"}</definedName>
    <definedName name="_230__FDSAUDITLINK__" localSheetId="10" hidden="1">{"fdsup://Directions/FactSet Auditing Viewer?action=AUDIT_VALUE&amp;DB=129&amp;ID1=B049DZ&amp;VALUEID=18297&amp;SDATE=2008&amp;PERIODTYPE=ANN_STD&amp;window=popup_no_bar&amp;width=385&amp;height=120&amp;START_MAXIMIZED=FALSE&amp;creator=factset&amp;display_string=Audit"}</definedName>
    <definedName name="_230__FDSAUDITLINK__" hidden="1">{"fdsup://Directions/FactSet Auditing Viewer?action=AUDIT_VALUE&amp;DB=129&amp;ID1=B049DZ&amp;VALUEID=18297&amp;SDATE=2008&amp;PERIODTYPE=ANN_STD&amp;window=popup_no_bar&amp;width=385&amp;height=120&amp;START_MAXIMIZED=FALSE&amp;creator=factset&amp;display_string=Audit"}</definedName>
    <definedName name="_231__FDSAUDITLINK__" localSheetId="10" hidden="1">{"fdsup://Directions/FactSet Auditing Viewer?action=AUDIT_VALUE&amp;DB=129&amp;ID1=B049DZ&amp;VALUEID=01001&amp;SDATE=2009&amp;PERIODTYPE=ANN_STD&amp;window=popup_no_bar&amp;width=385&amp;height=120&amp;START_MAXIMIZED=FALSE&amp;creator=factset&amp;display_string=Audit"}</definedName>
    <definedName name="_231__FDSAUDITLINK__" hidden="1">{"fdsup://Directions/FactSet Auditing Viewer?action=AUDIT_VALUE&amp;DB=129&amp;ID1=B049DZ&amp;VALUEID=01001&amp;SDATE=2009&amp;PERIODTYPE=ANN_STD&amp;window=popup_no_bar&amp;width=385&amp;height=120&amp;START_MAXIMIZED=FALSE&amp;creator=factset&amp;display_string=Audit"}</definedName>
    <definedName name="_232__FDSAUDITLINK__" localSheetId="10" hidden="1">{"fdsup://Directions/FactSet Auditing Viewer?action=AUDIT_VALUE&amp;DB=129&amp;ID1=B049DZ&amp;VALUEID=02101&amp;SDATE=2008&amp;PERIODTYPE=ANN_STD&amp;window=popup_no_bar&amp;width=385&amp;height=120&amp;START_MAXIMIZED=FALSE&amp;creator=factset&amp;display_string=Audit"}</definedName>
    <definedName name="_232__FDSAUDITLINK__" hidden="1">{"fdsup://Directions/FactSet Auditing Viewer?action=AUDIT_VALUE&amp;DB=129&amp;ID1=B049DZ&amp;VALUEID=02101&amp;SDATE=2008&amp;PERIODTYPE=ANN_STD&amp;window=popup_no_bar&amp;width=385&amp;height=120&amp;START_MAXIMIZED=FALSE&amp;creator=factset&amp;display_string=Audit"}</definedName>
    <definedName name="_233__FDSAUDITLINK__" localSheetId="10" hidden="1">{"fdsup://directions/FAT Viewer?action=UPDATE&amp;creator=factset&amp;DYN_ARGS=TRUE&amp;DOC_NAME=FAT:FQL_AUDITING_CLIENT_TEMPLATE.FAT&amp;display_string=Audit&amp;VAR:KEY=OBGVKZGDYP&amp;VAR:QUERY=RkZfQ09HUyhBTk4sMTIvMzEvMjAwOSk=&amp;WINDOW=FIRST_POPUP&amp;HEIGHT=450&amp;WIDTH=450&amp;START_MAXIMI","ZED=FALSE&amp;VAR:CALENDAR=FIVEDAY&amp;VAR:SYMBOL=B3KR9C&amp;VAR:INDEX=0"}</definedName>
    <definedName name="_233__FDSAUDITLINK__" hidden="1">{"fdsup://directions/FAT Viewer?action=UPDATE&amp;creator=factset&amp;DYN_ARGS=TRUE&amp;DOC_NAME=FAT:FQL_AUDITING_CLIENT_TEMPLATE.FAT&amp;display_string=Audit&amp;VAR:KEY=OBGVKZGDYP&amp;VAR:QUERY=RkZfQ09HUyhBTk4sMTIvMzEvMjAwOSk=&amp;WINDOW=FIRST_POPUP&amp;HEIGHT=450&amp;WIDTH=450&amp;START_MAXIMI","ZED=FALSE&amp;VAR:CALENDAR=FIVEDAY&amp;VAR:SYMBOL=B3KR9C&amp;VAR:INDEX=0"}</definedName>
    <definedName name="_234__FDSAUDITLINK__" localSheetId="10" hidden="1">{"fdsup://Directions/FactSet Auditing Viewer?action=AUDIT_VALUE&amp;DB=129&amp;ID1=B3KR9C&amp;VALUEID=01001&amp;SDATE=2008&amp;PERIODTYPE=ANN_STD&amp;window=popup_no_bar&amp;width=385&amp;height=120&amp;START_MAXIMIZED=FALSE&amp;creator=factset&amp;display_string=Audit"}</definedName>
    <definedName name="_234__FDSAUDITLINK__" hidden="1">{"fdsup://Directions/FactSet Auditing Viewer?action=AUDIT_VALUE&amp;DB=129&amp;ID1=B3KR9C&amp;VALUEID=01001&amp;SDATE=2008&amp;PERIODTYPE=ANN_STD&amp;window=popup_no_bar&amp;width=385&amp;height=120&amp;START_MAXIMIZED=FALSE&amp;creator=factset&amp;display_string=Audit"}</definedName>
    <definedName name="_235__FDSAUDITLINK__" localSheetId="10" hidden="1">{"fdsup://Directions/FactSet Auditing Viewer?action=AUDIT_VALUE&amp;DB=129&amp;ID1=B3KR9C&amp;VALUEID=02101&amp;SDATE=2009&amp;PERIODTYPE=ANN_STD&amp;window=popup_no_bar&amp;width=385&amp;height=120&amp;START_MAXIMIZED=FALSE&amp;creator=factset&amp;display_string=Audit"}</definedName>
    <definedName name="_235__FDSAUDITLINK__" hidden="1">{"fdsup://Directions/FactSet Auditing Viewer?action=AUDIT_VALUE&amp;DB=129&amp;ID1=B3KR9C&amp;VALUEID=02101&amp;SDATE=2009&amp;PERIODTYPE=ANN_STD&amp;window=popup_no_bar&amp;width=385&amp;height=120&amp;START_MAXIMIZED=FALSE&amp;creator=factset&amp;display_string=Audit"}</definedName>
    <definedName name="_236__FDSAUDITLINK__" localSheetId="10" hidden="1">{"fdsup://directions/FAT Viewer?action=UPDATE&amp;creator=factset&amp;DYN_ARGS=TRUE&amp;DOC_NAME=FAT:FQL_AUDITING_CLIENT_TEMPLATE.FAT&amp;display_string=Audit&amp;VAR:KEY=QZODGVOTGB&amp;VAR:QUERY=RkZfQ09HUyhBTk4sMTIvMzEvMjAwOSk=&amp;WINDOW=FIRST_POPUP&amp;HEIGHT=450&amp;WIDTH=450&amp;START_MAXIMI","ZED=FALSE&amp;VAR:CALENDAR=FIVEDAY&amp;VAR:SYMBOL=628625&amp;VAR:INDEX=0"}</definedName>
    <definedName name="_236__FDSAUDITLINK__" hidden="1">{"fdsup://directions/FAT Viewer?action=UPDATE&amp;creator=factset&amp;DYN_ARGS=TRUE&amp;DOC_NAME=FAT:FQL_AUDITING_CLIENT_TEMPLATE.FAT&amp;display_string=Audit&amp;VAR:KEY=QZODGVOTGB&amp;VAR:QUERY=RkZfQ09HUyhBTk4sMTIvMzEvMjAwOSk=&amp;WINDOW=FIRST_POPUP&amp;HEIGHT=450&amp;WIDTH=450&amp;START_MAXIMI","ZED=FALSE&amp;VAR:CALENDAR=FIVEDAY&amp;VAR:SYMBOL=628625&amp;VAR:INDEX=0"}</definedName>
    <definedName name="_237__FDSAUDITLINK__" localSheetId="10" hidden="1">{"fdsup://Directions/FactSet Auditing Viewer?action=AUDIT_VALUE&amp;DB=129&amp;ID1=628625&amp;VALUEID=18297&amp;SDATE=2008&amp;PERIODTYPE=ANN_STD&amp;window=popup_no_bar&amp;width=385&amp;height=120&amp;START_MAXIMIZED=FALSE&amp;creator=factset&amp;display_string=Audit"}</definedName>
    <definedName name="_237__FDSAUDITLINK__" hidden="1">{"fdsup://Directions/FactSet Auditing Viewer?action=AUDIT_VALUE&amp;DB=129&amp;ID1=628625&amp;VALUEID=18297&amp;SDATE=2008&amp;PERIODTYPE=ANN_STD&amp;window=popup_no_bar&amp;width=385&amp;height=120&amp;START_MAXIMIZED=FALSE&amp;creator=factset&amp;display_string=Audit"}</definedName>
    <definedName name="_238__FDSAUDITLINK__" localSheetId="10" hidden="1">{"fdsup://Directions/FactSet Auditing Viewer?action=AUDIT_VALUE&amp;DB=129&amp;ID1=628625&amp;VALUEID=01001&amp;SDATE=2009&amp;PERIODTYPE=ANN_STD&amp;window=popup_no_bar&amp;width=385&amp;height=120&amp;START_MAXIMIZED=FALSE&amp;creator=factset&amp;display_string=Audit"}</definedName>
    <definedName name="_238__FDSAUDITLINK__" hidden="1">{"fdsup://Directions/FactSet Auditing Viewer?action=AUDIT_VALUE&amp;DB=129&amp;ID1=628625&amp;VALUEID=01001&amp;SDATE=2009&amp;PERIODTYPE=ANN_STD&amp;window=popup_no_bar&amp;width=385&amp;height=120&amp;START_MAXIMIZED=FALSE&amp;creator=factset&amp;display_string=Audit"}</definedName>
    <definedName name="_239__FDSAUDITLINK__" localSheetId="10" hidden="1">{"fdsup://Directions/FactSet Auditing Viewer?action=AUDIT_VALUE&amp;DB=129&amp;ID1=628625&amp;VALUEID=02101&amp;SDATE=2008&amp;PERIODTYPE=ANN_STD&amp;window=popup_no_bar&amp;width=385&amp;height=120&amp;START_MAXIMIZED=FALSE&amp;creator=factset&amp;display_string=Audit"}</definedName>
    <definedName name="_239__FDSAUDITLINK__" hidden="1">{"fdsup://Directions/FactSet Auditing Viewer?action=AUDIT_VALUE&amp;DB=129&amp;ID1=628625&amp;VALUEID=02101&amp;SDATE=2008&amp;PERIODTYPE=ANN_STD&amp;window=popup_no_bar&amp;width=385&amp;height=120&amp;START_MAXIMIZED=FALSE&amp;creator=factset&amp;display_string=Audit"}</definedName>
    <definedName name="_24__123Graph_AChart_2" hidden="1">'[5]sales vol.'!$K$398:$K$401</definedName>
    <definedName name="_24__123Graph_ACHART_9" hidden="1">'[2]E Eur'!$B$19:$V$19</definedName>
    <definedName name="_24__FDSAUDITLINK__" localSheetId="10" hidden="1">{"fdsup://directions/FAT Viewer?action=UPDATE&amp;creator=factset&amp;DYN_ARGS=TRUE&amp;DOC_NAME=FAT:FQL_AUDITING_CLIENT_TEMPLATE.FAT&amp;display_string=Audit&amp;VAR:KEY=IRGPYRITKB&amp;VAR:QUERY=RkZfRU5UUlBSX1ZBTF9EQUlMWSg0MDM2NiwsLCxVU0QsJ0RJTCcp&amp;WINDOW=FIRST_POPUP&amp;HEIGHT=450&amp;WI","DTH=450&amp;START_MAXIMIZED=FALSE&amp;VAR:CALENDAR=FIVEDAY&amp;VAR:SYMBOL=604260&amp;VAR:INDEX=0"}</definedName>
    <definedName name="_24__FDSAUDITLINK__" hidden="1">{"fdsup://directions/FAT Viewer?action=UPDATE&amp;creator=factset&amp;DYN_ARGS=TRUE&amp;DOC_NAME=FAT:FQL_AUDITING_CLIENT_TEMPLATE.FAT&amp;display_string=Audit&amp;VAR:KEY=IRGPYRITKB&amp;VAR:QUERY=RkZfRU5UUlBSX1ZBTF9EQUlMWSg0MDM2NiwsLCxVU0QsJ0RJTCcp&amp;WINDOW=FIRST_POPUP&amp;HEIGHT=450&amp;WI","DTH=450&amp;START_MAXIMIZED=FALSE&amp;VAR:CALENDAR=FIVEDAY&amp;VAR:SYMBOL=604260&amp;VAR:INDEX=0"}</definedName>
    <definedName name="_240__FDSAUDITLINK__" localSheetId="10" hidden="1">{"fdsup://directions/FAT Viewer?action=UPDATE&amp;creator=factset&amp;DYN_ARGS=TRUE&amp;DOC_NAME=FAT:FQL_AUDITING_CLIENT_TEMPLATE.FAT&amp;display_string=Audit&amp;VAR:KEY=QFSVYTWPUB&amp;VAR:QUERY=RkZfQ09HUyhBTk4sMTIvMzEvMjAwOSk=&amp;WINDOW=FIRST_POPUP&amp;HEIGHT=450&amp;WIDTH=450&amp;START_MAXIMI","ZED=FALSE&amp;VAR:CALENDAR=FIVEDAY&amp;VAR:SYMBOL=B284BK&amp;VAR:INDEX=0"}</definedName>
    <definedName name="_240__FDSAUDITLINK__" hidden="1">{"fdsup://directions/FAT Viewer?action=UPDATE&amp;creator=factset&amp;DYN_ARGS=TRUE&amp;DOC_NAME=FAT:FQL_AUDITING_CLIENT_TEMPLATE.FAT&amp;display_string=Audit&amp;VAR:KEY=QFSVYTWPUB&amp;VAR:QUERY=RkZfQ09HUyhBTk4sMTIvMzEvMjAwOSk=&amp;WINDOW=FIRST_POPUP&amp;HEIGHT=450&amp;WIDTH=450&amp;START_MAXIMI","ZED=FALSE&amp;VAR:CALENDAR=FIVEDAY&amp;VAR:SYMBOL=B284BK&amp;VAR:INDEX=0"}</definedName>
    <definedName name="_241__FDSAUDITLINK__" localSheetId="10" hidden="1">{"fdsup://Directions/FactSet Auditing Viewer?action=AUDIT_VALUE&amp;DB=129&amp;ID1=B284BK&amp;VALUEID=02201&amp;SDATE=2008&amp;PERIODTYPE=ANN_STD&amp;window=popup_no_bar&amp;width=385&amp;height=120&amp;START_MAXIMIZED=FALSE&amp;creator=factset&amp;display_string=Audit"}</definedName>
    <definedName name="_241__FDSAUDITLINK__" hidden="1">{"fdsup://Directions/FactSet Auditing Viewer?action=AUDIT_VALUE&amp;DB=129&amp;ID1=B284BK&amp;VALUEID=02201&amp;SDATE=2008&amp;PERIODTYPE=ANN_STD&amp;window=popup_no_bar&amp;width=385&amp;height=120&amp;START_MAXIMIZED=FALSE&amp;creator=factset&amp;display_string=Audit"}</definedName>
    <definedName name="_242__FDSAUDITLINK__" localSheetId="10" hidden="1">{"fdsup://Directions/FactSet Auditing Viewer?action=AUDIT_VALUE&amp;DB=129&amp;ID1=B284BK&amp;VALUEID=18297&amp;SDATE=2008&amp;PERIODTYPE=ANN_STD&amp;window=popup_no_bar&amp;width=385&amp;height=120&amp;START_MAXIMIZED=FALSE&amp;creator=factset&amp;display_string=Audit"}</definedName>
    <definedName name="_242__FDSAUDITLINK__" hidden="1">{"fdsup://Directions/FactSet Auditing Viewer?action=AUDIT_VALUE&amp;DB=129&amp;ID1=B284BK&amp;VALUEID=18297&amp;SDATE=2008&amp;PERIODTYPE=ANN_STD&amp;window=popup_no_bar&amp;width=385&amp;height=120&amp;START_MAXIMIZED=FALSE&amp;creator=factset&amp;display_string=Audit"}</definedName>
    <definedName name="_243__FDSAUDITLINK__" localSheetId="10" hidden="1">{"fdsup://Directions/FactSet Auditing Viewer?action=AUDIT_VALUE&amp;DB=129&amp;ID1=B284BK&amp;VALUEID=01001&amp;SDATE=2009&amp;PERIODTYPE=ANN_STD&amp;window=popup_no_bar&amp;width=385&amp;height=120&amp;START_MAXIMIZED=FALSE&amp;creator=factset&amp;display_string=Audit"}</definedName>
    <definedName name="_243__FDSAUDITLINK__" hidden="1">{"fdsup://Directions/FactSet Auditing Viewer?action=AUDIT_VALUE&amp;DB=129&amp;ID1=B284BK&amp;VALUEID=01001&amp;SDATE=2009&amp;PERIODTYPE=ANN_STD&amp;window=popup_no_bar&amp;width=385&amp;height=120&amp;START_MAXIMIZED=FALSE&amp;creator=factset&amp;display_string=Audit"}</definedName>
    <definedName name="_244__FDSAUDITLINK__" localSheetId="10" hidden="1">{"fdsup://Directions/FactSet Auditing Viewer?action=AUDIT_VALUE&amp;DB=129&amp;ID1=B284BK&amp;VALUEID=02101&amp;SDATE=2008&amp;PERIODTYPE=ANN_STD&amp;window=popup_no_bar&amp;width=385&amp;height=120&amp;START_MAXIMIZED=FALSE&amp;creator=factset&amp;display_string=Audit"}</definedName>
    <definedName name="_244__FDSAUDITLINK__" hidden="1">{"fdsup://Directions/FactSet Auditing Viewer?action=AUDIT_VALUE&amp;DB=129&amp;ID1=B284BK&amp;VALUEID=02101&amp;SDATE=2008&amp;PERIODTYPE=ANN_STD&amp;window=popup_no_bar&amp;width=385&amp;height=120&amp;START_MAXIMIZED=FALSE&amp;creator=factset&amp;display_string=Audit"}</definedName>
    <definedName name="_245__FDSAUDITLINK__" localSheetId="10" hidden="1">{"fdsup://directions/FAT Viewer?action=UPDATE&amp;creator=factset&amp;DYN_ARGS=TRUE&amp;DOC_NAME=FAT:FQL_AUDITING_CLIENT_TEMPLATE.FAT&amp;display_string=Audit&amp;VAR:KEY=UDWPAHKHWD&amp;VAR:QUERY=RkZfTElBQlMoQU5OLDEyLzMxLzIwMDkp&amp;WINDOW=FIRST_POPUP&amp;HEIGHT=450&amp;WIDTH=450&amp;START_MAXIMI","ZED=FALSE&amp;VAR:CALENDAR=FIVEDAY&amp;VAR:SYMBOL=59132A10&amp;VAR:INDEX=0"}</definedName>
    <definedName name="_245__FDSAUDITLINK__" hidden="1">{"fdsup://directions/FAT Viewer?action=UPDATE&amp;creator=factset&amp;DYN_ARGS=TRUE&amp;DOC_NAME=FAT:FQL_AUDITING_CLIENT_TEMPLATE.FAT&amp;display_string=Audit&amp;VAR:KEY=UDWPAHKHWD&amp;VAR:QUERY=RkZfTElBQlMoQU5OLDEyLzMxLzIwMDkp&amp;WINDOW=FIRST_POPUP&amp;HEIGHT=450&amp;WIDTH=450&amp;START_MAXIMI","ZED=FALSE&amp;VAR:CALENDAR=FIVEDAY&amp;VAR:SYMBOL=59132A10&amp;VAR:INDEX=0"}</definedName>
    <definedName name="_246__FDSAUDITLINK__" localSheetId="10" hidden="1">{"fdsup://directions/FAT Viewer?action=UPDATE&amp;creator=factset&amp;DYN_ARGS=TRUE&amp;DOC_NAME=FAT:FQL_AUDITING_CLIENT_TEMPLATE.FAT&amp;display_string=Audit&amp;VAR:KEY=YFCVEXOHUF&amp;VAR:QUERY=RkZfTElBQlMoQU5OLDEyLzMxLzIwMDkp&amp;WINDOW=FIRST_POPUP&amp;HEIGHT=450&amp;WIDTH=450&amp;START_MAXIMI","ZED=FALSE&amp;VAR:CALENDAR=FIVEDAY&amp;VAR:SYMBOL=37468910&amp;VAR:INDEX=0"}</definedName>
    <definedName name="_246__FDSAUDITLINK__" hidden="1">{"fdsup://directions/FAT Viewer?action=UPDATE&amp;creator=factset&amp;DYN_ARGS=TRUE&amp;DOC_NAME=FAT:FQL_AUDITING_CLIENT_TEMPLATE.FAT&amp;display_string=Audit&amp;VAR:KEY=YFCVEXOHUF&amp;VAR:QUERY=RkZfTElBQlMoQU5OLDEyLzMxLzIwMDkp&amp;WINDOW=FIRST_POPUP&amp;HEIGHT=450&amp;WIDTH=450&amp;START_MAXIMI","ZED=FALSE&amp;VAR:CALENDAR=FIVEDAY&amp;VAR:SYMBOL=37468910&amp;VAR:INDEX=0"}</definedName>
    <definedName name="_247__FDSAUDITLINK__" localSheetId="10" hidden="1">{"fdsup://Directions/FactSet Auditing Viewer?action=AUDIT_VALUE&amp;DB=129&amp;ID1=37468910&amp;VALUEID=02999&amp;SDATE=2009&amp;PERIODTYPE=ANN_STD&amp;window=popup_no_bar&amp;width=385&amp;height=120&amp;START_MAXIMIZED=FALSE&amp;creator=factset&amp;display_string=Audit"}</definedName>
    <definedName name="_247__FDSAUDITLINK__" hidden="1">{"fdsup://Directions/FactSet Auditing Viewer?action=AUDIT_VALUE&amp;DB=129&amp;ID1=37468910&amp;VALUEID=02999&amp;SDATE=2009&amp;PERIODTYPE=ANN_STD&amp;window=popup_no_bar&amp;width=385&amp;height=120&amp;START_MAXIMIZED=FALSE&amp;creator=factset&amp;display_string=Audit"}</definedName>
    <definedName name="_248__FDSAUDITLINK__" localSheetId="10" hidden="1">{"fdsup://directions/FAT Viewer?action=UPDATE&amp;creator=factset&amp;DYN_ARGS=TRUE&amp;DOC_NAME=FAT:FQL_AUDITING_CLIENT_TEMPLATE.FAT&amp;display_string=Audit&amp;VAR:KEY=IFQPUJOPUL&amp;VAR:QUERY=RkZfTElBQlMoQU5OLDEyLzMxLzIwMDkp&amp;WINDOW=FIRST_POPUP&amp;HEIGHT=450&amp;WIDTH=450&amp;START_MAXIMI","ZED=FALSE&amp;VAR:CALENDAR=FIVEDAY&amp;VAR:SYMBOL=26788810&amp;VAR:INDEX=0"}</definedName>
    <definedName name="_248__FDSAUDITLINK__" hidden="1">{"fdsup://directions/FAT Viewer?action=UPDATE&amp;creator=factset&amp;DYN_ARGS=TRUE&amp;DOC_NAME=FAT:FQL_AUDITING_CLIENT_TEMPLATE.FAT&amp;display_string=Audit&amp;VAR:KEY=IFQPUJOPUL&amp;VAR:QUERY=RkZfTElBQlMoQU5OLDEyLzMxLzIwMDkp&amp;WINDOW=FIRST_POPUP&amp;HEIGHT=450&amp;WIDTH=450&amp;START_MAXIMI","ZED=FALSE&amp;VAR:CALENDAR=FIVEDAY&amp;VAR:SYMBOL=26788810&amp;VAR:INDEX=0"}</definedName>
    <definedName name="_249__FDSAUDITLINK__" localSheetId="10" hidden="1">{"fdsup://Directions/FactSet Auditing Viewer?action=AUDIT_VALUE&amp;DB=129&amp;ID1=26788810&amp;VALUEID=02999&amp;SDATE=2009&amp;PERIODTYPE=ANN_STD&amp;window=popup_no_bar&amp;width=385&amp;height=120&amp;START_MAXIMIZED=FALSE&amp;creator=factset&amp;display_string=Audit"}</definedName>
    <definedName name="_249__FDSAUDITLINK__" hidden="1">{"fdsup://Directions/FactSet Auditing Viewer?action=AUDIT_VALUE&amp;DB=129&amp;ID1=26788810&amp;VALUEID=02999&amp;SDATE=2009&amp;PERIODTYPE=ANN_STD&amp;window=popup_no_bar&amp;width=385&amp;height=120&amp;START_MAXIMIZED=FALSE&amp;creator=factset&amp;display_string=Audit"}</definedName>
    <definedName name="_25__123Graph_AChart_3" hidden="1">'[5]sales vol.'!$K$211:$K$214</definedName>
    <definedName name="_25__123Graph_BCHART_1" hidden="1">[2]Africa!$B$21:$V$21</definedName>
    <definedName name="_25__FDSAUDITLINK__" localSheetId="10" hidden="1">{"fdsup://directions/FAT Viewer?action=UPDATE&amp;creator=factset&amp;DYN_ARGS=TRUE&amp;DOC_NAME=FAT:FQL_AUDITING_CLIENT_TEMPLATE.FAT&amp;display_string=Audit&amp;VAR:KEY=WTONQHQDUZ&amp;VAR:QUERY=RkZfRU5UUlBSX1ZBTF9EQUlMWSg0MDM2NiwsLCwsJ0RJTCcp&amp;WINDOW=FIRST_POPUP&amp;HEIGHT=450&amp;WIDTH=","450&amp;START_MAXIMIZED=FALSE&amp;VAR:CALENDAR=FIVEDAY&amp;VAR:SYMBOL=654304&amp;VAR:INDEX=0"}</definedName>
    <definedName name="_25__FDSAUDITLINK__" hidden="1">{"fdsup://directions/FAT Viewer?action=UPDATE&amp;creator=factset&amp;DYN_ARGS=TRUE&amp;DOC_NAME=FAT:FQL_AUDITING_CLIENT_TEMPLATE.FAT&amp;display_string=Audit&amp;VAR:KEY=WTONQHQDUZ&amp;VAR:QUERY=RkZfRU5UUlBSX1ZBTF9EQUlMWSg0MDM2NiwsLCwsJ0RJTCcp&amp;WINDOW=FIRST_POPUP&amp;HEIGHT=450&amp;WIDTH=","450&amp;START_MAXIMIZED=FALSE&amp;VAR:CALENDAR=FIVEDAY&amp;VAR:SYMBOL=654304&amp;VAR:INDEX=0"}</definedName>
    <definedName name="_250__FDSAUDITLINK__" localSheetId="10" hidden="1">{"fdsup://directions/FAT Viewer?action=UPDATE&amp;creator=factset&amp;DYN_ARGS=TRUE&amp;DOC_NAME=FAT:FQL_AUDITING_CLIENT_TEMPLATE.FAT&amp;display_string=Audit&amp;VAR:KEY=YJIZKLAJON&amp;VAR:QUERY=RkZfTElBQlMoQU5OLDEyLzMxLzIwMDkp&amp;WINDOW=FIRST_POPUP&amp;HEIGHT=450&amp;WIDTH=450&amp;START_MAXIMI","ZED=FALSE&amp;VAR:CALENDAR=FIVEDAY&amp;VAR:SYMBOL=78375410&amp;VAR:INDEX=0"}</definedName>
    <definedName name="_250__FDSAUDITLINK__" hidden="1">{"fdsup://directions/FAT Viewer?action=UPDATE&amp;creator=factset&amp;DYN_ARGS=TRUE&amp;DOC_NAME=FAT:FQL_AUDITING_CLIENT_TEMPLATE.FAT&amp;display_string=Audit&amp;VAR:KEY=YJIZKLAJON&amp;VAR:QUERY=RkZfTElBQlMoQU5OLDEyLzMxLzIwMDkp&amp;WINDOW=FIRST_POPUP&amp;HEIGHT=450&amp;WIDTH=450&amp;START_MAXIMI","ZED=FALSE&amp;VAR:CALENDAR=FIVEDAY&amp;VAR:SYMBOL=78375410&amp;VAR:INDEX=0"}</definedName>
    <definedName name="_251__FDSAUDITLINK__" localSheetId="10" hidden="1">{"fdsup://directions/FAT Viewer?action=UPDATE&amp;creator=factset&amp;DYN_ARGS=TRUE&amp;DOC_NAME=FAT:FQL_AUDITING_CLIENT_TEMPLATE.FAT&amp;display_string=Audit&amp;VAR:KEY=KNUTQJCLWH&amp;VAR:QUERY=RkZfTElBQlMoQU5OLDEyLzMxLzIwMDkp&amp;WINDOW=FIRST_POPUP&amp;HEIGHT=450&amp;WIDTH=450&amp;START_MAXIMI","ZED=FALSE&amp;VAR:CALENDAR=FIVEDAY&amp;VAR:SYMBOL=85811910&amp;VAR:INDEX=0"}</definedName>
    <definedName name="_251__FDSAUDITLINK__" hidden="1">{"fdsup://directions/FAT Viewer?action=UPDATE&amp;creator=factset&amp;DYN_ARGS=TRUE&amp;DOC_NAME=FAT:FQL_AUDITING_CLIENT_TEMPLATE.FAT&amp;display_string=Audit&amp;VAR:KEY=KNUTQJCLWH&amp;VAR:QUERY=RkZfTElBQlMoQU5OLDEyLzMxLzIwMDkp&amp;WINDOW=FIRST_POPUP&amp;HEIGHT=450&amp;WIDTH=450&amp;START_MAXIMI","ZED=FALSE&amp;VAR:CALENDAR=FIVEDAY&amp;VAR:SYMBOL=85811910&amp;VAR:INDEX=0"}</definedName>
    <definedName name="_252__FDSAUDITLINK__" localSheetId="10" hidden="1">{"fdsup://Directions/FactSet Auditing Viewer?action=AUDIT_VALUE&amp;DB=129&amp;ID1=85811910&amp;VALUEID=02999&amp;SDATE=2009&amp;PERIODTYPE=ANN_STD&amp;window=popup_no_bar&amp;width=385&amp;height=120&amp;START_MAXIMIZED=FALSE&amp;creator=factset&amp;display_string=Audit"}</definedName>
    <definedName name="_252__FDSAUDITLINK__" hidden="1">{"fdsup://Directions/FactSet Auditing Viewer?action=AUDIT_VALUE&amp;DB=129&amp;ID1=85811910&amp;VALUEID=02999&amp;SDATE=2009&amp;PERIODTYPE=ANN_STD&amp;window=popup_no_bar&amp;width=385&amp;height=120&amp;START_MAXIMIZED=FALSE&amp;creator=factset&amp;display_string=Audit"}</definedName>
    <definedName name="_253__FDSAUDITLINK__" localSheetId="10" hidden="1">{"fdsup://directions/FAT Viewer?action=UPDATE&amp;creator=factset&amp;DYN_ARGS=TRUE&amp;DOC_NAME=FAT:FQL_AUDITING_CLIENT_TEMPLATE.FAT&amp;display_string=Audit&amp;VAR:KEY=QLEBUDEHGX&amp;VAR:QUERY=RkZfTElBQlMoQU5OLDEyLzMxLzIwMDkp&amp;WINDOW=FIRST_POPUP&amp;HEIGHT=450&amp;WIDTH=450&amp;START_MAXIMI","ZED=FALSE&amp;VAR:CALENDAR=FIVEDAY&amp;VAR:SYMBOL=00154710&amp;VAR:INDEX=0"}</definedName>
    <definedName name="_253__FDSAUDITLINK__" hidden="1">{"fdsup://directions/FAT Viewer?action=UPDATE&amp;creator=factset&amp;DYN_ARGS=TRUE&amp;DOC_NAME=FAT:FQL_AUDITING_CLIENT_TEMPLATE.FAT&amp;display_string=Audit&amp;VAR:KEY=QLEBUDEHGX&amp;VAR:QUERY=RkZfTElBQlMoQU5OLDEyLzMxLzIwMDkp&amp;WINDOW=FIRST_POPUP&amp;HEIGHT=450&amp;WIDTH=450&amp;START_MAXIMI","ZED=FALSE&amp;VAR:CALENDAR=FIVEDAY&amp;VAR:SYMBOL=00154710&amp;VAR:INDEX=0"}</definedName>
    <definedName name="_254__FDSAUDITLINK__" localSheetId="10" hidden="1">{"fdsup://Directions/FactSet Auditing Viewer?action=AUDIT_VALUE&amp;DB=129&amp;ID1=00154710&amp;VALUEID=02999&amp;SDATE=2009&amp;PERIODTYPE=ANN_STD&amp;window=popup_no_bar&amp;width=385&amp;height=120&amp;START_MAXIMIZED=FALSE&amp;creator=factset&amp;display_string=Audit"}</definedName>
    <definedName name="_254__FDSAUDITLINK__" hidden="1">{"fdsup://Directions/FactSet Auditing Viewer?action=AUDIT_VALUE&amp;DB=129&amp;ID1=00154710&amp;VALUEID=02999&amp;SDATE=2009&amp;PERIODTYPE=ANN_STD&amp;window=popup_no_bar&amp;width=385&amp;height=120&amp;START_MAXIMIZED=FALSE&amp;creator=factset&amp;display_string=Audit"}</definedName>
    <definedName name="_255__FDSAUDITLINK__" localSheetId="10" hidden="1">{"fdsup://directions/FAT Viewer?action=UPDATE&amp;creator=factset&amp;DYN_ARGS=TRUE&amp;DOC_NAME=FAT:FQL_AUDITING_CLIENT_TEMPLATE.FAT&amp;display_string=Audit&amp;VAR:KEY=GVETKLEPSB&amp;VAR:QUERY=RkZfTElBQlMoQU5OLDEyLzMxLzIwMDkp&amp;WINDOW=FIRST_POPUP&amp;HEIGHT=450&amp;WIDTH=450&amp;START_MAXIMI","ZED=FALSE&amp;VAR:CALENDAR=FIVEDAY&amp;VAR:SYMBOL=75950910&amp;VAR:INDEX=0"}</definedName>
    <definedName name="_255__FDSAUDITLINK__" hidden="1">{"fdsup://directions/FAT Viewer?action=UPDATE&amp;creator=factset&amp;DYN_ARGS=TRUE&amp;DOC_NAME=FAT:FQL_AUDITING_CLIENT_TEMPLATE.FAT&amp;display_string=Audit&amp;VAR:KEY=GVETKLEPSB&amp;VAR:QUERY=RkZfTElBQlMoQU5OLDEyLzMxLzIwMDkp&amp;WINDOW=FIRST_POPUP&amp;HEIGHT=450&amp;WIDTH=450&amp;START_MAXIMI","ZED=FALSE&amp;VAR:CALENDAR=FIVEDAY&amp;VAR:SYMBOL=75950910&amp;VAR:INDEX=0"}</definedName>
    <definedName name="_256__FDSAUDITLINK__" localSheetId="10" hidden="1">{"fdsup://Directions/FactSet Auditing Viewer?action=AUDIT_VALUE&amp;DB=129&amp;ID1=75950910&amp;VALUEID=02999&amp;SDATE=2009&amp;PERIODTYPE=ANN_STD&amp;window=popup_no_bar&amp;width=385&amp;height=120&amp;START_MAXIMIZED=FALSE&amp;creator=factset&amp;display_string=Audit"}</definedName>
    <definedName name="_256__FDSAUDITLINK__" hidden="1">{"fdsup://Directions/FactSet Auditing Viewer?action=AUDIT_VALUE&amp;DB=129&amp;ID1=75950910&amp;VALUEID=02999&amp;SDATE=2009&amp;PERIODTYPE=ANN_STD&amp;window=popup_no_bar&amp;width=385&amp;height=120&amp;START_MAXIMIZED=FALSE&amp;creator=factset&amp;display_string=Audit"}</definedName>
    <definedName name="_257__FDSAUDITLINK__" localSheetId="10" hidden="1">{"fdsup://directions/FAT Viewer?action=UPDATE&amp;creator=factset&amp;DYN_ARGS=TRUE&amp;DOC_NAME=FAT:FQL_AUDITING_CLIENT_TEMPLATE.FAT&amp;display_string=Audit&amp;VAR:KEY=SZQZUROTWX&amp;VAR:QUERY=RkZfTElBQlMoQU5OLDEyLzMxLzIwMDkp&amp;WINDOW=FIRST_POPUP&amp;HEIGHT=450&amp;WIDTH=450&amp;START_MAXIMI","ZED=FALSE&amp;VAR:CALENDAR=FIVEDAY&amp;VAR:SYMBOL=98181110&amp;VAR:INDEX=0"}</definedName>
    <definedName name="_257__FDSAUDITLINK__" hidden="1">{"fdsup://directions/FAT Viewer?action=UPDATE&amp;creator=factset&amp;DYN_ARGS=TRUE&amp;DOC_NAME=FAT:FQL_AUDITING_CLIENT_TEMPLATE.FAT&amp;display_string=Audit&amp;VAR:KEY=SZQZUROTWX&amp;VAR:QUERY=RkZfTElBQlMoQU5OLDEyLzMxLzIwMDkp&amp;WINDOW=FIRST_POPUP&amp;HEIGHT=450&amp;WIDTH=450&amp;START_MAXIMI","ZED=FALSE&amp;VAR:CALENDAR=FIVEDAY&amp;VAR:SYMBOL=98181110&amp;VAR:INDEX=0"}</definedName>
    <definedName name="_258__FDSAUDITLINK__" localSheetId="10" hidden="1">{"fdsup://Directions/FactSet Auditing Viewer?action=AUDIT_VALUE&amp;DB=129&amp;ID1=98181110&amp;VALUEID=02999&amp;SDATE=2008&amp;PERIODTYPE=ANN_STD&amp;window=popup_no_bar&amp;width=385&amp;height=120&amp;START_MAXIMIZED=FALSE&amp;creator=factset&amp;display_string=Audit"}</definedName>
    <definedName name="_258__FDSAUDITLINK__" hidden="1">{"fdsup://Directions/FactSet Auditing Viewer?action=AUDIT_VALUE&amp;DB=129&amp;ID1=98181110&amp;VALUEID=02999&amp;SDATE=2008&amp;PERIODTYPE=ANN_STD&amp;window=popup_no_bar&amp;width=385&amp;height=120&amp;START_MAXIMIZED=FALSE&amp;creator=factset&amp;display_string=Audit"}</definedName>
    <definedName name="_259__FDSAUDITLINK__" localSheetId="10" hidden="1">{"fdsup://directions/FAT Viewer?action=UPDATE&amp;creator=factset&amp;DYN_ARGS=TRUE&amp;DOC_NAME=FAT:FQL_AUDITING_CLIENT_TEMPLATE.FAT&amp;display_string=Audit&amp;VAR:KEY=KFUNQZUXSB&amp;VAR:QUERY=RkZfTElBQlMoQU5OLDEyLzMxLzIwMDkp&amp;WINDOW=FIRST_POPUP&amp;HEIGHT=450&amp;WIDTH=450&amp;START_MAXIMI","ZED=FALSE&amp;VAR:CALENDAR=FIVEDAY&amp;VAR:SYMBOL=80688210&amp;VAR:INDEX=0"}</definedName>
    <definedName name="_259__FDSAUDITLINK__" hidden="1">{"fdsup://directions/FAT Viewer?action=UPDATE&amp;creator=factset&amp;DYN_ARGS=TRUE&amp;DOC_NAME=FAT:FQL_AUDITING_CLIENT_TEMPLATE.FAT&amp;display_string=Audit&amp;VAR:KEY=KFUNQZUXSB&amp;VAR:QUERY=RkZfTElBQlMoQU5OLDEyLzMxLzIwMDkp&amp;WINDOW=FIRST_POPUP&amp;HEIGHT=450&amp;WIDTH=450&amp;START_MAXIMI","ZED=FALSE&amp;VAR:CALENDAR=FIVEDAY&amp;VAR:SYMBOL=80688210&amp;VAR:INDEX=0"}</definedName>
    <definedName name="_26__123Graph_AChart_4" hidden="1">'[5]sales vol.'!$J$1121:$J$1122</definedName>
    <definedName name="_26__123Graph_BCHART_10" hidden="1">'[2]E Eur'!$B$51:$V$51</definedName>
    <definedName name="_26__FDSAUDITLINK__" localSheetId="10" hidden="1">{"fdsup://directions/FAT Viewer?action=UPDATE&amp;creator=factset&amp;DYN_ARGS=TRUE&amp;DOC_NAME=FAT:FQL_AUDITING_CLIENT_TEMPLATE.FAT&amp;display_string=Audit&amp;VAR:KEY=QJOLOPGHWH&amp;VAR:QUERY=RkZfRU5UUlBSX1ZBTF9EQUlMWSg0MDM2NiwsLCxVU0QsJ0RJTCcp&amp;WINDOW=FIRST_POPUP&amp;HEIGHT=450&amp;WI","DTH=450&amp;START_MAXIMIZED=FALSE&amp;VAR:CALENDAR=FIVEDAY&amp;VAR:SYMBOL=654304&amp;VAR:INDEX=0"}</definedName>
    <definedName name="_26__FDSAUDITLINK__" hidden="1">{"fdsup://directions/FAT Viewer?action=UPDATE&amp;creator=factset&amp;DYN_ARGS=TRUE&amp;DOC_NAME=FAT:FQL_AUDITING_CLIENT_TEMPLATE.FAT&amp;display_string=Audit&amp;VAR:KEY=QJOLOPGHWH&amp;VAR:QUERY=RkZfRU5UUlBSX1ZBTF9EQUlMWSg0MDM2NiwsLCxVU0QsJ0RJTCcp&amp;WINDOW=FIRST_POPUP&amp;HEIGHT=450&amp;WI","DTH=450&amp;START_MAXIMIZED=FALSE&amp;VAR:CALENDAR=FIVEDAY&amp;VAR:SYMBOL=654304&amp;VAR:INDEX=0"}</definedName>
    <definedName name="_260__FDSAUDITLINK__" localSheetId="10" hidden="1">{"fdsup://Directions/FactSet Auditing Viewer?action=AUDIT_VALUE&amp;DB=129&amp;ID1=80688210&amp;VALUEID=02999&amp;SDATE=2009&amp;PERIODTYPE=ANN_STD&amp;window=popup_no_bar&amp;width=385&amp;height=120&amp;START_MAXIMIZED=FALSE&amp;creator=factset&amp;display_string=Audit"}</definedName>
    <definedName name="_260__FDSAUDITLINK__" hidden="1">{"fdsup://Directions/FactSet Auditing Viewer?action=AUDIT_VALUE&amp;DB=129&amp;ID1=80688210&amp;VALUEID=02999&amp;SDATE=2009&amp;PERIODTYPE=ANN_STD&amp;window=popup_no_bar&amp;width=385&amp;height=120&amp;START_MAXIMIZED=FALSE&amp;creator=factset&amp;display_string=Audit"}</definedName>
    <definedName name="_261__FDSAUDITLINK__" localSheetId="10" hidden="1">{"fdsup://directions/FAT Viewer?action=UPDATE&amp;creator=factset&amp;DYN_ARGS=TRUE&amp;DOC_NAME=FAT:FQL_AUDITING_CLIENT_TEMPLATE.FAT&amp;display_string=Audit&amp;VAR:KEY=EHAVOBIJIT&amp;VAR:QUERY=RkZfTElBQlMoQU5OLDEyLzMxLzIwMDkp&amp;WINDOW=FIRST_POPUP&amp;HEIGHT=450&amp;WIDTH=450&amp;START_MAXIMI","ZED=FALSE&amp;VAR:CALENDAR=FIVEDAY&amp;VAR:SYMBOL=67034610&amp;VAR:INDEX=0"}</definedName>
    <definedName name="_261__FDSAUDITLINK__" hidden="1">{"fdsup://directions/FAT Viewer?action=UPDATE&amp;creator=factset&amp;DYN_ARGS=TRUE&amp;DOC_NAME=FAT:FQL_AUDITING_CLIENT_TEMPLATE.FAT&amp;display_string=Audit&amp;VAR:KEY=EHAVOBIJIT&amp;VAR:QUERY=RkZfTElBQlMoQU5OLDEyLzMxLzIwMDkp&amp;WINDOW=FIRST_POPUP&amp;HEIGHT=450&amp;WIDTH=450&amp;START_MAXIMI","ZED=FALSE&amp;VAR:CALENDAR=FIVEDAY&amp;VAR:SYMBOL=67034610&amp;VAR:INDEX=0"}</definedName>
    <definedName name="_262__FDSAUDITLINK__" localSheetId="10" hidden="1">{"fdsup://Directions/FactSet Auditing Viewer?action=AUDIT_VALUE&amp;DB=129&amp;ID1=67034610&amp;VALUEID=02999&amp;SDATE=2009&amp;PERIODTYPE=ANN_STD&amp;window=popup_no_bar&amp;width=385&amp;height=120&amp;START_MAXIMIZED=FALSE&amp;creator=factset&amp;display_string=Audit"}</definedName>
    <definedName name="_262__FDSAUDITLINK__" hidden="1">{"fdsup://Directions/FactSet Auditing Viewer?action=AUDIT_VALUE&amp;DB=129&amp;ID1=67034610&amp;VALUEID=02999&amp;SDATE=2009&amp;PERIODTYPE=ANN_STD&amp;window=popup_no_bar&amp;width=385&amp;height=120&amp;START_MAXIMIZED=FALSE&amp;creator=factset&amp;display_string=Audit"}</definedName>
    <definedName name="_263__FDSAUDITLINK__" localSheetId="10" hidden="1">{"fdsup://directions/FAT Viewer?action=UPDATE&amp;creator=factset&amp;DYN_ARGS=TRUE&amp;DOC_NAME=FAT:FQL_AUDITING_CLIENT_TEMPLATE.FAT&amp;display_string=Audit&amp;VAR:KEY=IXKLCFQTYZ&amp;VAR:QUERY=RkZfTElBQlMoQU5OLDEyLzMxLzIwMDkp&amp;WINDOW=FIRST_POPUP&amp;HEIGHT=450&amp;WIDTH=450&amp;START_MAXIMI","ZED=FALSE&amp;VAR:CALENDAR=FIVEDAY&amp;VAR:INDEX=0"}</definedName>
    <definedName name="_263__FDSAUDITLINK__" hidden="1">{"fdsup://directions/FAT Viewer?action=UPDATE&amp;creator=factset&amp;DYN_ARGS=TRUE&amp;DOC_NAME=FAT:FQL_AUDITING_CLIENT_TEMPLATE.FAT&amp;display_string=Audit&amp;VAR:KEY=IXKLCFQTYZ&amp;VAR:QUERY=RkZfTElBQlMoQU5OLDEyLzMxLzIwMDkp&amp;WINDOW=FIRST_POPUP&amp;HEIGHT=450&amp;WIDTH=450&amp;START_MAXIMI","ZED=FALSE&amp;VAR:CALENDAR=FIVEDAY&amp;VAR:INDEX=0"}</definedName>
    <definedName name="_264__FDSAUDITLINK__" localSheetId="10" hidden="1">{"fdsup://directions/FAT Viewer?action=UPDATE&amp;creator=factset&amp;DYN_ARGS=TRUE&amp;DOC_NAME=FAT:FQL_AUDITING_CLIENT_TEMPLATE.FAT&amp;display_string=Audit&amp;VAR:KEY=IXKLCFQTYZ&amp;VAR:QUERY=RkZfTElBQlMoQU5OLDEyLzMxLzIwMDkp&amp;WINDOW=FIRST_POPUP&amp;HEIGHT=450&amp;WIDTH=450&amp;START_MAXIMI","ZED=FALSE&amp;VAR:CALENDAR=FIVEDAY&amp;VAR:INDEX=0"}</definedName>
    <definedName name="_264__FDSAUDITLINK__" hidden="1">{"fdsup://directions/FAT Viewer?action=UPDATE&amp;creator=factset&amp;DYN_ARGS=TRUE&amp;DOC_NAME=FAT:FQL_AUDITING_CLIENT_TEMPLATE.FAT&amp;display_string=Audit&amp;VAR:KEY=IXKLCFQTYZ&amp;VAR:QUERY=RkZfTElBQlMoQU5OLDEyLzMxLzIwMDkp&amp;WINDOW=FIRST_POPUP&amp;HEIGHT=450&amp;WIDTH=450&amp;START_MAXIMI","ZED=FALSE&amp;VAR:CALENDAR=FIVEDAY&amp;VAR:INDEX=0"}</definedName>
    <definedName name="_265__FDSAUDITLINK__" localSheetId="10" hidden="1">{"fdsup://directions/FAT Viewer?action=UPDATE&amp;creator=factset&amp;DYN_ARGS=TRUE&amp;DOC_NAME=FAT:FQL_AUDITING_CLIENT_TEMPLATE.FAT&amp;display_string=Audit&amp;VAR:KEY=YTAPEHKHUN&amp;VAR:QUERY=RkZfTElBQlMoQU5OLDEyLzMxLzIwMDkp&amp;WINDOW=FIRST_POPUP&amp;HEIGHT=450&amp;WIDTH=450&amp;START_MAXIMI","ZED=FALSE&amp;VAR:CALENDAR=FIVEDAY&amp;VAR:SYMBOL=672388&amp;VAR:INDEX=0"}</definedName>
    <definedName name="_265__FDSAUDITLINK__" hidden="1">{"fdsup://directions/FAT Viewer?action=UPDATE&amp;creator=factset&amp;DYN_ARGS=TRUE&amp;DOC_NAME=FAT:FQL_AUDITING_CLIENT_TEMPLATE.FAT&amp;display_string=Audit&amp;VAR:KEY=YTAPEHKHUN&amp;VAR:QUERY=RkZfTElBQlMoQU5OLDEyLzMxLzIwMDkp&amp;WINDOW=FIRST_POPUP&amp;HEIGHT=450&amp;WIDTH=450&amp;START_MAXIMI","ZED=FALSE&amp;VAR:CALENDAR=FIVEDAY&amp;VAR:SYMBOL=672388&amp;VAR:INDEX=0"}</definedName>
    <definedName name="_266__FDSAUDITLINK__" localSheetId="10" hidden="1">{"fdsup://Directions/FactSet Auditing Viewer?action=AUDIT_VALUE&amp;DB=129&amp;ID1=672388&amp;VALUEID=02999&amp;SDATE=2009&amp;PERIODTYPE=ANN_STD&amp;window=popup_no_bar&amp;width=385&amp;height=120&amp;START_MAXIMIZED=FALSE&amp;creator=factset&amp;display_string=Audit"}</definedName>
    <definedName name="_266__FDSAUDITLINK__" hidden="1">{"fdsup://Directions/FactSet Auditing Viewer?action=AUDIT_VALUE&amp;DB=129&amp;ID1=672388&amp;VALUEID=02999&amp;SDATE=2009&amp;PERIODTYPE=ANN_STD&amp;window=popup_no_bar&amp;width=385&amp;height=120&amp;START_MAXIMIZED=FALSE&amp;creator=factset&amp;display_string=Audit"}</definedName>
    <definedName name="_267__FDSAUDITLINK__" localSheetId="10" hidden="1">{"fdsup://directions/FAT Viewer?action=UPDATE&amp;creator=factset&amp;DYN_ARGS=TRUE&amp;DOC_NAME=FAT:FQL_AUDITING_CLIENT_TEMPLATE.FAT&amp;display_string=Audit&amp;VAR:KEY=WZWZCRQXEB&amp;VAR:QUERY=RkZfTElBQlMoQU5OLDEyLzMxLzIwMDkp&amp;WINDOW=FIRST_POPUP&amp;HEIGHT=450&amp;WIDTH=450&amp;START_MAXIMI","ZED=FALSE&amp;VAR:CALENDAR=FIVEDAY&amp;VAR:SYMBOL=656946&amp;VAR:INDEX=0"}</definedName>
    <definedName name="_267__FDSAUDITLINK__" hidden="1">{"fdsup://directions/FAT Viewer?action=UPDATE&amp;creator=factset&amp;DYN_ARGS=TRUE&amp;DOC_NAME=FAT:FQL_AUDITING_CLIENT_TEMPLATE.FAT&amp;display_string=Audit&amp;VAR:KEY=WZWZCRQXEB&amp;VAR:QUERY=RkZfTElBQlMoQU5OLDEyLzMxLzIwMDkp&amp;WINDOW=FIRST_POPUP&amp;HEIGHT=450&amp;WIDTH=450&amp;START_MAXIMI","ZED=FALSE&amp;VAR:CALENDAR=FIVEDAY&amp;VAR:SYMBOL=656946&amp;VAR:INDEX=0"}</definedName>
    <definedName name="_268__FDSAUDITLINK__" localSheetId="10" hidden="1">{"fdsup://directions/FAT Viewer?action=UPDATE&amp;creator=factset&amp;DYN_ARGS=TRUE&amp;DOC_NAME=FAT:FQL_AUDITING_CLIENT_TEMPLATE.FAT&amp;display_string=Audit&amp;VAR:KEY=SPOVAPUPMR&amp;VAR:QUERY=RkZfTElBQlMoQU5OLDEyLzMxLzIwMDkp&amp;WINDOW=FIRST_POPUP&amp;HEIGHT=450&amp;WIDTH=450&amp;START_MAXIMI","ZED=FALSE&amp;VAR:CALENDAR=FIVEDAY&amp;VAR:SYMBOL=685850&amp;VAR:INDEX=0"}</definedName>
    <definedName name="_268__FDSAUDITLINK__" hidden="1">{"fdsup://directions/FAT Viewer?action=UPDATE&amp;creator=factset&amp;DYN_ARGS=TRUE&amp;DOC_NAME=FAT:FQL_AUDITING_CLIENT_TEMPLATE.FAT&amp;display_string=Audit&amp;VAR:KEY=SPOVAPUPMR&amp;VAR:QUERY=RkZfTElBQlMoQU5OLDEyLzMxLzIwMDkp&amp;WINDOW=FIRST_POPUP&amp;HEIGHT=450&amp;WIDTH=450&amp;START_MAXIMI","ZED=FALSE&amp;VAR:CALENDAR=FIVEDAY&amp;VAR:SYMBOL=685850&amp;VAR:INDEX=0"}</definedName>
    <definedName name="_269__FDSAUDITLINK__" localSheetId="10" hidden="1">{"fdsup://directions/FAT Viewer?action=UPDATE&amp;creator=factset&amp;DYN_ARGS=TRUE&amp;DOC_NAME=FAT:FQL_AUDITING_CLIENT_TEMPLATE.FAT&amp;display_string=Audit&amp;VAR:KEY=ENYDKBIHYL&amp;VAR:QUERY=RkZfTElBQlMoQU5OLDEyLzMxLzIwMDkp&amp;WINDOW=FIRST_POPUP&amp;HEIGHT=450&amp;WIDTH=450&amp;START_MAXIMI","ZED=FALSE&amp;VAR:CALENDAR=FIVEDAY&amp;VAR:SYMBOL=646780&amp;VAR:INDEX=0"}</definedName>
    <definedName name="_269__FDSAUDITLINK__" hidden="1">{"fdsup://directions/FAT Viewer?action=UPDATE&amp;creator=factset&amp;DYN_ARGS=TRUE&amp;DOC_NAME=FAT:FQL_AUDITING_CLIENT_TEMPLATE.FAT&amp;display_string=Audit&amp;VAR:KEY=ENYDKBIHYL&amp;VAR:QUERY=RkZfTElBQlMoQU5OLDEyLzMxLzIwMDkp&amp;WINDOW=FIRST_POPUP&amp;HEIGHT=450&amp;WIDTH=450&amp;START_MAXIMI","ZED=FALSE&amp;VAR:CALENDAR=FIVEDAY&amp;VAR:SYMBOL=646780&amp;VAR:INDEX=0"}</definedName>
    <definedName name="_27__123Graph_AChart_5" hidden="1">'[5]sales vol.'!$J$1632:$J$1635</definedName>
    <definedName name="_27__123Graph_BCHART_13" hidden="1">[2]Mideast!$B$21:$V$21</definedName>
    <definedName name="_27__FDSAUDITLINK__" localSheetId="10" hidden="1">{"fdsup://directions/FAT Viewer?action=UPDATE&amp;creator=factset&amp;DYN_ARGS=TRUE&amp;DOC_NAME=FAT:FQL_AUDITING_CLIENT_TEMPLATE.FAT&amp;display_string=Audit&amp;VAR:KEY=KFEZCLCRSD&amp;VAR:QUERY=RkZfRU5UUlBSX1ZBTF9EQUlMWSg0MDM2NiwsLCwsJ0RJTCcp&amp;WINDOW=FIRST_POPUP&amp;HEIGHT=450&amp;WIDTH=","450&amp;START_MAXIMIZED=FALSE&amp;VAR:CALENDAR=FIVEDAY&amp;VAR:SYMBOL=B04W2V&amp;VAR:INDEX=0"}</definedName>
    <definedName name="_27__FDSAUDITLINK__" hidden="1">{"fdsup://directions/FAT Viewer?action=UPDATE&amp;creator=factset&amp;DYN_ARGS=TRUE&amp;DOC_NAME=FAT:FQL_AUDITING_CLIENT_TEMPLATE.FAT&amp;display_string=Audit&amp;VAR:KEY=KFEZCLCRSD&amp;VAR:QUERY=RkZfRU5UUlBSX1ZBTF9EQUlMWSg0MDM2NiwsLCwsJ0RJTCcp&amp;WINDOW=FIRST_POPUP&amp;HEIGHT=450&amp;WIDTH=","450&amp;START_MAXIMIZED=FALSE&amp;VAR:CALENDAR=FIVEDAY&amp;VAR:SYMBOL=B04W2V&amp;VAR:INDEX=0"}</definedName>
    <definedName name="_270__FDSAUDITLINK__" localSheetId="10" hidden="1">{"fdsup://directions/FAT Viewer?action=UPDATE&amp;creator=factset&amp;DYN_ARGS=TRUE&amp;DOC_NAME=FAT:FQL_AUDITING_CLIENT_TEMPLATE.FAT&amp;display_string=Audit&amp;VAR:KEY=CVMXCTQTYX&amp;VAR:QUERY=RkZfTElBQlMoQU5OLDEyLzMxLzIwMDkp&amp;WINDOW=FIRST_POPUP&amp;HEIGHT=450&amp;WIDTH=450&amp;START_MAXIMI","ZED=FALSE&amp;VAR:CALENDAR=FIVEDAY&amp;VAR:SYMBOL=659730&amp;VAR:INDEX=0"}</definedName>
    <definedName name="_270__FDSAUDITLINK__" hidden="1">{"fdsup://directions/FAT Viewer?action=UPDATE&amp;creator=factset&amp;DYN_ARGS=TRUE&amp;DOC_NAME=FAT:FQL_AUDITING_CLIENT_TEMPLATE.FAT&amp;display_string=Audit&amp;VAR:KEY=CVMXCTQTYX&amp;VAR:QUERY=RkZfTElBQlMoQU5OLDEyLzMxLzIwMDkp&amp;WINDOW=FIRST_POPUP&amp;HEIGHT=450&amp;WIDTH=450&amp;START_MAXIMI","ZED=FALSE&amp;VAR:CALENDAR=FIVEDAY&amp;VAR:SYMBOL=659730&amp;VAR:INDEX=0"}</definedName>
    <definedName name="_271__FDSAUDITLINK__" localSheetId="10" hidden="1">{"fdsup://Directions/FactSet Auditing Viewer?action=AUDIT_VALUE&amp;DB=129&amp;ID1=659730&amp;VALUEID=02999&amp;SDATE=2008&amp;PERIODTYPE=ANN_STD&amp;window=popup_no_bar&amp;width=385&amp;height=120&amp;START_MAXIMIZED=FALSE&amp;creator=factset&amp;display_string=Audit"}</definedName>
    <definedName name="_271__FDSAUDITLINK__" hidden="1">{"fdsup://Directions/FactSet Auditing Viewer?action=AUDIT_VALUE&amp;DB=129&amp;ID1=659730&amp;VALUEID=02999&amp;SDATE=2008&amp;PERIODTYPE=ANN_STD&amp;window=popup_no_bar&amp;width=385&amp;height=120&amp;START_MAXIMIZED=FALSE&amp;creator=factset&amp;display_string=Audit"}</definedName>
    <definedName name="_272__FDSAUDITLINK__" localSheetId="10" hidden="1">{"fdsup://directions/FAT Viewer?action=UPDATE&amp;creator=factset&amp;DYN_ARGS=TRUE&amp;DOC_NAME=FAT:FQL_AUDITING_CLIENT_TEMPLATE.FAT&amp;display_string=Audit&amp;VAR:KEY=IXKLCFQTYZ&amp;VAR:QUERY=RkZfTElBQlMoQU5OLDEyLzMxLzIwMDkp&amp;WINDOW=FIRST_POPUP&amp;HEIGHT=450&amp;WIDTH=450&amp;START_MAXIMI","ZED=FALSE&amp;VAR:CALENDAR=FIVEDAY&amp;VAR:INDEX=0"}</definedName>
    <definedName name="_272__FDSAUDITLINK__" hidden="1">{"fdsup://directions/FAT Viewer?action=UPDATE&amp;creator=factset&amp;DYN_ARGS=TRUE&amp;DOC_NAME=FAT:FQL_AUDITING_CLIENT_TEMPLATE.FAT&amp;display_string=Audit&amp;VAR:KEY=IXKLCFQTYZ&amp;VAR:QUERY=RkZfTElBQlMoQU5OLDEyLzMxLzIwMDkp&amp;WINDOW=FIRST_POPUP&amp;HEIGHT=450&amp;WIDTH=450&amp;START_MAXIMI","ZED=FALSE&amp;VAR:CALENDAR=FIVEDAY&amp;VAR:INDEX=0"}</definedName>
    <definedName name="_273__FDSAUDITLINK__" localSheetId="10" hidden="1">{"fdsup://directions/FAT Viewer?action=UPDATE&amp;creator=factset&amp;DYN_ARGS=TRUE&amp;DOC_NAME=FAT:FQL_AUDITING_CLIENT_TEMPLATE.FAT&amp;display_string=Audit&amp;VAR:KEY=IXKLCFQTYZ&amp;VAR:QUERY=RkZfTElBQlMoQU5OLDEyLzMxLzIwMDkp&amp;WINDOW=FIRST_POPUP&amp;HEIGHT=450&amp;WIDTH=450&amp;START_MAXIMI","ZED=FALSE&amp;VAR:CALENDAR=FIVEDAY&amp;VAR:INDEX=0"}</definedName>
    <definedName name="_273__FDSAUDITLINK__" hidden="1">{"fdsup://directions/FAT Viewer?action=UPDATE&amp;creator=factset&amp;DYN_ARGS=TRUE&amp;DOC_NAME=FAT:FQL_AUDITING_CLIENT_TEMPLATE.FAT&amp;display_string=Audit&amp;VAR:KEY=IXKLCFQTYZ&amp;VAR:QUERY=RkZfTElBQlMoQU5OLDEyLzMxLzIwMDkp&amp;WINDOW=FIRST_POPUP&amp;HEIGHT=450&amp;WIDTH=450&amp;START_MAXIMI","ZED=FALSE&amp;VAR:CALENDAR=FIVEDAY&amp;VAR:INDEX=0"}</definedName>
    <definedName name="_274__FDSAUDITLINK__" localSheetId="10" hidden="1">{"fdsup://directions/FAT Viewer?action=UPDATE&amp;creator=factset&amp;DYN_ARGS=TRUE&amp;DOC_NAME=FAT:FQL_AUDITING_CLIENT_TEMPLATE.FAT&amp;display_string=Audit&amp;VAR:KEY=KXILCRYZIP&amp;VAR:QUERY=RkZfTElBQlMoQU5OLDEyLzMxLzIwMDkp&amp;WINDOW=FIRST_POPUP&amp;HEIGHT=450&amp;WIDTH=450&amp;START_MAXIMI","ZED=FALSE&amp;VAR:CALENDAR=FIVEDAY&amp;VAR:SYMBOL=B0MK5M&amp;VAR:INDEX=0"}</definedName>
    <definedName name="_274__FDSAUDITLINK__" hidden="1">{"fdsup://directions/FAT Viewer?action=UPDATE&amp;creator=factset&amp;DYN_ARGS=TRUE&amp;DOC_NAME=FAT:FQL_AUDITING_CLIENT_TEMPLATE.FAT&amp;display_string=Audit&amp;VAR:KEY=KXILCRYZIP&amp;VAR:QUERY=RkZfTElBQlMoQU5OLDEyLzMxLzIwMDkp&amp;WINDOW=FIRST_POPUP&amp;HEIGHT=450&amp;WIDTH=450&amp;START_MAXIMI","ZED=FALSE&amp;VAR:CALENDAR=FIVEDAY&amp;VAR:SYMBOL=B0MK5M&amp;VAR:INDEX=0"}</definedName>
    <definedName name="_275__FDSAUDITLINK__" localSheetId="10" hidden="1">{"fdsup://Directions/FactSet Auditing Viewer?action=AUDIT_VALUE&amp;DB=129&amp;ID1=B0MK5M&amp;VALUEID=02999&amp;SDATE=2009&amp;PERIODTYPE=ANN_STD&amp;window=popup_no_bar&amp;width=385&amp;height=120&amp;START_MAXIMIZED=FALSE&amp;creator=factset&amp;display_string=Audit"}</definedName>
    <definedName name="_275__FDSAUDITLINK__" hidden="1">{"fdsup://Directions/FactSet Auditing Viewer?action=AUDIT_VALUE&amp;DB=129&amp;ID1=B0MK5M&amp;VALUEID=02999&amp;SDATE=2009&amp;PERIODTYPE=ANN_STD&amp;window=popup_no_bar&amp;width=385&amp;height=120&amp;START_MAXIMIZED=FALSE&amp;creator=factset&amp;display_string=Audit"}</definedName>
    <definedName name="_276__FDSAUDITLINK__" localSheetId="10" hidden="1">{"fdsup://directions/FAT Viewer?action=UPDATE&amp;creator=factset&amp;DYN_ARGS=TRUE&amp;DOC_NAME=FAT:FQL_AUDITING_CLIENT_TEMPLATE.FAT&amp;display_string=Audit&amp;VAR:KEY=GBKZQNYJEB&amp;VAR:QUERY=RkZfTElBQlMoQU5OLDEyLzMxLzIwMDkp&amp;WINDOW=FIRST_POPUP&amp;HEIGHT=450&amp;WIDTH=450&amp;START_MAXIMI","ZED=FALSE&amp;VAR:CALENDAR=FIVEDAY&amp;VAR:SYMBOL=B0ZC0B&amp;VAR:INDEX=0"}</definedName>
    <definedName name="_276__FDSAUDITLINK__" hidden="1">{"fdsup://directions/FAT Viewer?action=UPDATE&amp;creator=factset&amp;DYN_ARGS=TRUE&amp;DOC_NAME=FAT:FQL_AUDITING_CLIENT_TEMPLATE.FAT&amp;display_string=Audit&amp;VAR:KEY=GBKZQNYJEB&amp;VAR:QUERY=RkZfTElBQlMoQU5OLDEyLzMxLzIwMDkp&amp;WINDOW=FIRST_POPUP&amp;HEIGHT=450&amp;WIDTH=450&amp;START_MAXIMI","ZED=FALSE&amp;VAR:CALENDAR=FIVEDAY&amp;VAR:SYMBOL=B0ZC0B&amp;VAR:INDEX=0"}</definedName>
    <definedName name="_277__FDSAUDITLINK__" localSheetId="10" hidden="1">{"fdsup://Directions/FactSet Auditing Viewer?action=AUDIT_VALUE&amp;DB=129&amp;ID1=B0ZC0B&amp;VALUEID=02999&amp;SDATE=2009&amp;PERIODTYPE=ANN_STD&amp;window=popup_no_bar&amp;width=385&amp;height=120&amp;START_MAXIMIZED=FALSE&amp;creator=factset&amp;display_string=Audit"}</definedName>
    <definedName name="_277__FDSAUDITLINK__" hidden="1">{"fdsup://Directions/FactSet Auditing Viewer?action=AUDIT_VALUE&amp;DB=129&amp;ID1=B0ZC0B&amp;VALUEID=02999&amp;SDATE=2009&amp;PERIODTYPE=ANN_STD&amp;window=popup_no_bar&amp;width=385&amp;height=120&amp;START_MAXIMIZED=FALSE&amp;creator=factset&amp;display_string=Audit"}</definedName>
    <definedName name="_278__FDSAUDITLINK__" localSheetId="10" hidden="1">{"fdsup://Directions/FactSet Auditing Viewer?action=AUDIT_VALUE&amp;DB=129&amp;ID1=B1VT03&amp;VALUEID=02999&amp;SDATE=2009&amp;PERIODTYPE=ANN_STD&amp;window=popup_no_bar&amp;width=385&amp;height=120&amp;START_MAXIMIZED=FALSE&amp;creator=factset&amp;display_string=Audit"}</definedName>
    <definedName name="_278__FDSAUDITLINK__" hidden="1">{"fdsup://Directions/FactSet Auditing Viewer?action=AUDIT_VALUE&amp;DB=129&amp;ID1=B1VT03&amp;VALUEID=02999&amp;SDATE=2009&amp;PERIODTYPE=ANN_STD&amp;window=popup_no_bar&amp;width=385&amp;height=120&amp;START_MAXIMIZED=FALSE&amp;creator=factset&amp;display_string=Audit"}</definedName>
    <definedName name="_279__FDSAUDITLINK__" localSheetId="10" hidden="1">{"fdsup://directions/FAT Viewer?action=UPDATE&amp;creator=factset&amp;DYN_ARGS=TRUE&amp;DOC_NAME=FAT:FQL_AUDITING_CLIENT_TEMPLATE.FAT&amp;display_string=Audit&amp;VAR:KEY=OLWNEPKPEB&amp;VAR:QUERY=RkZfTElBQlMoQU5OLDEyLzMxLzIwMDkp&amp;WINDOW=FIRST_POPUP&amp;HEIGHT=450&amp;WIDTH=450&amp;START_MAXIMI","ZED=FALSE&amp;VAR:CALENDAR=FIVEDAY&amp;VAR:SYMBOL=B29TMM&amp;VAR:INDEX=0"}</definedName>
    <definedName name="_279__FDSAUDITLINK__" hidden="1">{"fdsup://directions/FAT Viewer?action=UPDATE&amp;creator=factset&amp;DYN_ARGS=TRUE&amp;DOC_NAME=FAT:FQL_AUDITING_CLIENT_TEMPLATE.FAT&amp;display_string=Audit&amp;VAR:KEY=OLWNEPKPEB&amp;VAR:QUERY=RkZfTElBQlMoQU5OLDEyLzMxLzIwMDkp&amp;WINDOW=FIRST_POPUP&amp;HEIGHT=450&amp;WIDTH=450&amp;START_MAXIMI","ZED=FALSE&amp;VAR:CALENDAR=FIVEDAY&amp;VAR:SYMBOL=B29TMM&amp;VAR:INDEX=0"}</definedName>
    <definedName name="_28__123Graph_AChart_6" hidden="1">'[5]sales vol.'!$J$2248:$J$2251</definedName>
    <definedName name="_28__123Graph_BCHART_14" hidden="1">[2]Mideast!$B$51:$V$51</definedName>
    <definedName name="_28__FDSAUDITLINK__" localSheetId="10" hidden="1">{"fdsup://directions/FAT Viewer?action=UPDATE&amp;creator=factset&amp;DYN_ARGS=TRUE&amp;DOC_NAME=FAT:FQL_AUDITING_CLIENT_TEMPLATE.FAT&amp;display_string=Audit&amp;VAR:KEY=OPCBYLCVWF&amp;VAR:QUERY=RkZfRU5UUlBSX1ZBTF9EQUlMWSg0MDM2NiwsLCxVU0QsJ0RJTCcp&amp;WINDOW=FIRST_POPUP&amp;HEIGHT=450&amp;WI","DTH=450&amp;START_MAXIMIZED=FALSE&amp;VAR:CALENDAR=FIVEDAY&amp;VAR:SYMBOL=B04W2V&amp;VAR:INDEX=0"}</definedName>
    <definedName name="_28__FDSAUDITLINK__" hidden="1">{"fdsup://directions/FAT Viewer?action=UPDATE&amp;creator=factset&amp;DYN_ARGS=TRUE&amp;DOC_NAME=FAT:FQL_AUDITING_CLIENT_TEMPLATE.FAT&amp;display_string=Audit&amp;VAR:KEY=OPCBYLCVWF&amp;VAR:QUERY=RkZfRU5UUlBSX1ZBTF9EQUlMWSg0MDM2NiwsLCxVU0QsJ0RJTCcp&amp;WINDOW=FIRST_POPUP&amp;HEIGHT=450&amp;WI","DTH=450&amp;START_MAXIMIZED=FALSE&amp;VAR:CALENDAR=FIVEDAY&amp;VAR:SYMBOL=B04W2V&amp;VAR:INDEX=0"}</definedName>
    <definedName name="_280__FDSAUDITLINK__" localSheetId="10" hidden="1">{"fdsup://directions/FAT Viewer?action=UPDATE&amp;creator=factset&amp;DYN_ARGS=TRUE&amp;DOC_NAME=FAT:FQL_AUDITING_CLIENT_TEMPLATE.FAT&amp;display_string=Audit&amp;VAR:KEY=OPCBYLCVWF&amp;VAR:QUERY=RkZfTElBQlMoQU5OLDEyLzMxLzIwMDkp&amp;WINDOW=FIRST_POPUP&amp;HEIGHT=450&amp;WIDTH=450&amp;START_MAXIMI","ZED=FALSE&amp;VAR:CALENDAR=FIVEDAY&amp;VAR:SYMBOL=B0WCDT&amp;VAR:INDEX=0"}</definedName>
    <definedName name="_280__FDSAUDITLINK__" hidden="1">{"fdsup://directions/FAT Viewer?action=UPDATE&amp;creator=factset&amp;DYN_ARGS=TRUE&amp;DOC_NAME=FAT:FQL_AUDITING_CLIENT_TEMPLATE.FAT&amp;display_string=Audit&amp;VAR:KEY=OPCBYLCVWF&amp;VAR:QUERY=RkZfTElBQlMoQU5OLDEyLzMxLzIwMDkp&amp;WINDOW=FIRST_POPUP&amp;HEIGHT=450&amp;WIDTH=450&amp;START_MAXIMI","ZED=FALSE&amp;VAR:CALENDAR=FIVEDAY&amp;VAR:SYMBOL=B0WCDT&amp;VAR:INDEX=0"}</definedName>
    <definedName name="_281__FDSAUDITLINK__" localSheetId="10" hidden="1">{"fdsup://Directions/FactSet Auditing Viewer?action=AUDIT_VALUE&amp;DB=129&amp;ID1=B0WCDT&amp;VALUEID=02999&amp;SDATE=2009&amp;PERIODTYPE=ANN_STD&amp;window=popup_no_bar&amp;width=385&amp;height=120&amp;START_MAXIMIZED=FALSE&amp;creator=factset&amp;display_string=Audit"}</definedName>
    <definedName name="_281__FDSAUDITLINK__" hidden="1">{"fdsup://Directions/FactSet Auditing Viewer?action=AUDIT_VALUE&amp;DB=129&amp;ID1=B0WCDT&amp;VALUEID=02999&amp;SDATE=2009&amp;PERIODTYPE=ANN_STD&amp;window=popup_no_bar&amp;width=385&amp;height=120&amp;START_MAXIMIZED=FALSE&amp;creator=factset&amp;display_string=Audit"}</definedName>
    <definedName name="_282__FDSAUDITLINK__" localSheetId="10" hidden="1">{"fdsup://directions/FAT Viewer?action=UPDATE&amp;creator=factset&amp;DYN_ARGS=TRUE&amp;DOC_NAME=FAT:FQL_AUDITING_CLIENT_TEMPLATE.FAT&amp;display_string=Audit&amp;VAR:KEY=WBEJSLQHEZ&amp;VAR:QUERY=RkZfUk9BKEFOTiwyMDA5KQ==&amp;WINDOW=FIRST_POPUP&amp;HEIGHT=450&amp;WIDTH=450&amp;START_MAXIMIZED=FALS","E&amp;VAR:CALENDAR=FIVEDAY&amp;VAR:SYMBOL=B1VT03&amp;VAR:INDEX=0"}</definedName>
    <definedName name="_282__FDSAUDITLINK__" hidden="1">{"fdsup://directions/FAT Viewer?action=UPDATE&amp;creator=factset&amp;DYN_ARGS=TRUE&amp;DOC_NAME=FAT:FQL_AUDITING_CLIENT_TEMPLATE.FAT&amp;display_string=Audit&amp;VAR:KEY=WBEJSLQHEZ&amp;VAR:QUERY=RkZfUk9BKEFOTiwyMDA5KQ==&amp;WINDOW=FIRST_POPUP&amp;HEIGHT=450&amp;WIDTH=450&amp;START_MAXIMIZED=FALS","E&amp;VAR:CALENDAR=FIVEDAY&amp;VAR:SYMBOL=B1VT03&amp;VAR:INDEX=0"}</definedName>
    <definedName name="_283__FDSAUDITLINK__" localSheetId="10" hidden="1">{"fdsup://directions/FAT Viewer?action=UPDATE&amp;creator=factset&amp;DYN_ARGS=TRUE&amp;DOC_NAME=FAT:FQL_AUDITING_CLIENT_TEMPLATE.FAT&amp;display_string=Audit&amp;VAR:KEY=KFEZCLCRSD&amp;VAR:QUERY=RkZfUk9BKEFOTiwyMDA5KQ==&amp;WINDOW=FIRST_POPUP&amp;HEIGHT=450&amp;WIDTH=450&amp;START_MAXIMIZED=FALS","E&amp;VAR:CALENDAR=FIVEDAY&amp;VAR:SYMBOL=B29TMM&amp;VAR:INDEX=0"}</definedName>
    <definedName name="_283__FDSAUDITLINK__" hidden="1">{"fdsup://directions/FAT Viewer?action=UPDATE&amp;creator=factset&amp;DYN_ARGS=TRUE&amp;DOC_NAME=FAT:FQL_AUDITING_CLIENT_TEMPLATE.FAT&amp;display_string=Audit&amp;VAR:KEY=KFEZCLCRSD&amp;VAR:QUERY=RkZfUk9BKEFOTiwyMDA5KQ==&amp;WINDOW=FIRST_POPUP&amp;HEIGHT=450&amp;WIDTH=450&amp;START_MAXIMIZED=FALS","E&amp;VAR:CALENDAR=FIVEDAY&amp;VAR:SYMBOL=B29TMM&amp;VAR:INDEX=0"}</definedName>
    <definedName name="_284__FDSAUDITLINK__" localSheetId="10" hidden="1">{"fdsup://directions/FAT Viewer?action=UPDATE&amp;creator=factset&amp;DYN_ARGS=TRUE&amp;DOC_NAME=FAT:FQL_AUDITING_CLIENT_TEMPLATE.FAT&amp;display_string=Audit&amp;VAR:KEY=MZMZIRGRQD&amp;VAR:QUERY=RkZfTElBQlMoQU5OLDEyLzMxLzIwMDkp&amp;WINDOW=FIRST_POPUP&amp;HEIGHT=450&amp;WIDTH=450&amp;START_MAXIMI","ZED=FALSE&amp;VAR:CALENDAR=FIVEDAY&amp;VAR:SYMBOL=B1VT03&amp;VAR:INDEX=0"}</definedName>
    <definedName name="_284__FDSAUDITLINK__" hidden="1">{"fdsup://directions/FAT Viewer?action=UPDATE&amp;creator=factset&amp;DYN_ARGS=TRUE&amp;DOC_NAME=FAT:FQL_AUDITING_CLIENT_TEMPLATE.FAT&amp;display_string=Audit&amp;VAR:KEY=MZMZIRGRQD&amp;VAR:QUERY=RkZfTElBQlMoQU5OLDEyLzMxLzIwMDkp&amp;WINDOW=FIRST_POPUP&amp;HEIGHT=450&amp;WIDTH=450&amp;START_MAXIMI","ZED=FALSE&amp;VAR:CALENDAR=FIVEDAY&amp;VAR:SYMBOL=B1VT03&amp;VAR:INDEX=0"}</definedName>
    <definedName name="_285__FDSAUDITLINK__" localSheetId="10" hidden="1">{"fdsup://directions/FAT Viewer?action=UPDATE&amp;creator=factset&amp;DYN_ARGS=TRUE&amp;DOC_NAME=FAT:FQL_AUDITING_CLIENT_TEMPLATE.FAT&amp;display_string=Audit&amp;VAR:KEY=UPGVURQRIB&amp;VAR:QUERY=RkZfR1JPU1NfTUdOKEFOTiwyMDA5KQ==&amp;WINDOW=FIRST_POPUP&amp;HEIGHT=450&amp;WIDTH=450&amp;START_MAXIMI","ZED=FALSE&amp;VAR:CALENDAR=FIVEDAY&amp;VAR:SYMBOL=644662&amp;VAR:INDEX=0"}</definedName>
    <definedName name="_285__FDSAUDITLINK__" hidden="1">{"fdsup://directions/FAT Viewer?action=UPDATE&amp;creator=factset&amp;DYN_ARGS=TRUE&amp;DOC_NAME=FAT:FQL_AUDITING_CLIENT_TEMPLATE.FAT&amp;display_string=Audit&amp;VAR:KEY=UPGVURQRIB&amp;VAR:QUERY=RkZfR1JPU1NfTUdOKEFOTiwyMDA5KQ==&amp;WINDOW=FIRST_POPUP&amp;HEIGHT=450&amp;WIDTH=450&amp;START_MAXIMI","ZED=FALSE&amp;VAR:CALENDAR=FIVEDAY&amp;VAR:SYMBOL=644662&amp;VAR:INDEX=0"}</definedName>
    <definedName name="_286__FDSAUDITLINK__" localSheetId="10" hidden="1">{"fdsup://Directions/FactSet Auditing Viewer?action=AUDIT_VALUE&amp;DB=129&amp;ID1=85811910&amp;VALUEID=02101&amp;SDATE=2009&amp;PERIODTYPE=ANN_STD&amp;window=popup_no_bar&amp;width=385&amp;height=120&amp;START_MAXIMIZED=FALSE&amp;creator=factset&amp;display_string=Audit"}</definedName>
    <definedName name="_286__FDSAUDITLINK__" hidden="1">{"fdsup://Directions/FactSet Auditing Viewer?action=AUDIT_VALUE&amp;DB=129&amp;ID1=85811910&amp;VALUEID=02101&amp;SDATE=2009&amp;PERIODTYPE=ANN_STD&amp;window=popup_no_bar&amp;width=385&amp;height=120&amp;START_MAXIMIZED=FALSE&amp;creator=factset&amp;display_string=Audit"}</definedName>
    <definedName name="_287__FDSAUDITLINK__" localSheetId="10" hidden="1">{"fdsup://Directions/FactSet Auditing Viewer?action=AUDIT_VALUE&amp;DB=129&amp;ID1=00154710&amp;VALUEID=02101&amp;SDATE=2009&amp;PERIODTYPE=ANN_STD&amp;window=popup_no_bar&amp;width=385&amp;height=120&amp;START_MAXIMIZED=FALSE&amp;creator=factset&amp;display_string=Audit"}</definedName>
    <definedName name="_287__FDSAUDITLINK__" hidden="1">{"fdsup://Directions/FactSet Auditing Viewer?action=AUDIT_VALUE&amp;DB=129&amp;ID1=00154710&amp;VALUEID=02101&amp;SDATE=2009&amp;PERIODTYPE=ANN_STD&amp;window=popup_no_bar&amp;width=385&amp;height=120&amp;START_MAXIMIZED=FALSE&amp;creator=factset&amp;display_string=Audit"}</definedName>
    <definedName name="_288__FDSAUDITLINK__" localSheetId="10" hidden="1">{"fdsup://Directions/FactSet Auditing Viewer?action=AUDIT_VALUE&amp;DB=129&amp;ID1=75950910&amp;VALUEID=02101&amp;SDATE=2009&amp;PERIODTYPE=ANN_STD&amp;window=popup_no_bar&amp;width=385&amp;height=120&amp;START_MAXIMIZED=FALSE&amp;creator=factset&amp;display_string=Audit"}</definedName>
    <definedName name="_288__FDSAUDITLINK__" hidden="1">{"fdsup://Directions/FactSet Auditing Viewer?action=AUDIT_VALUE&amp;DB=129&amp;ID1=75950910&amp;VALUEID=02101&amp;SDATE=2009&amp;PERIODTYPE=ANN_STD&amp;window=popup_no_bar&amp;width=385&amp;height=120&amp;START_MAXIMIZED=FALSE&amp;creator=factset&amp;display_string=Audit"}</definedName>
    <definedName name="_289__FDSAUDITLINK__" localSheetId="10" hidden="1">{"fdsup://Directions/FactSet Auditing Viewer?action=AUDIT_VALUE&amp;DB=129&amp;ID1=98181110&amp;VALUEID=02101&amp;SDATE=2008&amp;PERIODTYPE=ANN_STD&amp;window=popup_no_bar&amp;width=385&amp;height=120&amp;START_MAXIMIZED=FALSE&amp;creator=factset&amp;display_string=Audit"}</definedName>
    <definedName name="_289__FDSAUDITLINK__" hidden="1">{"fdsup://Directions/FactSet Auditing Viewer?action=AUDIT_VALUE&amp;DB=129&amp;ID1=98181110&amp;VALUEID=02101&amp;SDATE=2008&amp;PERIODTYPE=ANN_STD&amp;window=popup_no_bar&amp;width=385&amp;height=120&amp;START_MAXIMIZED=FALSE&amp;creator=factset&amp;display_string=Audit"}</definedName>
    <definedName name="_29__123Graph_B_Chart_1A" hidden="1">'[3]Stock Price'!$C$4:$C$265</definedName>
    <definedName name="_29__123Graph_BCHART_16" hidden="1">[2]Ocean!$B$21:$V$21</definedName>
    <definedName name="_29__FDSAUDITLINK__" localSheetId="10" hidden="1">{"fdsup://directions/FAT Viewer?action=UPDATE&amp;creator=factset&amp;DYN_ARGS=TRUE&amp;DOC_NAME=FAT:FQL_AUDITING_CLIENT_TEMPLATE.FAT&amp;display_string=Audit&amp;VAR:KEY=MZMZIRGRQD&amp;VAR:QUERY=RkZfRU5UUlBSX1ZBTF9EQUlMWSg0MDM2NiwsLCwsJ0RJTCcp&amp;WINDOW=FIRST_POPUP&amp;HEIGHT=450&amp;WIDTH=","450&amp;START_MAXIMIZED=FALSE&amp;VAR:CALENDAR=FIVEDAY&amp;VAR:SYMBOL=B1TNRD&amp;VAR:INDEX=0"}</definedName>
    <definedName name="_29__FDSAUDITLINK__" hidden="1">{"fdsup://directions/FAT Viewer?action=UPDATE&amp;creator=factset&amp;DYN_ARGS=TRUE&amp;DOC_NAME=FAT:FQL_AUDITING_CLIENT_TEMPLATE.FAT&amp;display_string=Audit&amp;VAR:KEY=MZMZIRGRQD&amp;VAR:QUERY=RkZfRU5UUlBSX1ZBTF9EQUlMWSg0MDM2NiwsLCwsJ0RJTCcp&amp;WINDOW=FIRST_POPUP&amp;HEIGHT=450&amp;WIDTH=","450&amp;START_MAXIMIZED=FALSE&amp;VAR:CALENDAR=FIVEDAY&amp;VAR:SYMBOL=B1TNRD&amp;VAR:INDEX=0"}</definedName>
    <definedName name="_290__FDSAUDITLINK__" localSheetId="10" hidden="1">{"fdsup://Directions/FactSet Auditing Viewer?action=AUDIT_VALUE&amp;DB=129&amp;ID1=80688210&amp;VALUEID=02101&amp;SDATE=2009&amp;PERIODTYPE=ANN_STD&amp;window=popup_no_bar&amp;width=385&amp;height=120&amp;START_MAXIMIZED=FALSE&amp;creator=factset&amp;display_string=Audit"}</definedName>
    <definedName name="_290__FDSAUDITLINK__" hidden="1">{"fdsup://Directions/FactSet Auditing Viewer?action=AUDIT_VALUE&amp;DB=129&amp;ID1=80688210&amp;VALUEID=02101&amp;SDATE=2009&amp;PERIODTYPE=ANN_STD&amp;window=popup_no_bar&amp;width=385&amp;height=120&amp;START_MAXIMIZED=FALSE&amp;creator=factset&amp;display_string=Audit"}</definedName>
    <definedName name="_291__FDSAUDITLINK__" localSheetId="10" hidden="1">{"fdsup://Directions/FactSet Auditing Viewer?action=AUDIT_VALUE&amp;DB=129&amp;ID1=67034610&amp;VALUEID=02101&amp;SDATE=2009&amp;PERIODTYPE=ANN_STD&amp;window=popup_no_bar&amp;width=385&amp;height=120&amp;START_MAXIMIZED=FALSE&amp;creator=factset&amp;display_string=Audit"}</definedName>
    <definedName name="_291__FDSAUDITLINK__" hidden="1">{"fdsup://Directions/FactSet Auditing Viewer?action=AUDIT_VALUE&amp;DB=129&amp;ID1=67034610&amp;VALUEID=02101&amp;SDATE=2009&amp;PERIODTYPE=ANN_STD&amp;window=popup_no_bar&amp;width=385&amp;height=120&amp;START_MAXIMIZED=FALSE&amp;creator=factset&amp;display_string=Audit"}</definedName>
    <definedName name="_292__FDSAUDITLINK__" localSheetId="10" hidden="1">{"fdsup://Directions/FactSet Auditing Viewer?action=AUDIT_VALUE&amp;DB=129&amp;ID1=672388&amp;VALUEID=02101&amp;SDATE=2009&amp;PERIODTYPE=ANN_STD&amp;window=popup_no_bar&amp;width=385&amp;height=120&amp;START_MAXIMIZED=FALSE&amp;creator=factset&amp;display_string=Audit"}</definedName>
    <definedName name="_292__FDSAUDITLINK__" hidden="1">{"fdsup://Directions/FactSet Auditing Viewer?action=AUDIT_VALUE&amp;DB=129&amp;ID1=672388&amp;VALUEID=02101&amp;SDATE=2009&amp;PERIODTYPE=ANN_STD&amp;window=popup_no_bar&amp;width=385&amp;height=120&amp;START_MAXIMIZED=FALSE&amp;creator=factset&amp;display_string=Audit"}</definedName>
    <definedName name="_293__FDSAUDITLINK__" localSheetId="10" hidden="1">{"fdsup://Directions/FactSet Auditing Viewer?action=AUDIT_VALUE&amp;DB=129&amp;ID1=659730&amp;VALUEID=02101&amp;SDATE=2008&amp;PERIODTYPE=ANN_STD&amp;window=popup_no_bar&amp;width=385&amp;height=120&amp;START_MAXIMIZED=FALSE&amp;creator=factset&amp;display_string=Audit"}</definedName>
    <definedName name="_293__FDSAUDITLINK__" hidden="1">{"fdsup://Directions/FactSet Auditing Viewer?action=AUDIT_VALUE&amp;DB=129&amp;ID1=659730&amp;VALUEID=02101&amp;SDATE=2008&amp;PERIODTYPE=ANN_STD&amp;window=popup_no_bar&amp;width=385&amp;height=120&amp;START_MAXIMIZED=FALSE&amp;creator=factset&amp;display_string=Audit"}</definedName>
    <definedName name="_294__FDSAUDITLINK__" localSheetId="10" hidden="1">{"fdsup://Directions/FactSet Auditing Viewer?action=AUDIT_VALUE&amp;DB=129&amp;ID1=B0MK5M&amp;VALUEID=02101&amp;SDATE=2009&amp;PERIODTYPE=ANN_STD&amp;window=popup_no_bar&amp;width=385&amp;height=120&amp;START_MAXIMIZED=FALSE&amp;creator=factset&amp;display_string=Audit"}</definedName>
    <definedName name="_294__FDSAUDITLINK__" hidden="1">{"fdsup://Directions/FactSet Auditing Viewer?action=AUDIT_VALUE&amp;DB=129&amp;ID1=B0MK5M&amp;VALUEID=02101&amp;SDATE=2009&amp;PERIODTYPE=ANN_STD&amp;window=popup_no_bar&amp;width=385&amp;height=120&amp;START_MAXIMIZED=FALSE&amp;creator=factset&amp;display_string=Audit"}</definedName>
    <definedName name="_295__FDSAUDITLINK__" localSheetId="10" hidden="1">{"fdsup://Directions/FactSet Auditing Viewer?action=AUDIT_VALUE&amp;DB=129&amp;ID1=B0ZC0B&amp;VALUEID=02101&amp;SDATE=2009&amp;PERIODTYPE=ANN_STD&amp;window=popup_no_bar&amp;width=385&amp;height=120&amp;START_MAXIMIZED=FALSE&amp;creator=factset&amp;display_string=Audit"}</definedName>
    <definedName name="_295__FDSAUDITLINK__" hidden="1">{"fdsup://Directions/FactSet Auditing Viewer?action=AUDIT_VALUE&amp;DB=129&amp;ID1=B0ZC0B&amp;VALUEID=02101&amp;SDATE=2009&amp;PERIODTYPE=ANN_STD&amp;window=popup_no_bar&amp;width=385&amp;height=120&amp;START_MAXIMIZED=FALSE&amp;creator=factset&amp;display_string=Audit"}</definedName>
    <definedName name="_296__FDSAUDITLINK__" localSheetId="10" hidden="1">{"fdsup://Directions/FactSet Auditing Viewer?action=AUDIT_VALUE&amp;DB=129&amp;ID1=B049DZ&amp;VALUEID=02101&amp;SDATE=2009&amp;PERIODTYPE=ANN_STD&amp;window=popup_no_bar&amp;width=385&amp;height=120&amp;START_MAXIMIZED=FALSE&amp;creator=factset&amp;display_string=Audit"}</definedName>
    <definedName name="_296__FDSAUDITLINK__" hidden="1">{"fdsup://Directions/FactSet Auditing Viewer?action=AUDIT_VALUE&amp;DB=129&amp;ID1=B049DZ&amp;VALUEID=02101&amp;SDATE=2009&amp;PERIODTYPE=ANN_STD&amp;window=popup_no_bar&amp;width=385&amp;height=120&amp;START_MAXIMIZED=FALSE&amp;creator=factset&amp;display_string=Audit"}</definedName>
    <definedName name="_297__FDSAUDITLINK__" localSheetId="10" hidden="1">{"fdsup://Directions/FactSet Auditing Viewer?action=AUDIT_VALUE&amp;DB=129&amp;ID1=628625&amp;VALUEID=02101&amp;SDATE=2009&amp;PERIODTYPE=ANN_STD&amp;window=popup_no_bar&amp;width=385&amp;height=120&amp;START_MAXIMIZED=FALSE&amp;creator=factset&amp;display_string=Audit"}</definedName>
    <definedName name="_297__FDSAUDITLINK__" hidden="1">{"fdsup://Directions/FactSet Auditing Viewer?action=AUDIT_VALUE&amp;DB=129&amp;ID1=628625&amp;VALUEID=02101&amp;SDATE=2009&amp;PERIODTYPE=ANN_STD&amp;window=popup_no_bar&amp;width=385&amp;height=120&amp;START_MAXIMIZED=FALSE&amp;creator=factset&amp;display_string=Audit"}</definedName>
    <definedName name="_298__FDSAUDITLINK__" localSheetId="10" hidden="1">{"fdsup://Directions/FactSet Auditing Viewer?action=AUDIT_VALUE&amp;DB=129&amp;ID1=B284BK&amp;VALUEID=02101&amp;SDATE=2009&amp;PERIODTYPE=ANN_STD&amp;window=popup_no_bar&amp;width=385&amp;height=120&amp;START_MAXIMIZED=FALSE&amp;creator=factset&amp;display_string=Audit"}</definedName>
    <definedName name="_298__FDSAUDITLINK__" hidden="1">{"fdsup://Directions/FactSet Auditing Viewer?action=AUDIT_VALUE&amp;DB=129&amp;ID1=B284BK&amp;VALUEID=02101&amp;SDATE=2009&amp;PERIODTYPE=ANN_STD&amp;window=popup_no_bar&amp;width=385&amp;height=120&amp;START_MAXIMIZED=FALSE&amp;creator=factset&amp;display_string=Audit"}</definedName>
    <definedName name="_299__FDSAUDITLINK__" localSheetId="10" hidden="1">{"fdsup://directions/FAT Viewer?action=UPDATE&amp;creator=factset&amp;DYN_ARGS=TRUE&amp;DOC_NAME=FAT:FQL_AUDITING_CLIENT_TEMPLATE.FAT&amp;display_string=Audit&amp;VAR:KEY=GTKDCPCRGJ&amp;VAR:QUERY=RkZfTElBQlMoQU5OLDEyLzMxLzIwMDkp&amp;WINDOW=FIRST_POPUP&amp;HEIGHT=450&amp;WIDTH=450&amp;START_MAXIMI","ZED=FALSE&amp;VAR:CALENDAR=FIVEDAY&amp;VAR:SYMBOL=639331&amp;VAR:INDEX=0"}</definedName>
    <definedName name="_299__FDSAUDITLINK__" hidden="1">{"fdsup://directions/FAT Viewer?action=UPDATE&amp;creator=factset&amp;DYN_ARGS=TRUE&amp;DOC_NAME=FAT:FQL_AUDITING_CLIENT_TEMPLATE.FAT&amp;display_string=Audit&amp;VAR:KEY=GTKDCPCRGJ&amp;VAR:QUERY=RkZfTElBQlMoQU5OLDEyLzMxLzIwMDkp&amp;WINDOW=FIRST_POPUP&amp;HEIGHT=450&amp;WIDTH=450&amp;START_MAXIMI","ZED=FALSE&amp;VAR:CALENDAR=FIVEDAY&amp;VAR:SYMBOL=639331&amp;VAR:INDEX=0"}</definedName>
    <definedName name="_3__123Graph_ACHART_11" hidden="1">'[2]E Eur'!$B$28:$V$28</definedName>
    <definedName name="_3__FDSAUDITLINK__" localSheetId="10" hidden="1">{"fdsup://directions/FAT Viewer?action=UPDATE&amp;creator=factset&amp;DYN_ARGS=TRUE&amp;DOC_NAME=FAT:FQL_AUDITING_CLIENT_TEMPLATE.FAT&amp;display_string=Audit&amp;VAR:KEY=IVYHOZMZUD&amp;VAR:QUERY=RkZfRU5UUlBSX1ZBTF9EQUlMWSg0MDM2NiwsLCwsJ0RJTCcp&amp;WINDOW=FIRST_POPUP&amp;HEIGHT=450&amp;WIDTH=","450&amp;START_MAXIMIZED=FALSE&amp;VAR:CALENDAR=FIVEDAY&amp;VAR:SYMBOL=12120820&amp;VAR:INDEX=0"}</definedName>
    <definedName name="_3__FDSAUDITLINK__" hidden="1">{"fdsup://directions/FAT Viewer?action=UPDATE&amp;creator=factset&amp;DYN_ARGS=TRUE&amp;DOC_NAME=FAT:FQL_AUDITING_CLIENT_TEMPLATE.FAT&amp;display_string=Audit&amp;VAR:KEY=IVYHOZMZUD&amp;VAR:QUERY=RkZfRU5UUlBSX1ZBTF9EQUlMWSg0MDM2NiwsLCwsJ0RJTCcp&amp;WINDOW=FIRST_POPUP&amp;HEIGHT=450&amp;WIDTH=","450&amp;START_MAXIMIZED=FALSE&amp;VAR:CALENDAR=FIVEDAY&amp;VAR:SYMBOL=12120820&amp;VAR:INDEX=0"}</definedName>
    <definedName name="_30__123Graph_BCHART_17" hidden="1">[2]Ocean!$B$51:$V$51</definedName>
    <definedName name="_30__123Graph_C_Chart_1A" hidden="1">'[3]Stock Price'!$D$4:$D$265</definedName>
    <definedName name="_30__FDSAUDITLINK__" localSheetId="10" hidden="1">{"fdsup://directions/FAT Viewer?action=UPDATE&amp;creator=factset&amp;DYN_ARGS=TRUE&amp;DOC_NAME=FAT:FQL_AUDITING_CLIENT_TEMPLATE.FAT&amp;display_string=Audit&amp;VAR:KEY=OLWNEPKPEB&amp;VAR:QUERY=RkZfRU5UUlBSX1ZBTF9EQUlMWSg0MDM2NiwsLCxVU0QsJ0RJTCcp&amp;WINDOW=FIRST_POPUP&amp;HEIGHT=450&amp;WI","DTH=450&amp;START_MAXIMIZED=FALSE&amp;VAR:CALENDAR=FIVEDAY&amp;VAR:SYMBOL=B1TNRD&amp;VAR:INDEX=0"}</definedName>
    <definedName name="_30__FDSAUDITLINK__" hidden="1">{"fdsup://directions/FAT Viewer?action=UPDATE&amp;creator=factset&amp;DYN_ARGS=TRUE&amp;DOC_NAME=FAT:FQL_AUDITING_CLIENT_TEMPLATE.FAT&amp;display_string=Audit&amp;VAR:KEY=OLWNEPKPEB&amp;VAR:QUERY=RkZfRU5UUlBSX1ZBTF9EQUlMWSg0MDM2NiwsLCxVU0QsJ0RJTCcp&amp;WINDOW=FIRST_POPUP&amp;HEIGHT=450&amp;WI","DTH=450&amp;START_MAXIMIZED=FALSE&amp;VAR:CALENDAR=FIVEDAY&amp;VAR:SYMBOL=B1TNRD&amp;VAR:INDEX=0"}</definedName>
    <definedName name="_300__FDSAUDITLINK__" localSheetId="10" hidden="1">{"fdsup://Directions/FactSet Auditing Viewer?action=AUDIT_VALUE&amp;DB=129&amp;ID1=639331&amp;VALUEID=02999&amp;SDATE=2009&amp;PERIODTYPE=ANN_STD&amp;window=popup_no_bar&amp;width=385&amp;height=120&amp;START_MAXIMIZED=FALSE&amp;creator=factset&amp;display_string=Audit"}</definedName>
    <definedName name="_300__FDSAUDITLINK__" hidden="1">{"fdsup://Directions/FactSet Auditing Viewer?action=AUDIT_VALUE&amp;DB=129&amp;ID1=639331&amp;VALUEID=02999&amp;SDATE=2009&amp;PERIODTYPE=ANN_STD&amp;window=popup_no_bar&amp;width=385&amp;height=120&amp;START_MAXIMIZED=FALSE&amp;creator=factset&amp;display_string=Audit"}</definedName>
    <definedName name="_301__FDSAUDITLINK__" localSheetId="10" hidden="1">{"fdsup://directions/FAT Viewer?action=UPDATE&amp;creator=factset&amp;DYN_ARGS=TRUE&amp;DOC_NAME=FAT:FQL_AUDITING_CLIENT_TEMPLATE.FAT&amp;display_string=Audit&amp;VAR:KEY=OPAHKDCXKX&amp;VAR:QUERY=RkZfUk9BKEFOTiwyMDA5KQ==&amp;WINDOW=FIRST_POPUP&amp;HEIGHT=450&amp;WIDTH=450&amp;START_MAXIMIZED=FALS","E&amp;VAR:CALENDAR=FIVEDAY&amp;VAR:SYMBOL=639331&amp;VAR:INDEX=0"}</definedName>
    <definedName name="_301__FDSAUDITLINK__" hidden="1">{"fdsup://directions/FAT Viewer?action=UPDATE&amp;creator=factset&amp;DYN_ARGS=TRUE&amp;DOC_NAME=FAT:FQL_AUDITING_CLIENT_TEMPLATE.FAT&amp;display_string=Audit&amp;VAR:KEY=OPAHKDCXKX&amp;VAR:QUERY=RkZfUk9BKEFOTiwyMDA5KQ==&amp;WINDOW=FIRST_POPUP&amp;HEIGHT=450&amp;WIDTH=450&amp;START_MAXIMIZED=FALS","E&amp;VAR:CALENDAR=FIVEDAY&amp;VAR:SYMBOL=639331&amp;VAR:INDEX=0"}</definedName>
    <definedName name="_302__FDSAUDITLINK__" localSheetId="10" hidden="1">{"fdsup://directions/FAT Viewer?action=UPDATE&amp;creator=factset&amp;DYN_ARGS=TRUE&amp;DOC_NAME=FAT:FQL_AUDITING_CLIENT_TEMPLATE.FAT&amp;display_string=Audit&amp;VAR:KEY=ARGTMJIZOT&amp;VAR:QUERY=RkZfR1JPU1NfTUdOKEFOTiwyMDA5KQ==&amp;WINDOW=FIRST_POPUP&amp;HEIGHT=450&amp;WIDTH=450&amp;START_MAXIMI","ZED=FALSE&amp;VAR:CALENDAR=FIVEDAY&amp;VAR:SYMBOL=B1VT03&amp;VAR:INDEX=0"}</definedName>
    <definedName name="_302__FDSAUDITLINK__" hidden="1">{"fdsup://directions/FAT Viewer?action=UPDATE&amp;creator=factset&amp;DYN_ARGS=TRUE&amp;DOC_NAME=FAT:FQL_AUDITING_CLIENT_TEMPLATE.FAT&amp;display_string=Audit&amp;VAR:KEY=ARGTMJIZOT&amp;VAR:QUERY=RkZfR1JPU1NfTUdOKEFOTiwyMDA5KQ==&amp;WINDOW=FIRST_POPUP&amp;HEIGHT=450&amp;WIDTH=450&amp;START_MAXIMI","ZED=FALSE&amp;VAR:CALENDAR=FIVEDAY&amp;VAR:SYMBOL=B1VT03&amp;VAR:INDEX=0"}</definedName>
    <definedName name="_303__FDSAUDITLINK__" localSheetId="10" hidden="1">{"fdsup://directions/FAT Viewer?action=UPDATE&amp;creator=factset&amp;DYN_ARGS=TRUE&amp;DOC_NAME=FAT:FQL_AUDITING_CLIENT_TEMPLATE.FAT&amp;display_string=Audit&amp;VAR:KEY=UFQBKTGRML&amp;VAR:QUERY=RkZfUk9BKEFOTiwyMDA5KQ==&amp;WINDOW=FIRST_POPUP&amp;HEIGHT=450&amp;WIDTH=450&amp;START_MAXIMIZED=FALS","E&amp;VAR:CALENDAR=FIVEDAY&amp;VAR:SYMBOL=644662&amp;VAR:INDEX=0"}</definedName>
    <definedName name="_303__FDSAUDITLINK__" hidden="1">{"fdsup://directions/FAT Viewer?action=UPDATE&amp;creator=factset&amp;DYN_ARGS=TRUE&amp;DOC_NAME=FAT:FQL_AUDITING_CLIENT_TEMPLATE.FAT&amp;display_string=Audit&amp;VAR:KEY=UFQBKTGRML&amp;VAR:QUERY=RkZfUk9BKEFOTiwyMDA5KQ==&amp;WINDOW=FIRST_POPUP&amp;HEIGHT=450&amp;WIDTH=450&amp;START_MAXIMIZED=FALS","E&amp;VAR:CALENDAR=FIVEDAY&amp;VAR:SYMBOL=644662&amp;VAR:INDEX=0"}</definedName>
    <definedName name="_304__FDSAUDITLINK__" localSheetId="10" hidden="1">{"fdsup://directions/FAT Viewer?action=UPDATE&amp;creator=factset&amp;DYN_ARGS=TRUE&amp;DOC_NAME=FAT:FQL_AUDITING_CLIENT_TEMPLATE.FAT&amp;display_string=Audit&amp;VAR:KEY=ARGTMJIZOT&amp;VAR:QUERY=RkZfR1JPU1NfTUdOKEFOTiwyMDA5KQ==&amp;WINDOW=FIRST_POPUP&amp;HEIGHT=450&amp;WIDTH=450&amp;START_MAXIMI","ZED=FALSE&amp;VAR:CALENDAR=FIVEDAY&amp;VAR:SYMBOL=B1VT03&amp;VAR:INDEX=0"}</definedName>
    <definedName name="_304__FDSAUDITLINK__" hidden="1">{"fdsup://directions/FAT Viewer?action=UPDATE&amp;creator=factset&amp;DYN_ARGS=TRUE&amp;DOC_NAME=FAT:FQL_AUDITING_CLIENT_TEMPLATE.FAT&amp;display_string=Audit&amp;VAR:KEY=ARGTMJIZOT&amp;VAR:QUERY=RkZfR1JPU1NfTUdOKEFOTiwyMDA5KQ==&amp;WINDOW=FIRST_POPUP&amp;HEIGHT=450&amp;WIDTH=450&amp;START_MAXIMI","ZED=FALSE&amp;VAR:CALENDAR=FIVEDAY&amp;VAR:SYMBOL=B1VT03&amp;VAR:INDEX=0"}</definedName>
    <definedName name="_305__FDSAUDITLINK__" localSheetId="10" hidden="1">{"fdsup://directions/FAT Viewer?action=UPDATE&amp;creator=factset&amp;DYN_ARGS=TRUE&amp;DOC_NAME=FAT:FQL_AUDITING_CLIENT_TEMPLATE.FAT&amp;display_string=Audit&amp;VAR:KEY=YFWDAHKNEH&amp;VAR:QUERY=RkZfUk9FKEFOTiwyMDA5KQ==&amp;WINDOW=FIRST_POPUP&amp;HEIGHT=450&amp;WIDTH=450&amp;START_MAXIMIZED=FALS","E&amp;VAR:CALENDAR=FIVEDAY&amp;VAR:SYMBOL=B1VT03&amp;VAR:INDEX=0"}</definedName>
    <definedName name="_305__FDSAUDITLINK__" hidden="1">{"fdsup://directions/FAT Viewer?action=UPDATE&amp;creator=factset&amp;DYN_ARGS=TRUE&amp;DOC_NAME=FAT:FQL_AUDITING_CLIENT_TEMPLATE.FAT&amp;display_string=Audit&amp;VAR:KEY=YFWDAHKNEH&amp;VAR:QUERY=RkZfUk9FKEFOTiwyMDA5KQ==&amp;WINDOW=FIRST_POPUP&amp;HEIGHT=450&amp;WIDTH=450&amp;START_MAXIMIZED=FALS","E&amp;VAR:CALENDAR=FIVEDAY&amp;VAR:SYMBOL=B1VT03&amp;VAR:INDEX=0"}</definedName>
    <definedName name="_306__FDSAUDITLINK__" localSheetId="10" hidden="1">{"fdsup://directions/FAT Viewer?action=UPDATE&amp;creator=factset&amp;DYN_ARGS=TRUE&amp;DOC_NAME=FAT:FQL_AUDITING_CLIENT_TEMPLATE.FAT&amp;display_string=Audit&amp;VAR:KEY=YHYNERUJQZ&amp;VAR:QUERY=RkZfR1JPU1NfTUdOKEFOTiwyMDA5KQ==&amp;WINDOW=FIRST_POPUP&amp;HEIGHT=450&amp;WIDTH=450&amp;START_MAXIMI","ZED=FALSE&amp;VAR:CALENDAR=FIVEDAY&amp;VAR:SYMBOL=639331&amp;VAR:INDEX=0"}</definedName>
    <definedName name="_306__FDSAUDITLINK__" hidden="1">{"fdsup://directions/FAT Viewer?action=UPDATE&amp;creator=factset&amp;DYN_ARGS=TRUE&amp;DOC_NAME=FAT:FQL_AUDITING_CLIENT_TEMPLATE.FAT&amp;display_string=Audit&amp;VAR:KEY=YHYNERUJQZ&amp;VAR:QUERY=RkZfR1JPU1NfTUdOKEFOTiwyMDA5KQ==&amp;WINDOW=FIRST_POPUP&amp;HEIGHT=450&amp;WIDTH=450&amp;START_MAXIMI","ZED=FALSE&amp;VAR:CALENDAR=FIVEDAY&amp;VAR:SYMBOL=639331&amp;VAR:INDEX=0"}</definedName>
    <definedName name="_307__FDSAUDITLINK__" localSheetId="10" hidden="1">{"fdsup://directions/FAT Viewer?action=UPDATE&amp;creator=factset&amp;DYN_ARGS=TRUE&amp;DOC_NAME=FAT:FQL_AUDITING_CLIENT_TEMPLATE.FAT&amp;display_string=Audit&amp;VAR:KEY=EZYBKJYZCD&amp;VAR:QUERY=RkZfUk9FKEFOTiwyMDA5KQ==&amp;WINDOW=FIRST_POPUP&amp;HEIGHT=450&amp;WIDTH=450&amp;START_MAXIMIZED=FALS","E&amp;VAR:CALENDAR=FIVEDAY&amp;VAR:SYMBOL=B0WCDT&amp;VAR:INDEX=0"}</definedName>
    <definedName name="_307__FDSAUDITLINK__" hidden="1">{"fdsup://directions/FAT Viewer?action=UPDATE&amp;creator=factset&amp;DYN_ARGS=TRUE&amp;DOC_NAME=FAT:FQL_AUDITING_CLIENT_TEMPLATE.FAT&amp;display_string=Audit&amp;VAR:KEY=EZYBKJYZCD&amp;VAR:QUERY=RkZfUk9FKEFOTiwyMDA5KQ==&amp;WINDOW=FIRST_POPUP&amp;HEIGHT=450&amp;WIDTH=450&amp;START_MAXIMIZED=FALS","E&amp;VAR:CALENDAR=FIVEDAY&amp;VAR:SYMBOL=B0WCDT&amp;VAR:INDEX=0"}</definedName>
    <definedName name="_308__FDSAUDITLINK__" localSheetId="10" hidden="1">{"fdsup://directions/FAT Viewer?action=UPDATE&amp;creator=factset&amp;DYN_ARGS=TRUE&amp;DOC_NAME=FAT:FQL_AUDITING_CLIENT_TEMPLATE.FAT&amp;display_string=Audit&amp;VAR:KEY=MTIHGRSXID&amp;VAR:QUERY=RkZfTkVUX01HTihBTk4sMjAwOSk=&amp;WINDOW=FIRST_POPUP&amp;HEIGHT=450&amp;WIDTH=450&amp;START_MAXIMIZED=","FALSE&amp;VAR:CALENDAR=FIVEDAY&amp;VAR:SYMBOL=B1VT03&amp;VAR:INDEX=0"}</definedName>
    <definedName name="_308__FDSAUDITLINK__" hidden="1">{"fdsup://directions/FAT Viewer?action=UPDATE&amp;creator=factset&amp;DYN_ARGS=TRUE&amp;DOC_NAME=FAT:FQL_AUDITING_CLIENT_TEMPLATE.FAT&amp;display_string=Audit&amp;VAR:KEY=MTIHGRSXID&amp;VAR:QUERY=RkZfTkVUX01HTihBTk4sMjAwOSk=&amp;WINDOW=FIRST_POPUP&amp;HEIGHT=450&amp;WIDTH=450&amp;START_MAXIMIZED=","FALSE&amp;VAR:CALENDAR=FIVEDAY&amp;VAR:SYMBOL=B1VT03&amp;VAR:INDEX=0"}</definedName>
    <definedName name="_309__FDSAUDITLINK__" localSheetId="10" hidden="1">{"fdsup://directions/FAT Viewer?action=UPDATE&amp;creator=factset&amp;DYN_ARGS=TRUE&amp;DOC_NAME=FAT:FQL_AUDITING_CLIENT_TEMPLATE.FAT&amp;display_string=Audit&amp;VAR:KEY=CVWRCRIJAL&amp;VAR:QUERY=RkZfTkVUX01HTihBTk4sMjAwOSk=&amp;WINDOW=FIRST_POPUP&amp;HEIGHT=450&amp;WIDTH=450&amp;START_MAXIMIZED=","FALSE&amp;VAR:CALENDAR=FIVEDAY&amp;VAR:SYMBOL=B1VT03&amp;VAR:INDEX=0"}</definedName>
    <definedName name="_309__FDSAUDITLINK__" hidden="1">{"fdsup://directions/FAT Viewer?action=UPDATE&amp;creator=factset&amp;DYN_ARGS=TRUE&amp;DOC_NAME=FAT:FQL_AUDITING_CLIENT_TEMPLATE.FAT&amp;display_string=Audit&amp;VAR:KEY=CVWRCRIJAL&amp;VAR:QUERY=RkZfTkVUX01HTihBTk4sMjAwOSk=&amp;WINDOW=FIRST_POPUP&amp;HEIGHT=450&amp;WIDTH=450&amp;START_MAXIMIZED=","FALSE&amp;VAR:CALENDAR=FIVEDAY&amp;VAR:SYMBOL=B1VT03&amp;VAR:INDEX=0"}</definedName>
    <definedName name="_31__123Graph_BCHART_19" hidden="1">'[2]S Amer'!$B$21:$V$21</definedName>
    <definedName name="_31__123Graph_D_Chart_1A" hidden="1">'[3]Stock Price'!$E$4:$E$265</definedName>
    <definedName name="_31__FDSAUDITLINK__" localSheetId="10" hidden="1">{"fdsup://directions/FAT Viewer?action=UPDATE&amp;creator=factset&amp;DYN_ARGS=TRUE&amp;DOC_NAME=FAT:FQL_AUDITING_CLIENT_TEMPLATE.FAT&amp;display_string=Audit&amp;VAR:KEY=GTKDCPCRGJ&amp;VAR:QUERY=RkZfRU5UUlBSX1ZBTF9EQUlMWSg0MDM2NiwsLCwsJ0RJTCcp&amp;WINDOW=FIRST_POPUP&amp;HEIGHT=450&amp;WIDTH=","450&amp;START_MAXIMIZED=FALSE&amp;VAR:CALENDAR=FIVEDAY&amp;VAR:SYMBOL=616095&amp;VAR:INDEX=0"}</definedName>
    <definedName name="_31__FDSAUDITLINK__" hidden="1">{"fdsup://directions/FAT Viewer?action=UPDATE&amp;creator=factset&amp;DYN_ARGS=TRUE&amp;DOC_NAME=FAT:FQL_AUDITING_CLIENT_TEMPLATE.FAT&amp;display_string=Audit&amp;VAR:KEY=GTKDCPCRGJ&amp;VAR:QUERY=RkZfRU5UUlBSX1ZBTF9EQUlMWSg0MDM2NiwsLCwsJ0RJTCcp&amp;WINDOW=FIRST_POPUP&amp;HEIGHT=450&amp;WIDTH=","450&amp;START_MAXIMIZED=FALSE&amp;VAR:CALENDAR=FIVEDAY&amp;VAR:SYMBOL=616095&amp;VAR:INDEX=0"}</definedName>
    <definedName name="_310__FDSAUDITLINK__" localSheetId="10" hidden="1">{"fdsup://directions/FAT Viewer?action=UPDATE&amp;creator=factset&amp;DYN_ARGS=TRUE&amp;DOC_NAME=FAT:FQL_AUDITING_CLIENT_TEMPLATE.FAT&amp;display_string=Audit&amp;VAR:KEY=UPWXCLABOB&amp;VAR:QUERY=RkZfTkVUX01HTihBTk4sMjAwOSk=&amp;WINDOW=FIRST_POPUP&amp;HEIGHT=450&amp;WIDTH=450&amp;START_MAXIMIZED=","FALSE&amp;VAR:CALENDAR=FIVEDAY&amp;VAR:SYMBOL=639331&amp;VAR:INDEX=0"}</definedName>
    <definedName name="_310__FDSAUDITLINK__" hidden="1">{"fdsup://directions/FAT Viewer?action=UPDATE&amp;creator=factset&amp;DYN_ARGS=TRUE&amp;DOC_NAME=FAT:FQL_AUDITING_CLIENT_TEMPLATE.FAT&amp;display_string=Audit&amp;VAR:KEY=UPWXCLABOB&amp;VAR:QUERY=RkZfTkVUX01HTihBTk4sMjAwOSk=&amp;WINDOW=FIRST_POPUP&amp;HEIGHT=450&amp;WIDTH=450&amp;START_MAXIMIZED=","FALSE&amp;VAR:CALENDAR=FIVEDAY&amp;VAR:SYMBOL=639331&amp;VAR:INDEX=0"}</definedName>
    <definedName name="_311__FDSAUDITLINK__" localSheetId="10" hidden="1">{"fdsup://directions/FAT Viewer?action=UPDATE&amp;creator=factset&amp;DYN_ARGS=TRUE&amp;DOC_NAME=FAT:FQL_AUDITING_CLIENT_TEMPLATE.FAT&amp;display_string=Audit&amp;VAR:KEY=CTARMDGTAH&amp;VAR:QUERY=RkZfTkVUX01HTihBTk4sMjAwOSk=&amp;WINDOW=FIRST_POPUP&amp;HEIGHT=450&amp;WIDTH=450&amp;START_MAXIMIZED=","FALSE&amp;VAR:CALENDAR=FIVEDAY&amp;VAR:SYMBOL=677221&amp;VAR:INDEX=0"}</definedName>
    <definedName name="_311__FDSAUDITLINK__" hidden="1">{"fdsup://directions/FAT Viewer?action=UPDATE&amp;creator=factset&amp;DYN_ARGS=TRUE&amp;DOC_NAME=FAT:FQL_AUDITING_CLIENT_TEMPLATE.FAT&amp;display_string=Audit&amp;VAR:KEY=CTARMDGTAH&amp;VAR:QUERY=RkZfTkVUX01HTihBTk4sMjAwOSk=&amp;WINDOW=FIRST_POPUP&amp;HEIGHT=450&amp;WIDTH=450&amp;START_MAXIMIZED=","FALSE&amp;VAR:CALENDAR=FIVEDAY&amp;VAR:SYMBOL=677221&amp;VAR:INDEX=0"}</definedName>
    <definedName name="_312__FDSAUDITLINK__" localSheetId="10" hidden="1">{"fdsup://directions/FAT Viewer?action=UPDATE&amp;creator=factset&amp;DYN_ARGS=TRUE&amp;DOC_NAME=FAT:FQL_AUDITING_CLIENT_TEMPLATE.FAT&amp;display_string=Audit&amp;VAR:KEY=UVARSHWHYJ&amp;VAR:QUERY=RkZfR1JPU1NfTUdOKEFOTiwyMDA5KQ==&amp;WINDOW=FIRST_POPUP&amp;HEIGHT=450&amp;WIDTH=450&amp;START_MAXIMI","ZED=FALSE&amp;VAR:CALENDAR=FIVEDAY&amp;VAR:SYMBOL=677221&amp;VAR:INDEX=0"}</definedName>
    <definedName name="_312__FDSAUDITLINK__" hidden="1">{"fdsup://directions/FAT Viewer?action=UPDATE&amp;creator=factset&amp;DYN_ARGS=TRUE&amp;DOC_NAME=FAT:FQL_AUDITING_CLIENT_TEMPLATE.FAT&amp;display_string=Audit&amp;VAR:KEY=UVARSHWHYJ&amp;VAR:QUERY=RkZfR1JPU1NfTUdOKEFOTiwyMDA5KQ==&amp;WINDOW=FIRST_POPUP&amp;HEIGHT=450&amp;WIDTH=450&amp;START_MAXIMI","ZED=FALSE&amp;VAR:CALENDAR=FIVEDAY&amp;VAR:SYMBOL=677221&amp;VAR:INDEX=0"}</definedName>
    <definedName name="_313__FDSAUDITLINK__" localSheetId="10" hidden="1">{"fdsup://directions/FAT Viewer?action=UPDATE&amp;creator=factset&amp;DYN_ARGS=TRUE&amp;DOC_NAME=FAT:FQL_AUDITING_CLIENT_TEMPLATE.FAT&amp;display_string=Audit&amp;VAR:KEY=ORYZQRELQL&amp;VAR:QUERY=RkZfUk9FKEFOTiwyMDA5KQ==&amp;WINDOW=FIRST_POPUP&amp;HEIGHT=450&amp;WIDTH=450&amp;START_MAXIMIZED=FALS","E&amp;VAR:CALENDAR=FIVEDAY&amp;VAR:SYMBOL=677221&amp;VAR:INDEX=0"}</definedName>
    <definedName name="_313__FDSAUDITLINK__" hidden="1">{"fdsup://directions/FAT Viewer?action=UPDATE&amp;creator=factset&amp;DYN_ARGS=TRUE&amp;DOC_NAME=FAT:FQL_AUDITING_CLIENT_TEMPLATE.FAT&amp;display_string=Audit&amp;VAR:KEY=ORYZQRELQL&amp;VAR:QUERY=RkZfUk9FKEFOTiwyMDA5KQ==&amp;WINDOW=FIRST_POPUP&amp;HEIGHT=450&amp;WIDTH=450&amp;START_MAXIMIZED=FALS","E&amp;VAR:CALENDAR=FIVEDAY&amp;VAR:SYMBOL=677221&amp;VAR:INDEX=0"}</definedName>
    <definedName name="_314__FDSAUDITLINK__" localSheetId="10" hidden="1">{"fdsup://directions/FAT Viewer?action=UPDATE&amp;creator=factset&amp;DYN_ARGS=TRUE&amp;DOC_NAME=FAT:FQL_AUDITING_CLIENT_TEMPLATE.FAT&amp;display_string=Audit&amp;VAR:KEY=MNKRURCPAT&amp;VAR:QUERY=RkZfUk9BKEFOTiwyMDA5KQ==&amp;WINDOW=FIRST_POPUP&amp;HEIGHT=450&amp;WIDTH=450&amp;START_MAXIMIZED=FALS","E&amp;VAR:CALENDAR=FIVEDAY&amp;VAR:SYMBOL=677221&amp;VAR:INDEX=0"}</definedName>
    <definedName name="_314__FDSAUDITLINK__" hidden="1">{"fdsup://directions/FAT Viewer?action=UPDATE&amp;creator=factset&amp;DYN_ARGS=TRUE&amp;DOC_NAME=FAT:FQL_AUDITING_CLIENT_TEMPLATE.FAT&amp;display_string=Audit&amp;VAR:KEY=MNKRURCPAT&amp;VAR:QUERY=RkZfUk9BKEFOTiwyMDA5KQ==&amp;WINDOW=FIRST_POPUP&amp;HEIGHT=450&amp;WIDTH=450&amp;START_MAXIMIZED=FALS","E&amp;VAR:CALENDAR=FIVEDAY&amp;VAR:SYMBOL=677221&amp;VAR:INDEX=0"}</definedName>
    <definedName name="_315__FDSAUDITLINK__" localSheetId="10" hidden="1">{"fdsup://directions/FAT Viewer?action=UPDATE&amp;creator=factset&amp;DYN_ARGS=TRUE&amp;DOC_NAME=FAT:FQL_AUDITING_CLIENT_TEMPLATE.FAT&amp;display_string=Audit&amp;VAR:KEY=EPQNYBCXUJ&amp;VAR:QUERY=RkZfTkVUX01HTihBTk4sMjAwOSk=&amp;WINDOW=FIRST_POPUP&amp;HEIGHT=450&amp;WIDTH=450&amp;START_MAXIMIZED=","FALSE&amp;VAR:CALENDAR=FIVEDAY&amp;VAR:SYMBOL=B130MM&amp;VAR:INDEX=0"}</definedName>
    <definedName name="_315__FDSAUDITLINK__" hidden="1">{"fdsup://directions/FAT Viewer?action=UPDATE&amp;creator=factset&amp;DYN_ARGS=TRUE&amp;DOC_NAME=FAT:FQL_AUDITING_CLIENT_TEMPLATE.FAT&amp;display_string=Audit&amp;VAR:KEY=EPQNYBCXUJ&amp;VAR:QUERY=RkZfTkVUX01HTihBTk4sMjAwOSk=&amp;WINDOW=FIRST_POPUP&amp;HEIGHT=450&amp;WIDTH=450&amp;START_MAXIMIZED=","FALSE&amp;VAR:CALENDAR=FIVEDAY&amp;VAR:SYMBOL=B130MM&amp;VAR:INDEX=0"}</definedName>
    <definedName name="_316__FDSAUDITLINK__" localSheetId="10" hidden="1">{"fdsup://directions/FAT Viewer?action=UPDATE&amp;creator=factset&amp;DYN_ARGS=TRUE&amp;DOC_NAME=FAT:FQL_AUDITING_CLIENT_TEMPLATE.FAT&amp;display_string=Audit&amp;VAR:KEY=CZIPWNIRCT&amp;VAR:QUERY=RkZfTkVUX01HTihBTk4sMjAwOSk=&amp;WINDOW=FIRST_POPUP&amp;HEIGHT=450&amp;WIDTH=450&amp;START_MAXIMIZED=","FALSE&amp;VAR:CALENDAR=FIVEDAY&amp;VAR:SYMBOL=B130MM&amp;VAR:INDEX=0"}</definedName>
    <definedName name="_316__FDSAUDITLINK__" hidden="1">{"fdsup://directions/FAT Viewer?action=UPDATE&amp;creator=factset&amp;DYN_ARGS=TRUE&amp;DOC_NAME=FAT:FQL_AUDITING_CLIENT_TEMPLATE.FAT&amp;display_string=Audit&amp;VAR:KEY=CZIPWNIRCT&amp;VAR:QUERY=RkZfTkVUX01HTihBTk4sMjAwOSk=&amp;WINDOW=FIRST_POPUP&amp;HEIGHT=450&amp;WIDTH=450&amp;START_MAXIMIZED=","FALSE&amp;VAR:CALENDAR=FIVEDAY&amp;VAR:SYMBOL=B130MM&amp;VAR:INDEX=0"}</definedName>
    <definedName name="_317__FDSAUDITLINK__" localSheetId="10" hidden="1">{"fdsup://directions/FAT Viewer?action=UPDATE&amp;creator=factset&amp;DYN_ARGS=TRUE&amp;DOC_NAME=FAT:FQL_AUDITING_CLIENT_TEMPLATE.FAT&amp;display_string=Audit&amp;VAR:KEY=WTAJYVOVGD&amp;VAR:QUERY=RkZfTkVUX01HTihBTk4sMjAwOSk=&amp;WINDOW=FIRST_POPUP&amp;HEIGHT=450&amp;WIDTH=450&amp;START_MAXIMIZED=","FALSE&amp;VAR:CALENDAR=FIVEDAY&amp;VAR:SYMBOL=613716&amp;VAR:INDEX=0"}</definedName>
    <definedName name="_317__FDSAUDITLINK__" hidden="1">{"fdsup://directions/FAT Viewer?action=UPDATE&amp;creator=factset&amp;DYN_ARGS=TRUE&amp;DOC_NAME=FAT:FQL_AUDITING_CLIENT_TEMPLATE.FAT&amp;display_string=Audit&amp;VAR:KEY=WTAJYVOVGD&amp;VAR:QUERY=RkZfTkVUX01HTihBTk4sMjAwOSk=&amp;WINDOW=FIRST_POPUP&amp;HEIGHT=450&amp;WIDTH=450&amp;START_MAXIMIZED=","FALSE&amp;VAR:CALENDAR=FIVEDAY&amp;VAR:SYMBOL=613716&amp;VAR:INDEX=0"}</definedName>
    <definedName name="_318__FDSAUDITLINK__" localSheetId="10" hidden="1">{"fdsup://directions/FAT Viewer?action=UPDATE&amp;creator=factset&amp;DYN_ARGS=TRUE&amp;DOC_NAME=FAT:FQL_AUDITING_CLIENT_TEMPLATE.FAT&amp;display_string=Audit&amp;VAR:KEY=OPIBSBGHGF&amp;VAR:QUERY=RkZfR1JPU1NfTUdOKEFOTiwyMDA5KQ==&amp;WINDOW=FIRST_POPUP&amp;HEIGHT=450&amp;WIDTH=450&amp;START_MAXIMI","ZED=FALSE&amp;VAR:CALENDAR=FIVEDAY&amp;VAR:SYMBOL=613716&amp;VAR:INDEX=0"}</definedName>
    <definedName name="_318__FDSAUDITLINK__" hidden="1">{"fdsup://directions/FAT Viewer?action=UPDATE&amp;creator=factset&amp;DYN_ARGS=TRUE&amp;DOC_NAME=FAT:FQL_AUDITING_CLIENT_TEMPLATE.FAT&amp;display_string=Audit&amp;VAR:KEY=OPIBSBGHGF&amp;VAR:QUERY=RkZfR1JPU1NfTUdOKEFOTiwyMDA5KQ==&amp;WINDOW=FIRST_POPUP&amp;HEIGHT=450&amp;WIDTH=450&amp;START_MAXIMI","ZED=FALSE&amp;VAR:CALENDAR=FIVEDAY&amp;VAR:SYMBOL=613716&amp;VAR:INDEX=0"}</definedName>
    <definedName name="_319__FDSAUDITLINK__" localSheetId="10" hidden="1">{"fdsup://directions/FAT Viewer?action=UPDATE&amp;creator=factset&amp;DYN_ARGS=TRUE&amp;DOC_NAME=FAT:FQL_AUDITING_CLIENT_TEMPLATE.FAT&amp;display_string=Audit&amp;VAR:KEY=URWZOFGHOL&amp;VAR:QUERY=RkZfUk9BKEFOTiwyMDA5KQ==&amp;WINDOW=FIRST_POPUP&amp;HEIGHT=450&amp;WIDTH=450&amp;START_MAXIMIZED=FALS","E&amp;VAR:CALENDAR=FIVEDAY&amp;VAR:SYMBOL=B130MM&amp;VAR:INDEX=0"}</definedName>
    <definedName name="_319__FDSAUDITLINK__" hidden="1">{"fdsup://directions/FAT Viewer?action=UPDATE&amp;creator=factset&amp;DYN_ARGS=TRUE&amp;DOC_NAME=FAT:FQL_AUDITING_CLIENT_TEMPLATE.FAT&amp;display_string=Audit&amp;VAR:KEY=URWZOFGHOL&amp;VAR:QUERY=RkZfUk9BKEFOTiwyMDA5KQ==&amp;WINDOW=FIRST_POPUP&amp;HEIGHT=450&amp;WIDTH=450&amp;START_MAXIMIZED=FALS","E&amp;VAR:CALENDAR=FIVEDAY&amp;VAR:SYMBOL=B130MM&amp;VAR:INDEX=0"}</definedName>
    <definedName name="_32__123Graph_BCHART_2" hidden="1">[2]Africa!$B$51:$V$51</definedName>
    <definedName name="_32__123Graph_E_Chart_1A" hidden="1">'[3]Stock Price'!$F$4:$F$265</definedName>
    <definedName name="_32__FDSAUDITLINK__" localSheetId="10" hidden="1">{"fdsup://directions/FAT Viewer?action=UPDATE&amp;creator=factset&amp;DYN_ARGS=TRUE&amp;DOC_NAME=FAT:FQL_AUDITING_CLIENT_TEMPLATE.FAT&amp;display_string=Audit&amp;VAR:KEY=WFAZYZAZOH&amp;VAR:QUERY=RkZfRU5UUlBSX1ZBTF9EQUlMWSg0MDM2NiwsLCxVU0QsJ0RJTCcp&amp;WINDOW=FIRST_POPUP&amp;HEIGHT=450&amp;WI","DTH=450&amp;START_MAXIMIZED=FALSE&amp;VAR:CALENDAR=FIVEDAY&amp;VAR:SYMBOL=616095&amp;VAR:INDEX=0"}</definedName>
    <definedName name="_32__FDSAUDITLINK__" hidden="1">{"fdsup://directions/FAT Viewer?action=UPDATE&amp;creator=factset&amp;DYN_ARGS=TRUE&amp;DOC_NAME=FAT:FQL_AUDITING_CLIENT_TEMPLATE.FAT&amp;display_string=Audit&amp;VAR:KEY=WFAZYZAZOH&amp;VAR:QUERY=RkZfRU5UUlBSX1ZBTF9EQUlMWSg0MDM2NiwsLCxVU0QsJ0RJTCcp&amp;WINDOW=FIRST_POPUP&amp;HEIGHT=450&amp;WI","DTH=450&amp;START_MAXIMIZED=FALSE&amp;VAR:CALENDAR=FIVEDAY&amp;VAR:SYMBOL=616095&amp;VAR:INDEX=0"}</definedName>
    <definedName name="_320__FDSAUDITLINK__" localSheetId="10" hidden="1">{"fdsup://directions/FAT Viewer?action=UPDATE&amp;creator=factset&amp;DYN_ARGS=TRUE&amp;DOC_NAME=FAT:FQL_AUDITING_CLIENT_TEMPLATE.FAT&amp;display_string=Audit&amp;VAR:KEY=UTYVSRMXOP&amp;VAR:QUERY=RkZfR1JPU1NfTUdOKEFOTiwyMDA5KQ==&amp;WINDOW=FIRST_POPUP&amp;HEIGHT=450&amp;WIDTH=450&amp;START_MAXIMI","ZED=FALSE&amp;VAR:CALENDAR=FIVEDAY&amp;VAR:SYMBOL=B130MM&amp;VAR:INDEX=0"}</definedName>
    <definedName name="_320__FDSAUDITLINK__" hidden="1">{"fdsup://directions/FAT Viewer?action=UPDATE&amp;creator=factset&amp;DYN_ARGS=TRUE&amp;DOC_NAME=FAT:FQL_AUDITING_CLIENT_TEMPLATE.FAT&amp;display_string=Audit&amp;VAR:KEY=UTYVSRMXOP&amp;VAR:QUERY=RkZfR1JPU1NfTUdOKEFOTiwyMDA5KQ==&amp;WINDOW=FIRST_POPUP&amp;HEIGHT=450&amp;WIDTH=450&amp;START_MAXIMI","ZED=FALSE&amp;VAR:CALENDAR=FIVEDAY&amp;VAR:SYMBOL=B130MM&amp;VAR:INDEX=0"}</definedName>
    <definedName name="_321__FDSAUDITLINK__" localSheetId="10" hidden="1">{"fdsup://directions/FAT Viewer?action=UPDATE&amp;creator=factset&amp;DYN_ARGS=TRUE&amp;DOC_NAME=FAT:FQL_AUDITING_CLIENT_TEMPLATE.FAT&amp;display_string=Audit&amp;VAR:KEY=QZYHGPQJQX&amp;VAR:QUERY=RkZfTkVUX01HTihBTk4sMjAwOSk=&amp;WINDOW=FIRST_POPUP&amp;HEIGHT=450&amp;WIDTH=450&amp;START_MAXIMIZED=","FALSE&amp;VAR:CALENDAR=FIVEDAY&amp;VAR:SYMBOL=620513&amp;VAR:INDEX=0"}</definedName>
    <definedName name="_321__FDSAUDITLINK__" hidden="1">{"fdsup://directions/FAT Viewer?action=UPDATE&amp;creator=factset&amp;DYN_ARGS=TRUE&amp;DOC_NAME=FAT:FQL_AUDITING_CLIENT_TEMPLATE.FAT&amp;display_string=Audit&amp;VAR:KEY=QZYHGPQJQX&amp;VAR:QUERY=RkZfTkVUX01HTihBTk4sMjAwOSk=&amp;WINDOW=FIRST_POPUP&amp;HEIGHT=450&amp;WIDTH=450&amp;START_MAXIMIZED=","FALSE&amp;VAR:CALENDAR=FIVEDAY&amp;VAR:SYMBOL=620513&amp;VAR:INDEX=0"}</definedName>
    <definedName name="_322__FDSAUDITLINK__" localSheetId="10" hidden="1">{"fdsup://directions/FAT Viewer?action=UPDATE&amp;creator=factset&amp;DYN_ARGS=TRUE&amp;DOC_NAME=FAT:FQL_AUDITING_CLIENT_TEMPLATE.FAT&amp;display_string=Audit&amp;VAR:KEY=EPATIJUPKN&amp;VAR:QUERY=RkZfR1JPU1NfTUdOKEFOTiwyMDA5KQ==&amp;WINDOW=FIRST_POPUP&amp;HEIGHT=450&amp;WIDTH=450&amp;START_MAXIMI","ZED=FALSE&amp;VAR:CALENDAR=FIVEDAY&amp;VAR:SYMBOL=620513&amp;VAR:INDEX=0"}</definedName>
    <definedName name="_322__FDSAUDITLINK__" hidden="1">{"fdsup://directions/FAT Viewer?action=UPDATE&amp;creator=factset&amp;DYN_ARGS=TRUE&amp;DOC_NAME=FAT:FQL_AUDITING_CLIENT_TEMPLATE.FAT&amp;display_string=Audit&amp;VAR:KEY=EPATIJUPKN&amp;VAR:QUERY=RkZfR1JPU1NfTUdOKEFOTiwyMDA5KQ==&amp;WINDOW=FIRST_POPUP&amp;HEIGHT=450&amp;WIDTH=450&amp;START_MAXIMI","ZED=FALSE&amp;VAR:CALENDAR=FIVEDAY&amp;VAR:SYMBOL=620513&amp;VAR:INDEX=0"}</definedName>
    <definedName name="_323__FDSAUDITLINK__" localSheetId="10" hidden="1">{"fdsup://directions/FAT Viewer?action=UPDATE&amp;creator=factset&amp;DYN_ARGS=TRUE&amp;DOC_NAME=FAT:FQL_AUDITING_CLIENT_TEMPLATE.FAT&amp;display_string=Audit&amp;VAR:KEY=EPATIJUPKN&amp;VAR:QUERY=RkZfR1JPU1NfTUdOKEFOTiwyMDA5KQ==&amp;WINDOW=FIRST_POPUP&amp;HEIGHT=450&amp;WIDTH=450&amp;START_MAXIMI","ZED=FALSE&amp;VAR:CALENDAR=FIVEDAY&amp;VAR:SYMBOL=620513&amp;VAR:INDEX=0"}</definedName>
    <definedName name="_323__FDSAUDITLINK__" hidden="1">{"fdsup://directions/FAT Viewer?action=UPDATE&amp;creator=factset&amp;DYN_ARGS=TRUE&amp;DOC_NAME=FAT:FQL_AUDITING_CLIENT_TEMPLATE.FAT&amp;display_string=Audit&amp;VAR:KEY=EPATIJUPKN&amp;VAR:QUERY=RkZfR1JPU1NfTUdOKEFOTiwyMDA5KQ==&amp;WINDOW=FIRST_POPUP&amp;HEIGHT=450&amp;WIDTH=450&amp;START_MAXIMI","ZED=FALSE&amp;VAR:CALENDAR=FIVEDAY&amp;VAR:SYMBOL=620513&amp;VAR:INDEX=0"}</definedName>
    <definedName name="_324__FDSAUDITLINK__" localSheetId="10" hidden="1">{"fdsup://directions/FAT Viewer?action=UPDATE&amp;creator=factset&amp;DYN_ARGS=TRUE&amp;DOC_NAME=FAT:FQL_AUDITING_CLIENT_TEMPLATE.FAT&amp;display_string=Audit&amp;VAR:KEY=UXQLEBEZKB&amp;VAR:QUERY=RkZfUk9FKEFOTiwyMDA5KQ==&amp;WINDOW=FIRST_POPUP&amp;HEIGHT=450&amp;WIDTH=450&amp;START_MAXIMIZED=FALS","E&amp;VAR:CALENDAR=FIVEDAY&amp;VAR:SYMBOL=620513&amp;VAR:INDEX=0"}</definedName>
    <definedName name="_324__FDSAUDITLINK__" hidden="1">{"fdsup://directions/FAT Viewer?action=UPDATE&amp;creator=factset&amp;DYN_ARGS=TRUE&amp;DOC_NAME=FAT:FQL_AUDITING_CLIENT_TEMPLATE.FAT&amp;display_string=Audit&amp;VAR:KEY=UXQLEBEZKB&amp;VAR:QUERY=RkZfUk9FKEFOTiwyMDA5KQ==&amp;WINDOW=FIRST_POPUP&amp;HEIGHT=450&amp;WIDTH=450&amp;START_MAXIMIZED=FALS","E&amp;VAR:CALENDAR=FIVEDAY&amp;VAR:SYMBOL=620513&amp;VAR:INDEX=0"}</definedName>
    <definedName name="_325__FDSAUDITLINK__" localSheetId="10" hidden="1">{"fdsup://directions/FAT Viewer?action=UPDATE&amp;creator=factset&amp;DYN_ARGS=TRUE&amp;DOC_NAME=FAT:FQL_AUDITING_CLIENT_TEMPLATE.FAT&amp;display_string=Audit&amp;VAR:KEY=MBGXSFCDCZ&amp;VAR:QUERY=RkZfUk9BKEFOTiwyMDA5KQ==&amp;WINDOW=FIRST_POPUP&amp;HEIGHT=450&amp;WIDTH=450&amp;START_MAXIMIZED=FALS","E&amp;VAR:CALENDAR=FIVEDAY&amp;VAR:SYMBOL=620513&amp;VAR:INDEX=0"}</definedName>
    <definedName name="_325__FDSAUDITLINK__" hidden="1">{"fdsup://directions/FAT Viewer?action=UPDATE&amp;creator=factset&amp;DYN_ARGS=TRUE&amp;DOC_NAME=FAT:FQL_AUDITING_CLIENT_TEMPLATE.FAT&amp;display_string=Audit&amp;VAR:KEY=MBGXSFCDCZ&amp;VAR:QUERY=RkZfUk9BKEFOTiwyMDA5KQ==&amp;WINDOW=FIRST_POPUP&amp;HEIGHT=450&amp;WIDTH=450&amp;START_MAXIMIZED=FALS","E&amp;VAR:CALENDAR=FIVEDAY&amp;VAR:SYMBOL=620513&amp;VAR:INDEX=0"}</definedName>
    <definedName name="_326__FDSAUDITLINK__" localSheetId="10" hidden="1">{"fdsup://directions/FAT Viewer?action=UPDATE&amp;creator=factset&amp;DYN_ARGS=TRUE&amp;DOC_NAME=FAT:FQL_AUDITING_CLIENT_TEMPLATE.FAT&amp;display_string=Audit&amp;VAR:KEY=MXKXGJAHSB&amp;VAR:QUERY=RkZfTkVUX01HTihBTk4sMjAwOSk=&amp;WINDOW=FIRST_POPUP&amp;HEIGHT=450&amp;WIDTH=450&amp;START_MAXIMIZED=","FALSE&amp;VAR:CALENDAR=FIVEDAY&amp;VAR:SYMBOL=B1VQ5C&amp;VAR:INDEX=0"}</definedName>
    <definedName name="_326__FDSAUDITLINK__" hidden="1">{"fdsup://directions/FAT Viewer?action=UPDATE&amp;creator=factset&amp;DYN_ARGS=TRUE&amp;DOC_NAME=FAT:FQL_AUDITING_CLIENT_TEMPLATE.FAT&amp;display_string=Audit&amp;VAR:KEY=MXKXGJAHSB&amp;VAR:QUERY=RkZfTkVUX01HTihBTk4sMjAwOSk=&amp;WINDOW=FIRST_POPUP&amp;HEIGHT=450&amp;WIDTH=450&amp;START_MAXIMIZED=","FALSE&amp;VAR:CALENDAR=FIVEDAY&amp;VAR:SYMBOL=B1VQ5C&amp;VAR:INDEX=0"}</definedName>
    <definedName name="_327__FDSAUDITLINK__" localSheetId="10" hidden="1">{"fdsup://directions/FAT Viewer?action=UPDATE&amp;creator=factset&amp;DYN_ARGS=TRUE&amp;DOC_NAME=FAT:FQL_AUDITING_CLIENT_TEMPLATE.FAT&amp;display_string=Audit&amp;VAR:KEY=AHOXIZANCD&amp;VAR:QUERY=RkZfUk9BKEFOTiwyMDA5KQ==&amp;WINDOW=FIRST_POPUP&amp;HEIGHT=450&amp;WIDTH=450&amp;START_MAXIMIZED=FALS","E&amp;VAR:CALENDAR=FIVEDAY&amp;VAR:SYMBOL=613716&amp;VAR:INDEX=0"}</definedName>
    <definedName name="_327__FDSAUDITLINK__" hidden="1">{"fdsup://directions/FAT Viewer?action=UPDATE&amp;creator=factset&amp;DYN_ARGS=TRUE&amp;DOC_NAME=FAT:FQL_AUDITING_CLIENT_TEMPLATE.FAT&amp;display_string=Audit&amp;VAR:KEY=AHOXIZANCD&amp;VAR:QUERY=RkZfUk9BKEFOTiwyMDA5KQ==&amp;WINDOW=FIRST_POPUP&amp;HEIGHT=450&amp;WIDTH=450&amp;START_MAXIMIZED=FALS","E&amp;VAR:CALENDAR=FIVEDAY&amp;VAR:SYMBOL=613716&amp;VAR:INDEX=0"}</definedName>
    <definedName name="_328__FDSAUDITLINK__" localSheetId="10" hidden="1">{"fdsup://directions/FAT Viewer?action=UPDATE&amp;creator=factset&amp;DYN_ARGS=TRUE&amp;DOC_NAME=FAT:FQL_AUDITING_CLIENT_TEMPLATE.FAT&amp;display_string=Audit&amp;VAR:KEY=AZMNOPQJQT&amp;VAR:QUERY=RkZfR1JPU1NfTUdOKEFOTiwyMDA5KQ==&amp;WINDOW=FIRST_POPUP&amp;HEIGHT=450&amp;WIDTH=450&amp;START_MAXIMI","ZED=FALSE&amp;VAR:CALENDAR=FIVEDAY&amp;VAR:SYMBOL=B1VQ5C&amp;VAR:INDEX=0"}</definedName>
    <definedName name="_328__FDSAUDITLINK__" hidden="1">{"fdsup://directions/FAT Viewer?action=UPDATE&amp;creator=factset&amp;DYN_ARGS=TRUE&amp;DOC_NAME=FAT:FQL_AUDITING_CLIENT_TEMPLATE.FAT&amp;display_string=Audit&amp;VAR:KEY=AZMNOPQJQT&amp;VAR:QUERY=RkZfR1JPU1NfTUdOKEFOTiwyMDA5KQ==&amp;WINDOW=FIRST_POPUP&amp;HEIGHT=450&amp;WIDTH=450&amp;START_MAXIMI","ZED=FALSE&amp;VAR:CALENDAR=FIVEDAY&amp;VAR:SYMBOL=B1VQ5C&amp;VAR:INDEX=0"}</definedName>
    <definedName name="_33__123Graph_BCHART_20" hidden="1">'[2]S Amer'!$B$51:$V$51</definedName>
    <definedName name="_33__123Graph_F_Chart_1A" hidden="1">'[3]Stock Price'!$G$4:$G$265</definedName>
    <definedName name="_33__FDSAUDITLINK__" localSheetId="10" hidden="1">{"fdsup://directions/FAT Viewer?action=UPDATE&amp;creator=factset&amp;DYN_ARGS=TRUE&amp;DOC_NAME=FAT:FQL_AUDITING_CLIENT_TEMPLATE.FAT&amp;display_string=Audit&amp;VAR:KEY=GHAVGVSJQR&amp;VAR:QUERY=RkZfRU5UUlBSX1ZBTF9EQUlMWSg0MDM2NiwsLCwsJ0RJTCcp&amp;WINDOW=FIRST_POPUP&amp;HEIGHT=450&amp;WIDTH=","450&amp;START_MAXIMIZED=FALSE&amp;VAR:CALENDAR=FIVEDAY&amp;VAR:SYMBOL=B288V4&amp;VAR:INDEX=0"}</definedName>
    <definedName name="_33__FDSAUDITLINK__" hidden="1">{"fdsup://directions/FAT Viewer?action=UPDATE&amp;creator=factset&amp;DYN_ARGS=TRUE&amp;DOC_NAME=FAT:FQL_AUDITING_CLIENT_TEMPLATE.FAT&amp;display_string=Audit&amp;VAR:KEY=GHAVGVSJQR&amp;VAR:QUERY=RkZfRU5UUlBSX1ZBTF9EQUlMWSg0MDM2NiwsLCwsJ0RJTCcp&amp;WINDOW=FIRST_POPUP&amp;HEIGHT=450&amp;WIDTH=","450&amp;START_MAXIMIZED=FALSE&amp;VAR:CALENDAR=FIVEDAY&amp;VAR:SYMBOL=B288V4&amp;VAR:INDEX=0"}</definedName>
    <definedName name="_34__123Graph_BCHART_22" hidden="1">'[2]W Eur'!$B$21:$V$21</definedName>
    <definedName name="_34__123Graph_X_Chart_1A" hidden="1">'[3]Stock Price'!$A$4:$A$265</definedName>
    <definedName name="_34__FDSAUDITLINK__" localSheetId="10" hidden="1">{"fdsup://directions/FAT Viewer?action=UPDATE&amp;creator=factset&amp;DYN_ARGS=TRUE&amp;DOC_NAME=FAT:FQL_AUDITING_CLIENT_TEMPLATE.FAT&amp;display_string=Audit&amp;VAR:KEY=YDGNULSTUR&amp;VAR:QUERY=RkZfRU5UUlBSX1ZBTF9EQUlMWSg0MDM2NiwsLCwsJ0RJTCcp&amp;WINDOW=FIRST_POPUP&amp;HEIGHT=450&amp;WIDTH=","450&amp;START_MAXIMIZED=FALSE&amp;VAR:CALENDAR=FIVEDAY&amp;VAR:SYMBOL=658653&amp;VAR:INDEX=0"}</definedName>
    <definedName name="_34__FDSAUDITLINK__" hidden="1">{"fdsup://directions/FAT Viewer?action=UPDATE&amp;creator=factset&amp;DYN_ARGS=TRUE&amp;DOC_NAME=FAT:FQL_AUDITING_CLIENT_TEMPLATE.FAT&amp;display_string=Audit&amp;VAR:KEY=YDGNULSTUR&amp;VAR:QUERY=RkZfRU5UUlBSX1ZBTF9EQUlMWSg0MDM2NiwsLCwsJ0RJTCcp&amp;WINDOW=FIRST_POPUP&amp;HEIGHT=450&amp;WIDTH=","450&amp;START_MAXIMIZED=FALSE&amp;VAR:CALENDAR=FIVEDAY&amp;VAR:SYMBOL=658653&amp;VAR:INDEX=0"}</definedName>
    <definedName name="_340__FDSAUDITLINK__" localSheetId="10" hidden="1">{"fdsup://directions/FAT Viewer?action=UPDATE&amp;creator=factset&amp;DYN_ARGS=TRUE&amp;DOC_NAME=FAT:FQL_AUDITING_CLIENT_TEMPLATE.FAT&amp;display_string=Audit&amp;VAR:KEY=NEFKFOZQBK&amp;VAR:QUERY=KChGRl9RVUlDS19SQVRJTyhBTk4sMjAwOSlAKChGRl9BU1NFVFNfQ1VSUihBTk4sMjAwOSktRkZfSU5WRU4oQ","U5OLDIwMDkpKS9GRl9MSUFCU19DVVJSKEFOTiwyMDA5KSkpQCgoRkZfRklOX0NVUlJfQVNTRVRTKEFOTiwyMDA5KS1GRl9JTlZFTihBTk4sMjAwOSkpL0ZGX0ZJTl9DVVJSX0xJQUJTKEFOTiwyMDA5KSkp&amp;WINDOW=FIRST_POPUP&amp;HEIGHT=450&amp;WIDTH=450&amp;START_MAXIMIZED=FALSE&amp;VAR:CALENDAR=FIVEDAY&amp;VAR:SYMBOL=B1W0J","F&amp;VAR:INDEX=0"}</definedName>
    <definedName name="_340__FDSAUDITLINK__" hidden="1">{"fdsup://directions/FAT Viewer?action=UPDATE&amp;creator=factset&amp;DYN_ARGS=TRUE&amp;DOC_NAME=FAT:FQL_AUDITING_CLIENT_TEMPLATE.FAT&amp;display_string=Audit&amp;VAR:KEY=NEFKFOZQBK&amp;VAR:QUERY=KChGRl9RVUlDS19SQVRJTyhBTk4sMjAwOSlAKChGRl9BU1NFVFNfQ1VSUihBTk4sMjAwOSktRkZfSU5WRU4oQ","U5OLDIwMDkpKS9GRl9MSUFCU19DVVJSKEFOTiwyMDA5KSkpQCgoRkZfRklOX0NVUlJfQVNTRVRTKEFOTiwyMDA5KS1GRl9JTlZFTihBTk4sMjAwOSkpL0ZGX0ZJTl9DVVJSX0xJQUJTKEFOTiwyMDA5KSkp&amp;WINDOW=FIRST_POPUP&amp;HEIGHT=450&amp;WIDTH=450&amp;START_MAXIMIZED=FALSE&amp;VAR:CALENDAR=FIVEDAY&amp;VAR:SYMBOL=B1W0J","F&amp;VAR:INDEX=0"}</definedName>
    <definedName name="_347__FDSAUDITLINK__" localSheetId="10" hidden="1">{"fdsup://directions/FAT Viewer?action=UPDATE&amp;creator=factset&amp;DYN_ARGS=TRUE&amp;DOC_NAME=FAT:FQL_AUDITING_CLIENT_TEMPLATE.FAT&amp;display_string=Audit&amp;VAR:KEY=BUNSBMVWPM&amp;VAR:QUERY=RkZfR1JPU1NfTUdOKEFOTiwyMDA5KQ==&amp;WINDOW=FIRST_POPUP&amp;HEIGHT=450&amp;WIDTH=450&amp;START_MAXIMI","ZED=FALSE&amp;VAR:CALENDAR=FIVEDAY&amp;VAR:SYMBOL=615816&amp;VAR:INDEX=0"}</definedName>
    <definedName name="_347__FDSAUDITLINK__" hidden="1">{"fdsup://directions/FAT Viewer?action=UPDATE&amp;creator=factset&amp;DYN_ARGS=TRUE&amp;DOC_NAME=FAT:FQL_AUDITING_CLIENT_TEMPLATE.FAT&amp;display_string=Audit&amp;VAR:KEY=BUNSBMVWPM&amp;VAR:QUERY=RkZfR1JPU1NfTUdOKEFOTiwyMDA5KQ==&amp;WINDOW=FIRST_POPUP&amp;HEIGHT=450&amp;WIDTH=450&amp;START_MAXIMI","ZED=FALSE&amp;VAR:CALENDAR=FIVEDAY&amp;VAR:SYMBOL=615816&amp;VAR:INDEX=0"}</definedName>
    <definedName name="_348__FDSAUDITLINK__" localSheetId="10" hidden="1">{"fdsup://directions/FAT Viewer?action=UPDATE&amp;creator=factset&amp;DYN_ARGS=TRUE&amp;DOC_NAME=FAT:FQL_AUDITING_CLIENT_TEMPLATE.FAT&amp;display_string=Audit&amp;VAR:KEY=TIRGRCNQPW&amp;VAR:QUERY=RkZfR1JPU1NfTUdOKEFOTiwyMDA4KQ==&amp;WINDOW=FIRST_POPUP&amp;HEIGHT=450&amp;WIDTH=450&amp;START_MAXIMI","ZED=FALSE&amp;VAR:CALENDAR=FIVEDAY&amp;VAR:SYMBOL=615816&amp;VAR:INDEX=0"}</definedName>
    <definedName name="_348__FDSAUDITLINK__" hidden="1">{"fdsup://directions/FAT Viewer?action=UPDATE&amp;creator=factset&amp;DYN_ARGS=TRUE&amp;DOC_NAME=FAT:FQL_AUDITING_CLIENT_TEMPLATE.FAT&amp;display_string=Audit&amp;VAR:KEY=TIRGRCNQPW&amp;VAR:QUERY=RkZfR1JPU1NfTUdOKEFOTiwyMDA4KQ==&amp;WINDOW=FIRST_POPUP&amp;HEIGHT=450&amp;WIDTH=450&amp;START_MAXIMI","ZED=FALSE&amp;VAR:CALENDAR=FIVEDAY&amp;VAR:SYMBOL=615816&amp;VAR:INDEX=0"}</definedName>
    <definedName name="_35__123Graph_BCHART_23" hidden="1">'[2]W Eur'!$B$51:$V$51</definedName>
    <definedName name="_35__123Graph_XChart_1" hidden="1">[4]Total!$C$322:$C$325</definedName>
    <definedName name="_35__FDSAUDITLINK__" localSheetId="10" hidden="1">{"fdsup://directions/FAT Viewer?action=UPDATE&amp;creator=factset&amp;DYN_ARGS=TRUE&amp;DOC_NAME=FAT:FQL_AUDITING_CLIENT_TEMPLATE.FAT&amp;display_string=Audit&amp;VAR:KEY=CVWZQTYLYB&amp;VAR:QUERY=RkZfRU5UUlBSX1ZBTF9EQUlMWSg0MDM2NiwsLCwsJ0RJTCcp&amp;WINDOW=FIRST_POPUP&amp;HEIGHT=450&amp;WIDTH=","450&amp;START_MAXIMIZED=FALSE&amp;VAR:CALENDAR=FIVEDAY&amp;VAR:SYMBOL=B51BL7&amp;VAR:INDEX=0"}</definedName>
    <definedName name="_35__FDSAUDITLINK__" hidden="1">{"fdsup://directions/FAT Viewer?action=UPDATE&amp;creator=factset&amp;DYN_ARGS=TRUE&amp;DOC_NAME=FAT:FQL_AUDITING_CLIENT_TEMPLATE.FAT&amp;display_string=Audit&amp;VAR:KEY=CVWZQTYLYB&amp;VAR:QUERY=RkZfRU5UUlBSX1ZBTF9EQUlMWSg0MDM2NiwsLCwsJ0RJTCcp&amp;WINDOW=FIRST_POPUP&amp;HEIGHT=450&amp;WIDTH=","450&amp;START_MAXIMIZED=FALSE&amp;VAR:CALENDAR=FIVEDAY&amp;VAR:SYMBOL=B51BL7&amp;VAR:INDEX=0"}</definedName>
    <definedName name="_350__FDSAUDITLINK__" localSheetId="10" hidden="1">{"fdsup://directions/FAT Viewer?action=UPDATE&amp;creator=factset&amp;DYN_ARGS=TRUE&amp;DOC_NAME=FAT:FQL_AUDITING_CLIENT_TEMPLATE.FAT&amp;display_string=Audit&amp;VAR:KEY=IRGPYRITKB&amp;VAR:QUERY=RkZfR1JPU1NfTUdOKEFOTiwyMDA2KQ==&amp;WINDOW=FIRST_POPUP&amp;HEIGHT=450&amp;WIDTH=450&amp;START_MAXIMI","ZED=FALSE&amp;VAR:CALENDAR=FIVEDAY&amp;VAR:SYMBOL=B1W0JF&amp;VAR:INDEX=0"}</definedName>
    <definedName name="_350__FDSAUDITLINK__" hidden="1">{"fdsup://directions/FAT Viewer?action=UPDATE&amp;creator=factset&amp;DYN_ARGS=TRUE&amp;DOC_NAME=FAT:FQL_AUDITING_CLIENT_TEMPLATE.FAT&amp;display_string=Audit&amp;VAR:KEY=IRGPYRITKB&amp;VAR:QUERY=RkZfR1JPU1NfTUdOKEFOTiwyMDA2KQ==&amp;WINDOW=FIRST_POPUP&amp;HEIGHT=450&amp;WIDTH=450&amp;START_MAXIMI","ZED=FALSE&amp;VAR:CALENDAR=FIVEDAY&amp;VAR:SYMBOL=B1W0JF&amp;VAR:INDEX=0"}</definedName>
    <definedName name="_351__FDSAUDITLINK__" localSheetId="10" hidden="1">{"fdsup://directions/FAT Viewer?action=UPDATE&amp;creator=factset&amp;DYN_ARGS=TRUE&amp;DOC_NAME=FAT:FQL_AUDITING_CLIENT_TEMPLATE.FAT&amp;display_string=Audit&amp;VAR:KEY=VGNCPODUVU&amp;VAR:QUERY=RkZfR1JPU1NfTUdOKEFOTiwyMDA3KQ==&amp;WINDOW=FIRST_POPUP&amp;HEIGHT=450&amp;WIDTH=450&amp;START_MAXIMI","ZED=FALSE&amp;VAR:CALENDAR=FIVEDAY&amp;VAR:SYMBOL=615816&amp;VAR:INDEX=0"}</definedName>
    <definedName name="_351__FDSAUDITLINK__" hidden="1">{"fdsup://directions/FAT Viewer?action=UPDATE&amp;creator=factset&amp;DYN_ARGS=TRUE&amp;DOC_NAME=FAT:FQL_AUDITING_CLIENT_TEMPLATE.FAT&amp;display_string=Audit&amp;VAR:KEY=VGNCPODUVU&amp;VAR:QUERY=RkZfR1JPU1NfTUdOKEFOTiwyMDA3KQ==&amp;WINDOW=FIRST_POPUP&amp;HEIGHT=450&amp;WIDTH=450&amp;START_MAXIMI","ZED=FALSE&amp;VAR:CALENDAR=FIVEDAY&amp;VAR:SYMBOL=615816&amp;VAR:INDEX=0"}</definedName>
    <definedName name="_352__FDSAUDITLINK__" localSheetId="10" hidden="1">{"fdsup://directions/FAT Viewer?action=UPDATE&amp;creator=factset&amp;DYN_ARGS=TRUE&amp;DOC_NAME=FAT:FQL_AUDITING_CLIENT_TEMPLATE.FAT&amp;display_string=Audit&amp;VAR:KEY=XGRIVODUVA&amp;VAR:QUERY=RkZfR1JPU1NfTUdOKEFOTiwyMDA2KQ==&amp;WINDOW=FIRST_POPUP&amp;HEIGHT=450&amp;WIDTH=450&amp;START_MAXIMI","ZED=FALSE&amp;VAR:CALENDAR=FIVEDAY&amp;VAR:SYMBOL=615816&amp;VAR:INDEX=0"}</definedName>
    <definedName name="_352__FDSAUDITLINK__" hidden="1">{"fdsup://directions/FAT Viewer?action=UPDATE&amp;creator=factset&amp;DYN_ARGS=TRUE&amp;DOC_NAME=FAT:FQL_AUDITING_CLIENT_TEMPLATE.FAT&amp;display_string=Audit&amp;VAR:KEY=XGRIVODUVA&amp;VAR:QUERY=RkZfR1JPU1NfTUdOKEFOTiwyMDA2KQ==&amp;WINDOW=FIRST_POPUP&amp;HEIGHT=450&amp;WIDTH=450&amp;START_MAXIMI","ZED=FALSE&amp;VAR:CALENDAR=FIVEDAY&amp;VAR:SYMBOL=615816&amp;VAR:INDEX=0"}</definedName>
    <definedName name="_36__123Graph_BCHART_4" hidden="1">'[2]C Amer'!$B$21:$V$21</definedName>
    <definedName name="_36__123Graph_XChart_2" hidden="1">'[5]sales vol.'!$J$398:$J$401</definedName>
    <definedName name="_36__FDSAUDITLINK__" localSheetId="10" hidden="1">{"fdsup://directions/FAT Viewer?action=UPDATE&amp;creator=factset&amp;DYN_ARGS=TRUE&amp;DOC_NAME=FAT:FQL_AUDITING_CLIENT_TEMPLATE.FAT&amp;display_string=Audit&amp;VAR:KEY=KZCXOZUPOP&amp;VAR:QUERY=RkZfRU5UUlBSX1ZBTF9EQUlMWSg0MDM2NiwsLCwsJ0RJTCcp&amp;WINDOW=FIRST_POPUP&amp;HEIGHT=450&amp;WIDTH=","450&amp;START_MAXIMIZED=FALSE&amp;VAR:CALENDAR=FIVEDAY&amp;VAR:SYMBOL=B01JCK&amp;VAR:INDEX=0"}</definedName>
    <definedName name="_36__FDSAUDITLINK__" hidden="1">{"fdsup://directions/FAT Viewer?action=UPDATE&amp;creator=factset&amp;DYN_ARGS=TRUE&amp;DOC_NAME=FAT:FQL_AUDITING_CLIENT_TEMPLATE.FAT&amp;display_string=Audit&amp;VAR:KEY=KZCXOZUPOP&amp;VAR:QUERY=RkZfRU5UUlBSX1ZBTF9EQUlMWSg0MDM2NiwsLCwsJ0RJTCcp&amp;WINDOW=FIRST_POPUP&amp;HEIGHT=450&amp;WIDTH=","450&amp;START_MAXIMIZED=FALSE&amp;VAR:CALENDAR=FIVEDAY&amp;VAR:SYMBOL=B01JCK&amp;VAR:INDEX=0"}</definedName>
    <definedName name="_360__FDSAUDITLINK__" localSheetId="10" hidden="1">{"fdsup://directions/FAT Viewer?action=UPDATE&amp;creator=factset&amp;DYN_ARGS=TRUE&amp;DOC_NAME=FAT:FQL_AUDITING_CLIENT_TEMPLATE.FAT&amp;display_string=Audit&amp;VAR:KEY=ZUZKNURMZW&amp;VAR:QUERY=RkZfSU5UX0NPVkcoQU5OLDIwMDkp&amp;WINDOW=FIRST_POPUP&amp;HEIGHT=450&amp;WIDTH=450&amp;START_MAXIMIZED=","FALSE&amp;VAR:CALENDAR=FIVEDAY&amp;VAR:SYMBOL=2899&amp;VAR:INDEX=0"}</definedName>
    <definedName name="_360__FDSAUDITLINK__" hidden="1">{"fdsup://directions/FAT Viewer?action=UPDATE&amp;creator=factset&amp;DYN_ARGS=TRUE&amp;DOC_NAME=FAT:FQL_AUDITING_CLIENT_TEMPLATE.FAT&amp;display_string=Audit&amp;VAR:KEY=ZUZKNURMZW&amp;VAR:QUERY=RkZfSU5UX0NPVkcoQU5OLDIwMDkp&amp;WINDOW=FIRST_POPUP&amp;HEIGHT=450&amp;WIDTH=450&amp;START_MAXIMIZED=","FALSE&amp;VAR:CALENDAR=FIVEDAY&amp;VAR:SYMBOL=2899&amp;VAR:INDEX=0"}</definedName>
    <definedName name="_361__FDSAUDITLINK__" localSheetId="10" hidden="1">{"fdsup://directions/FAT Viewer?action=UPDATE&amp;creator=factset&amp;DYN_ARGS=TRUE&amp;DOC_NAME=FAT:FQL_AUDITING_CLIENT_TEMPLATE.FAT&amp;display_string=Audit&amp;VAR:KEY=NGJKPCLIPI&amp;VAR:QUERY=RkZfUEFZX09VVF9SQVRJTyhBTk4sMjAwOSk=&amp;WINDOW=FIRST_POPUP&amp;HEIGHT=450&amp;WIDTH=450&amp;START_MA","XIMIZED=FALSE&amp;VAR:CALENDAR=FIVEDAY&amp;VAR:SYMBOL=2899&amp;VAR:INDEX=0"}</definedName>
    <definedName name="_361__FDSAUDITLINK__" hidden="1">{"fdsup://directions/FAT Viewer?action=UPDATE&amp;creator=factset&amp;DYN_ARGS=TRUE&amp;DOC_NAME=FAT:FQL_AUDITING_CLIENT_TEMPLATE.FAT&amp;display_string=Audit&amp;VAR:KEY=NGJKPCLIPI&amp;VAR:QUERY=RkZfUEFZX09VVF9SQVRJTyhBTk4sMjAwOSk=&amp;WINDOW=FIRST_POPUP&amp;HEIGHT=450&amp;WIDTH=450&amp;START_MA","XIMIZED=FALSE&amp;VAR:CALENDAR=FIVEDAY&amp;VAR:SYMBOL=2899&amp;VAR:INDEX=0"}</definedName>
    <definedName name="_362__FDSAUDITLINK__" localSheetId="10" hidden="1">{"fdsup://directions/FAT Viewer?action=UPDATE&amp;creator=factset&amp;DYN_ARGS=TRUE&amp;DOC_NAME=FAT:FQL_AUDITING_CLIENT_TEMPLATE.FAT&amp;display_string=Audit&amp;VAR:KEY=FIDWRYVYZI&amp;VAR:QUERY=RkZfREVCVF9BU1NFVFMoQU5OLDIwMDkp&amp;WINDOW=FIRST_POPUP&amp;HEIGHT=450&amp;WIDTH=450&amp;START_MAXIMI","ZED=FALSE&amp;VAR:CALENDAR=FIVEDAY&amp;VAR:SYMBOL=2899&amp;VAR:INDEX=0"}</definedName>
    <definedName name="_362__FDSAUDITLINK__" hidden="1">{"fdsup://directions/FAT Viewer?action=UPDATE&amp;creator=factset&amp;DYN_ARGS=TRUE&amp;DOC_NAME=FAT:FQL_AUDITING_CLIENT_TEMPLATE.FAT&amp;display_string=Audit&amp;VAR:KEY=FIDWRYVYZI&amp;VAR:QUERY=RkZfREVCVF9BU1NFVFMoQU5OLDIwMDkp&amp;WINDOW=FIRST_POPUP&amp;HEIGHT=450&amp;WIDTH=450&amp;START_MAXIMI","ZED=FALSE&amp;VAR:CALENDAR=FIVEDAY&amp;VAR:SYMBOL=2899&amp;VAR:INDEX=0"}</definedName>
    <definedName name="_363__FDSAUDITLINK__" localSheetId="10" hidden="1">{"fdsup://directions/FAT Viewer?action=UPDATE&amp;creator=factset&amp;DYN_ARGS=TRUE&amp;DOC_NAME=FAT:FQL_AUDITING_CLIENT_TEMPLATE.FAT&amp;display_string=Audit&amp;VAR:KEY=JGDCFAVIHC&amp;VAR:QUERY=RkZfREVCVF9BU1NFVFMoQU5OLDIwMDgp&amp;WINDOW=FIRST_POPUP&amp;HEIGHT=450&amp;WIDTH=450&amp;START_MAXIMI","ZED=FALSE&amp;VAR:CALENDAR=FIVEDAY&amp;VAR:SYMBOL=2899&amp;VAR:INDEX=0"}</definedName>
    <definedName name="_363__FDSAUDITLINK__" hidden="1">{"fdsup://directions/FAT Viewer?action=UPDATE&amp;creator=factset&amp;DYN_ARGS=TRUE&amp;DOC_NAME=FAT:FQL_AUDITING_CLIENT_TEMPLATE.FAT&amp;display_string=Audit&amp;VAR:KEY=JGDCFAVIHC&amp;VAR:QUERY=RkZfREVCVF9BU1NFVFMoQU5OLDIwMDgp&amp;WINDOW=FIRST_POPUP&amp;HEIGHT=450&amp;WIDTH=450&amp;START_MAXIMI","ZED=FALSE&amp;VAR:CALENDAR=FIVEDAY&amp;VAR:SYMBOL=2899&amp;VAR:INDEX=0"}</definedName>
    <definedName name="_364__FDSAUDITLINK__" localSheetId="10" hidden="1">{"fdsup://directions/FAT Viewer?action=UPDATE&amp;creator=factset&amp;DYN_ARGS=TRUE&amp;DOC_NAME=FAT:FQL_AUDITING_CLIENT_TEMPLATE.FAT&amp;display_string=Audit&amp;VAR:KEY=HYLSTETSLE&amp;VAR:QUERY=RkZfREVCVF9BU1NFVFMoQU5OLDIwMDcp&amp;WINDOW=FIRST_POPUP&amp;HEIGHT=450&amp;WIDTH=450&amp;START_MAXIMI","ZED=FALSE&amp;VAR:CALENDAR=FIVEDAY&amp;VAR:SYMBOL=2899&amp;VAR:INDEX=0"}</definedName>
    <definedName name="_364__FDSAUDITLINK__" hidden="1">{"fdsup://directions/FAT Viewer?action=UPDATE&amp;creator=factset&amp;DYN_ARGS=TRUE&amp;DOC_NAME=FAT:FQL_AUDITING_CLIENT_TEMPLATE.FAT&amp;display_string=Audit&amp;VAR:KEY=HYLSTETSLE&amp;VAR:QUERY=RkZfREVCVF9BU1NFVFMoQU5OLDIwMDcp&amp;WINDOW=FIRST_POPUP&amp;HEIGHT=450&amp;WIDTH=450&amp;START_MAXIMI","ZED=FALSE&amp;VAR:CALENDAR=FIVEDAY&amp;VAR:SYMBOL=2899&amp;VAR:INDEX=0"}</definedName>
    <definedName name="_365__FDSAUDITLINK__" localSheetId="10" hidden="1">{"fdsup://directions/FAT Viewer?action=UPDATE&amp;creator=factset&amp;DYN_ARGS=TRUE&amp;DOC_NAME=FAT:FQL_AUDITING_CLIENT_TEMPLATE.FAT&amp;display_string=Audit&amp;VAR:KEY=ZINSBEVSZY&amp;VAR:QUERY=RkZfREVCVF9BU1NFVFMoQU5OLDIwMDYp&amp;WINDOW=FIRST_POPUP&amp;HEIGHT=450&amp;WIDTH=450&amp;START_MAXIMI","ZED=FALSE&amp;VAR:CALENDAR=FIVEDAY&amp;VAR:SYMBOL=2899&amp;VAR:INDEX=0"}</definedName>
    <definedName name="_365__FDSAUDITLINK__" hidden="1">{"fdsup://directions/FAT Viewer?action=UPDATE&amp;creator=factset&amp;DYN_ARGS=TRUE&amp;DOC_NAME=FAT:FQL_AUDITING_CLIENT_TEMPLATE.FAT&amp;display_string=Audit&amp;VAR:KEY=ZINSBEVSZY&amp;VAR:QUERY=RkZfREVCVF9BU1NFVFMoQU5OLDIwMDYp&amp;WINDOW=FIRST_POPUP&amp;HEIGHT=450&amp;WIDTH=450&amp;START_MAXIMI","ZED=FALSE&amp;VAR:CALENDAR=FIVEDAY&amp;VAR:SYMBOL=2899&amp;VAR:INDEX=0"}</definedName>
    <definedName name="_366__FDSAUDITLINK__" localSheetId="10" hidden="1">{"fdsup://directions/FAT Viewer?action=UPDATE&amp;creator=factset&amp;DYN_ARGS=TRUE&amp;DOC_NAME=FAT:FQL_AUDITING_CLIENT_TEMPLATE.FAT&amp;display_string=Audit&amp;VAR:KEY=PATCVMHSXU&amp;VAR:QUERY=RkZfREVCVF9FUShBTk4sMjAwOSk=&amp;WINDOW=FIRST_POPUP&amp;HEIGHT=450&amp;WIDTH=450&amp;START_MAXIMIZED=","FALSE&amp;VAR:CALENDAR=FIVEDAY&amp;VAR:SYMBOL=2899&amp;VAR:INDEX=0"}</definedName>
    <definedName name="_366__FDSAUDITLINK__" hidden="1">{"fdsup://directions/FAT Viewer?action=UPDATE&amp;creator=factset&amp;DYN_ARGS=TRUE&amp;DOC_NAME=FAT:FQL_AUDITING_CLIENT_TEMPLATE.FAT&amp;display_string=Audit&amp;VAR:KEY=PATCVMHSXU&amp;VAR:QUERY=RkZfREVCVF9FUShBTk4sMjAwOSk=&amp;WINDOW=FIRST_POPUP&amp;HEIGHT=450&amp;WIDTH=450&amp;START_MAXIMIZED=","FALSE&amp;VAR:CALENDAR=FIVEDAY&amp;VAR:SYMBOL=2899&amp;VAR:INDEX=0"}</definedName>
    <definedName name="_367__FDSAUDITLINK__" localSheetId="10" hidden="1">{"fdsup://directions/FAT Viewer?action=UPDATE&amp;creator=factset&amp;DYN_ARGS=TRUE&amp;DOC_NAME=FAT:FQL_AUDITING_CLIENT_TEMPLATE.FAT&amp;display_string=Audit&amp;VAR:KEY=HAFGTMXWZS&amp;VAR:QUERY=RkZfREVCVF9FUShBTk4sMjAwOCk=&amp;WINDOW=FIRST_POPUP&amp;HEIGHT=450&amp;WIDTH=450&amp;START_MAXIMIZED=","FALSE&amp;VAR:CALENDAR=FIVEDAY&amp;VAR:SYMBOL=2899&amp;VAR:INDEX=0"}</definedName>
    <definedName name="_367__FDSAUDITLINK__" hidden="1">{"fdsup://directions/FAT Viewer?action=UPDATE&amp;creator=factset&amp;DYN_ARGS=TRUE&amp;DOC_NAME=FAT:FQL_AUDITING_CLIENT_TEMPLATE.FAT&amp;display_string=Audit&amp;VAR:KEY=HAFGTMXWZS&amp;VAR:QUERY=RkZfREVCVF9FUShBTk4sMjAwOCk=&amp;WINDOW=FIRST_POPUP&amp;HEIGHT=450&amp;WIDTH=450&amp;START_MAXIMIZED=","FALSE&amp;VAR:CALENDAR=FIVEDAY&amp;VAR:SYMBOL=2899&amp;VAR:INDEX=0"}</definedName>
    <definedName name="_368__FDSAUDITLINK__" localSheetId="10" hidden="1">{"fdsup://directions/FAT Viewer?action=UPDATE&amp;creator=factset&amp;DYN_ARGS=TRUE&amp;DOC_NAME=FAT:FQL_AUDITING_CLIENT_TEMPLATE.FAT&amp;display_string=Audit&amp;VAR:KEY=DMRKBAPUFU&amp;VAR:QUERY=RkZfREVCVF9FUShBTk4sMjAwNyk=&amp;WINDOW=FIRST_POPUP&amp;HEIGHT=450&amp;WIDTH=450&amp;START_MAXIMIZED=","FALSE&amp;VAR:CALENDAR=FIVEDAY&amp;VAR:SYMBOL=2899&amp;VAR:INDEX=0"}</definedName>
    <definedName name="_368__FDSAUDITLINK__" hidden="1">{"fdsup://directions/FAT Viewer?action=UPDATE&amp;creator=factset&amp;DYN_ARGS=TRUE&amp;DOC_NAME=FAT:FQL_AUDITING_CLIENT_TEMPLATE.FAT&amp;display_string=Audit&amp;VAR:KEY=DMRKBAPUFU&amp;VAR:QUERY=RkZfREVCVF9FUShBTk4sMjAwNyk=&amp;WINDOW=FIRST_POPUP&amp;HEIGHT=450&amp;WIDTH=450&amp;START_MAXIMIZED=","FALSE&amp;VAR:CALENDAR=FIVEDAY&amp;VAR:SYMBOL=2899&amp;VAR:INDEX=0"}</definedName>
    <definedName name="_369__FDSAUDITLINK__" localSheetId="10" hidden="1">{"fdsup://directions/FAT Viewer?action=UPDATE&amp;creator=factset&amp;DYN_ARGS=TRUE&amp;DOC_NAME=FAT:FQL_AUDITING_CLIENT_TEMPLATE.FAT&amp;display_string=Audit&amp;VAR:KEY=JEJSVUDSNK&amp;VAR:QUERY=RkZfREVCVF9FUShBTk4sMjAwNik=&amp;WINDOW=FIRST_POPUP&amp;HEIGHT=450&amp;WIDTH=450&amp;START_MAXIMIZED=","FALSE&amp;VAR:CALENDAR=FIVEDAY&amp;VAR:SYMBOL=2899&amp;VAR:INDEX=0"}</definedName>
    <definedName name="_369__FDSAUDITLINK__" hidden="1">{"fdsup://directions/FAT Viewer?action=UPDATE&amp;creator=factset&amp;DYN_ARGS=TRUE&amp;DOC_NAME=FAT:FQL_AUDITING_CLIENT_TEMPLATE.FAT&amp;display_string=Audit&amp;VAR:KEY=JEJSVUDSNK&amp;VAR:QUERY=RkZfREVCVF9FUShBTk4sMjAwNik=&amp;WINDOW=FIRST_POPUP&amp;HEIGHT=450&amp;WIDTH=450&amp;START_MAXIMIZED=","FALSE&amp;VAR:CALENDAR=FIVEDAY&amp;VAR:SYMBOL=2899&amp;VAR:INDEX=0"}</definedName>
    <definedName name="_37__123Graph_BCHART_5" hidden="1">'[2]C Amer'!$B$51:$V$51</definedName>
    <definedName name="_37__123Graph_XChart_3" hidden="1">'[5]sales vol.'!$J$211:$J$214</definedName>
    <definedName name="_37__FDSAUDITLINK__" localSheetId="10" hidden="1">{"fdsup://directions/FAT Viewer?action=UPDATE&amp;creator=factset&amp;DYN_ARGS=TRUE&amp;DOC_NAME=FAT:FQL_AUDITING_CLIENT_TEMPLATE.FAT&amp;display_string=Audit&amp;VAR:KEY=MHKZORQPOH&amp;VAR:QUERY=RkZfRU5UUlBSX1ZBTF9EQUlMWSg0MDM2NiwsLCwsJ0RJTCcp&amp;WINDOW=FIRST_POPUP&amp;HEIGHT=450&amp;WIDTH=","450&amp;START_MAXIMIZED=FALSE&amp;VAR:CALENDAR=FIVEDAY&amp;VAR:SYMBOL=B1YVKN&amp;VAR:INDEX=0"}</definedName>
    <definedName name="_37__FDSAUDITLINK__" hidden="1">{"fdsup://directions/FAT Viewer?action=UPDATE&amp;creator=factset&amp;DYN_ARGS=TRUE&amp;DOC_NAME=FAT:FQL_AUDITING_CLIENT_TEMPLATE.FAT&amp;display_string=Audit&amp;VAR:KEY=MHKZORQPOH&amp;VAR:QUERY=RkZfRU5UUlBSX1ZBTF9EQUlMWSg0MDM2NiwsLCwsJ0RJTCcp&amp;WINDOW=FIRST_POPUP&amp;HEIGHT=450&amp;WIDTH=","450&amp;START_MAXIMIZED=FALSE&amp;VAR:CALENDAR=FIVEDAY&amp;VAR:SYMBOL=B1YVKN&amp;VAR:INDEX=0"}</definedName>
    <definedName name="_370__FDSAUDITLINK__" localSheetId="10" hidden="1">{"fdsup://directions/FAT Viewer?action=UPDATE&amp;creator=factset&amp;DYN_ARGS=TRUE&amp;DOC_NAME=FAT:FQL_AUDITING_CLIENT_TEMPLATE.FAT&amp;display_string=Audit&amp;VAR:KEY=RKVUXCTUVQ&amp;VAR:QUERY=RkZfTkVUX0RFQlQoQU5OLDIwMDkpL0ZGX1NITERSU19FUShBTk4sMjAwOSk=&amp;WINDOW=FIRST_POPUP&amp;HEIGH","T=450&amp;WIDTH=450&amp;START_MAXIMIZED=FALSE&amp;VAR:CALENDAR=FIVEDAY&amp;VAR:SYMBOL=2899&amp;VAR:INDEX=0"}</definedName>
    <definedName name="_370__FDSAUDITLINK__" hidden="1">{"fdsup://directions/FAT Viewer?action=UPDATE&amp;creator=factset&amp;DYN_ARGS=TRUE&amp;DOC_NAME=FAT:FQL_AUDITING_CLIENT_TEMPLATE.FAT&amp;display_string=Audit&amp;VAR:KEY=RKVUXCTUVQ&amp;VAR:QUERY=RkZfTkVUX0RFQlQoQU5OLDIwMDkpL0ZGX1NITERSU19FUShBTk4sMjAwOSk=&amp;WINDOW=FIRST_POPUP&amp;HEIGH","T=450&amp;WIDTH=450&amp;START_MAXIMIZED=FALSE&amp;VAR:CALENDAR=FIVEDAY&amp;VAR:SYMBOL=2899&amp;VAR:INDEX=0"}</definedName>
    <definedName name="_371__FDSAUDITLINK__" localSheetId="10" hidden="1">{"fdsup://directions/FAT Viewer?action=UPDATE&amp;creator=factset&amp;DYN_ARGS=TRUE&amp;DOC_NAME=FAT:FQL_AUDITING_CLIENT_TEMPLATE.FAT&amp;display_string=Audit&amp;VAR:KEY=JMHMVEDSTW&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2899&amp;VAR:INDEX=0"}</definedName>
    <definedName name="_371__FDSAUDITLINK__" hidden="1">{"fdsup://directions/FAT Viewer?action=UPDATE&amp;creator=factset&amp;DYN_ARGS=TRUE&amp;DOC_NAME=FAT:FQL_AUDITING_CLIENT_TEMPLATE.FAT&amp;display_string=Audit&amp;VAR:KEY=JMHMVEDSTW&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2899&amp;VAR:INDEX=0"}</definedName>
    <definedName name="_372__FDSAUDITLINK__" localSheetId="10" hidden="1">{"fdsup://directions/FAT Viewer?action=UPDATE&amp;creator=factset&amp;DYN_ARGS=TRUE&amp;DOC_NAME=FAT:FQL_AUDITING_CLIENT_TEMPLATE.FAT&amp;display_string=Audit&amp;VAR:KEY=LYXGTWRQHU&amp;VAR:QUERY=KEZGX05FVF9JTkMoQU5OLDIwMDkpL0ZGX05FVF9JTkMoQU5OLDIwMDgpKS0x&amp;WINDOW=FIRST_POPUP&amp;HEIGH","T=450&amp;WIDTH=450&amp;START_MAXIMIZED=FALSE&amp;VAR:CALENDAR=FIVEDAY&amp;VAR:SYMBOL=2899&amp;VAR:INDEX=0"}</definedName>
    <definedName name="_372__FDSAUDITLINK__" hidden="1">{"fdsup://directions/FAT Viewer?action=UPDATE&amp;creator=factset&amp;DYN_ARGS=TRUE&amp;DOC_NAME=FAT:FQL_AUDITING_CLIENT_TEMPLATE.FAT&amp;display_string=Audit&amp;VAR:KEY=LYXGTWRQHU&amp;VAR:QUERY=KEZGX05FVF9JTkMoQU5OLDIwMDkpL0ZGX05FVF9JTkMoQU5OLDIwMDgpKS0x&amp;WINDOW=FIRST_POPUP&amp;HEIGH","T=450&amp;WIDTH=450&amp;START_MAXIMIZED=FALSE&amp;VAR:CALENDAR=FIVEDAY&amp;VAR:SYMBOL=2899&amp;VAR:INDEX=0"}</definedName>
    <definedName name="_373__FDSAUDITLINK__" localSheetId="10" hidden="1">{"fdsup://directions/FAT Viewer?action=UPDATE&amp;creator=factset&amp;DYN_ARGS=TRUE&amp;DOC_NAME=FAT:FQL_AUDITING_CLIENT_TEMPLATE.FAT&amp;display_string=Audit&amp;VAR:KEY=JADGZILUPY&amp;VAR:QUERY=RkZfTkVUX01HTihBTk4sMjAwOSk=&amp;WINDOW=FIRST_POPUP&amp;HEIGHT=450&amp;WIDTH=450&amp;START_MAXIMIZED=","FALSE&amp;VAR:CALENDAR=FIVEDAY&amp;VAR:SYMBOL=2899&amp;VAR:INDEX=0"}</definedName>
    <definedName name="_373__FDSAUDITLINK__" hidden="1">{"fdsup://directions/FAT Viewer?action=UPDATE&amp;creator=factset&amp;DYN_ARGS=TRUE&amp;DOC_NAME=FAT:FQL_AUDITING_CLIENT_TEMPLATE.FAT&amp;display_string=Audit&amp;VAR:KEY=JADGZILUPY&amp;VAR:QUERY=RkZfTkVUX01HTihBTk4sMjAwOSk=&amp;WINDOW=FIRST_POPUP&amp;HEIGHT=450&amp;WIDTH=450&amp;START_MAXIMIZED=","FALSE&amp;VAR:CALENDAR=FIVEDAY&amp;VAR:SYMBOL=2899&amp;VAR:INDEX=0"}</definedName>
    <definedName name="_374__FDSAUDITLINK__" localSheetId="10" hidden="1">{"fdsup://directions/FAT Viewer?action=UPDATE&amp;creator=factset&amp;DYN_ARGS=TRUE&amp;DOC_NAME=FAT:FQL_AUDITING_CLIENT_TEMPLATE.FAT&amp;display_string=Audit&amp;VAR:KEY=TGLKPIBMBO&amp;VAR:QUERY=RkZfTkVUX01HTihBTk4sMjAwOCk=&amp;WINDOW=FIRST_POPUP&amp;HEIGHT=450&amp;WIDTH=450&amp;START_MAXIMIZED=","FALSE&amp;VAR:CALENDAR=FIVEDAY&amp;VAR:SYMBOL=2899&amp;VAR:INDEX=0"}</definedName>
    <definedName name="_374__FDSAUDITLINK__" hidden="1">{"fdsup://directions/FAT Viewer?action=UPDATE&amp;creator=factset&amp;DYN_ARGS=TRUE&amp;DOC_NAME=FAT:FQL_AUDITING_CLIENT_TEMPLATE.FAT&amp;display_string=Audit&amp;VAR:KEY=TGLKPIBMBO&amp;VAR:QUERY=RkZfTkVUX01HTihBTk4sMjAwOCk=&amp;WINDOW=FIRST_POPUP&amp;HEIGHT=450&amp;WIDTH=450&amp;START_MAXIMIZED=","FALSE&amp;VAR:CALENDAR=FIVEDAY&amp;VAR:SYMBOL=2899&amp;VAR:INDEX=0"}</definedName>
    <definedName name="_375__FDSAUDITLINK__" localSheetId="10" hidden="1">{"fdsup://directions/FAT Viewer?action=UPDATE&amp;creator=factset&amp;DYN_ARGS=TRUE&amp;DOC_NAME=FAT:FQL_AUDITING_CLIENT_TEMPLATE.FAT&amp;display_string=Audit&amp;VAR:KEY=HIVULOPAXW&amp;VAR:QUERY=RkZfTkVUX01HTihBTk4sMjAwNyk=&amp;WINDOW=FIRST_POPUP&amp;HEIGHT=450&amp;WIDTH=450&amp;START_MAXIMIZED=","FALSE&amp;VAR:CALENDAR=FIVEDAY&amp;VAR:SYMBOL=2899&amp;VAR:INDEX=0"}</definedName>
    <definedName name="_375__FDSAUDITLINK__" hidden="1">{"fdsup://directions/FAT Viewer?action=UPDATE&amp;creator=factset&amp;DYN_ARGS=TRUE&amp;DOC_NAME=FAT:FQL_AUDITING_CLIENT_TEMPLATE.FAT&amp;display_string=Audit&amp;VAR:KEY=HIVULOPAXW&amp;VAR:QUERY=RkZfTkVUX01HTihBTk4sMjAwNyk=&amp;WINDOW=FIRST_POPUP&amp;HEIGHT=450&amp;WIDTH=450&amp;START_MAXIMIZED=","FALSE&amp;VAR:CALENDAR=FIVEDAY&amp;VAR:SYMBOL=2899&amp;VAR:INDEX=0"}</definedName>
    <definedName name="_376__FDSAUDITLINK__" localSheetId="10" hidden="1">{"fdsup://directions/FAT Viewer?action=UPDATE&amp;creator=factset&amp;DYN_ARGS=TRUE&amp;DOC_NAME=FAT:FQL_AUDITING_CLIENT_TEMPLATE.FAT&amp;display_string=Audit&amp;VAR:KEY=HEBOTULUBC&amp;VAR:QUERY=RkZfTkVUX01HTihBTk4sMjAwNik=&amp;WINDOW=FIRST_POPUP&amp;HEIGHT=450&amp;WIDTH=450&amp;START_MAXIMIZED=","FALSE&amp;VAR:CALENDAR=FIVEDAY&amp;VAR:SYMBOL=2899&amp;VAR:INDEX=0"}</definedName>
    <definedName name="_376__FDSAUDITLINK__" hidden="1">{"fdsup://directions/FAT Viewer?action=UPDATE&amp;creator=factset&amp;DYN_ARGS=TRUE&amp;DOC_NAME=FAT:FQL_AUDITING_CLIENT_TEMPLATE.FAT&amp;display_string=Audit&amp;VAR:KEY=HEBOTULUBC&amp;VAR:QUERY=RkZfTkVUX01HTihBTk4sMjAwNik=&amp;WINDOW=FIRST_POPUP&amp;HEIGHT=450&amp;WIDTH=450&amp;START_MAXIMIZED=","FALSE&amp;VAR:CALENDAR=FIVEDAY&amp;VAR:SYMBOL=2899&amp;VAR:INDEX=0"}</definedName>
    <definedName name="_377__FDSAUDITLINK__" localSheetId="10" hidden="1">{"fdsup://directions/FAT Viewer?action=UPDATE&amp;creator=factset&amp;DYN_ARGS=TRUE&amp;DOC_NAME=FAT:FQL_AUDITING_CLIENT_TEMPLATE.FAT&amp;display_string=Audit&amp;VAR:KEY=NGXCREVWPM&amp;VAR:QUERY=RkZfUk9BKEFOTiwyMDA5KQ==&amp;WINDOW=FIRST_POPUP&amp;HEIGHT=450&amp;WIDTH=450&amp;START_MAXIMIZED=FALS","E&amp;VAR:CALENDAR=FIVEDAY&amp;VAR:SYMBOL=2899&amp;VAR:INDEX=0"}</definedName>
    <definedName name="_377__FDSAUDITLINK__" hidden="1">{"fdsup://directions/FAT Viewer?action=UPDATE&amp;creator=factset&amp;DYN_ARGS=TRUE&amp;DOC_NAME=FAT:FQL_AUDITING_CLIENT_TEMPLATE.FAT&amp;display_string=Audit&amp;VAR:KEY=NGXCREVWPM&amp;VAR:QUERY=RkZfUk9BKEFOTiwyMDA5KQ==&amp;WINDOW=FIRST_POPUP&amp;HEIGHT=450&amp;WIDTH=450&amp;START_MAXIMIZED=FALS","E&amp;VAR:CALENDAR=FIVEDAY&amp;VAR:SYMBOL=2899&amp;VAR:INDEX=0"}</definedName>
    <definedName name="_378__FDSAUDITLINK__" localSheetId="10" hidden="1">{"fdsup://directions/FAT Viewer?action=UPDATE&amp;creator=factset&amp;DYN_ARGS=TRUE&amp;DOC_NAME=FAT:FQL_AUDITING_CLIENT_TEMPLATE.FAT&amp;display_string=Audit&amp;VAR:KEY=DEBOZIXARA&amp;VAR:QUERY=RkZfUk9BKEFOTiwyMDA4KQ==&amp;WINDOW=FIRST_POPUP&amp;HEIGHT=450&amp;WIDTH=450&amp;START_MAXIMIZED=FALS","E&amp;VAR:CALENDAR=FIVEDAY&amp;VAR:SYMBOL=2899&amp;VAR:INDEX=0"}</definedName>
    <definedName name="_378__FDSAUDITLINK__" hidden="1">{"fdsup://directions/FAT Viewer?action=UPDATE&amp;creator=factset&amp;DYN_ARGS=TRUE&amp;DOC_NAME=FAT:FQL_AUDITING_CLIENT_TEMPLATE.FAT&amp;display_string=Audit&amp;VAR:KEY=DEBOZIXARA&amp;VAR:QUERY=RkZfUk9BKEFOTiwyMDA4KQ==&amp;WINDOW=FIRST_POPUP&amp;HEIGHT=450&amp;WIDTH=450&amp;START_MAXIMIZED=FALS","E&amp;VAR:CALENDAR=FIVEDAY&amp;VAR:SYMBOL=2899&amp;VAR:INDEX=0"}</definedName>
    <definedName name="_379__FDSAUDITLINK__" localSheetId="10" hidden="1">{"fdsup://directions/FAT Viewer?action=UPDATE&amp;creator=factset&amp;DYN_ARGS=TRUE&amp;DOC_NAME=FAT:FQL_AUDITING_CLIENT_TEMPLATE.FAT&amp;display_string=Audit&amp;VAR:KEY=TYXEDATUPY&amp;VAR:QUERY=RkZfUk9BKEFOTiwyMDA3KQ==&amp;WINDOW=FIRST_POPUP&amp;HEIGHT=450&amp;WIDTH=450&amp;START_MAXIMIZED=FALS","E&amp;VAR:CALENDAR=FIVEDAY&amp;VAR:SYMBOL=2899&amp;VAR:INDEX=0"}</definedName>
    <definedName name="_379__FDSAUDITLINK__" hidden="1">{"fdsup://directions/FAT Viewer?action=UPDATE&amp;creator=factset&amp;DYN_ARGS=TRUE&amp;DOC_NAME=FAT:FQL_AUDITING_CLIENT_TEMPLATE.FAT&amp;display_string=Audit&amp;VAR:KEY=TYXEDATUPY&amp;VAR:QUERY=RkZfUk9BKEFOTiwyMDA3KQ==&amp;WINDOW=FIRST_POPUP&amp;HEIGHT=450&amp;WIDTH=450&amp;START_MAXIMIZED=FALS","E&amp;VAR:CALENDAR=FIVEDAY&amp;VAR:SYMBOL=2899&amp;VAR:INDEX=0"}</definedName>
    <definedName name="_38__123Graph_BCHART_7" hidden="1">'[2]E Asia'!$B$21:$V$21</definedName>
    <definedName name="_38__123Graph_XChart_4" hidden="1">'[5]sales vol.'!$I$1121:$I$1122</definedName>
    <definedName name="_38__FDSAUDITLINK__" localSheetId="10" hidden="1">{"fdsup://directions/FAT Viewer?action=UPDATE&amp;creator=factset&amp;DYN_ARGS=TRUE&amp;DOC_NAME=FAT:FQL_AUDITING_CLIENT_TEMPLATE.FAT&amp;display_string=Audit&amp;VAR:KEY=UFADQPCBSX&amp;VAR:QUERY=RkZfRU5UUlBSX1ZBTF9EQUlMWSg0MDM2NiwsLCwsJ0RJTCcp&amp;WINDOW=FIRST_POPUP&amp;HEIGHT=450&amp;WIDTH=","450&amp;START_MAXIMIZED=FALSE&amp;VAR:CALENDAR=FIVEDAY&amp;VAR:SYMBOL=B4L24Y&amp;VAR:INDEX=0"}</definedName>
    <definedName name="_38__FDSAUDITLINK__" hidden="1">{"fdsup://directions/FAT Viewer?action=UPDATE&amp;creator=factset&amp;DYN_ARGS=TRUE&amp;DOC_NAME=FAT:FQL_AUDITING_CLIENT_TEMPLATE.FAT&amp;display_string=Audit&amp;VAR:KEY=UFADQPCBSX&amp;VAR:QUERY=RkZfRU5UUlBSX1ZBTF9EQUlMWSg0MDM2NiwsLCwsJ0RJTCcp&amp;WINDOW=FIRST_POPUP&amp;HEIGHT=450&amp;WIDTH=","450&amp;START_MAXIMIZED=FALSE&amp;VAR:CALENDAR=FIVEDAY&amp;VAR:SYMBOL=B4L24Y&amp;VAR:INDEX=0"}</definedName>
    <definedName name="_380__FDSAUDITLINK__" localSheetId="10" hidden="1">{"fdsup://directions/FAT Viewer?action=UPDATE&amp;creator=factset&amp;DYN_ARGS=TRUE&amp;DOC_NAME=FAT:FQL_AUDITING_CLIENT_TEMPLATE.FAT&amp;display_string=Audit&amp;VAR:KEY=FKDAFQZUVO&amp;VAR:QUERY=RkZfUk9BKEFOTiwyMDA2KQ==&amp;WINDOW=FIRST_POPUP&amp;HEIGHT=450&amp;WIDTH=450&amp;START_MAXIMIZED=FALS","E&amp;VAR:CALENDAR=FIVEDAY&amp;VAR:SYMBOL=2899&amp;VAR:INDEX=0"}</definedName>
    <definedName name="_380__FDSAUDITLINK__" hidden="1">{"fdsup://directions/FAT Viewer?action=UPDATE&amp;creator=factset&amp;DYN_ARGS=TRUE&amp;DOC_NAME=FAT:FQL_AUDITING_CLIENT_TEMPLATE.FAT&amp;display_string=Audit&amp;VAR:KEY=FKDAFQZUVO&amp;VAR:QUERY=RkZfUk9BKEFOTiwyMDA2KQ==&amp;WINDOW=FIRST_POPUP&amp;HEIGHT=450&amp;WIDTH=450&amp;START_MAXIMIZED=FALS","E&amp;VAR:CALENDAR=FIVEDAY&amp;VAR:SYMBOL=2899&amp;VAR:INDEX=0"}</definedName>
    <definedName name="_381__FDSAUDITLINK__" localSheetId="10" hidden="1">{"fdsup://directions/FAT Viewer?action=UPDATE&amp;creator=factset&amp;DYN_ARGS=TRUE&amp;DOC_NAME=FAT:FQL_AUDITING_CLIENT_TEMPLATE.FAT&amp;display_string=Audit&amp;VAR:KEY=BMNEJMNOTO&amp;VAR:QUERY=RkZfUk9FKEFOTiwyMDA5KQ==&amp;WINDOW=FIRST_POPUP&amp;HEIGHT=450&amp;WIDTH=450&amp;START_MAXIMIZED=FALS","E&amp;VAR:CALENDAR=FIVEDAY&amp;VAR:SYMBOL=2899&amp;VAR:INDEX=0"}</definedName>
    <definedName name="_381__FDSAUDITLINK__" hidden="1">{"fdsup://directions/FAT Viewer?action=UPDATE&amp;creator=factset&amp;DYN_ARGS=TRUE&amp;DOC_NAME=FAT:FQL_AUDITING_CLIENT_TEMPLATE.FAT&amp;display_string=Audit&amp;VAR:KEY=BMNEJMNOTO&amp;VAR:QUERY=RkZfUk9FKEFOTiwyMDA5KQ==&amp;WINDOW=FIRST_POPUP&amp;HEIGHT=450&amp;WIDTH=450&amp;START_MAXIMIZED=FALS","E&amp;VAR:CALENDAR=FIVEDAY&amp;VAR:SYMBOL=2899&amp;VAR:INDEX=0"}</definedName>
    <definedName name="_382__FDSAUDITLINK__" localSheetId="10" hidden="1">{"fdsup://directions/FAT Viewer?action=UPDATE&amp;creator=factset&amp;DYN_ARGS=TRUE&amp;DOC_NAME=FAT:FQL_AUDITING_CLIENT_TEMPLATE.FAT&amp;display_string=Audit&amp;VAR:KEY=TSLOBCLQZM&amp;VAR:QUERY=RkZfUk9FKEFOTiwyMDA4KQ==&amp;WINDOW=FIRST_POPUP&amp;HEIGHT=450&amp;WIDTH=450&amp;START_MAXIMIZED=FALS","E&amp;VAR:CALENDAR=FIVEDAY&amp;VAR:SYMBOL=2899&amp;VAR:INDEX=0"}</definedName>
    <definedName name="_382__FDSAUDITLINK__" hidden="1">{"fdsup://directions/FAT Viewer?action=UPDATE&amp;creator=factset&amp;DYN_ARGS=TRUE&amp;DOC_NAME=FAT:FQL_AUDITING_CLIENT_TEMPLATE.FAT&amp;display_string=Audit&amp;VAR:KEY=TSLOBCLQZM&amp;VAR:QUERY=RkZfUk9FKEFOTiwyMDA4KQ==&amp;WINDOW=FIRST_POPUP&amp;HEIGHT=450&amp;WIDTH=450&amp;START_MAXIMIZED=FALS","E&amp;VAR:CALENDAR=FIVEDAY&amp;VAR:SYMBOL=2899&amp;VAR:INDEX=0"}</definedName>
    <definedName name="_383__FDSAUDITLINK__" localSheetId="10" hidden="1">{"fdsup://directions/FAT Viewer?action=UPDATE&amp;creator=factset&amp;DYN_ARGS=TRUE&amp;DOC_NAME=FAT:FQL_AUDITING_CLIENT_TEMPLATE.FAT&amp;display_string=Audit&amp;VAR:KEY=JCPEZOLUNC&amp;VAR:QUERY=RkZfUk9FKEFOTiwyMDA3KQ==&amp;WINDOW=FIRST_POPUP&amp;HEIGHT=450&amp;WIDTH=450&amp;START_MAXIMIZED=FALS","E&amp;VAR:CALENDAR=FIVEDAY&amp;VAR:SYMBOL=2899&amp;VAR:INDEX=0"}</definedName>
    <definedName name="_383__FDSAUDITLINK__" hidden="1">{"fdsup://directions/FAT Viewer?action=UPDATE&amp;creator=factset&amp;DYN_ARGS=TRUE&amp;DOC_NAME=FAT:FQL_AUDITING_CLIENT_TEMPLATE.FAT&amp;display_string=Audit&amp;VAR:KEY=JCPEZOLUNC&amp;VAR:QUERY=RkZfUk9FKEFOTiwyMDA3KQ==&amp;WINDOW=FIRST_POPUP&amp;HEIGHT=450&amp;WIDTH=450&amp;START_MAXIMIZED=FALS","E&amp;VAR:CALENDAR=FIVEDAY&amp;VAR:SYMBOL=2899&amp;VAR:INDEX=0"}</definedName>
    <definedName name="_384__FDSAUDITLINK__" localSheetId="10" hidden="1">{"fdsup://directions/FAT Viewer?action=UPDATE&amp;creator=factset&amp;DYN_ARGS=TRUE&amp;DOC_NAME=FAT:FQL_AUDITING_CLIENT_TEMPLATE.FAT&amp;display_string=Audit&amp;VAR:KEY=LGVATCBWTC&amp;VAR:QUERY=RkZfUk9FKEFOTiwyMDA2KQ==&amp;WINDOW=FIRST_POPUP&amp;HEIGHT=450&amp;WIDTH=450&amp;START_MAXIMIZED=FALS","E&amp;VAR:CALENDAR=FIVEDAY&amp;VAR:SYMBOL=2899&amp;VAR:INDEX=0"}</definedName>
    <definedName name="_384__FDSAUDITLINK__" hidden="1">{"fdsup://directions/FAT Viewer?action=UPDATE&amp;creator=factset&amp;DYN_ARGS=TRUE&amp;DOC_NAME=FAT:FQL_AUDITING_CLIENT_TEMPLATE.FAT&amp;display_string=Audit&amp;VAR:KEY=LGVATCBWTC&amp;VAR:QUERY=RkZfUk9FKEFOTiwyMDA2KQ==&amp;WINDOW=FIRST_POPUP&amp;HEIGHT=450&amp;WIDTH=450&amp;START_MAXIMIZED=FALS","E&amp;VAR:CALENDAR=FIVEDAY&amp;VAR:SYMBOL=2899&amp;VAR:INDEX=0"}</definedName>
    <definedName name="_385__FDSAUDITLINK__" localSheetId="10" hidden="1">{"fdsup://directions/FAT Viewer?action=UPDATE&amp;creator=factset&amp;DYN_ARGS=TRUE&amp;DOC_NAME=FAT:FQL_AUDITING_CLIENT_TEMPLATE.FAT&amp;display_string=Audit&amp;VAR:KEY=XUNKXMPATS&amp;VAR:QUERY=KEVDQV9NRUFOX0VQUygyMDA5LDQwNzM1KS9GRl9FUFMoQU5OLDIwMDgsLCwsRUNfQ1VSUigpKSktMS4wMDAwM","DA=&amp;WINDOW=FIRST_POPUP&amp;HEIGHT=450&amp;WIDTH=450&amp;START_MAXIMIZED=FALSE&amp;VAR:CALENDAR=FIVEDAY&amp;VAR:SYMBOL=2899&amp;VAR:INDEX=0"}</definedName>
    <definedName name="_385__FDSAUDITLINK__" hidden="1">{"fdsup://directions/FAT Viewer?action=UPDATE&amp;creator=factset&amp;DYN_ARGS=TRUE&amp;DOC_NAME=FAT:FQL_AUDITING_CLIENT_TEMPLATE.FAT&amp;display_string=Audit&amp;VAR:KEY=XUNKXMPATS&amp;VAR:QUERY=KEVDQV9NRUFOX0VQUygyMDA5LDQwNzM1KS9GRl9FUFMoQU5OLDIwMDgsLCwsRUNfQ1VSUigpKSktMS4wMDAwM","DA=&amp;WINDOW=FIRST_POPUP&amp;HEIGHT=450&amp;WIDTH=450&amp;START_MAXIMIZED=FALSE&amp;VAR:CALENDAR=FIVEDAY&amp;VAR:SYMBOL=2899&amp;VAR:INDEX=0"}</definedName>
    <definedName name="_386__FDSAUDITLINK__" localSheetId="10" hidden="1">{"fdsup://directions/FAT Viewer?action=UPDATE&amp;creator=factset&amp;DYN_ARGS=TRUE&amp;DOC_NAME=FAT:FQL_AUDITING_CLIENT_TEMPLATE.FAT&amp;display_string=Audit&amp;VAR:KEY=FSXQJILODS&amp;VAR:QUERY=RkZfSU5UX0NPVkcoQU5OLDIwMDkp&amp;WINDOW=FIRST_POPUP&amp;HEIGHT=450&amp;WIDTH=450&amp;START_MAXIMIZED=","FALSE&amp;VAR:CALENDAR=FIVEDAY&amp;VAR:SYMBOL=386&amp;VAR:INDEX=0"}</definedName>
    <definedName name="_386__FDSAUDITLINK__" hidden="1">{"fdsup://directions/FAT Viewer?action=UPDATE&amp;creator=factset&amp;DYN_ARGS=TRUE&amp;DOC_NAME=FAT:FQL_AUDITING_CLIENT_TEMPLATE.FAT&amp;display_string=Audit&amp;VAR:KEY=FSXQJILODS&amp;VAR:QUERY=RkZfSU5UX0NPVkcoQU5OLDIwMDkp&amp;WINDOW=FIRST_POPUP&amp;HEIGHT=450&amp;WIDTH=450&amp;START_MAXIMIZED=","FALSE&amp;VAR:CALENDAR=FIVEDAY&amp;VAR:SYMBOL=386&amp;VAR:INDEX=0"}</definedName>
    <definedName name="_387__FDSAUDITLINK__" localSheetId="10" hidden="1">{"fdsup://directions/FAT Viewer?action=UPDATE&amp;creator=factset&amp;DYN_ARGS=TRUE&amp;DOC_NAME=FAT:FQL_AUDITING_CLIENT_TEMPLATE.FAT&amp;display_string=Audit&amp;VAR:KEY=TWZSDAFWHA&amp;VAR:QUERY=RkZfUEFZX09VVF9SQVRJTyhBTk4sMjAwOSk=&amp;WINDOW=FIRST_POPUP&amp;HEIGHT=450&amp;WIDTH=450&amp;START_MA","XIMIZED=FALSE&amp;VAR:CALENDAR=FIVEDAY&amp;VAR:SYMBOL=386&amp;VAR:INDEX=0"}</definedName>
    <definedName name="_387__FDSAUDITLINK__" hidden="1">{"fdsup://directions/FAT Viewer?action=UPDATE&amp;creator=factset&amp;DYN_ARGS=TRUE&amp;DOC_NAME=FAT:FQL_AUDITING_CLIENT_TEMPLATE.FAT&amp;display_string=Audit&amp;VAR:KEY=TWZSDAFWHA&amp;VAR:QUERY=RkZfUEFZX09VVF9SQVRJTyhBTk4sMjAwOSk=&amp;WINDOW=FIRST_POPUP&amp;HEIGHT=450&amp;WIDTH=450&amp;START_MA","XIMIZED=FALSE&amp;VAR:CALENDAR=FIVEDAY&amp;VAR:SYMBOL=386&amp;VAR:INDEX=0"}</definedName>
    <definedName name="_388__FDSAUDITLINK__" localSheetId="10" hidden="1">{"fdsup://directions/FAT Viewer?action=UPDATE&amp;creator=factset&amp;DYN_ARGS=TRUE&amp;DOC_NAME=FAT:FQL_AUDITING_CLIENT_TEMPLATE.FAT&amp;display_string=Audit&amp;VAR:KEY=VCLCJKJGRO&amp;VAR:QUERY=RkZfREVCVF9BU1NFVFMoQU5OLDIwMDkp&amp;WINDOW=FIRST_POPUP&amp;HEIGHT=450&amp;WIDTH=450&amp;START_MAXIMI","ZED=FALSE&amp;VAR:CALENDAR=FIVEDAY&amp;VAR:SYMBOL=386&amp;VAR:INDEX=0"}</definedName>
    <definedName name="_388__FDSAUDITLINK__" hidden="1">{"fdsup://directions/FAT Viewer?action=UPDATE&amp;creator=factset&amp;DYN_ARGS=TRUE&amp;DOC_NAME=FAT:FQL_AUDITING_CLIENT_TEMPLATE.FAT&amp;display_string=Audit&amp;VAR:KEY=VCLCJKJGRO&amp;VAR:QUERY=RkZfREVCVF9BU1NFVFMoQU5OLDIwMDkp&amp;WINDOW=FIRST_POPUP&amp;HEIGHT=450&amp;WIDTH=450&amp;START_MAXIMI","ZED=FALSE&amp;VAR:CALENDAR=FIVEDAY&amp;VAR:SYMBOL=386&amp;VAR:INDEX=0"}</definedName>
    <definedName name="_389__FDSAUDITLINK__" localSheetId="10" hidden="1">{"fdsup://directions/FAT Viewer?action=UPDATE&amp;creator=factset&amp;DYN_ARGS=TRUE&amp;DOC_NAME=FAT:FQL_AUDITING_CLIENT_TEMPLATE.FAT&amp;display_string=Audit&amp;VAR:KEY=DCTENSDEJI&amp;VAR:QUERY=RkZfREVCVF9BU1NFVFMoQU5OLDIwMDgp&amp;WINDOW=FIRST_POPUP&amp;HEIGHT=450&amp;WIDTH=450&amp;START_MAXIMI","ZED=FALSE&amp;VAR:CALENDAR=FIVEDAY&amp;VAR:SYMBOL=386&amp;VAR:INDEX=0"}</definedName>
    <definedName name="_389__FDSAUDITLINK__" hidden="1">{"fdsup://directions/FAT Viewer?action=UPDATE&amp;creator=factset&amp;DYN_ARGS=TRUE&amp;DOC_NAME=FAT:FQL_AUDITING_CLIENT_TEMPLATE.FAT&amp;display_string=Audit&amp;VAR:KEY=DCTENSDEJI&amp;VAR:QUERY=RkZfREVCVF9BU1NFVFMoQU5OLDIwMDgp&amp;WINDOW=FIRST_POPUP&amp;HEIGHT=450&amp;WIDTH=450&amp;START_MAXIMI","ZED=FALSE&amp;VAR:CALENDAR=FIVEDAY&amp;VAR:SYMBOL=386&amp;VAR:INDEX=0"}</definedName>
    <definedName name="_39__123Graph_BCHART_8" hidden="1">'[2]E Asia'!$B$51:$V$51</definedName>
    <definedName name="_39__123Graph_XChart_5" hidden="1">'[5]sales vol.'!$I$1632:$I$1635</definedName>
    <definedName name="_39__FDSAUDITLINK__" localSheetId="10" hidden="1">{"fdsup://directions/FAT Viewer?action=UPDATE&amp;creator=factset&amp;DYN_ARGS=TRUE&amp;DOC_NAME=FAT:FQL_AUDITING_CLIENT_TEMPLATE.FAT&amp;display_string=Audit&amp;VAR:KEY=YROFWRWLSN&amp;VAR:QUERY=RkZfRU5UUlBSX1ZBTF9EQUlMWSg0MDM2NiwsLCwsJ0RJTCcp&amp;WINDOW=FIRST_POPUP&amp;HEIGHT=450&amp;WIDTH=","450&amp;START_MAXIMIZED=FALSE&amp;VAR:CALENDAR=FIVEDAY&amp;VAR:SYMBOL=B3LVC2&amp;VAR:INDEX=0"}</definedName>
    <definedName name="_39__FDSAUDITLINK__" hidden="1">{"fdsup://directions/FAT Viewer?action=UPDATE&amp;creator=factset&amp;DYN_ARGS=TRUE&amp;DOC_NAME=FAT:FQL_AUDITING_CLIENT_TEMPLATE.FAT&amp;display_string=Audit&amp;VAR:KEY=YROFWRWLSN&amp;VAR:QUERY=RkZfRU5UUlBSX1ZBTF9EQUlMWSg0MDM2NiwsLCwsJ0RJTCcp&amp;WINDOW=FIRST_POPUP&amp;HEIGHT=450&amp;WIDTH=","450&amp;START_MAXIMIZED=FALSE&amp;VAR:CALENDAR=FIVEDAY&amp;VAR:SYMBOL=B3LVC2&amp;VAR:INDEX=0"}</definedName>
    <definedName name="_390__FDSAUDITLINK__" localSheetId="10" hidden="1">{"fdsup://directions/FAT Viewer?action=UPDATE&amp;creator=factset&amp;DYN_ARGS=TRUE&amp;DOC_NAME=FAT:FQL_AUDITING_CLIENT_TEMPLATE.FAT&amp;display_string=Audit&amp;VAR:KEY=HUDSDOFOXW&amp;VAR:QUERY=RkZfREVCVF9BU1NFVFMoQU5OLDIwMDcp&amp;WINDOW=FIRST_POPUP&amp;HEIGHT=450&amp;WIDTH=450&amp;START_MAXIMI","ZED=FALSE&amp;VAR:CALENDAR=FIVEDAY&amp;VAR:SYMBOL=386&amp;VAR:INDEX=0"}</definedName>
    <definedName name="_390__FDSAUDITLINK__" hidden="1">{"fdsup://directions/FAT Viewer?action=UPDATE&amp;creator=factset&amp;DYN_ARGS=TRUE&amp;DOC_NAME=FAT:FQL_AUDITING_CLIENT_TEMPLATE.FAT&amp;display_string=Audit&amp;VAR:KEY=HUDSDOFOXW&amp;VAR:QUERY=RkZfREVCVF9BU1NFVFMoQU5OLDIwMDcp&amp;WINDOW=FIRST_POPUP&amp;HEIGHT=450&amp;WIDTH=450&amp;START_MAXIMI","ZED=FALSE&amp;VAR:CALENDAR=FIVEDAY&amp;VAR:SYMBOL=386&amp;VAR:INDEX=0"}</definedName>
    <definedName name="_391__FDSAUDITLINK__" localSheetId="10" hidden="1">{"fdsup://directions/FAT Viewer?action=UPDATE&amp;creator=factset&amp;DYN_ARGS=TRUE&amp;DOC_NAME=FAT:FQL_AUDITING_CLIENT_TEMPLATE.FAT&amp;display_string=Audit&amp;VAR:KEY=POVAPIJMTQ&amp;VAR:QUERY=RkZfREVCVF9BU1NFVFMoQU5OLDIwMDYp&amp;WINDOW=FIRST_POPUP&amp;HEIGHT=450&amp;WIDTH=450&amp;START_MAXIMI","ZED=FALSE&amp;VAR:CALENDAR=FIVEDAY&amp;VAR:SYMBOL=386&amp;VAR:INDEX=0"}</definedName>
    <definedName name="_391__FDSAUDITLINK__" hidden="1">{"fdsup://directions/FAT Viewer?action=UPDATE&amp;creator=factset&amp;DYN_ARGS=TRUE&amp;DOC_NAME=FAT:FQL_AUDITING_CLIENT_TEMPLATE.FAT&amp;display_string=Audit&amp;VAR:KEY=POVAPIJMTQ&amp;VAR:QUERY=RkZfREVCVF9BU1NFVFMoQU5OLDIwMDYp&amp;WINDOW=FIRST_POPUP&amp;HEIGHT=450&amp;WIDTH=450&amp;START_MAXIMI","ZED=FALSE&amp;VAR:CALENDAR=FIVEDAY&amp;VAR:SYMBOL=386&amp;VAR:INDEX=0"}</definedName>
    <definedName name="_392__FDSAUDITLINK__" localSheetId="10" hidden="1">{"fdsup://directions/FAT Viewer?action=UPDATE&amp;creator=factset&amp;DYN_ARGS=TRUE&amp;DOC_NAME=FAT:FQL_AUDITING_CLIENT_TEMPLATE.FAT&amp;display_string=Audit&amp;VAR:KEY=TSFKDUBWXK&amp;VAR:QUERY=RkZfREVCVF9FUShBTk4sMjAwOSk=&amp;WINDOW=FIRST_POPUP&amp;HEIGHT=450&amp;WIDTH=450&amp;START_MAXIMIZED=","FALSE&amp;VAR:CALENDAR=FIVEDAY&amp;VAR:SYMBOL=386&amp;VAR:INDEX=0"}</definedName>
    <definedName name="_392__FDSAUDITLINK__" hidden="1">{"fdsup://directions/FAT Viewer?action=UPDATE&amp;creator=factset&amp;DYN_ARGS=TRUE&amp;DOC_NAME=FAT:FQL_AUDITING_CLIENT_TEMPLATE.FAT&amp;display_string=Audit&amp;VAR:KEY=TSFKDUBWXK&amp;VAR:QUERY=RkZfREVCVF9FUShBTk4sMjAwOSk=&amp;WINDOW=FIRST_POPUP&amp;HEIGHT=450&amp;WIDTH=450&amp;START_MAXIMIZED=","FALSE&amp;VAR:CALENDAR=FIVEDAY&amp;VAR:SYMBOL=386&amp;VAR:INDEX=0"}</definedName>
    <definedName name="_393__FDSAUDITLINK__" localSheetId="10" hidden="1">{"fdsup://directions/FAT Viewer?action=UPDATE&amp;creator=factset&amp;DYN_ARGS=TRUE&amp;DOC_NAME=FAT:FQL_AUDITING_CLIENT_TEMPLATE.FAT&amp;display_string=Audit&amp;VAR:KEY=BUBOJIXADE&amp;VAR:QUERY=RkZfREVCVF9FUShBTk4sMjAwOCk=&amp;WINDOW=FIRST_POPUP&amp;HEIGHT=450&amp;WIDTH=450&amp;START_MAXIMIZED=","FALSE&amp;VAR:CALENDAR=FIVEDAY&amp;VAR:SYMBOL=386&amp;VAR:INDEX=0"}</definedName>
    <definedName name="_393__FDSAUDITLINK__" hidden="1">{"fdsup://directions/FAT Viewer?action=UPDATE&amp;creator=factset&amp;DYN_ARGS=TRUE&amp;DOC_NAME=FAT:FQL_AUDITING_CLIENT_TEMPLATE.FAT&amp;display_string=Audit&amp;VAR:KEY=BUBOJIXADE&amp;VAR:QUERY=RkZfREVCVF9FUShBTk4sMjAwOCk=&amp;WINDOW=FIRST_POPUP&amp;HEIGHT=450&amp;WIDTH=450&amp;START_MAXIMIZED=","FALSE&amp;VAR:CALENDAR=FIVEDAY&amp;VAR:SYMBOL=386&amp;VAR:INDEX=0"}</definedName>
    <definedName name="_394__FDSAUDITLINK__" localSheetId="10" hidden="1">{"fdsup://directions/FAT Viewer?action=UPDATE&amp;creator=factset&amp;DYN_ARGS=TRUE&amp;DOC_NAME=FAT:FQL_AUDITING_CLIENT_TEMPLATE.FAT&amp;display_string=Audit&amp;VAR:KEY=XQBEZOZODC&amp;VAR:QUERY=RkZfREVCVF9FUShBTk4sMjAwNyk=&amp;WINDOW=FIRST_POPUP&amp;HEIGHT=450&amp;WIDTH=450&amp;START_MAXIMIZED=","FALSE&amp;VAR:CALENDAR=FIVEDAY&amp;VAR:SYMBOL=386&amp;VAR:INDEX=0"}</definedName>
    <definedName name="_394__FDSAUDITLINK__" hidden="1">{"fdsup://directions/FAT Viewer?action=UPDATE&amp;creator=factset&amp;DYN_ARGS=TRUE&amp;DOC_NAME=FAT:FQL_AUDITING_CLIENT_TEMPLATE.FAT&amp;display_string=Audit&amp;VAR:KEY=XQBEZOZODC&amp;VAR:QUERY=RkZfREVCVF9FUShBTk4sMjAwNyk=&amp;WINDOW=FIRST_POPUP&amp;HEIGHT=450&amp;WIDTH=450&amp;START_MAXIMIZED=","FALSE&amp;VAR:CALENDAR=FIVEDAY&amp;VAR:SYMBOL=386&amp;VAR:INDEX=0"}</definedName>
    <definedName name="_395__FDSAUDITLINK__" localSheetId="10" hidden="1">{"fdsup://directions/FAT Viewer?action=UPDATE&amp;creator=factset&amp;DYN_ARGS=TRUE&amp;DOC_NAME=FAT:FQL_AUDITING_CLIENT_TEMPLATE.FAT&amp;display_string=Audit&amp;VAR:KEY=FITOPSZOBU&amp;VAR:QUERY=RkZfREVCVF9FUShBTk4sMjAwNik=&amp;WINDOW=FIRST_POPUP&amp;HEIGHT=450&amp;WIDTH=450&amp;START_MAXIMIZED=","FALSE&amp;VAR:CALENDAR=FIVEDAY&amp;VAR:SYMBOL=386&amp;VAR:INDEX=0"}</definedName>
    <definedName name="_395__FDSAUDITLINK__" hidden="1">{"fdsup://directions/FAT Viewer?action=UPDATE&amp;creator=factset&amp;DYN_ARGS=TRUE&amp;DOC_NAME=FAT:FQL_AUDITING_CLIENT_TEMPLATE.FAT&amp;display_string=Audit&amp;VAR:KEY=FITOPSZOBU&amp;VAR:QUERY=RkZfREVCVF9FUShBTk4sMjAwNik=&amp;WINDOW=FIRST_POPUP&amp;HEIGHT=450&amp;WIDTH=450&amp;START_MAXIMIZED=","FALSE&amp;VAR:CALENDAR=FIVEDAY&amp;VAR:SYMBOL=386&amp;VAR:INDEX=0"}</definedName>
    <definedName name="_396__FDSAUDITLINK__" localSheetId="10" hidden="1">{"fdsup://directions/FAT Viewer?action=UPDATE&amp;creator=factset&amp;DYN_ARGS=TRUE&amp;DOC_NAME=FAT:FQL_AUDITING_CLIENT_TEMPLATE.FAT&amp;display_string=Audit&amp;VAR:KEY=ZEDGLIJGZS&amp;VAR:QUERY=RkZfTkVUX0RFQlQoQU5OLDIwMDkpL0ZGX1NITERSU19FUShBTk4sMjAwOSk=&amp;WINDOW=FIRST_POPUP&amp;HEIGH","T=450&amp;WIDTH=450&amp;START_MAXIMIZED=FALSE&amp;VAR:CALENDAR=FIVEDAY&amp;VAR:SYMBOL=386&amp;VAR:INDEX=0"}</definedName>
    <definedName name="_396__FDSAUDITLINK__" hidden="1">{"fdsup://directions/FAT Viewer?action=UPDATE&amp;creator=factset&amp;DYN_ARGS=TRUE&amp;DOC_NAME=FAT:FQL_AUDITING_CLIENT_TEMPLATE.FAT&amp;display_string=Audit&amp;VAR:KEY=ZEDGLIJGZS&amp;VAR:QUERY=RkZfTkVUX0RFQlQoQU5OLDIwMDkpL0ZGX1NITERSU19FUShBTk4sMjAwOSk=&amp;WINDOW=FIRST_POPUP&amp;HEIGH","T=450&amp;WIDTH=450&amp;START_MAXIMIZED=FALSE&amp;VAR:CALENDAR=FIVEDAY&amp;VAR:SYMBOL=386&amp;VAR:INDEX=0"}</definedName>
    <definedName name="_397__FDSAUDITLINK__" localSheetId="10" hidden="1">{"fdsup://directions/FAT Viewer?action=UPDATE&amp;creator=factset&amp;DYN_ARGS=TRUE&amp;DOC_NAME=FAT:FQL_AUDITING_CLIENT_TEMPLATE.FAT&amp;display_string=Audit&amp;VAR:KEY=BCNQPGZWHG&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386&amp;VAR:INDEX=0"}</definedName>
    <definedName name="_397__FDSAUDITLINK__" hidden="1">{"fdsup://directions/FAT Viewer?action=UPDATE&amp;creator=factset&amp;DYN_ARGS=TRUE&amp;DOC_NAME=FAT:FQL_AUDITING_CLIENT_TEMPLATE.FAT&amp;display_string=Audit&amp;VAR:KEY=BCNQPGZWHG&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386&amp;VAR:INDEX=0"}</definedName>
    <definedName name="_398__FDSAUDITLINK__" localSheetId="10" hidden="1">{"fdsup://directions/FAT Viewer?action=UPDATE&amp;creator=factset&amp;DYN_ARGS=TRUE&amp;DOC_NAME=FAT:FQL_AUDITING_CLIENT_TEMPLATE.FAT&amp;display_string=Audit&amp;VAR:KEY=XKHARMLKZI&amp;VAR:QUERY=KEZGX05FVF9JTkMoQU5OLDIwMDkpL0ZGX05FVF9JTkMoQU5OLDIwMDgpKS0x&amp;WINDOW=FIRST_POPUP&amp;HEIGH","T=450&amp;WIDTH=450&amp;START_MAXIMIZED=FALSE&amp;VAR:CALENDAR=FIVEDAY&amp;VAR:SYMBOL=386&amp;VAR:INDEX=0"}</definedName>
    <definedName name="_398__FDSAUDITLINK__" hidden="1">{"fdsup://directions/FAT Viewer?action=UPDATE&amp;creator=factset&amp;DYN_ARGS=TRUE&amp;DOC_NAME=FAT:FQL_AUDITING_CLIENT_TEMPLATE.FAT&amp;display_string=Audit&amp;VAR:KEY=XKHARMLKZI&amp;VAR:QUERY=KEZGX05FVF9JTkMoQU5OLDIwMDkpL0ZGX05FVF9JTkMoQU5OLDIwMDgpKS0x&amp;WINDOW=FIRST_POPUP&amp;HEIGH","T=450&amp;WIDTH=450&amp;START_MAXIMIZED=FALSE&amp;VAR:CALENDAR=FIVEDAY&amp;VAR:SYMBOL=386&amp;VAR:INDEX=0"}</definedName>
    <definedName name="_399__FDSAUDITLINK__" localSheetId="10" hidden="1">{"fdsup://directions/FAT Viewer?action=UPDATE&amp;creator=factset&amp;DYN_ARGS=TRUE&amp;DOC_NAME=FAT:FQL_AUDITING_CLIENT_TEMPLATE.FAT&amp;display_string=Audit&amp;VAR:KEY=LSFOZQNYTO&amp;VAR:QUERY=RkZfTkVUX01HTihBTk4sMjAwOSk=&amp;WINDOW=FIRST_POPUP&amp;HEIGHT=450&amp;WIDTH=450&amp;START_MAXIMIZED=","FALSE&amp;VAR:CALENDAR=FIVEDAY&amp;VAR:SYMBOL=386&amp;VAR:INDEX=0"}</definedName>
    <definedName name="_399__FDSAUDITLINK__" hidden="1">{"fdsup://directions/FAT Viewer?action=UPDATE&amp;creator=factset&amp;DYN_ARGS=TRUE&amp;DOC_NAME=FAT:FQL_AUDITING_CLIENT_TEMPLATE.FAT&amp;display_string=Audit&amp;VAR:KEY=LSFOZQNYTO&amp;VAR:QUERY=RkZfTkVUX01HTihBTk4sMjAwOSk=&amp;WINDOW=FIRST_POPUP&amp;HEIGHT=450&amp;WIDTH=450&amp;START_MAXIMIZED=","FALSE&amp;VAR:CALENDAR=FIVEDAY&amp;VAR:SYMBOL=386&amp;VAR:INDEX=0"}</definedName>
    <definedName name="_4__123Graph_ACHART_12" hidden="1">'[2]E Asia'!$B$28:$V$28</definedName>
    <definedName name="_4__FDSAUDITLINK__" localSheetId="10" hidden="1">{"fdsup://directions/FAT Viewer?action=UPDATE&amp;creator=factset&amp;DYN_ARGS=TRUE&amp;DOC_NAME=FAT:FQL_AUDITING_CLIENT_TEMPLATE.FAT&amp;display_string=Audit&amp;VAR:KEY=KPUZOZGRKX&amp;VAR:QUERY=RkZfRU5UUlBSX1ZBTF9EQUlMWSg0MDM2NiwsLCxVU0QsJ0RJTCcp&amp;WINDOW=FIRST_POPUP&amp;HEIGHT=450&amp;WI","DTH=450&amp;START_MAXIMIZED=FALSE&amp;VAR:CALENDAR=FIVEDAY&amp;VAR:SYMBOL=12120820&amp;VAR:INDEX=0"}</definedName>
    <definedName name="_4__FDSAUDITLINK__" hidden="1">{"fdsup://directions/FAT Viewer?action=UPDATE&amp;creator=factset&amp;DYN_ARGS=TRUE&amp;DOC_NAME=FAT:FQL_AUDITING_CLIENT_TEMPLATE.FAT&amp;display_string=Audit&amp;VAR:KEY=KPUZOZGRKX&amp;VAR:QUERY=RkZfRU5UUlBSX1ZBTF9EQUlMWSg0MDM2NiwsLCxVU0QsJ0RJTCcp&amp;WINDOW=FIRST_POPUP&amp;HEIGHT=450&amp;WI","DTH=450&amp;START_MAXIMIZED=FALSE&amp;VAR:CALENDAR=FIVEDAY&amp;VAR:SYMBOL=12120820&amp;VAR:INDEX=0"}</definedName>
    <definedName name="_40__123Graph_BCHART_9" hidden="1">'[2]E Eur'!$B$21:$V$21</definedName>
    <definedName name="_40__123Graph_XChart_6" hidden="1">'[5]sales vol.'!$I$2248:$I$2251</definedName>
    <definedName name="_40__FDSAUDITLINK__" localSheetId="10" hidden="1">{"fdsup://directions/FAT Viewer?action=UPDATE&amp;creator=factset&amp;DYN_ARGS=TRUE&amp;DOC_NAME=FAT:FQL_AUDITING_CLIENT_TEMPLATE.FAT&amp;display_string=Audit&amp;VAR:KEY=ENGHOJSZUR&amp;VAR:QUERY=RkZfRU5UUlBSX1ZBTF9EQUlMWSg0MDM2NiwsLCwsJ0RJTCcp&amp;WINDOW=FIRST_POPUP&amp;HEIGHT=450&amp;WIDTH=","450&amp;START_MAXIMIZED=FALSE&amp;VAR:CALENDAR=FIVEDAY&amp;VAR:SYMBOL=B3Z9VV&amp;VAR:INDEX=0"}</definedName>
    <definedName name="_40__FDSAUDITLINK__" hidden="1">{"fdsup://directions/FAT Viewer?action=UPDATE&amp;creator=factset&amp;DYN_ARGS=TRUE&amp;DOC_NAME=FAT:FQL_AUDITING_CLIENT_TEMPLATE.FAT&amp;display_string=Audit&amp;VAR:KEY=ENGHOJSZUR&amp;VAR:QUERY=RkZfRU5UUlBSX1ZBTF9EQUlMWSg0MDM2NiwsLCwsJ0RJTCcp&amp;WINDOW=FIRST_POPUP&amp;HEIGHT=450&amp;WIDTH=","450&amp;START_MAXIMIZED=FALSE&amp;VAR:CALENDAR=FIVEDAY&amp;VAR:SYMBOL=B3Z9VV&amp;VAR:INDEX=0"}</definedName>
    <definedName name="_400__FDSAUDITLINK__" localSheetId="10" hidden="1">{"fdsup://directions/FAT Viewer?action=UPDATE&amp;creator=factset&amp;DYN_ARGS=TRUE&amp;DOC_NAME=FAT:FQL_AUDITING_CLIENT_TEMPLATE.FAT&amp;display_string=Audit&amp;VAR:KEY=BOZULOLMVE&amp;VAR:QUERY=RkZfTkVUX01HTihBTk4sMjAwOCk=&amp;WINDOW=FIRST_POPUP&amp;HEIGHT=450&amp;WIDTH=450&amp;START_MAXIMIZED=","FALSE&amp;VAR:CALENDAR=FIVEDAY&amp;VAR:SYMBOL=386&amp;VAR:INDEX=0"}</definedName>
    <definedName name="_400__FDSAUDITLINK__" hidden="1">{"fdsup://directions/FAT Viewer?action=UPDATE&amp;creator=factset&amp;DYN_ARGS=TRUE&amp;DOC_NAME=FAT:FQL_AUDITING_CLIENT_TEMPLATE.FAT&amp;display_string=Audit&amp;VAR:KEY=BOZULOLMVE&amp;VAR:QUERY=RkZfTkVUX01HTihBTk4sMjAwOCk=&amp;WINDOW=FIRST_POPUP&amp;HEIGHT=450&amp;WIDTH=450&amp;START_MAXIMIZED=","FALSE&amp;VAR:CALENDAR=FIVEDAY&amp;VAR:SYMBOL=386&amp;VAR:INDEX=0"}</definedName>
    <definedName name="_401__FDSAUDITLINK__" localSheetId="10" hidden="1">{"fdsup://directions/FAT Viewer?action=UPDATE&amp;creator=factset&amp;DYN_ARGS=TRUE&amp;DOC_NAME=FAT:FQL_AUDITING_CLIENT_TEMPLATE.FAT&amp;display_string=Audit&amp;VAR:KEY=PYZQPUJGPO&amp;VAR:QUERY=RkZfTkVUX01HTihBTk4sMjAwNyk=&amp;WINDOW=FIRST_POPUP&amp;HEIGHT=450&amp;WIDTH=450&amp;START_MAXIMIZED=","FALSE&amp;VAR:CALENDAR=FIVEDAY&amp;VAR:SYMBOL=386&amp;VAR:INDEX=0"}</definedName>
    <definedName name="_401__FDSAUDITLINK__" hidden="1">{"fdsup://directions/FAT Viewer?action=UPDATE&amp;creator=factset&amp;DYN_ARGS=TRUE&amp;DOC_NAME=FAT:FQL_AUDITING_CLIENT_TEMPLATE.FAT&amp;display_string=Audit&amp;VAR:KEY=PYZQPUJGPO&amp;VAR:QUERY=RkZfTkVUX01HTihBTk4sMjAwNyk=&amp;WINDOW=FIRST_POPUP&amp;HEIGHT=450&amp;WIDTH=450&amp;START_MAXIMIZED=","FALSE&amp;VAR:CALENDAR=FIVEDAY&amp;VAR:SYMBOL=386&amp;VAR:INDEX=0"}</definedName>
    <definedName name="_402__FDSAUDITLINK__" localSheetId="10" hidden="1">{"fdsup://directions/FAT Viewer?action=UPDATE&amp;creator=factset&amp;DYN_ARGS=TRUE&amp;DOC_NAME=FAT:FQL_AUDITING_CLIENT_TEMPLATE.FAT&amp;display_string=Audit&amp;VAR:KEY=DQZYHEJWZI&amp;VAR:QUERY=RkZfTkVUX01HTihBTk4sMjAwNik=&amp;WINDOW=FIRST_POPUP&amp;HEIGHT=450&amp;WIDTH=450&amp;START_MAXIMIZED=","FALSE&amp;VAR:CALENDAR=FIVEDAY&amp;VAR:SYMBOL=386&amp;VAR:INDEX=0"}</definedName>
    <definedName name="_402__FDSAUDITLINK__" hidden="1">{"fdsup://directions/FAT Viewer?action=UPDATE&amp;creator=factset&amp;DYN_ARGS=TRUE&amp;DOC_NAME=FAT:FQL_AUDITING_CLIENT_TEMPLATE.FAT&amp;display_string=Audit&amp;VAR:KEY=DQZYHEJWZI&amp;VAR:QUERY=RkZfTkVUX01HTihBTk4sMjAwNik=&amp;WINDOW=FIRST_POPUP&amp;HEIGHT=450&amp;WIDTH=450&amp;START_MAXIMIZED=","FALSE&amp;VAR:CALENDAR=FIVEDAY&amp;VAR:SYMBOL=386&amp;VAR:INDEX=0"}</definedName>
    <definedName name="_403__FDSAUDITLINK__" localSheetId="10" hidden="1">{"fdsup://directions/FAT Viewer?action=UPDATE&amp;creator=factset&amp;DYN_ARGS=TRUE&amp;DOC_NAME=FAT:FQL_AUDITING_CLIENT_TEMPLATE.FAT&amp;display_string=Audit&amp;VAR:KEY=BGRMLSVGPU&amp;VAR:QUERY=RkZfUk9BKEFOTiwyMDA5KQ==&amp;WINDOW=FIRST_POPUP&amp;HEIGHT=450&amp;WIDTH=450&amp;START_MAXIMIZED=FALS","E&amp;VAR:CALENDAR=FIVEDAY&amp;VAR:SYMBOL=386&amp;VAR:INDEX=0"}</definedName>
    <definedName name="_403__FDSAUDITLINK__" hidden="1">{"fdsup://directions/FAT Viewer?action=UPDATE&amp;creator=factset&amp;DYN_ARGS=TRUE&amp;DOC_NAME=FAT:FQL_AUDITING_CLIENT_TEMPLATE.FAT&amp;display_string=Audit&amp;VAR:KEY=BGRMLSVGPU&amp;VAR:QUERY=RkZfUk9BKEFOTiwyMDA5KQ==&amp;WINDOW=FIRST_POPUP&amp;HEIGHT=450&amp;WIDTH=450&amp;START_MAXIMIZED=FALS","E&amp;VAR:CALENDAR=FIVEDAY&amp;VAR:SYMBOL=386&amp;VAR:INDEX=0"}</definedName>
    <definedName name="_404__FDSAUDITLINK__" localSheetId="10" hidden="1">{"fdsup://directions/FAT Viewer?action=UPDATE&amp;creator=factset&amp;DYN_ARGS=TRUE&amp;DOC_NAME=FAT:FQL_AUDITING_CLIENT_TEMPLATE.FAT&amp;display_string=Audit&amp;VAR:KEY=BGXGFWLCTU&amp;VAR:QUERY=RkZfUk9BKEFOTiwyMDA4KQ==&amp;WINDOW=FIRST_POPUP&amp;HEIGHT=450&amp;WIDTH=450&amp;START_MAXIMIZED=FALS","E&amp;VAR:CALENDAR=FIVEDAY&amp;VAR:SYMBOL=386&amp;VAR:INDEX=0"}</definedName>
    <definedName name="_404__FDSAUDITLINK__" hidden="1">{"fdsup://directions/FAT Viewer?action=UPDATE&amp;creator=factset&amp;DYN_ARGS=TRUE&amp;DOC_NAME=FAT:FQL_AUDITING_CLIENT_TEMPLATE.FAT&amp;display_string=Audit&amp;VAR:KEY=BGXGFWLCTU&amp;VAR:QUERY=RkZfUk9BKEFOTiwyMDA4KQ==&amp;WINDOW=FIRST_POPUP&amp;HEIGHT=450&amp;WIDTH=450&amp;START_MAXIMIZED=FALS","E&amp;VAR:CALENDAR=FIVEDAY&amp;VAR:SYMBOL=386&amp;VAR:INDEX=0"}</definedName>
    <definedName name="_405__FDSAUDITLINK__" localSheetId="10" hidden="1">{"fdsup://directions/FAT Viewer?action=UPDATE&amp;creator=factset&amp;DYN_ARGS=TRUE&amp;DOC_NAME=FAT:FQL_AUDITING_CLIENT_TEMPLATE.FAT&amp;display_string=Audit&amp;VAR:KEY=XEBOJUDWTY&amp;VAR:QUERY=RkZfUk9BKEFOTiwyMDA3KQ==&amp;WINDOW=FIRST_POPUP&amp;HEIGHT=450&amp;WIDTH=450&amp;START_MAXIMIZED=FALS","E&amp;VAR:CALENDAR=FIVEDAY&amp;VAR:SYMBOL=386&amp;VAR:INDEX=0"}</definedName>
    <definedName name="_405__FDSAUDITLINK__" hidden="1">{"fdsup://directions/FAT Viewer?action=UPDATE&amp;creator=factset&amp;DYN_ARGS=TRUE&amp;DOC_NAME=FAT:FQL_AUDITING_CLIENT_TEMPLATE.FAT&amp;display_string=Audit&amp;VAR:KEY=XEBOJUDWTY&amp;VAR:QUERY=RkZfUk9BKEFOTiwyMDA3KQ==&amp;WINDOW=FIRST_POPUP&amp;HEIGHT=450&amp;WIDTH=450&amp;START_MAXIMIZED=FALS","E&amp;VAR:CALENDAR=FIVEDAY&amp;VAR:SYMBOL=386&amp;VAR:INDEX=0"}</definedName>
    <definedName name="_406__FDSAUDITLINK__" localSheetId="10" hidden="1">{"fdsup://directions/FAT Viewer?action=UPDATE&amp;creator=factset&amp;DYN_ARGS=TRUE&amp;DOC_NAME=FAT:FQL_AUDITING_CLIENT_TEMPLATE.FAT&amp;display_string=Audit&amp;VAR:KEY=ZKXYBGRGLO&amp;VAR:QUERY=RkZfUk9BKEFOTiwyMDA2KQ==&amp;WINDOW=FIRST_POPUP&amp;HEIGHT=450&amp;WIDTH=450&amp;START_MAXIMIZED=FALS","E&amp;VAR:CALENDAR=FIVEDAY&amp;VAR:SYMBOL=386&amp;VAR:INDEX=0"}</definedName>
    <definedName name="_406__FDSAUDITLINK__" hidden="1">{"fdsup://directions/FAT Viewer?action=UPDATE&amp;creator=factset&amp;DYN_ARGS=TRUE&amp;DOC_NAME=FAT:FQL_AUDITING_CLIENT_TEMPLATE.FAT&amp;display_string=Audit&amp;VAR:KEY=ZKXYBGRGLO&amp;VAR:QUERY=RkZfUk9BKEFOTiwyMDA2KQ==&amp;WINDOW=FIRST_POPUP&amp;HEIGHT=450&amp;WIDTH=450&amp;START_MAXIMIZED=FALS","E&amp;VAR:CALENDAR=FIVEDAY&amp;VAR:SYMBOL=386&amp;VAR:INDEX=0"}</definedName>
    <definedName name="_407__FDSAUDITLINK__" localSheetId="10" hidden="1">{"fdsup://directions/FAT Viewer?action=UPDATE&amp;creator=factset&amp;DYN_ARGS=TRUE&amp;DOC_NAME=FAT:FQL_AUDITING_CLIENT_TEMPLATE.FAT&amp;display_string=Audit&amp;VAR:KEY=HMTOTKJQVS&amp;VAR:QUERY=RkZfUk9FKEFOTiwyMDA5KQ==&amp;WINDOW=FIRST_POPUP&amp;HEIGHT=450&amp;WIDTH=450&amp;START_MAXIMIZED=FALS","E&amp;VAR:CALENDAR=FIVEDAY&amp;VAR:SYMBOL=386&amp;VAR:INDEX=0"}</definedName>
    <definedName name="_407__FDSAUDITLINK__" hidden="1">{"fdsup://directions/FAT Viewer?action=UPDATE&amp;creator=factset&amp;DYN_ARGS=TRUE&amp;DOC_NAME=FAT:FQL_AUDITING_CLIENT_TEMPLATE.FAT&amp;display_string=Audit&amp;VAR:KEY=HMTOTKJQVS&amp;VAR:QUERY=RkZfUk9FKEFOTiwyMDA5KQ==&amp;WINDOW=FIRST_POPUP&amp;HEIGHT=450&amp;WIDTH=450&amp;START_MAXIMIZED=FALS","E&amp;VAR:CALENDAR=FIVEDAY&amp;VAR:SYMBOL=386&amp;VAR:INDEX=0"}</definedName>
    <definedName name="_408__FDSAUDITLINK__" localSheetId="10" hidden="1">{"fdsup://directions/FAT Viewer?action=UPDATE&amp;creator=factset&amp;DYN_ARGS=TRUE&amp;DOC_NAME=FAT:FQL_AUDITING_CLIENT_TEMPLATE.FAT&amp;display_string=Audit&amp;VAR:KEY=XQFKXWZOXI&amp;VAR:QUERY=RkZfUk9FKEFOTiwyMDA4KQ==&amp;WINDOW=FIRST_POPUP&amp;HEIGHT=450&amp;WIDTH=450&amp;START_MAXIMIZED=FALS","E&amp;VAR:CALENDAR=FIVEDAY&amp;VAR:SYMBOL=386&amp;VAR:INDEX=0"}</definedName>
    <definedName name="_408__FDSAUDITLINK__" hidden="1">{"fdsup://directions/FAT Viewer?action=UPDATE&amp;creator=factset&amp;DYN_ARGS=TRUE&amp;DOC_NAME=FAT:FQL_AUDITING_CLIENT_TEMPLATE.FAT&amp;display_string=Audit&amp;VAR:KEY=XQFKXWZOXI&amp;VAR:QUERY=RkZfUk9FKEFOTiwyMDA4KQ==&amp;WINDOW=FIRST_POPUP&amp;HEIGHT=450&amp;WIDTH=450&amp;START_MAXIMIZED=FALS","E&amp;VAR:CALENDAR=FIVEDAY&amp;VAR:SYMBOL=386&amp;VAR:INDEX=0"}</definedName>
    <definedName name="_409__FDSAUDITLINK__" localSheetId="10" hidden="1">{"fdsup://directions/FAT Viewer?action=UPDATE&amp;creator=factset&amp;DYN_ARGS=TRUE&amp;DOC_NAME=FAT:FQL_AUDITING_CLIENT_TEMPLATE.FAT&amp;display_string=Audit&amp;VAR:KEY=LOROZAZKDU&amp;VAR:QUERY=RkZfUk9FKEFOTiwyMDA3KQ==&amp;WINDOW=FIRST_POPUP&amp;HEIGHT=450&amp;WIDTH=450&amp;START_MAXIMIZED=FALS","E&amp;VAR:CALENDAR=FIVEDAY&amp;VAR:SYMBOL=386&amp;VAR:INDEX=0"}</definedName>
    <definedName name="_409__FDSAUDITLINK__" hidden="1">{"fdsup://directions/FAT Viewer?action=UPDATE&amp;creator=factset&amp;DYN_ARGS=TRUE&amp;DOC_NAME=FAT:FQL_AUDITING_CLIENT_TEMPLATE.FAT&amp;display_string=Audit&amp;VAR:KEY=LOROZAZKDU&amp;VAR:QUERY=RkZfUk9FKEFOTiwyMDA3KQ==&amp;WINDOW=FIRST_POPUP&amp;HEIGHT=450&amp;WIDTH=450&amp;START_MAXIMIZED=FALS","E&amp;VAR:CALENDAR=FIVEDAY&amp;VAR:SYMBOL=386&amp;VAR:INDEX=0"}</definedName>
    <definedName name="_41__123Graph_CCHART_10" hidden="1">'[2]E Eur'!$B$13:$V$13</definedName>
    <definedName name="_41__FDSAUDITLINK__" localSheetId="10" hidden="1">{"fdsup://directions/FAT Viewer?action=UPDATE&amp;creator=factset&amp;DYN_ARGS=TRUE&amp;DOC_NAME=FAT:FQL_AUDITING_CLIENT_TEMPLATE.FAT&amp;display_string=Audit&amp;VAR:KEY=EBCBIJSFST&amp;VAR:QUERY=RkZfRU5UUlBSX1ZBTF9EQUlMWSg0MDM2NiwsLCxVU0QsJ0RJTCcp&amp;WINDOW=FIRST_POPUP&amp;HEIGHT=450&amp;WI","DTH=450&amp;START_MAXIMIZED=FALSE&amp;VAR:CALENDAR=FIVEDAY&amp;VAR:SYMBOL=B288V4&amp;VAR:INDEX=0"}</definedName>
    <definedName name="_41__FDSAUDITLINK__" hidden="1">{"fdsup://directions/FAT Viewer?action=UPDATE&amp;creator=factset&amp;DYN_ARGS=TRUE&amp;DOC_NAME=FAT:FQL_AUDITING_CLIENT_TEMPLATE.FAT&amp;display_string=Audit&amp;VAR:KEY=EBCBIJSFST&amp;VAR:QUERY=RkZfRU5UUlBSX1ZBTF9EQUlMWSg0MDM2NiwsLCxVU0QsJ0RJTCcp&amp;WINDOW=FIRST_POPUP&amp;HEIGHT=450&amp;WI","DTH=450&amp;START_MAXIMIZED=FALSE&amp;VAR:CALENDAR=FIVEDAY&amp;VAR:SYMBOL=B288V4&amp;VAR:INDEX=0"}</definedName>
    <definedName name="_410__FDSAUDITLINK__" localSheetId="10" hidden="1">{"fdsup://directions/FAT Viewer?action=UPDATE&amp;creator=factset&amp;DYN_ARGS=TRUE&amp;DOC_NAME=FAT:FQL_AUDITING_CLIENT_TEMPLATE.FAT&amp;display_string=Audit&amp;VAR:KEY=BWHCFCNCFA&amp;VAR:QUERY=RkZfUk9FKEFOTiwyMDA2KQ==&amp;WINDOW=FIRST_POPUP&amp;HEIGHT=450&amp;WIDTH=450&amp;START_MAXIMIZED=FALS","E&amp;VAR:CALENDAR=FIVEDAY&amp;VAR:SYMBOL=386&amp;VAR:INDEX=0"}</definedName>
    <definedName name="_410__FDSAUDITLINK__" hidden="1">{"fdsup://directions/FAT Viewer?action=UPDATE&amp;creator=factset&amp;DYN_ARGS=TRUE&amp;DOC_NAME=FAT:FQL_AUDITING_CLIENT_TEMPLATE.FAT&amp;display_string=Audit&amp;VAR:KEY=BWHCFCNCFA&amp;VAR:QUERY=RkZfUk9FKEFOTiwyMDA2KQ==&amp;WINDOW=FIRST_POPUP&amp;HEIGHT=450&amp;WIDTH=450&amp;START_MAXIMIZED=FALS","E&amp;VAR:CALENDAR=FIVEDAY&amp;VAR:SYMBOL=386&amp;VAR:INDEX=0"}</definedName>
    <definedName name="_411__FDSAUDITLINK__" localSheetId="10" hidden="1">{"fdsup://directions/FAT Viewer?action=UPDATE&amp;creator=factset&amp;DYN_ARGS=TRUE&amp;DOC_NAME=FAT:FQL_AUDITING_CLIENT_TEMPLATE.FAT&amp;display_string=Audit&amp;VAR:KEY=VKJWJQBMZY&amp;VAR:QUERY=KEVDQV9NRUFOX0VQUygyMDA5LDQwNzM1KS9GRl9FUFMoQU5OLDIwMDgsLCwsRUNfQ1VSUigpKSktMS4wMDAwM","DA=&amp;WINDOW=FIRST_POPUP&amp;HEIGHT=450&amp;WIDTH=450&amp;START_MAXIMIZED=FALSE&amp;VAR:CALENDAR=FIVEDAY&amp;VAR:SYMBOL=386&amp;VAR:INDEX=0"}</definedName>
    <definedName name="_411__FDSAUDITLINK__" hidden="1">{"fdsup://directions/FAT Viewer?action=UPDATE&amp;creator=factset&amp;DYN_ARGS=TRUE&amp;DOC_NAME=FAT:FQL_AUDITING_CLIENT_TEMPLATE.FAT&amp;display_string=Audit&amp;VAR:KEY=VKJWJQBMZY&amp;VAR:QUERY=KEVDQV9NRUFOX0VQUygyMDA5LDQwNzM1KS9GRl9FUFMoQU5OLDIwMDgsLCwsRUNfQ1VSUigpKSktMS4wMDAwM","DA=&amp;WINDOW=FIRST_POPUP&amp;HEIGHT=450&amp;WIDTH=450&amp;START_MAXIMIZED=FALSE&amp;VAR:CALENDAR=FIVEDAY&amp;VAR:SYMBOL=386&amp;VAR:INDEX=0"}</definedName>
    <definedName name="_412__FDSAUDITLINK__" localSheetId="10" hidden="1">{"fdsup://directions/FAT Viewer?action=UPDATE&amp;creator=factset&amp;DYN_ARGS=TRUE&amp;DOC_NAME=FAT:FQL_AUDITING_CLIENT_TEMPLATE.FAT&amp;display_string=Audit&amp;VAR:KEY=NYNKLQHAHC&amp;VAR:QUERY=RkZfSU5UX0NPVkcoQU5OLDIwMDkp&amp;WINDOW=FIRST_POPUP&amp;HEIGHT=450&amp;WIDTH=450&amp;START_MAXIMIZED=","FALSE&amp;VAR:CALENDAR=FIVEDAY&amp;VAR:SYMBOL=1171&amp;VAR:INDEX=0"}</definedName>
    <definedName name="_412__FDSAUDITLINK__" hidden="1">{"fdsup://directions/FAT Viewer?action=UPDATE&amp;creator=factset&amp;DYN_ARGS=TRUE&amp;DOC_NAME=FAT:FQL_AUDITING_CLIENT_TEMPLATE.FAT&amp;display_string=Audit&amp;VAR:KEY=NYNKLQHAHC&amp;VAR:QUERY=RkZfSU5UX0NPVkcoQU5OLDIwMDkp&amp;WINDOW=FIRST_POPUP&amp;HEIGHT=450&amp;WIDTH=450&amp;START_MAXIMIZED=","FALSE&amp;VAR:CALENDAR=FIVEDAY&amp;VAR:SYMBOL=1171&amp;VAR:INDEX=0"}</definedName>
    <definedName name="_413__FDSAUDITLINK__" localSheetId="10" hidden="1">{"fdsup://directions/FAT Viewer?action=UPDATE&amp;creator=factset&amp;DYN_ARGS=TRUE&amp;DOC_NAME=FAT:FQL_AUDITING_CLIENT_TEMPLATE.FAT&amp;display_string=Audit&amp;VAR:KEY=TMDCXEZEVI&amp;VAR:QUERY=RkZfUEFZX09VVF9SQVRJTyhBTk4sMjAwOSk=&amp;WINDOW=FIRST_POPUP&amp;HEIGHT=450&amp;WIDTH=450&amp;START_MA","XIMIZED=FALSE&amp;VAR:CALENDAR=FIVEDAY&amp;VAR:SYMBOL=1171&amp;VAR:INDEX=0"}</definedName>
    <definedName name="_413__FDSAUDITLINK__" hidden="1">{"fdsup://directions/FAT Viewer?action=UPDATE&amp;creator=factset&amp;DYN_ARGS=TRUE&amp;DOC_NAME=FAT:FQL_AUDITING_CLIENT_TEMPLATE.FAT&amp;display_string=Audit&amp;VAR:KEY=TMDCXEZEVI&amp;VAR:QUERY=RkZfUEFZX09VVF9SQVRJTyhBTk4sMjAwOSk=&amp;WINDOW=FIRST_POPUP&amp;HEIGHT=450&amp;WIDTH=450&amp;START_MA","XIMIZED=FALSE&amp;VAR:CALENDAR=FIVEDAY&amp;VAR:SYMBOL=1171&amp;VAR:INDEX=0"}</definedName>
    <definedName name="_414__FDSAUDITLINK__" localSheetId="10" hidden="1">{"fdsup://directions/FAT Viewer?action=UPDATE&amp;creator=factset&amp;DYN_ARGS=TRUE&amp;DOC_NAME=FAT:FQL_AUDITING_CLIENT_TEMPLATE.FAT&amp;display_string=Audit&amp;VAR:KEY=NIHILETQJM&amp;VAR:QUERY=RkZfREVCVF9BU1NFVFMoQU5OLDIwMDkp&amp;WINDOW=FIRST_POPUP&amp;HEIGHT=450&amp;WIDTH=450&amp;START_MAXIMI","ZED=FALSE&amp;VAR:CALENDAR=FIVEDAY&amp;VAR:SYMBOL=1171&amp;VAR:INDEX=0"}</definedName>
    <definedName name="_414__FDSAUDITLINK__" hidden="1">{"fdsup://directions/FAT Viewer?action=UPDATE&amp;creator=factset&amp;DYN_ARGS=TRUE&amp;DOC_NAME=FAT:FQL_AUDITING_CLIENT_TEMPLATE.FAT&amp;display_string=Audit&amp;VAR:KEY=NIHILETQJM&amp;VAR:QUERY=RkZfREVCVF9BU1NFVFMoQU5OLDIwMDkp&amp;WINDOW=FIRST_POPUP&amp;HEIGHT=450&amp;WIDTH=450&amp;START_MAXIMI","ZED=FALSE&amp;VAR:CALENDAR=FIVEDAY&amp;VAR:SYMBOL=1171&amp;VAR:INDEX=0"}</definedName>
    <definedName name="_415__FDSAUDITLINK__" localSheetId="10" hidden="1">{"fdsup://directions/FAT Viewer?action=UPDATE&amp;creator=factset&amp;DYN_ARGS=TRUE&amp;DOC_NAME=FAT:FQL_AUDITING_CLIENT_TEMPLATE.FAT&amp;display_string=Audit&amp;VAR:KEY=LKXYVMFEJM&amp;VAR:QUERY=RkZfREVCVF9BU1NFVFMoQU5OLDIwMDgp&amp;WINDOW=FIRST_POPUP&amp;HEIGHT=450&amp;WIDTH=450&amp;START_MAXIMI","ZED=FALSE&amp;VAR:CALENDAR=FIVEDAY&amp;VAR:SYMBOL=1171&amp;VAR:INDEX=0"}</definedName>
    <definedName name="_415__FDSAUDITLINK__" hidden="1">{"fdsup://directions/FAT Viewer?action=UPDATE&amp;creator=factset&amp;DYN_ARGS=TRUE&amp;DOC_NAME=FAT:FQL_AUDITING_CLIENT_TEMPLATE.FAT&amp;display_string=Audit&amp;VAR:KEY=LKXYVMFEJM&amp;VAR:QUERY=RkZfREVCVF9BU1NFVFMoQU5OLDIwMDgp&amp;WINDOW=FIRST_POPUP&amp;HEIGHT=450&amp;WIDTH=450&amp;START_MAXIMI","ZED=FALSE&amp;VAR:CALENDAR=FIVEDAY&amp;VAR:SYMBOL=1171&amp;VAR:INDEX=0"}</definedName>
    <definedName name="_416__FDSAUDITLINK__" localSheetId="10" hidden="1">{"fdsup://directions/FAT Viewer?action=UPDATE&amp;creator=factset&amp;DYN_ARGS=TRUE&amp;DOC_NAME=FAT:FQL_AUDITING_CLIENT_TEMPLATE.FAT&amp;display_string=Audit&amp;VAR:KEY=DCNWVQLSXE&amp;VAR:QUERY=RkZfREVCVF9BU1NFVFMoQU5OLDIwMDcp&amp;WINDOW=FIRST_POPUP&amp;HEIGHT=450&amp;WIDTH=450&amp;START_MAXIMI","ZED=FALSE&amp;VAR:CALENDAR=FIVEDAY&amp;VAR:SYMBOL=1171&amp;VAR:INDEX=0"}</definedName>
    <definedName name="_416__FDSAUDITLINK__" hidden="1">{"fdsup://directions/FAT Viewer?action=UPDATE&amp;creator=factset&amp;DYN_ARGS=TRUE&amp;DOC_NAME=FAT:FQL_AUDITING_CLIENT_TEMPLATE.FAT&amp;display_string=Audit&amp;VAR:KEY=DCNWVQLSXE&amp;VAR:QUERY=RkZfREVCVF9BU1NFVFMoQU5OLDIwMDcp&amp;WINDOW=FIRST_POPUP&amp;HEIGHT=450&amp;WIDTH=450&amp;START_MAXIMI","ZED=FALSE&amp;VAR:CALENDAR=FIVEDAY&amp;VAR:SYMBOL=1171&amp;VAR:INDEX=0"}</definedName>
    <definedName name="_417__FDSAUDITLINK__" localSheetId="10" hidden="1">{"fdsup://directions/FAT Viewer?action=UPDATE&amp;creator=factset&amp;DYN_ARGS=TRUE&amp;DOC_NAME=FAT:FQL_AUDITING_CLIENT_TEMPLATE.FAT&amp;display_string=Audit&amp;VAR:KEY=HGZCNOFQDE&amp;VAR:QUERY=RkZfREVCVF9BU1NFVFMoQU5OLDIwMDYp&amp;WINDOW=FIRST_POPUP&amp;HEIGHT=450&amp;WIDTH=450&amp;START_MAXIMI","ZED=FALSE&amp;VAR:CALENDAR=FIVEDAY&amp;VAR:SYMBOL=1171&amp;VAR:INDEX=0"}</definedName>
    <definedName name="_417__FDSAUDITLINK__" hidden="1">{"fdsup://directions/FAT Viewer?action=UPDATE&amp;creator=factset&amp;DYN_ARGS=TRUE&amp;DOC_NAME=FAT:FQL_AUDITING_CLIENT_TEMPLATE.FAT&amp;display_string=Audit&amp;VAR:KEY=HGZCNOFQDE&amp;VAR:QUERY=RkZfREVCVF9BU1NFVFMoQU5OLDIwMDYp&amp;WINDOW=FIRST_POPUP&amp;HEIGHT=450&amp;WIDTH=450&amp;START_MAXIMI","ZED=FALSE&amp;VAR:CALENDAR=FIVEDAY&amp;VAR:SYMBOL=1171&amp;VAR:INDEX=0"}</definedName>
    <definedName name="_418__FDSAUDITLINK__" localSheetId="10" hidden="1">{"fdsup://directions/FAT Viewer?action=UPDATE&amp;creator=factset&amp;DYN_ARGS=TRUE&amp;DOC_NAME=FAT:FQL_AUDITING_CLIENT_TEMPLATE.FAT&amp;display_string=Audit&amp;VAR:KEY=NKLIPSDIDI&amp;VAR:QUERY=RkZfREVCVF9FUShBTk4sMjAwOSk=&amp;WINDOW=FIRST_POPUP&amp;HEIGHT=450&amp;WIDTH=450&amp;START_MAXIMIZED=","FALSE&amp;VAR:CALENDAR=FIVEDAY&amp;VAR:SYMBOL=1171&amp;VAR:INDEX=0"}</definedName>
    <definedName name="_418__FDSAUDITLINK__" hidden="1">{"fdsup://directions/FAT Viewer?action=UPDATE&amp;creator=factset&amp;DYN_ARGS=TRUE&amp;DOC_NAME=FAT:FQL_AUDITING_CLIENT_TEMPLATE.FAT&amp;display_string=Audit&amp;VAR:KEY=NKLIPSDIDI&amp;VAR:QUERY=RkZfREVCVF9FUShBTk4sMjAwOSk=&amp;WINDOW=FIRST_POPUP&amp;HEIGHT=450&amp;WIDTH=450&amp;START_MAXIMIZED=","FALSE&amp;VAR:CALENDAR=FIVEDAY&amp;VAR:SYMBOL=1171&amp;VAR:INDEX=0"}</definedName>
    <definedName name="_419__FDSAUDITLINK__" localSheetId="10" hidden="1">{"fdsup://directions/FAT Viewer?action=UPDATE&amp;creator=factset&amp;DYN_ARGS=TRUE&amp;DOC_NAME=FAT:FQL_AUDITING_CLIENT_TEMPLATE.FAT&amp;display_string=Audit&amp;VAR:KEY=TCLCVAFGTE&amp;VAR:QUERY=RkZfREVCVF9FUShBTk4sMjAwOCk=&amp;WINDOW=FIRST_POPUP&amp;HEIGHT=450&amp;WIDTH=450&amp;START_MAXIMIZED=","FALSE&amp;VAR:CALENDAR=FIVEDAY&amp;VAR:SYMBOL=1171&amp;VAR:INDEX=0"}</definedName>
    <definedName name="_419__FDSAUDITLINK__" hidden="1">{"fdsup://directions/FAT Viewer?action=UPDATE&amp;creator=factset&amp;DYN_ARGS=TRUE&amp;DOC_NAME=FAT:FQL_AUDITING_CLIENT_TEMPLATE.FAT&amp;display_string=Audit&amp;VAR:KEY=TCLCVAFGTE&amp;VAR:QUERY=RkZfREVCVF9FUShBTk4sMjAwOCk=&amp;WINDOW=FIRST_POPUP&amp;HEIGHT=450&amp;WIDTH=450&amp;START_MAXIMIZED=","FALSE&amp;VAR:CALENDAR=FIVEDAY&amp;VAR:SYMBOL=1171&amp;VAR:INDEX=0"}</definedName>
    <definedName name="_42__123Graph_CCHART_14" hidden="1">[2]Mideast!$B$13:$V$13</definedName>
    <definedName name="_42__FDSAUDITLINK__" localSheetId="10" hidden="1">{"fdsup://directions/FAT Viewer?action=UPDATE&amp;creator=factset&amp;DYN_ARGS=TRUE&amp;DOC_NAME=FAT:FQL_AUDITING_CLIENT_TEMPLATE.FAT&amp;display_string=Audit&amp;VAR:KEY=EPAJEXQZGJ&amp;VAR:QUERY=RkZfRU5UUlBSX1ZBTF9EQUlMWSg0MDM2NiwsLCxVU0QsJ0RJTCcp&amp;WINDOW=FIRST_POPUP&amp;HEIGHT=450&amp;WI","DTH=450&amp;START_MAXIMIZED=FALSE&amp;VAR:CALENDAR=FIVEDAY&amp;VAR:SYMBOL=658653&amp;VAR:INDEX=0"}</definedName>
    <definedName name="_42__FDSAUDITLINK__" hidden="1">{"fdsup://directions/FAT Viewer?action=UPDATE&amp;creator=factset&amp;DYN_ARGS=TRUE&amp;DOC_NAME=FAT:FQL_AUDITING_CLIENT_TEMPLATE.FAT&amp;display_string=Audit&amp;VAR:KEY=EPAJEXQZGJ&amp;VAR:QUERY=RkZfRU5UUlBSX1ZBTF9EQUlMWSg0MDM2NiwsLCxVU0QsJ0RJTCcp&amp;WINDOW=FIRST_POPUP&amp;HEIGHT=450&amp;WI","DTH=450&amp;START_MAXIMIZED=FALSE&amp;VAR:CALENDAR=FIVEDAY&amp;VAR:SYMBOL=658653&amp;VAR:INDEX=0"}</definedName>
    <definedName name="_420__FDSAUDITLINK__" localSheetId="10" hidden="1">{"fdsup://directions/FAT Viewer?action=UPDATE&amp;creator=factset&amp;DYN_ARGS=TRUE&amp;DOC_NAME=FAT:FQL_AUDITING_CLIENT_TEMPLATE.FAT&amp;display_string=Audit&amp;VAR:KEY=HYRUHCRCNI&amp;VAR:QUERY=RkZfREVCVF9FUShBTk4sMjAwNyk=&amp;WINDOW=FIRST_POPUP&amp;HEIGHT=450&amp;WIDTH=450&amp;START_MAXIMIZED=","FALSE&amp;VAR:CALENDAR=FIVEDAY&amp;VAR:SYMBOL=1171&amp;VAR:INDEX=0"}</definedName>
    <definedName name="_420__FDSAUDITLINK__" hidden="1">{"fdsup://directions/FAT Viewer?action=UPDATE&amp;creator=factset&amp;DYN_ARGS=TRUE&amp;DOC_NAME=FAT:FQL_AUDITING_CLIENT_TEMPLATE.FAT&amp;display_string=Audit&amp;VAR:KEY=HYRUHCRCNI&amp;VAR:QUERY=RkZfREVCVF9FUShBTk4sMjAwNyk=&amp;WINDOW=FIRST_POPUP&amp;HEIGHT=450&amp;WIDTH=450&amp;START_MAXIMIZED=","FALSE&amp;VAR:CALENDAR=FIVEDAY&amp;VAR:SYMBOL=1171&amp;VAR:INDEX=0"}</definedName>
    <definedName name="_421__FDSAUDITLINK__" localSheetId="10" hidden="1">{"fdsup://directions/FAT Viewer?action=UPDATE&amp;creator=factset&amp;DYN_ARGS=TRUE&amp;DOC_NAME=FAT:FQL_AUDITING_CLIENT_TEMPLATE.FAT&amp;display_string=Audit&amp;VAR:KEY=HOVUNGXQPQ&amp;VAR:QUERY=RkZfREVCVF9FUShBTk4sMjAwNik=&amp;WINDOW=FIRST_POPUP&amp;HEIGHT=450&amp;WIDTH=450&amp;START_MAXIMIZED=","FALSE&amp;VAR:CALENDAR=FIVEDAY&amp;VAR:SYMBOL=1171&amp;VAR:INDEX=0"}</definedName>
    <definedName name="_421__FDSAUDITLINK__" hidden="1">{"fdsup://directions/FAT Viewer?action=UPDATE&amp;creator=factset&amp;DYN_ARGS=TRUE&amp;DOC_NAME=FAT:FQL_AUDITING_CLIENT_TEMPLATE.FAT&amp;display_string=Audit&amp;VAR:KEY=HOVUNGXQPQ&amp;VAR:QUERY=RkZfREVCVF9FUShBTk4sMjAwNik=&amp;WINDOW=FIRST_POPUP&amp;HEIGHT=450&amp;WIDTH=450&amp;START_MAXIMIZED=","FALSE&amp;VAR:CALENDAR=FIVEDAY&amp;VAR:SYMBOL=1171&amp;VAR:INDEX=0"}</definedName>
    <definedName name="_422__FDSAUDITLINK__" localSheetId="10" hidden="1">{"fdsup://directions/FAT Viewer?action=UPDATE&amp;creator=factset&amp;DYN_ARGS=TRUE&amp;DOC_NAME=FAT:FQL_AUDITING_CLIENT_TEMPLATE.FAT&amp;display_string=Audit&amp;VAR:KEY=FARMZKPUNS&amp;VAR:QUERY=RkZfTkVUX0RFQlQoQU5OLDIwMDkpL0ZGX1NITERSU19FUShBTk4sMjAwOSk=&amp;WINDOW=FIRST_POPUP&amp;HEIGH","T=450&amp;WIDTH=450&amp;START_MAXIMIZED=FALSE&amp;VAR:CALENDAR=FIVEDAY&amp;VAR:SYMBOL=1171&amp;VAR:INDEX=0"}</definedName>
    <definedName name="_422__FDSAUDITLINK__" hidden="1">{"fdsup://directions/FAT Viewer?action=UPDATE&amp;creator=factset&amp;DYN_ARGS=TRUE&amp;DOC_NAME=FAT:FQL_AUDITING_CLIENT_TEMPLATE.FAT&amp;display_string=Audit&amp;VAR:KEY=FARMZKPUNS&amp;VAR:QUERY=RkZfTkVUX0RFQlQoQU5OLDIwMDkpL0ZGX1NITERSU19FUShBTk4sMjAwOSk=&amp;WINDOW=FIRST_POPUP&amp;HEIGH","T=450&amp;WIDTH=450&amp;START_MAXIMIZED=FALSE&amp;VAR:CALENDAR=FIVEDAY&amp;VAR:SYMBOL=1171&amp;VAR:INDEX=0"}</definedName>
    <definedName name="_423__FDSAUDITLINK__" localSheetId="10" hidden="1">{"fdsup://directions/FAT Viewer?action=UPDATE&amp;creator=factset&amp;DYN_ARGS=TRUE&amp;DOC_NAME=FAT:FQL_AUDITING_CLIENT_TEMPLATE.FAT&amp;display_string=Audit&amp;VAR:KEY=BKFCPIVGBU&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1171&amp;VAR:INDEX=0"}</definedName>
    <definedName name="_423__FDSAUDITLINK__" hidden="1">{"fdsup://directions/FAT Viewer?action=UPDATE&amp;creator=factset&amp;DYN_ARGS=TRUE&amp;DOC_NAME=FAT:FQL_AUDITING_CLIENT_TEMPLATE.FAT&amp;display_string=Audit&amp;VAR:KEY=BKFCPIVGBU&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1171&amp;VAR:INDEX=0"}</definedName>
    <definedName name="_424__FDSAUDITLINK__" localSheetId="10" hidden="1">{"fdsup://directions/FAT Viewer?action=UPDATE&amp;creator=factset&amp;DYN_ARGS=TRUE&amp;DOC_NAME=FAT:FQL_AUDITING_CLIENT_TEMPLATE.FAT&amp;display_string=Audit&amp;VAR:KEY=LUDMBIDKPS&amp;VAR:QUERY=KEZGX05FVF9JTkMoQU5OLDIwMDkpL0ZGX05FVF9JTkMoQU5OLDIwMDgpKS0x&amp;WINDOW=FIRST_POPUP&amp;HEIGH","T=450&amp;WIDTH=450&amp;START_MAXIMIZED=FALSE&amp;VAR:CALENDAR=FIVEDAY&amp;VAR:SYMBOL=1171&amp;VAR:INDEX=0"}</definedName>
    <definedName name="_424__FDSAUDITLINK__" hidden="1">{"fdsup://directions/FAT Viewer?action=UPDATE&amp;creator=factset&amp;DYN_ARGS=TRUE&amp;DOC_NAME=FAT:FQL_AUDITING_CLIENT_TEMPLATE.FAT&amp;display_string=Audit&amp;VAR:KEY=LUDMBIDKPS&amp;VAR:QUERY=KEZGX05FVF9JTkMoQU5OLDIwMDkpL0ZGX05FVF9JTkMoQU5OLDIwMDgpKS0x&amp;WINDOW=FIRST_POPUP&amp;HEIGH","T=450&amp;WIDTH=450&amp;START_MAXIMIZED=FALSE&amp;VAR:CALENDAR=FIVEDAY&amp;VAR:SYMBOL=1171&amp;VAR:INDEX=0"}</definedName>
    <definedName name="_425__FDSAUDITLINK__" localSheetId="10" hidden="1">{"fdsup://directions/FAT Viewer?action=UPDATE&amp;creator=factset&amp;DYN_ARGS=TRUE&amp;DOC_NAME=FAT:FQL_AUDITING_CLIENT_TEMPLATE.FAT&amp;display_string=Audit&amp;VAR:KEY=BWNSPQVAVM&amp;VAR:QUERY=RkZfTkVUX01HTihBTk4sMjAwOSk=&amp;WINDOW=FIRST_POPUP&amp;HEIGHT=450&amp;WIDTH=450&amp;START_MAXIMIZED=","FALSE&amp;VAR:CALENDAR=FIVEDAY&amp;VAR:SYMBOL=1171&amp;VAR:INDEX=0"}</definedName>
    <definedName name="_425__FDSAUDITLINK__" hidden="1">{"fdsup://directions/FAT Viewer?action=UPDATE&amp;creator=factset&amp;DYN_ARGS=TRUE&amp;DOC_NAME=FAT:FQL_AUDITING_CLIENT_TEMPLATE.FAT&amp;display_string=Audit&amp;VAR:KEY=BWNSPQVAVM&amp;VAR:QUERY=RkZfTkVUX01HTihBTk4sMjAwOSk=&amp;WINDOW=FIRST_POPUP&amp;HEIGHT=450&amp;WIDTH=450&amp;START_MAXIMIZED=","FALSE&amp;VAR:CALENDAR=FIVEDAY&amp;VAR:SYMBOL=1171&amp;VAR:INDEX=0"}</definedName>
    <definedName name="_426__FDSAUDITLINK__" localSheetId="10" hidden="1">{"fdsup://directions/FAT Viewer?action=UPDATE&amp;creator=factset&amp;DYN_ARGS=TRUE&amp;DOC_NAME=FAT:FQL_AUDITING_CLIENT_TEMPLATE.FAT&amp;display_string=Audit&amp;VAR:KEY=DIRKRYZGLW&amp;VAR:QUERY=RkZfTkVUX01HTihBTk4sMjAwOCk=&amp;WINDOW=FIRST_POPUP&amp;HEIGHT=450&amp;WIDTH=450&amp;START_MAXIMIZED=","FALSE&amp;VAR:CALENDAR=FIVEDAY&amp;VAR:SYMBOL=1171&amp;VAR:INDEX=0"}</definedName>
    <definedName name="_426__FDSAUDITLINK__" hidden="1">{"fdsup://directions/FAT Viewer?action=UPDATE&amp;creator=factset&amp;DYN_ARGS=TRUE&amp;DOC_NAME=FAT:FQL_AUDITING_CLIENT_TEMPLATE.FAT&amp;display_string=Audit&amp;VAR:KEY=DIRKRYZGLW&amp;VAR:QUERY=RkZfTkVUX01HTihBTk4sMjAwOCk=&amp;WINDOW=FIRST_POPUP&amp;HEIGHT=450&amp;WIDTH=450&amp;START_MAXIMIZED=","FALSE&amp;VAR:CALENDAR=FIVEDAY&amp;VAR:SYMBOL=1171&amp;VAR:INDEX=0"}</definedName>
    <definedName name="_427__FDSAUDITLINK__" localSheetId="10" hidden="1">{"fdsup://directions/FAT Viewer?action=UPDATE&amp;creator=factset&amp;DYN_ARGS=TRUE&amp;DOC_NAME=FAT:FQL_AUDITING_CLIENT_TEMPLATE.FAT&amp;display_string=Audit&amp;VAR:KEY=JCZEPYDIJK&amp;VAR:QUERY=RkZfTkVUX01HTihBTk4sMjAwNyk=&amp;WINDOW=FIRST_POPUP&amp;HEIGHT=450&amp;WIDTH=450&amp;START_MAXIMIZED=","FALSE&amp;VAR:CALENDAR=FIVEDAY&amp;VAR:SYMBOL=1171&amp;VAR:INDEX=0"}</definedName>
    <definedName name="_427__FDSAUDITLINK__" hidden="1">{"fdsup://directions/FAT Viewer?action=UPDATE&amp;creator=factset&amp;DYN_ARGS=TRUE&amp;DOC_NAME=FAT:FQL_AUDITING_CLIENT_TEMPLATE.FAT&amp;display_string=Audit&amp;VAR:KEY=JCZEPYDIJK&amp;VAR:QUERY=RkZfTkVUX01HTihBTk4sMjAwNyk=&amp;WINDOW=FIRST_POPUP&amp;HEIGHT=450&amp;WIDTH=450&amp;START_MAXIMIZED=","FALSE&amp;VAR:CALENDAR=FIVEDAY&amp;VAR:SYMBOL=1171&amp;VAR:INDEX=0"}</definedName>
    <definedName name="_428__FDSAUDITLINK__" localSheetId="10" hidden="1">{"fdsup://directions/FAT Viewer?action=UPDATE&amp;creator=factset&amp;DYN_ARGS=TRUE&amp;DOC_NAME=FAT:FQL_AUDITING_CLIENT_TEMPLATE.FAT&amp;display_string=Audit&amp;VAR:KEY=BUVSHULANQ&amp;VAR:QUERY=RkZfTkVUX01HTihBTk4sMjAwNik=&amp;WINDOW=FIRST_POPUP&amp;HEIGHT=450&amp;WIDTH=450&amp;START_MAXIMIZED=","FALSE&amp;VAR:CALENDAR=FIVEDAY&amp;VAR:SYMBOL=1171&amp;VAR:INDEX=0"}</definedName>
    <definedName name="_428__FDSAUDITLINK__" hidden="1">{"fdsup://directions/FAT Viewer?action=UPDATE&amp;creator=factset&amp;DYN_ARGS=TRUE&amp;DOC_NAME=FAT:FQL_AUDITING_CLIENT_TEMPLATE.FAT&amp;display_string=Audit&amp;VAR:KEY=BUVSHULANQ&amp;VAR:QUERY=RkZfTkVUX01HTihBTk4sMjAwNik=&amp;WINDOW=FIRST_POPUP&amp;HEIGHT=450&amp;WIDTH=450&amp;START_MAXIMIZED=","FALSE&amp;VAR:CALENDAR=FIVEDAY&amp;VAR:SYMBOL=1171&amp;VAR:INDEX=0"}</definedName>
    <definedName name="_429__FDSAUDITLINK__" localSheetId="10" hidden="1">{"fdsup://directions/FAT Viewer?action=UPDATE&amp;creator=factset&amp;DYN_ARGS=TRUE&amp;DOC_NAME=FAT:FQL_AUDITING_CLIENT_TEMPLATE.FAT&amp;display_string=Audit&amp;VAR:KEY=VEDIXWLORG&amp;VAR:QUERY=RkZfUk9BKEFOTiwyMDA5KQ==&amp;WINDOW=FIRST_POPUP&amp;HEIGHT=450&amp;WIDTH=450&amp;START_MAXIMIZED=FALS","E&amp;VAR:CALENDAR=FIVEDAY&amp;VAR:SYMBOL=1171&amp;VAR:INDEX=0"}</definedName>
    <definedName name="_429__FDSAUDITLINK__" hidden="1">{"fdsup://directions/FAT Viewer?action=UPDATE&amp;creator=factset&amp;DYN_ARGS=TRUE&amp;DOC_NAME=FAT:FQL_AUDITING_CLIENT_TEMPLATE.FAT&amp;display_string=Audit&amp;VAR:KEY=VEDIXWLORG&amp;VAR:QUERY=RkZfUk9BKEFOTiwyMDA5KQ==&amp;WINDOW=FIRST_POPUP&amp;HEIGHT=450&amp;WIDTH=450&amp;START_MAXIMIZED=FALS","E&amp;VAR:CALENDAR=FIVEDAY&amp;VAR:SYMBOL=1171&amp;VAR:INDEX=0"}</definedName>
    <definedName name="_43__123Graph_CCHART_17" hidden="1">[2]Ocean!$B$13:$V$13</definedName>
    <definedName name="_43__FDSAUDITLINK__" localSheetId="10" hidden="1">{"fdsup://directions/FAT Viewer?action=UPDATE&amp;creator=factset&amp;DYN_ARGS=TRUE&amp;DOC_NAME=FAT:FQL_AUDITING_CLIENT_TEMPLATE.FAT&amp;display_string=Audit&amp;VAR:KEY=KBSRCJITAB&amp;VAR:QUERY=RkZfRU5UUlBSX1ZBTF9EQUlMWSg0MDM2NiwsLCxVU0QsJ0RJTCcp&amp;WINDOW=FIRST_POPUP&amp;HEIGHT=450&amp;WI","DTH=450&amp;START_MAXIMIZED=FALSE&amp;VAR:CALENDAR=FIVEDAY&amp;VAR:SYMBOL=B51BL7&amp;VAR:INDEX=0"}</definedName>
    <definedName name="_43__FDSAUDITLINK__" hidden="1">{"fdsup://directions/FAT Viewer?action=UPDATE&amp;creator=factset&amp;DYN_ARGS=TRUE&amp;DOC_NAME=FAT:FQL_AUDITING_CLIENT_TEMPLATE.FAT&amp;display_string=Audit&amp;VAR:KEY=KBSRCJITAB&amp;VAR:QUERY=RkZfRU5UUlBSX1ZBTF9EQUlMWSg0MDM2NiwsLCxVU0QsJ0RJTCcp&amp;WINDOW=FIRST_POPUP&amp;HEIGHT=450&amp;WI","DTH=450&amp;START_MAXIMIZED=FALSE&amp;VAR:CALENDAR=FIVEDAY&amp;VAR:SYMBOL=B51BL7&amp;VAR:INDEX=0"}</definedName>
    <definedName name="_430__FDSAUDITLINK__" localSheetId="10" hidden="1">{"fdsup://directions/FAT Viewer?action=UPDATE&amp;creator=factset&amp;DYN_ARGS=TRUE&amp;DOC_NAME=FAT:FQL_AUDITING_CLIENT_TEMPLATE.FAT&amp;display_string=Audit&amp;VAR:KEY=VYBSLCDEHA&amp;VAR:QUERY=RkZfUk9BKEFOTiwyMDA4KQ==&amp;WINDOW=FIRST_POPUP&amp;HEIGHT=450&amp;WIDTH=450&amp;START_MAXIMIZED=FALS","E&amp;VAR:CALENDAR=FIVEDAY&amp;VAR:SYMBOL=1171&amp;VAR:INDEX=0"}</definedName>
    <definedName name="_430__FDSAUDITLINK__" hidden="1">{"fdsup://directions/FAT Viewer?action=UPDATE&amp;creator=factset&amp;DYN_ARGS=TRUE&amp;DOC_NAME=FAT:FQL_AUDITING_CLIENT_TEMPLATE.FAT&amp;display_string=Audit&amp;VAR:KEY=VYBSLCDEHA&amp;VAR:QUERY=RkZfUk9BKEFOTiwyMDA4KQ==&amp;WINDOW=FIRST_POPUP&amp;HEIGHT=450&amp;WIDTH=450&amp;START_MAXIMIZED=FALS","E&amp;VAR:CALENDAR=FIVEDAY&amp;VAR:SYMBOL=1171&amp;VAR:INDEX=0"}</definedName>
    <definedName name="_431__FDSAUDITLINK__" localSheetId="10" hidden="1">{"fdsup://directions/FAT Viewer?action=UPDATE&amp;creator=factset&amp;DYN_ARGS=TRUE&amp;DOC_NAME=FAT:FQL_AUDITING_CLIENT_TEMPLATE.FAT&amp;display_string=Audit&amp;VAR:KEY=XEDIPELYZY&amp;VAR:QUERY=RkZfUk9BKEFOTiwyMDA3KQ==&amp;WINDOW=FIRST_POPUP&amp;HEIGHT=450&amp;WIDTH=450&amp;START_MAXIMIZED=FALS","E&amp;VAR:CALENDAR=FIVEDAY&amp;VAR:SYMBOL=1171&amp;VAR:INDEX=0"}</definedName>
    <definedName name="_431__FDSAUDITLINK__" hidden="1">{"fdsup://directions/FAT Viewer?action=UPDATE&amp;creator=factset&amp;DYN_ARGS=TRUE&amp;DOC_NAME=FAT:FQL_AUDITING_CLIENT_TEMPLATE.FAT&amp;display_string=Audit&amp;VAR:KEY=XEDIPELYZY&amp;VAR:QUERY=RkZfUk9BKEFOTiwyMDA3KQ==&amp;WINDOW=FIRST_POPUP&amp;HEIGHT=450&amp;WIDTH=450&amp;START_MAXIMIZED=FALS","E&amp;VAR:CALENDAR=FIVEDAY&amp;VAR:SYMBOL=1171&amp;VAR:INDEX=0"}</definedName>
    <definedName name="_432__FDSAUDITLINK__" localSheetId="10" hidden="1">{"fdsup://directions/FAT Viewer?action=UPDATE&amp;creator=factset&amp;DYN_ARGS=TRUE&amp;DOC_NAME=FAT:FQL_AUDITING_CLIENT_TEMPLATE.FAT&amp;display_string=Audit&amp;VAR:KEY=FWXSLOFKVW&amp;VAR:QUERY=RkZfUk9BKEFOTiwyMDA2KQ==&amp;WINDOW=FIRST_POPUP&amp;HEIGHT=450&amp;WIDTH=450&amp;START_MAXIMIZED=FALS","E&amp;VAR:CALENDAR=FIVEDAY&amp;VAR:SYMBOL=1171&amp;VAR:INDEX=0"}</definedName>
    <definedName name="_432__FDSAUDITLINK__" hidden="1">{"fdsup://directions/FAT Viewer?action=UPDATE&amp;creator=factset&amp;DYN_ARGS=TRUE&amp;DOC_NAME=FAT:FQL_AUDITING_CLIENT_TEMPLATE.FAT&amp;display_string=Audit&amp;VAR:KEY=FWXSLOFKVW&amp;VAR:QUERY=RkZfUk9BKEFOTiwyMDA2KQ==&amp;WINDOW=FIRST_POPUP&amp;HEIGHT=450&amp;WIDTH=450&amp;START_MAXIMIZED=FALS","E&amp;VAR:CALENDAR=FIVEDAY&amp;VAR:SYMBOL=1171&amp;VAR:INDEX=0"}</definedName>
    <definedName name="_433__FDSAUDITLINK__" localSheetId="10" hidden="1">{"fdsup://directions/FAT Viewer?action=UPDATE&amp;creator=factset&amp;DYN_ARGS=TRUE&amp;DOC_NAME=FAT:FQL_AUDITING_CLIENT_TEMPLATE.FAT&amp;display_string=Audit&amp;VAR:KEY=ZIVMXMXWRE&amp;VAR:QUERY=RkZfUk9FKEFOTiwyMDA5KQ==&amp;WINDOW=FIRST_POPUP&amp;HEIGHT=450&amp;WIDTH=450&amp;START_MAXIMIZED=FALS","E&amp;VAR:CALENDAR=FIVEDAY&amp;VAR:SYMBOL=1171&amp;VAR:INDEX=0"}</definedName>
    <definedName name="_433__FDSAUDITLINK__" hidden="1">{"fdsup://directions/FAT Viewer?action=UPDATE&amp;creator=factset&amp;DYN_ARGS=TRUE&amp;DOC_NAME=FAT:FQL_AUDITING_CLIENT_TEMPLATE.FAT&amp;display_string=Audit&amp;VAR:KEY=ZIVMXMXWRE&amp;VAR:QUERY=RkZfUk9FKEFOTiwyMDA5KQ==&amp;WINDOW=FIRST_POPUP&amp;HEIGHT=450&amp;WIDTH=450&amp;START_MAXIMIZED=FALS","E&amp;VAR:CALENDAR=FIVEDAY&amp;VAR:SYMBOL=1171&amp;VAR:INDEX=0"}</definedName>
    <definedName name="_434__FDSAUDITLINK__" localSheetId="10" hidden="1">{"fdsup://directions/FAT Viewer?action=UPDATE&amp;creator=factset&amp;DYN_ARGS=TRUE&amp;DOC_NAME=FAT:FQL_AUDITING_CLIENT_TEMPLATE.FAT&amp;display_string=Audit&amp;VAR:KEY=BIPGHWJSDK&amp;VAR:QUERY=RkZfUk9FKEFOTiwyMDA4KQ==&amp;WINDOW=FIRST_POPUP&amp;HEIGHT=450&amp;WIDTH=450&amp;START_MAXIMIZED=FALS","E&amp;VAR:CALENDAR=FIVEDAY&amp;VAR:SYMBOL=1171&amp;VAR:INDEX=0"}</definedName>
    <definedName name="_434__FDSAUDITLINK__" hidden="1">{"fdsup://directions/FAT Viewer?action=UPDATE&amp;creator=factset&amp;DYN_ARGS=TRUE&amp;DOC_NAME=FAT:FQL_AUDITING_CLIENT_TEMPLATE.FAT&amp;display_string=Audit&amp;VAR:KEY=BIPGHWJSDK&amp;VAR:QUERY=RkZfUk9FKEFOTiwyMDA4KQ==&amp;WINDOW=FIRST_POPUP&amp;HEIGHT=450&amp;WIDTH=450&amp;START_MAXIMIZED=FALS","E&amp;VAR:CALENDAR=FIVEDAY&amp;VAR:SYMBOL=1171&amp;VAR:INDEX=0"}</definedName>
    <definedName name="_435__FDSAUDITLINK__" localSheetId="10" hidden="1">{"fdsup://directions/FAT Viewer?action=UPDATE&amp;creator=factset&amp;DYN_ARGS=TRUE&amp;DOC_NAME=FAT:FQL_AUDITING_CLIENT_TEMPLATE.FAT&amp;display_string=Audit&amp;VAR:KEY=TOJMHAPCNE&amp;VAR:QUERY=RkZfUk9FKEFOTiwyMDA3KQ==&amp;WINDOW=FIRST_POPUP&amp;HEIGHT=450&amp;WIDTH=450&amp;START_MAXIMIZED=FALS","E&amp;VAR:CALENDAR=FIVEDAY&amp;VAR:SYMBOL=1171&amp;VAR:INDEX=0"}</definedName>
    <definedName name="_435__FDSAUDITLINK__" hidden="1">{"fdsup://directions/FAT Viewer?action=UPDATE&amp;creator=factset&amp;DYN_ARGS=TRUE&amp;DOC_NAME=FAT:FQL_AUDITING_CLIENT_TEMPLATE.FAT&amp;display_string=Audit&amp;VAR:KEY=TOJMHAPCNE&amp;VAR:QUERY=RkZfUk9FKEFOTiwyMDA3KQ==&amp;WINDOW=FIRST_POPUP&amp;HEIGHT=450&amp;WIDTH=450&amp;START_MAXIMIZED=FALS","E&amp;VAR:CALENDAR=FIVEDAY&amp;VAR:SYMBOL=1171&amp;VAR:INDEX=0"}</definedName>
    <definedName name="_436__FDSAUDITLINK__" localSheetId="10" hidden="1">{"fdsup://directions/FAT Viewer?action=UPDATE&amp;creator=factset&amp;DYN_ARGS=TRUE&amp;DOC_NAME=FAT:FQL_AUDITING_CLIENT_TEMPLATE.FAT&amp;display_string=Audit&amp;VAR:KEY=XYFCHWXARI&amp;VAR:QUERY=RkZfUk9FKEFOTiwyMDA2KQ==&amp;WINDOW=FIRST_POPUP&amp;HEIGHT=450&amp;WIDTH=450&amp;START_MAXIMIZED=FALS","E&amp;VAR:CALENDAR=FIVEDAY&amp;VAR:SYMBOL=1171&amp;VAR:INDEX=0"}</definedName>
    <definedName name="_436__FDSAUDITLINK__" hidden="1">{"fdsup://directions/FAT Viewer?action=UPDATE&amp;creator=factset&amp;DYN_ARGS=TRUE&amp;DOC_NAME=FAT:FQL_AUDITING_CLIENT_TEMPLATE.FAT&amp;display_string=Audit&amp;VAR:KEY=XYFCHWXARI&amp;VAR:QUERY=RkZfUk9FKEFOTiwyMDA2KQ==&amp;WINDOW=FIRST_POPUP&amp;HEIGHT=450&amp;WIDTH=450&amp;START_MAXIMIZED=FALS","E&amp;VAR:CALENDAR=FIVEDAY&amp;VAR:SYMBOL=1171&amp;VAR:INDEX=0"}</definedName>
    <definedName name="_437__FDSAUDITLINK__" localSheetId="10" hidden="1">{"fdsup://directions/FAT Viewer?action=UPDATE&amp;creator=factset&amp;DYN_ARGS=TRUE&amp;DOC_NAME=FAT:FQL_AUDITING_CLIENT_TEMPLATE.FAT&amp;display_string=Audit&amp;VAR:KEY=DYLGNOZSPQ&amp;VAR:QUERY=KEVDQV9NRUFOX0VQUygyMDA5LDQwNzM1KS9GRl9FUFMoQU5OLDIwMDgsLCwsRUNfQ1VSUigpKSktMS4wMDAwM","DA=&amp;WINDOW=FIRST_POPUP&amp;HEIGHT=450&amp;WIDTH=450&amp;START_MAXIMIZED=FALSE&amp;VAR:CALENDAR=FIVEDAY&amp;VAR:SYMBOL=1171&amp;VAR:INDEX=0"}</definedName>
    <definedName name="_437__FDSAUDITLINK__" hidden="1">{"fdsup://directions/FAT Viewer?action=UPDATE&amp;creator=factset&amp;DYN_ARGS=TRUE&amp;DOC_NAME=FAT:FQL_AUDITING_CLIENT_TEMPLATE.FAT&amp;display_string=Audit&amp;VAR:KEY=DYLGNOZSPQ&amp;VAR:QUERY=KEVDQV9NRUFOX0VQUygyMDA5LDQwNzM1KS9GRl9FUFMoQU5OLDIwMDgsLCwsRUNfQ1VSUigpKSktMS4wMDAwM","DA=&amp;WINDOW=FIRST_POPUP&amp;HEIGHT=450&amp;WIDTH=450&amp;START_MAXIMIZED=FALSE&amp;VAR:CALENDAR=FIVEDAY&amp;VAR:SYMBOL=1171&amp;VAR:INDEX=0"}</definedName>
    <definedName name="_438__FDSAUDITLINK__" localSheetId="10" hidden="1">{"fdsup://directions/FAT Viewer?action=UPDATE&amp;creator=factset&amp;DYN_ARGS=TRUE&amp;DOC_NAME=FAT:FQL_AUDITING_CLIENT_TEMPLATE.FAT&amp;display_string=Audit&amp;VAR:KEY=ZORMPCHQRM&amp;VAR:QUERY=RkZfSU5UX0NPVkcoQU5OLDIwMDkp&amp;WINDOW=FIRST_POPUP&amp;HEIGHT=450&amp;WIDTH=450&amp;START_MAXIMIZED=","FALSE&amp;VAR:CALENDAR=FIVEDAY&amp;VAR:SYMBOL=2883&amp;VAR:INDEX=0"}</definedName>
    <definedName name="_438__FDSAUDITLINK__" hidden="1">{"fdsup://directions/FAT Viewer?action=UPDATE&amp;creator=factset&amp;DYN_ARGS=TRUE&amp;DOC_NAME=FAT:FQL_AUDITING_CLIENT_TEMPLATE.FAT&amp;display_string=Audit&amp;VAR:KEY=ZORMPCHQRM&amp;VAR:QUERY=RkZfSU5UX0NPVkcoQU5OLDIwMDkp&amp;WINDOW=FIRST_POPUP&amp;HEIGHT=450&amp;WIDTH=450&amp;START_MAXIMIZED=","FALSE&amp;VAR:CALENDAR=FIVEDAY&amp;VAR:SYMBOL=2883&amp;VAR:INDEX=0"}</definedName>
    <definedName name="_439__FDSAUDITLINK__" localSheetId="10" hidden="1">{"fdsup://directions/FAT Viewer?action=UPDATE&amp;creator=factset&amp;DYN_ARGS=TRUE&amp;DOC_NAME=FAT:FQL_AUDITING_CLIENT_TEMPLATE.FAT&amp;display_string=Audit&amp;VAR:KEY=HIDATUFYJI&amp;VAR:QUERY=RkZfUEFZX09VVF9SQVRJTyhBTk4sMjAwOSk=&amp;WINDOW=FIRST_POPUP&amp;HEIGHT=450&amp;WIDTH=450&amp;START_MA","XIMIZED=FALSE&amp;VAR:CALENDAR=FIVEDAY&amp;VAR:SYMBOL=2883&amp;VAR:INDEX=0"}</definedName>
    <definedName name="_439__FDSAUDITLINK__" hidden="1">{"fdsup://directions/FAT Viewer?action=UPDATE&amp;creator=factset&amp;DYN_ARGS=TRUE&amp;DOC_NAME=FAT:FQL_AUDITING_CLIENT_TEMPLATE.FAT&amp;display_string=Audit&amp;VAR:KEY=HIDATUFYJI&amp;VAR:QUERY=RkZfUEFZX09VVF9SQVRJTyhBTk4sMjAwOSk=&amp;WINDOW=FIRST_POPUP&amp;HEIGHT=450&amp;WIDTH=450&amp;START_MA","XIMIZED=FALSE&amp;VAR:CALENDAR=FIVEDAY&amp;VAR:SYMBOL=2883&amp;VAR:INDEX=0"}</definedName>
    <definedName name="_44__123Graph_CCHART_2" hidden="1">[2]Africa!$B$13:$V$13</definedName>
    <definedName name="_44__FDSAUDITLINK__" localSheetId="10" hidden="1">{"fdsup://directions/FAT Viewer?action=UPDATE&amp;creator=factset&amp;DYN_ARGS=TRUE&amp;DOC_NAME=FAT:FQL_AUDITING_CLIENT_TEMPLATE.FAT&amp;display_string=Audit&amp;VAR:KEY=WTMHUJSXMB&amp;VAR:QUERY=RkZfRU5UUlBSX1ZBTF9EQUlMWSg0MDM2NiwsLCxVU0QsJ0RJTCcp&amp;WINDOW=FIRST_POPUP&amp;HEIGHT=450&amp;WI","DTH=450&amp;START_MAXIMIZED=FALSE&amp;VAR:CALENDAR=FIVEDAY&amp;VAR:SYMBOL=B01JCK&amp;VAR:INDEX=0"}</definedName>
    <definedName name="_44__FDSAUDITLINK__" hidden="1">{"fdsup://directions/FAT Viewer?action=UPDATE&amp;creator=factset&amp;DYN_ARGS=TRUE&amp;DOC_NAME=FAT:FQL_AUDITING_CLIENT_TEMPLATE.FAT&amp;display_string=Audit&amp;VAR:KEY=WTMHUJSXMB&amp;VAR:QUERY=RkZfRU5UUlBSX1ZBTF9EQUlMWSg0MDM2NiwsLCxVU0QsJ0RJTCcp&amp;WINDOW=FIRST_POPUP&amp;HEIGHT=450&amp;WI","DTH=450&amp;START_MAXIMIZED=FALSE&amp;VAR:CALENDAR=FIVEDAY&amp;VAR:SYMBOL=B01JCK&amp;VAR:INDEX=0"}</definedName>
    <definedName name="_440__FDSAUDITLINK__" localSheetId="10" hidden="1">{"fdsup://directions/FAT Viewer?action=UPDATE&amp;creator=factset&amp;DYN_ARGS=TRUE&amp;DOC_NAME=FAT:FQL_AUDITING_CLIENT_TEMPLATE.FAT&amp;display_string=Audit&amp;VAR:KEY=NQBOTIFKZE&amp;VAR:QUERY=RkZfREVCVF9BU1NFVFMoQU5OLDIwMDkp&amp;WINDOW=FIRST_POPUP&amp;HEIGHT=450&amp;WIDTH=450&amp;START_MAXIMI","ZED=FALSE&amp;VAR:CALENDAR=FIVEDAY&amp;VAR:SYMBOL=2883&amp;VAR:INDEX=0"}</definedName>
    <definedName name="_440__FDSAUDITLINK__" hidden="1">{"fdsup://directions/FAT Viewer?action=UPDATE&amp;creator=factset&amp;DYN_ARGS=TRUE&amp;DOC_NAME=FAT:FQL_AUDITING_CLIENT_TEMPLATE.FAT&amp;display_string=Audit&amp;VAR:KEY=NQBOTIFKZE&amp;VAR:QUERY=RkZfREVCVF9BU1NFVFMoQU5OLDIwMDkp&amp;WINDOW=FIRST_POPUP&amp;HEIGHT=450&amp;WIDTH=450&amp;START_MAXIMI","ZED=FALSE&amp;VAR:CALENDAR=FIVEDAY&amp;VAR:SYMBOL=2883&amp;VAR:INDEX=0"}</definedName>
    <definedName name="_441__FDSAUDITLINK__" localSheetId="10" hidden="1">{"fdsup://directions/FAT Viewer?action=UPDATE&amp;creator=factset&amp;DYN_ARGS=TRUE&amp;DOC_NAME=FAT:FQL_AUDITING_CLIENT_TEMPLATE.FAT&amp;display_string=Audit&amp;VAR:KEY=JUDWPANINY&amp;VAR:QUERY=RkZfREVCVF9BU1NFVFMoQU5OLDIwMDgp&amp;WINDOW=FIRST_POPUP&amp;HEIGHT=450&amp;WIDTH=450&amp;START_MAXIMI","ZED=FALSE&amp;VAR:CALENDAR=FIVEDAY&amp;VAR:SYMBOL=2883&amp;VAR:INDEX=0"}</definedName>
    <definedName name="_441__FDSAUDITLINK__" hidden="1">{"fdsup://directions/FAT Viewer?action=UPDATE&amp;creator=factset&amp;DYN_ARGS=TRUE&amp;DOC_NAME=FAT:FQL_AUDITING_CLIENT_TEMPLATE.FAT&amp;display_string=Audit&amp;VAR:KEY=JUDWPANINY&amp;VAR:QUERY=RkZfREVCVF9BU1NFVFMoQU5OLDIwMDgp&amp;WINDOW=FIRST_POPUP&amp;HEIGHT=450&amp;WIDTH=450&amp;START_MAXIMI","ZED=FALSE&amp;VAR:CALENDAR=FIVEDAY&amp;VAR:SYMBOL=2883&amp;VAR:INDEX=0"}</definedName>
    <definedName name="_442__FDSAUDITLINK__" localSheetId="10" hidden="1">{"fdsup://directions/FAT Viewer?action=UPDATE&amp;creator=factset&amp;DYN_ARGS=TRUE&amp;DOC_NAME=FAT:FQL_AUDITING_CLIENT_TEMPLATE.FAT&amp;display_string=Audit&amp;VAR:KEY=FAPUNSFWJY&amp;VAR:QUERY=RkZfREVCVF9BU1NFVFMoQU5OLDIwMDcp&amp;WINDOW=FIRST_POPUP&amp;HEIGHT=450&amp;WIDTH=450&amp;START_MAXIMI","ZED=FALSE&amp;VAR:CALENDAR=FIVEDAY&amp;VAR:SYMBOL=2883&amp;VAR:INDEX=0"}</definedName>
    <definedName name="_442__FDSAUDITLINK__" hidden="1">{"fdsup://directions/FAT Viewer?action=UPDATE&amp;creator=factset&amp;DYN_ARGS=TRUE&amp;DOC_NAME=FAT:FQL_AUDITING_CLIENT_TEMPLATE.FAT&amp;display_string=Audit&amp;VAR:KEY=FAPUNSFWJY&amp;VAR:QUERY=RkZfREVCVF9BU1NFVFMoQU5OLDIwMDcp&amp;WINDOW=FIRST_POPUP&amp;HEIGHT=450&amp;WIDTH=450&amp;START_MAXIMI","ZED=FALSE&amp;VAR:CALENDAR=FIVEDAY&amp;VAR:SYMBOL=2883&amp;VAR:INDEX=0"}</definedName>
    <definedName name="_443__FDSAUDITLINK__" localSheetId="10" hidden="1">{"fdsup://directions/FAT Viewer?action=UPDATE&amp;creator=factset&amp;DYN_ARGS=TRUE&amp;DOC_NAME=FAT:FQL_AUDITING_CLIENT_TEMPLATE.FAT&amp;display_string=Audit&amp;VAR:KEY=DWZYHQLYPW&amp;VAR:QUERY=RkZfREVCVF9BU1NFVFMoQU5OLDIwMDYp&amp;WINDOW=FIRST_POPUP&amp;HEIGHT=450&amp;WIDTH=450&amp;START_MAXIMI","ZED=FALSE&amp;VAR:CALENDAR=FIVEDAY&amp;VAR:SYMBOL=2883&amp;VAR:INDEX=0"}</definedName>
    <definedName name="_443__FDSAUDITLINK__" hidden="1">{"fdsup://directions/FAT Viewer?action=UPDATE&amp;creator=factset&amp;DYN_ARGS=TRUE&amp;DOC_NAME=FAT:FQL_AUDITING_CLIENT_TEMPLATE.FAT&amp;display_string=Audit&amp;VAR:KEY=DWZYHQLYPW&amp;VAR:QUERY=RkZfREVCVF9BU1NFVFMoQU5OLDIwMDYp&amp;WINDOW=FIRST_POPUP&amp;HEIGHT=450&amp;WIDTH=450&amp;START_MAXIMI","ZED=FALSE&amp;VAR:CALENDAR=FIVEDAY&amp;VAR:SYMBOL=2883&amp;VAR:INDEX=0"}</definedName>
    <definedName name="_444__FDSAUDITLINK__" localSheetId="10" hidden="1">{"fdsup://directions/FAT Viewer?action=UPDATE&amp;creator=factset&amp;DYN_ARGS=TRUE&amp;DOC_NAME=FAT:FQL_AUDITING_CLIENT_TEMPLATE.FAT&amp;display_string=Audit&amp;VAR:KEY=HILQPEHSZW&amp;VAR:QUERY=RkZfREVCVF9FUShBTk4sMjAwOSk=&amp;WINDOW=FIRST_POPUP&amp;HEIGHT=450&amp;WIDTH=450&amp;START_MAXIMIZED=","FALSE&amp;VAR:CALENDAR=FIVEDAY&amp;VAR:SYMBOL=2883&amp;VAR:INDEX=0"}</definedName>
    <definedName name="_444__FDSAUDITLINK__" hidden="1">{"fdsup://directions/FAT Viewer?action=UPDATE&amp;creator=factset&amp;DYN_ARGS=TRUE&amp;DOC_NAME=FAT:FQL_AUDITING_CLIENT_TEMPLATE.FAT&amp;display_string=Audit&amp;VAR:KEY=HILQPEHSZW&amp;VAR:QUERY=RkZfREVCVF9FUShBTk4sMjAwOSk=&amp;WINDOW=FIRST_POPUP&amp;HEIGHT=450&amp;WIDTH=450&amp;START_MAXIMIZED=","FALSE&amp;VAR:CALENDAR=FIVEDAY&amp;VAR:SYMBOL=2883&amp;VAR:INDEX=0"}</definedName>
    <definedName name="_445__FDSAUDITLINK__" localSheetId="10" hidden="1">{"fdsup://directions/FAT Viewer?action=UPDATE&amp;creator=factset&amp;DYN_ARGS=TRUE&amp;DOC_NAME=FAT:FQL_AUDITING_CLIENT_TEMPLATE.FAT&amp;display_string=Audit&amp;VAR:KEY=HSXEZQRIFY&amp;VAR:QUERY=RkZfREVCVF9FUShBTk4sMjAwOCk=&amp;WINDOW=FIRST_POPUP&amp;HEIGHT=450&amp;WIDTH=450&amp;START_MAXIMIZED=","FALSE&amp;VAR:CALENDAR=FIVEDAY&amp;VAR:SYMBOL=2883&amp;VAR:INDEX=0"}</definedName>
    <definedName name="_445__FDSAUDITLINK__" hidden="1">{"fdsup://directions/FAT Viewer?action=UPDATE&amp;creator=factset&amp;DYN_ARGS=TRUE&amp;DOC_NAME=FAT:FQL_AUDITING_CLIENT_TEMPLATE.FAT&amp;display_string=Audit&amp;VAR:KEY=HSXEZQRIFY&amp;VAR:QUERY=RkZfREVCVF9FUShBTk4sMjAwOCk=&amp;WINDOW=FIRST_POPUP&amp;HEIGHT=450&amp;WIDTH=450&amp;START_MAXIMIZED=","FALSE&amp;VAR:CALENDAR=FIVEDAY&amp;VAR:SYMBOL=2883&amp;VAR:INDEX=0"}</definedName>
    <definedName name="_446__FDSAUDITLINK__" localSheetId="10" hidden="1">{"fdsup://directions/FAT Viewer?action=UPDATE&amp;creator=factset&amp;DYN_ARGS=TRUE&amp;DOC_NAME=FAT:FQL_AUDITING_CLIENT_TEMPLATE.FAT&amp;display_string=Audit&amp;VAR:KEY=ZOXGHULCXA&amp;VAR:QUERY=RkZfREVCVF9FUShBTk4sMjAwNyk=&amp;WINDOW=FIRST_POPUP&amp;HEIGHT=450&amp;WIDTH=450&amp;START_MAXIMIZED=","FALSE&amp;VAR:CALENDAR=FIVEDAY&amp;VAR:SYMBOL=2883&amp;VAR:INDEX=0"}</definedName>
    <definedName name="_446__FDSAUDITLINK__" hidden="1">{"fdsup://directions/FAT Viewer?action=UPDATE&amp;creator=factset&amp;DYN_ARGS=TRUE&amp;DOC_NAME=FAT:FQL_AUDITING_CLIENT_TEMPLATE.FAT&amp;display_string=Audit&amp;VAR:KEY=ZOXGHULCXA&amp;VAR:QUERY=RkZfREVCVF9FUShBTk4sMjAwNyk=&amp;WINDOW=FIRST_POPUP&amp;HEIGHT=450&amp;WIDTH=450&amp;START_MAXIMIZED=","FALSE&amp;VAR:CALENDAR=FIVEDAY&amp;VAR:SYMBOL=2883&amp;VAR:INDEX=0"}</definedName>
    <definedName name="_447__FDSAUDITLINK__" localSheetId="10" hidden="1">{"fdsup://directions/FAT Viewer?action=UPDATE&amp;creator=factset&amp;DYN_ARGS=TRUE&amp;DOC_NAME=FAT:FQL_AUDITING_CLIENT_TEMPLATE.FAT&amp;display_string=Audit&amp;VAR:KEY=XYJIPEVYNQ&amp;VAR:QUERY=RkZfREVCVF9FUShBTk4sMjAwNik=&amp;WINDOW=FIRST_POPUP&amp;HEIGHT=450&amp;WIDTH=450&amp;START_MAXIMIZED=","FALSE&amp;VAR:CALENDAR=FIVEDAY&amp;VAR:SYMBOL=2883&amp;VAR:INDEX=0"}</definedName>
    <definedName name="_447__FDSAUDITLINK__" hidden="1">{"fdsup://directions/FAT Viewer?action=UPDATE&amp;creator=factset&amp;DYN_ARGS=TRUE&amp;DOC_NAME=FAT:FQL_AUDITING_CLIENT_TEMPLATE.FAT&amp;display_string=Audit&amp;VAR:KEY=XYJIPEVYNQ&amp;VAR:QUERY=RkZfREVCVF9FUShBTk4sMjAwNik=&amp;WINDOW=FIRST_POPUP&amp;HEIGHT=450&amp;WIDTH=450&amp;START_MAXIMIZED=","FALSE&amp;VAR:CALENDAR=FIVEDAY&amp;VAR:SYMBOL=2883&amp;VAR:INDEX=0"}</definedName>
    <definedName name="_448__FDSAUDITLINK__" localSheetId="10" hidden="1">{"fdsup://directions/FAT Viewer?action=UPDATE&amp;creator=factset&amp;DYN_ARGS=TRUE&amp;DOC_NAME=FAT:FQL_AUDITING_CLIENT_TEMPLATE.FAT&amp;display_string=Audit&amp;VAR:KEY=BMVWPMXCPO&amp;VAR:QUERY=RkZfTkVUX0RFQlQoQU5OLDIwMDkpL0ZGX1NITERSU19FUShBTk4sMjAwOSk=&amp;WINDOW=FIRST_POPUP&amp;HEIGH","T=450&amp;WIDTH=450&amp;START_MAXIMIZED=FALSE&amp;VAR:CALENDAR=FIVEDAY&amp;VAR:SYMBOL=2883&amp;VAR:INDEX=0"}</definedName>
    <definedName name="_448__FDSAUDITLINK__" hidden="1">{"fdsup://directions/FAT Viewer?action=UPDATE&amp;creator=factset&amp;DYN_ARGS=TRUE&amp;DOC_NAME=FAT:FQL_AUDITING_CLIENT_TEMPLATE.FAT&amp;display_string=Audit&amp;VAR:KEY=BMVWPMXCPO&amp;VAR:QUERY=RkZfTkVUX0RFQlQoQU5OLDIwMDkpL0ZGX1NITERSU19FUShBTk4sMjAwOSk=&amp;WINDOW=FIRST_POPUP&amp;HEIGH","T=450&amp;WIDTH=450&amp;START_MAXIMIZED=FALSE&amp;VAR:CALENDAR=FIVEDAY&amp;VAR:SYMBOL=2883&amp;VAR:INDEX=0"}</definedName>
    <definedName name="_449__FDSAUDITLINK__" localSheetId="10" hidden="1">{"fdsup://directions/FAT Viewer?action=UPDATE&amp;creator=factset&amp;DYN_ARGS=TRUE&amp;DOC_NAME=FAT:FQL_AUDITING_CLIENT_TEMPLATE.FAT&amp;display_string=Audit&amp;VAR:KEY=RCNQPWVGJE&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2883&amp;VAR:INDEX=0"}</definedName>
    <definedName name="_449__FDSAUDITLINK__" hidden="1">{"fdsup://directions/FAT Viewer?action=UPDATE&amp;creator=factset&amp;DYN_ARGS=TRUE&amp;DOC_NAME=FAT:FQL_AUDITING_CLIENT_TEMPLATE.FAT&amp;display_string=Audit&amp;VAR:KEY=RCNQPWVGJE&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2883&amp;VAR:INDEX=0"}</definedName>
    <definedName name="_45__123Graph_CCHART_20" hidden="1">'[2]S Amer'!$B$13:$V$13</definedName>
    <definedName name="_45__FDSAUDITLINK__" localSheetId="10" hidden="1">{"fdsup://directions/FAT Viewer?action=UPDATE&amp;creator=factset&amp;DYN_ARGS=TRUE&amp;DOC_NAME=FAT:FQL_AUDITING_CLIENT_TEMPLATE.FAT&amp;display_string=Audit&amp;VAR:KEY=KBSJAVQNCR&amp;VAR:QUERY=RkZfRU5UUlBSX1ZBTF9EQUlMWSg0MDM2NiwsLCxVU0QsJ0RJTCcp&amp;WINDOW=FIRST_POPUP&amp;HEIGHT=450&amp;WI","DTH=450&amp;START_MAXIMIZED=FALSE&amp;VAR:CALENDAR=FIVEDAY&amp;VAR:SYMBOL=B1YVKN&amp;VAR:INDEX=0"}</definedName>
    <definedName name="_45__FDSAUDITLINK__" hidden="1">{"fdsup://directions/FAT Viewer?action=UPDATE&amp;creator=factset&amp;DYN_ARGS=TRUE&amp;DOC_NAME=FAT:FQL_AUDITING_CLIENT_TEMPLATE.FAT&amp;display_string=Audit&amp;VAR:KEY=KBSJAVQNCR&amp;VAR:QUERY=RkZfRU5UUlBSX1ZBTF9EQUlMWSg0MDM2NiwsLCxVU0QsJ0RJTCcp&amp;WINDOW=FIRST_POPUP&amp;HEIGHT=450&amp;WI","DTH=450&amp;START_MAXIMIZED=FALSE&amp;VAR:CALENDAR=FIVEDAY&amp;VAR:SYMBOL=B1YVKN&amp;VAR:INDEX=0"}</definedName>
    <definedName name="_450__FDSAUDITLINK__" localSheetId="10" hidden="1">{"fdsup://directions/FAT Viewer?action=UPDATE&amp;creator=factset&amp;DYN_ARGS=TRUE&amp;DOC_NAME=FAT:FQL_AUDITING_CLIENT_TEMPLATE.FAT&amp;display_string=Audit&amp;VAR:KEY=PODUVUTYJI&amp;VAR:QUERY=KEZGX05FVF9JTkMoQU5OLDIwMDkpL0ZGX05FVF9JTkMoQU5OLDIwMDgpKS0x&amp;WINDOW=FIRST_POPUP&amp;HEIGH","T=450&amp;WIDTH=450&amp;START_MAXIMIZED=FALSE&amp;VAR:CALENDAR=FIVEDAY&amp;VAR:SYMBOL=2883&amp;VAR:INDEX=0"}</definedName>
    <definedName name="_450__FDSAUDITLINK__" hidden="1">{"fdsup://directions/FAT Viewer?action=UPDATE&amp;creator=factset&amp;DYN_ARGS=TRUE&amp;DOC_NAME=FAT:FQL_AUDITING_CLIENT_TEMPLATE.FAT&amp;display_string=Audit&amp;VAR:KEY=PODUVUTYJI&amp;VAR:QUERY=KEZGX05FVF9JTkMoQU5OLDIwMDkpL0ZGX05FVF9JTkMoQU5OLDIwMDgpKS0x&amp;WINDOW=FIRST_POPUP&amp;HEIGH","T=450&amp;WIDTH=450&amp;START_MAXIMIZED=FALSE&amp;VAR:CALENDAR=FIVEDAY&amp;VAR:SYMBOL=2883&amp;VAR:INDEX=0"}</definedName>
    <definedName name="_451__FDSAUDITLINK__" localSheetId="10" hidden="1">{"fdsup://directions/FAT Viewer?action=UPDATE&amp;creator=factset&amp;DYN_ARGS=TRUE&amp;DOC_NAME=FAT:FQL_AUDITING_CLIENT_TEMPLATE.FAT&amp;display_string=Audit&amp;VAR:KEY=VODUVABYBG&amp;VAR:QUERY=RkZfTkVUX01HTihBTk4sMjAwOSk=&amp;WINDOW=FIRST_POPUP&amp;HEIGHT=450&amp;WIDTH=450&amp;START_MAXIMIZED=","FALSE&amp;VAR:CALENDAR=FIVEDAY&amp;VAR:SYMBOL=2883&amp;VAR:INDEX=0"}</definedName>
    <definedName name="_451__FDSAUDITLINK__" hidden="1">{"fdsup://directions/FAT Viewer?action=UPDATE&amp;creator=factset&amp;DYN_ARGS=TRUE&amp;DOC_NAME=FAT:FQL_AUDITING_CLIENT_TEMPLATE.FAT&amp;display_string=Audit&amp;VAR:KEY=VODUVABYBG&amp;VAR:QUERY=RkZfTkVUX01HTihBTk4sMjAwOSk=&amp;WINDOW=FIRST_POPUP&amp;HEIGHT=450&amp;WIDTH=450&amp;START_MAXIMIZED=","FALSE&amp;VAR:CALENDAR=FIVEDAY&amp;VAR:SYMBOL=2883&amp;VAR:INDEX=0"}</definedName>
    <definedName name="_452__FDSAUDITLINK__" localSheetId="10" hidden="1">{"fdsup://directions/FAT Viewer?action=UPDATE&amp;creator=factset&amp;DYN_ARGS=TRUE&amp;DOC_NAME=FAT:FQL_AUDITING_CLIENT_TEMPLATE.FAT&amp;display_string=Audit&amp;VAR:KEY=ROXQDYDAXO&amp;VAR:QUERY=RkZfTkVUX01HTihBTk4sMjAwOCk=&amp;WINDOW=FIRST_POPUP&amp;HEIGHT=450&amp;WIDTH=450&amp;START_MAXIMIZED=","FALSE&amp;VAR:CALENDAR=FIVEDAY&amp;VAR:SYMBOL=2883&amp;VAR:INDEX=0"}</definedName>
    <definedName name="_452__FDSAUDITLINK__" hidden="1">{"fdsup://directions/FAT Viewer?action=UPDATE&amp;creator=factset&amp;DYN_ARGS=TRUE&amp;DOC_NAME=FAT:FQL_AUDITING_CLIENT_TEMPLATE.FAT&amp;display_string=Audit&amp;VAR:KEY=ROXQDYDAXO&amp;VAR:QUERY=RkZfTkVUX01HTihBTk4sMjAwOCk=&amp;WINDOW=FIRST_POPUP&amp;HEIGHT=450&amp;WIDTH=450&amp;START_MAXIMIZED=","FALSE&amp;VAR:CALENDAR=FIVEDAY&amp;VAR:SYMBOL=2883&amp;VAR:INDEX=0"}</definedName>
    <definedName name="_453__FDSAUDITLINK__" localSheetId="10" hidden="1">{"fdsup://directions/FAT Viewer?action=UPDATE&amp;creator=factset&amp;DYN_ARGS=TRUE&amp;DOC_NAME=FAT:FQL_AUDITING_CLIENT_TEMPLATE.FAT&amp;display_string=Audit&amp;VAR:KEY=LCLGJUJUXG&amp;VAR:QUERY=RkZfTkVUX01HTihBTk4sMjAwNyk=&amp;WINDOW=FIRST_POPUP&amp;HEIGHT=450&amp;WIDTH=450&amp;START_MAXIMIZED=","FALSE&amp;VAR:CALENDAR=FIVEDAY&amp;VAR:SYMBOL=2883&amp;VAR:INDEX=0"}</definedName>
    <definedName name="_453__FDSAUDITLINK__" hidden="1">{"fdsup://directions/FAT Viewer?action=UPDATE&amp;creator=factset&amp;DYN_ARGS=TRUE&amp;DOC_NAME=FAT:FQL_AUDITING_CLIENT_TEMPLATE.FAT&amp;display_string=Audit&amp;VAR:KEY=LCLGJUJUXG&amp;VAR:QUERY=RkZfTkVUX01HTihBTk4sMjAwNyk=&amp;WINDOW=FIRST_POPUP&amp;HEIGHT=450&amp;WIDTH=450&amp;START_MAXIMIZED=","FALSE&amp;VAR:CALENDAR=FIVEDAY&amp;VAR:SYMBOL=2883&amp;VAR:INDEX=0"}</definedName>
    <definedName name="_454__FDSAUDITLINK__" localSheetId="10" hidden="1">{"fdsup://directions/FAT Viewer?action=UPDATE&amp;creator=factset&amp;DYN_ARGS=TRUE&amp;DOC_NAME=FAT:FQL_AUDITING_CLIENT_TEMPLATE.FAT&amp;display_string=Audit&amp;VAR:KEY=LSBADEBMNW&amp;VAR:QUERY=RkZfTkVUX01HTihBTk4sMjAwNik=&amp;WINDOW=FIRST_POPUP&amp;HEIGHT=450&amp;WIDTH=450&amp;START_MAXIMIZED=","FALSE&amp;VAR:CALENDAR=FIVEDAY&amp;VAR:SYMBOL=2883&amp;VAR:INDEX=0"}</definedName>
    <definedName name="_454__FDSAUDITLINK__" hidden="1">{"fdsup://directions/FAT Viewer?action=UPDATE&amp;creator=factset&amp;DYN_ARGS=TRUE&amp;DOC_NAME=FAT:FQL_AUDITING_CLIENT_TEMPLATE.FAT&amp;display_string=Audit&amp;VAR:KEY=LSBADEBMNW&amp;VAR:QUERY=RkZfTkVUX01HTihBTk4sMjAwNik=&amp;WINDOW=FIRST_POPUP&amp;HEIGHT=450&amp;WIDTH=450&amp;START_MAXIMIZED=","FALSE&amp;VAR:CALENDAR=FIVEDAY&amp;VAR:SYMBOL=2883&amp;VAR:INDEX=0"}</definedName>
    <definedName name="_455__FDSAUDITLINK__" localSheetId="10" hidden="1">{"fdsup://directions/FAT Viewer?action=UPDATE&amp;creator=factset&amp;DYN_ARGS=TRUE&amp;DOC_NAME=FAT:FQL_AUDITING_CLIENT_TEMPLATE.FAT&amp;display_string=Audit&amp;VAR:KEY=VWVCXSPGXK&amp;VAR:QUERY=RkZfUk9BKEFOTiwyMDA5KQ==&amp;WINDOW=FIRST_POPUP&amp;HEIGHT=450&amp;WIDTH=450&amp;START_MAXIMIZED=FALS","E&amp;VAR:CALENDAR=FIVEDAY&amp;VAR:SYMBOL=2883&amp;VAR:INDEX=0"}</definedName>
    <definedName name="_455__FDSAUDITLINK__" hidden="1">{"fdsup://directions/FAT Viewer?action=UPDATE&amp;creator=factset&amp;DYN_ARGS=TRUE&amp;DOC_NAME=FAT:FQL_AUDITING_CLIENT_TEMPLATE.FAT&amp;display_string=Audit&amp;VAR:KEY=VWVCXSPGXK&amp;VAR:QUERY=RkZfUk9BKEFOTiwyMDA5KQ==&amp;WINDOW=FIRST_POPUP&amp;HEIGHT=450&amp;WIDTH=450&amp;START_MAXIMIZED=FALS","E&amp;VAR:CALENDAR=FIVEDAY&amp;VAR:SYMBOL=2883&amp;VAR:INDEX=0"}</definedName>
    <definedName name="_456__FDSAUDITLINK__" localSheetId="10" hidden="1">{"fdsup://directions/FAT Viewer?action=UPDATE&amp;creator=factset&amp;DYN_ARGS=TRUE&amp;DOC_NAME=FAT:FQL_AUDITING_CLIENT_TEMPLATE.FAT&amp;display_string=Audit&amp;VAR:KEY=RWBWPYJQJM&amp;VAR:QUERY=RkZfUk9BKEFOTiwyMDA4KQ==&amp;WINDOW=FIRST_POPUP&amp;HEIGHT=450&amp;WIDTH=450&amp;START_MAXIMIZED=FALS","E&amp;VAR:CALENDAR=FIVEDAY&amp;VAR:SYMBOL=2883&amp;VAR:INDEX=0"}</definedName>
    <definedName name="_456__FDSAUDITLINK__" hidden="1">{"fdsup://directions/FAT Viewer?action=UPDATE&amp;creator=factset&amp;DYN_ARGS=TRUE&amp;DOC_NAME=FAT:FQL_AUDITING_CLIENT_TEMPLATE.FAT&amp;display_string=Audit&amp;VAR:KEY=RWBWPYJQJM&amp;VAR:QUERY=RkZfUk9BKEFOTiwyMDA4KQ==&amp;WINDOW=FIRST_POPUP&amp;HEIGHT=450&amp;WIDTH=450&amp;START_MAXIMIZED=FALS","E&amp;VAR:CALENDAR=FIVEDAY&amp;VAR:SYMBOL=2883&amp;VAR:INDEX=0"}</definedName>
    <definedName name="_457__FDSAUDITLINK__" localSheetId="10" hidden="1">{"fdsup://directions/FAT Viewer?action=UPDATE&amp;creator=factset&amp;DYN_ARGS=TRUE&amp;DOC_NAME=FAT:FQL_AUDITING_CLIENT_TEMPLATE.FAT&amp;display_string=Audit&amp;VAR:KEY=BYDQBYRGNY&amp;VAR:QUERY=RkZfUk9BKEFOTiwyMDA3KQ==&amp;WINDOW=FIRST_POPUP&amp;HEIGHT=450&amp;WIDTH=450&amp;START_MAXIMIZED=FALS","E&amp;VAR:CALENDAR=FIVEDAY&amp;VAR:SYMBOL=2883&amp;VAR:INDEX=0"}</definedName>
    <definedName name="_457__FDSAUDITLINK__" hidden="1">{"fdsup://directions/FAT Viewer?action=UPDATE&amp;creator=factset&amp;DYN_ARGS=TRUE&amp;DOC_NAME=FAT:FQL_AUDITING_CLIENT_TEMPLATE.FAT&amp;display_string=Audit&amp;VAR:KEY=BYDQBYRGNY&amp;VAR:QUERY=RkZfUk9BKEFOTiwyMDA3KQ==&amp;WINDOW=FIRST_POPUP&amp;HEIGHT=450&amp;WIDTH=450&amp;START_MAXIMIZED=FALS","E&amp;VAR:CALENDAR=FIVEDAY&amp;VAR:SYMBOL=2883&amp;VAR:INDEX=0"}</definedName>
    <definedName name="_458__FDSAUDITLINK__" localSheetId="10" hidden="1">{"fdsup://directions/FAT Viewer?action=UPDATE&amp;creator=factset&amp;DYN_ARGS=TRUE&amp;DOC_NAME=FAT:FQL_AUDITING_CLIENT_TEMPLATE.FAT&amp;display_string=Audit&amp;VAR:KEY=NIDUNITCHM&amp;VAR:QUERY=RkZfUk9BKEFOTiwyMDA2KQ==&amp;WINDOW=FIRST_POPUP&amp;HEIGHT=450&amp;WIDTH=450&amp;START_MAXIMIZED=FALS","E&amp;VAR:CALENDAR=FIVEDAY&amp;VAR:SYMBOL=2883&amp;VAR:INDEX=0"}</definedName>
    <definedName name="_458__FDSAUDITLINK__" hidden="1">{"fdsup://directions/FAT Viewer?action=UPDATE&amp;creator=factset&amp;DYN_ARGS=TRUE&amp;DOC_NAME=FAT:FQL_AUDITING_CLIENT_TEMPLATE.FAT&amp;display_string=Audit&amp;VAR:KEY=NIDUNITCHM&amp;VAR:QUERY=RkZfUk9BKEFOTiwyMDA2KQ==&amp;WINDOW=FIRST_POPUP&amp;HEIGHT=450&amp;WIDTH=450&amp;START_MAXIMIZED=FALS","E&amp;VAR:CALENDAR=FIVEDAY&amp;VAR:SYMBOL=2883&amp;VAR:INDEX=0"}</definedName>
    <definedName name="_459__FDSAUDITLINK__" localSheetId="10" hidden="1">{"fdsup://directions/FAT Viewer?action=UPDATE&amp;creator=factset&amp;DYN_ARGS=TRUE&amp;DOC_NAME=FAT:FQL_AUDITING_CLIENT_TEMPLATE.FAT&amp;display_string=Audit&amp;VAR:KEY=DADIPCVATU&amp;VAR:QUERY=RkZfUk9FKEFOTiwyMDA5KQ==&amp;WINDOW=FIRST_POPUP&amp;HEIGHT=450&amp;WIDTH=450&amp;START_MAXIMIZED=FALS","E&amp;VAR:CALENDAR=FIVEDAY&amp;VAR:SYMBOL=2883&amp;VAR:INDEX=0"}</definedName>
    <definedName name="_459__FDSAUDITLINK__" hidden="1">{"fdsup://directions/FAT Viewer?action=UPDATE&amp;creator=factset&amp;DYN_ARGS=TRUE&amp;DOC_NAME=FAT:FQL_AUDITING_CLIENT_TEMPLATE.FAT&amp;display_string=Audit&amp;VAR:KEY=DADIPCVATU&amp;VAR:QUERY=RkZfUk9FKEFOTiwyMDA5KQ==&amp;WINDOW=FIRST_POPUP&amp;HEIGHT=450&amp;WIDTH=450&amp;START_MAXIMIZED=FALS","E&amp;VAR:CALENDAR=FIVEDAY&amp;VAR:SYMBOL=2883&amp;VAR:INDEX=0"}</definedName>
    <definedName name="_46__123Graph_CCHART_23" hidden="1">'[2]W Eur'!$B$13:$V$13</definedName>
    <definedName name="_46__FDSAUDITLINK__" localSheetId="10" hidden="1">{"fdsup://directions/FAT Viewer?action=UPDATE&amp;creator=factset&amp;DYN_ARGS=TRUE&amp;DOC_NAME=FAT:FQL_AUDITING_CLIENT_TEMPLATE.FAT&amp;display_string=Audit&amp;VAR:KEY=MTQDUPKZGV&amp;VAR:QUERY=RkZfRU5UUlBSX1ZBTF9EQUlMWSg0MDM2NiwsLCxVU0QsJ0RJTCcp&amp;WINDOW=FIRST_POPUP&amp;HEIGHT=450&amp;WI","DTH=450&amp;START_MAXIMIZED=FALSE&amp;VAR:CALENDAR=FIVEDAY&amp;VAR:SYMBOL=B4L24Y&amp;VAR:INDEX=0"}</definedName>
    <definedName name="_46__FDSAUDITLINK__" hidden="1">{"fdsup://directions/FAT Viewer?action=UPDATE&amp;creator=factset&amp;DYN_ARGS=TRUE&amp;DOC_NAME=FAT:FQL_AUDITING_CLIENT_TEMPLATE.FAT&amp;display_string=Audit&amp;VAR:KEY=MTQDUPKZGV&amp;VAR:QUERY=RkZfRU5UUlBSX1ZBTF9EQUlMWSg0MDM2NiwsLCxVU0QsJ0RJTCcp&amp;WINDOW=FIRST_POPUP&amp;HEIGHT=450&amp;WI","DTH=450&amp;START_MAXIMIZED=FALSE&amp;VAR:CALENDAR=FIVEDAY&amp;VAR:SYMBOL=B4L24Y&amp;VAR:INDEX=0"}</definedName>
    <definedName name="_460__FDSAUDITLINK__" localSheetId="10" hidden="1">{"fdsup://directions/FAT Viewer?action=UPDATE&amp;creator=factset&amp;DYN_ARGS=TRUE&amp;DOC_NAME=FAT:FQL_AUDITING_CLIENT_TEMPLATE.FAT&amp;display_string=Audit&amp;VAR:KEY=ZMZUDYTGDQ&amp;VAR:QUERY=RkZfUk9FKEFOTiwyMDA4KQ==&amp;WINDOW=FIRST_POPUP&amp;HEIGHT=450&amp;WIDTH=450&amp;START_MAXIMIZED=FALS","E&amp;VAR:CALENDAR=FIVEDAY&amp;VAR:SYMBOL=2883&amp;VAR:INDEX=0"}</definedName>
    <definedName name="_460__FDSAUDITLINK__" hidden="1">{"fdsup://directions/FAT Viewer?action=UPDATE&amp;creator=factset&amp;DYN_ARGS=TRUE&amp;DOC_NAME=FAT:FQL_AUDITING_CLIENT_TEMPLATE.FAT&amp;display_string=Audit&amp;VAR:KEY=ZMZUDYTGDQ&amp;VAR:QUERY=RkZfUk9FKEFOTiwyMDA4KQ==&amp;WINDOW=FIRST_POPUP&amp;HEIGHT=450&amp;WIDTH=450&amp;START_MAXIMIZED=FALS","E&amp;VAR:CALENDAR=FIVEDAY&amp;VAR:SYMBOL=2883&amp;VAR:INDEX=0"}</definedName>
    <definedName name="_461__FDSAUDITLINK__" localSheetId="10" hidden="1">{"fdsup://directions/FAT Viewer?action=UPDATE&amp;creator=factset&amp;DYN_ARGS=TRUE&amp;DOC_NAME=FAT:FQL_AUDITING_CLIENT_TEMPLATE.FAT&amp;display_string=Audit&amp;VAR:KEY=ZGRKXKLQBG&amp;VAR:QUERY=RkZfUk9FKEFOTiwyMDA3KQ==&amp;WINDOW=FIRST_POPUP&amp;HEIGHT=450&amp;WIDTH=450&amp;START_MAXIMIZED=FALS","E&amp;VAR:CALENDAR=FIVEDAY&amp;VAR:SYMBOL=2883&amp;VAR:INDEX=0"}</definedName>
    <definedName name="_461__FDSAUDITLINK__" hidden="1">{"fdsup://directions/FAT Viewer?action=UPDATE&amp;creator=factset&amp;DYN_ARGS=TRUE&amp;DOC_NAME=FAT:FQL_AUDITING_CLIENT_TEMPLATE.FAT&amp;display_string=Audit&amp;VAR:KEY=ZGRKXKLQBG&amp;VAR:QUERY=RkZfUk9FKEFOTiwyMDA3KQ==&amp;WINDOW=FIRST_POPUP&amp;HEIGHT=450&amp;WIDTH=450&amp;START_MAXIMIZED=FALS","E&amp;VAR:CALENDAR=FIVEDAY&amp;VAR:SYMBOL=2883&amp;VAR:INDEX=0"}</definedName>
    <definedName name="_462__FDSAUDITLINK__" localSheetId="10" hidden="1">{"fdsup://directions/FAT Viewer?action=UPDATE&amp;creator=factset&amp;DYN_ARGS=TRUE&amp;DOC_NAME=FAT:FQL_AUDITING_CLIENT_TEMPLATE.FAT&amp;display_string=Audit&amp;VAR:KEY=VONSRIPQBO&amp;VAR:QUERY=RkZfUk9FKEFOTiwyMDA2KQ==&amp;WINDOW=FIRST_POPUP&amp;HEIGHT=450&amp;WIDTH=450&amp;START_MAXIMIZED=FALS","E&amp;VAR:CALENDAR=FIVEDAY&amp;VAR:SYMBOL=2883&amp;VAR:INDEX=0"}</definedName>
    <definedName name="_462__FDSAUDITLINK__" hidden="1">{"fdsup://directions/FAT Viewer?action=UPDATE&amp;creator=factset&amp;DYN_ARGS=TRUE&amp;DOC_NAME=FAT:FQL_AUDITING_CLIENT_TEMPLATE.FAT&amp;display_string=Audit&amp;VAR:KEY=VONSRIPQBO&amp;VAR:QUERY=RkZfUk9FKEFOTiwyMDA2KQ==&amp;WINDOW=FIRST_POPUP&amp;HEIGHT=450&amp;WIDTH=450&amp;START_MAXIMIZED=FALS","E&amp;VAR:CALENDAR=FIVEDAY&amp;VAR:SYMBOL=2883&amp;VAR:INDEX=0"}</definedName>
    <definedName name="_463__FDSAUDITLINK__" localSheetId="10" hidden="1">{"fdsup://directions/FAT Viewer?action=UPDATE&amp;creator=factset&amp;DYN_ARGS=TRUE&amp;DOC_NAME=FAT:FQL_AUDITING_CLIENT_TEMPLATE.FAT&amp;display_string=Audit&amp;VAR:KEY=FETWBYZUPA&amp;VAR:QUERY=KEVDQV9NRUFOX0VQUygyMDA5LDQwNzM1KS9GRl9FUFMoQU5OLDIwMDgsLCwsRUNfQ1VSUigpKSktMS4wMDAwM","DA=&amp;WINDOW=FIRST_POPUP&amp;HEIGHT=450&amp;WIDTH=450&amp;START_MAXIMIZED=FALSE&amp;VAR:CALENDAR=FIVEDAY&amp;VAR:SYMBOL=2883&amp;VAR:INDEX=0"}</definedName>
    <definedName name="_463__FDSAUDITLINK__" hidden="1">{"fdsup://directions/FAT Viewer?action=UPDATE&amp;creator=factset&amp;DYN_ARGS=TRUE&amp;DOC_NAME=FAT:FQL_AUDITING_CLIENT_TEMPLATE.FAT&amp;display_string=Audit&amp;VAR:KEY=FETWBYZUPA&amp;VAR:QUERY=KEVDQV9NRUFOX0VQUygyMDA5LDQwNzM1KS9GRl9FUFMoQU5OLDIwMDgsLCwsRUNfQ1VSUigpKSktMS4wMDAwM","DA=&amp;WINDOW=FIRST_POPUP&amp;HEIGHT=450&amp;WIDTH=450&amp;START_MAXIMIZED=FALSE&amp;VAR:CALENDAR=FIVEDAY&amp;VAR:SYMBOL=2883&amp;VAR:INDEX=0"}</definedName>
    <definedName name="_464__FDSAUDITLINK__" localSheetId="10" hidden="1">{"fdsup://directions/FAT Viewer?action=UPDATE&amp;creator=factset&amp;DYN_ARGS=TRUE&amp;DOC_NAME=FAT:FQL_AUDITING_CLIENT_TEMPLATE.FAT&amp;display_string=Audit&amp;VAR:KEY=TYBGPKXAVQ&amp;VAR:QUERY=RkZfSU5UX0NPVkcoQU5OLDIwMDkp&amp;WINDOW=FIRST_POPUP&amp;HEIGHT=450&amp;WIDTH=450&amp;START_MAXIMIZED=","FALSE&amp;VAR:CALENDAR=FIVEDAY&amp;VAR:SYMBOL=2600.HK&amp;VAR:INDEX=0"}</definedName>
    <definedName name="_464__FDSAUDITLINK__" hidden="1">{"fdsup://directions/FAT Viewer?action=UPDATE&amp;creator=factset&amp;DYN_ARGS=TRUE&amp;DOC_NAME=FAT:FQL_AUDITING_CLIENT_TEMPLATE.FAT&amp;display_string=Audit&amp;VAR:KEY=TYBGPKXAVQ&amp;VAR:QUERY=RkZfSU5UX0NPVkcoQU5OLDIwMDkp&amp;WINDOW=FIRST_POPUP&amp;HEIGHT=450&amp;WIDTH=450&amp;START_MAXIMIZED=","FALSE&amp;VAR:CALENDAR=FIVEDAY&amp;VAR:SYMBOL=2600.HK&amp;VAR:INDEX=0"}</definedName>
    <definedName name="_465__FDSAUDITLINK__" localSheetId="10" hidden="1">{"fdsup://directions/FAT Viewer?action=UPDATE&amp;creator=factset&amp;DYN_ARGS=TRUE&amp;DOC_NAME=FAT:FQL_AUDITING_CLIENT_TEMPLATE.FAT&amp;display_string=Audit&amp;VAR:KEY=NQXAZSRMTC&amp;VAR:QUERY=RkZfUEFZX09VVF9SQVRJTyhBTk4sMjAwOSk=&amp;WINDOW=FIRST_POPUP&amp;HEIGHT=450&amp;WIDTH=450&amp;START_MA","XIMIZED=FALSE&amp;VAR:CALENDAR=FIVEDAY&amp;VAR:SYMBOL=2600.HK&amp;VAR:INDEX=0"}</definedName>
    <definedName name="_465__FDSAUDITLINK__" hidden="1">{"fdsup://directions/FAT Viewer?action=UPDATE&amp;creator=factset&amp;DYN_ARGS=TRUE&amp;DOC_NAME=FAT:FQL_AUDITING_CLIENT_TEMPLATE.FAT&amp;display_string=Audit&amp;VAR:KEY=NQXAZSRMTC&amp;VAR:QUERY=RkZfUEFZX09VVF9SQVRJTyhBTk4sMjAwOSk=&amp;WINDOW=FIRST_POPUP&amp;HEIGHT=450&amp;WIDTH=450&amp;START_MA","XIMIZED=FALSE&amp;VAR:CALENDAR=FIVEDAY&amp;VAR:SYMBOL=2600.HK&amp;VAR:INDEX=0"}</definedName>
    <definedName name="_466__FDSAUDITLINK__" localSheetId="10" hidden="1">{"fdsup://directions/FAT Viewer?action=UPDATE&amp;creator=factset&amp;DYN_ARGS=TRUE&amp;DOC_NAME=FAT:FQL_AUDITING_CLIENT_TEMPLATE.FAT&amp;display_string=Audit&amp;VAR:KEY=NGJUZGBGBU&amp;VAR:QUERY=RkZfREVCVF9BU1NFVFMoQU5OLDIwMDkp&amp;WINDOW=FIRST_POPUP&amp;HEIGHT=450&amp;WIDTH=450&amp;START_MAXIMI","ZED=FALSE&amp;VAR:CALENDAR=FIVEDAY&amp;VAR:SYMBOL=2600.HK&amp;VAR:INDEX=0"}</definedName>
    <definedName name="_466__FDSAUDITLINK__" hidden="1">{"fdsup://directions/FAT Viewer?action=UPDATE&amp;creator=factset&amp;DYN_ARGS=TRUE&amp;DOC_NAME=FAT:FQL_AUDITING_CLIENT_TEMPLATE.FAT&amp;display_string=Audit&amp;VAR:KEY=NGJUZGBGBU&amp;VAR:QUERY=RkZfREVCVF9BU1NFVFMoQU5OLDIwMDkp&amp;WINDOW=FIRST_POPUP&amp;HEIGHT=450&amp;WIDTH=450&amp;START_MAXIMI","ZED=FALSE&amp;VAR:CALENDAR=FIVEDAY&amp;VAR:SYMBOL=2600.HK&amp;VAR:INDEX=0"}</definedName>
    <definedName name="_467__FDSAUDITLINK__" localSheetId="10" hidden="1">{"fdsup://directions/FAT Viewer?action=UPDATE&amp;creator=factset&amp;DYN_ARGS=TRUE&amp;DOC_NAME=FAT:FQL_AUDITING_CLIENT_TEMPLATE.FAT&amp;display_string=Audit&amp;VAR:KEY=FQRWTMNEHU&amp;VAR:QUERY=RkZfREVCVF9BU1NFVFMoQU5OLDIwMDgp&amp;WINDOW=FIRST_POPUP&amp;HEIGHT=450&amp;WIDTH=450&amp;START_MAXIMI","ZED=FALSE&amp;VAR:CALENDAR=FIVEDAY&amp;VAR:SYMBOL=2600.HK&amp;VAR:INDEX=0"}</definedName>
    <definedName name="_467__FDSAUDITLINK__" hidden="1">{"fdsup://directions/FAT Viewer?action=UPDATE&amp;creator=factset&amp;DYN_ARGS=TRUE&amp;DOC_NAME=FAT:FQL_AUDITING_CLIENT_TEMPLATE.FAT&amp;display_string=Audit&amp;VAR:KEY=FQRWTMNEHU&amp;VAR:QUERY=RkZfREVCVF9BU1NFVFMoQU5OLDIwMDgp&amp;WINDOW=FIRST_POPUP&amp;HEIGHT=450&amp;WIDTH=450&amp;START_MAXIMI","ZED=FALSE&amp;VAR:CALENDAR=FIVEDAY&amp;VAR:SYMBOL=2600.HK&amp;VAR:INDEX=0"}</definedName>
    <definedName name="_468__FDSAUDITLINK__" localSheetId="10" hidden="1">{"fdsup://directions/FAT Viewer?action=UPDATE&amp;creator=factset&amp;DYN_ARGS=TRUE&amp;DOC_NAME=FAT:FQL_AUDITING_CLIENT_TEMPLATE.FAT&amp;display_string=Audit&amp;VAR:KEY=TMNEHCFILA&amp;VAR:QUERY=RkZfREVCVF9BU1NFVFMoQU5OLDIwMDcp&amp;WINDOW=FIRST_POPUP&amp;HEIGHT=450&amp;WIDTH=450&amp;START_MAXIMI","ZED=FALSE&amp;VAR:CALENDAR=FIVEDAY&amp;VAR:SYMBOL=2600.HK&amp;VAR:INDEX=0"}</definedName>
    <definedName name="_468__FDSAUDITLINK__" hidden="1">{"fdsup://directions/FAT Viewer?action=UPDATE&amp;creator=factset&amp;DYN_ARGS=TRUE&amp;DOC_NAME=FAT:FQL_AUDITING_CLIENT_TEMPLATE.FAT&amp;display_string=Audit&amp;VAR:KEY=TMNEHCFILA&amp;VAR:QUERY=RkZfREVCVF9BU1NFVFMoQU5OLDIwMDcp&amp;WINDOW=FIRST_POPUP&amp;HEIGHT=450&amp;WIDTH=450&amp;START_MAXIMI","ZED=FALSE&amp;VAR:CALENDAR=FIVEDAY&amp;VAR:SYMBOL=2600.HK&amp;VAR:INDEX=0"}</definedName>
    <definedName name="_469__FDSAUDITLINK__" localSheetId="10" hidden="1">{"fdsup://directions/FAT Viewer?action=UPDATE&amp;creator=factset&amp;DYN_ARGS=TRUE&amp;DOC_NAME=FAT:FQL_AUDITING_CLIENT_TEMPLATE.FAT&amp;display_string=Audit&amp;VAR:KEY=DAVAVWLCLE&amp;VAR:QUERY=RkZfREVCVF9BU1NFVFMoQU5OLDIwMDYp&amp;WINDOW=FIRST_POPUP&amp;HEIGHT=450&amp;WIDTH=450&amp;START_MAXIMI","ZED=FALSE&amp;VAR:CALENDAR=FIVEDAY&amp;VAR:SYMBOL=2600.HK&amp;VAR:INDEX=0"}</definedName>
    <definedName name="_469__FDSAUDITLINK__" hidden="1">{"fdsup://directions/FAT Viewer?action=UPDATE&amp;creator=factset&amp;DYN_ARGS=TRUE&amp;DOC_NAME=FAT:FQL_AUDITING_CLIENT_TEMPLATE.FAT&amp;display_string=Audit&amp;VAR:KEY=DAVAVWLCLE&amp;VAR:QUERY=RkZfREVCVF9BU1NFVFMoQU5OLDIwMDYp&amp;WINDOW=FIRST_POPUP&amp;HEIGHT=450&amp;WIDTH=450&amp;START_MAXIMI","ZED=FALSE&amp;VAR:CALENDAR=FIVEDAY&amp;VAR:SYMBOL=2600.HK&amp;VAR:INDEX=0"}</definedName>
    <definedName name="_47__123Graph_CCHART_5" hidden="1">'[2]C Amer'!$B$13:$V$13</definedName>
    <definedName name="_47__FDSAUDITLINK__" localSheetId="10" hidden="1">{"fdsup://directions/FAT Viewer?action=UPDATE&amp;creator=factset&amp;DYN_ARGS=TRUE&amp;DOC_NAME=FAT:FQL_AUDITING_CLIENT_TEMPLATE.FAT&amp;display_string=Audit&amp;VAR:KEY=AVQJYXCDQZ&amp;VAR:QUERY=RkZfRU5UUlBSX1ZBTF9EQUlMWSg0MDM2NiwsLCxVU0QsJ0RJTCcp&amp;WINDOW=FIRST_POPUP&amp;HEIGHT=450&amp;WI","DTH=450&amp;START_MAXIMIZED=FALSE&amp;VAR:CALENDAR=FIVEDAY&amp;VAR:SYMBOL=B3LVC2&amp;VAR:INDEX=0"}</definedName>
    <definedName name="_47__FDSAUDITLINK__" hidden="1">{"fdsup://directions/FAT Viewer?action=UPDATE&amp;creator=factset&amp;DYN_ARGS=TRUE&amp;DOC_NAME=FAT:FQL_AUDITING_CLIENT_TEMPLATE.FAT&amp;display_string=Audit&amp;VAR:KEY=AVQJYXCDQZ&amp;VAR:QUERY=RkZfRU5UUlBSX1ZBTF9EQUlMWSg0MDM2NiwsLCxVU0QsJ0RJTCcp&amp;WINDOW=FIRST_POPUP&amp;HEIGHT=450&amp;WI","DTH=450&amp;START_MAXIMIZED=FALSE&amp;VAR:CALENDAR=FIVEDAY&amp;VAR:SYMBOL=B3LVC2&amp;VAR:INDEX=0"}</definedName>
    <definedName name="_470__FDSAUDITLINK__" localSheetId="10" hidden="1">{"fdsup://directions/FAT Viewer?action=UPDATE&amp;creator=factset&amp;DYN_ARGS=TRUE&amp;DOC_NAME=FAT:FQL_AUDITING_CLIENT_TEMPLATE.FAT&amp;display_string=Audit&amp;VAR:KEY=LIHQZUJEFW&amp;VAR:QUERY=RkZfREVCVF9FUShBTk4sMjAwOSk=&amp;WINDOW=FIRST_POPUP&amp;HEIGHT=450&amp;WIDTH=450&amp;START_MAXIMIZED=","FALSE&amp;VAR:CALENDAR=FIVEDAY&amp;VAR:SYMBOL=2600.HK&amp;VAR:INDEX=0"}</definedName>
    <definedName name="_470__FDSAUDITLINK__" hidden="1">{"fdsup://directions/FAT Viewer?action=UPDATE&amp;creator=factset&amp;DYN_ARGS=TRUE&amp;DOC_NAME=FAT:FQL_AUDITING_CLIENT_TEMPLATE.FAT&amp;display_string=Audit&amp;VAR:KEY=LIHQZUJEFW&amp;VAR:QUERY=RkZfREVCVF9FUShBTk4sMjAwOSk=&amp;WINDOW=FIRST_POPUP&amp;HEIGHT=450&amp;WIDTH=450&amp;START_MAXIMIZED=","FALSE&amp;VAR:CALENDAR=FIVEDAY&amp;VAR:SYMBOL=2600.HK&amp;VAR:INDEX=0"}</definedName>
    <definedName name="_471__FDSAUDITLINK__" localSheetId="10" hidden="1">{"fdsup://directions/FAT Viewer?action=UPDATE&amp;creator=factset&amp;DYN_ARGS=TRUE&amp;DOC_NAME=FAT:FQL_AUDITING_CLIENT_TEMPLATE.FAT&amp;display_string=Audit&amp;VAR:KEY=FOZQBKXWPU&amp;VAR:QUERY=RkZfREVCVF9FUShBTk4sMjAwOCk=&amp;WINDOW=FIRST_POPUP&amp;HEIGHT=450&amp;WIDTH=450&amp;START_MAXIMIZED=","FALSE&amp;VAR:CALENDAR=FIVEDAY&amp;VAR:SYMBOL=2600.HK&amp;VAR:INDEX=0"}</definedName>
    <definedName name="_471__FDSAUDITLINK__" hidden="1">{"fdsup://directions/FAT Viewer?action=UPDATE&amp;creator=factset&amp;DYN_ARGS=TRUE&amp;DOC_NAME=FAT:FQL_AUDITING_CLIENT_TEMPLATE.FAT&amp;display_string=Audit&amp;VAR:KEY=FOZQBKXWPU&amp;VAR:QUERY=RkZfREVCVF9FUShBTk4sMjAwOCk=&amp;WINDOW=FIRST_POPUP&amp;HEIGHT=450&amp;WIDTH=450&amp;START_MAXIMIZED=","FALSE&amp;VAR:CALENDAR=FIVEDAY&amp;VAR:SYMBOL=2600.HK&amp;VAR:INDEX=0"}</definedName>
    <definedName name="_472__FDSAUDITLINK__" localSheetId="10" hidden="1">{"fdsup://directions/FAT Viewer?action=UPDATE&amp;creator=factset&amp;DYN_ARGS=TRUE&amp;DOC_NAME=FAT:FQL_AUDITING_CLIENT_TEMPLATE.FAT&amp;display_string=Audit&amp;VAR:KEY=RUNWHILQLA&amp;VAR:QUERY=RkZfREVCVF9FUShBTk4sMjAwNyk=&amp;WINDOW=FIRST_POPUP&amp;HEIGHT=450&amp;WIDTH=450&amp;START_MAXIMIZED=","FALSE&amp;VAR:CALENDAR=FIVEDAY&amp;VAR:SYMBOL=2600.HK&amp;VAR:INDEX=0"}</definedName>
    <definedName name="_472__FDSAUDITLINK__" hidden="1">{"fdsup://directions/FAT Viewer?action=UPDATE&amp;creator=factset&amp;DYN_ARGS=TRUE&amp;DOC_NAME=FAT:FQL_AUDITING_CLIENT_TEMPLATE.FAT&amp;display_string=Audit&amp;VAR:KEY=RUNWHILQLA&amp;VAR:QUERY=RkZfREVCVF9FUShBTk4sMjAwNyk=&amp;WINDOW=FIRST_POPUP&amp;HEIGHT=450&amp;WIDTH=450&amp;START_MAXIMIZED=","FALSE&amp;VAR:CALENDAR=FIVEDAY&amp;VAR:SYMBOL=2600.HK&amp;VAR:INDEX=0"}</definedName>
    <definedName name="_473__FDSAUDITLINK__" localSheetId="10" hidden="1">{"fdsup://directions/FAT Viewer?action=UPDATE&amp;creator=factset&amp;DYN_ARGS=TRUE&amp;DOC_NAME=FAT:FQL_AUDITING_CLIENT_TEMPLATE.FAT&amp;display_string=Audit&amp;VAR:KEY=PARQXUXGFQ&amp;VAR:QUERY=RkZfREVCVF9FUShBTk4sMjAwNik=&amp;WINDOW=FIRST_POPUP&amp;HEIGHT=450&amp;WIDTH=450&amp;START_MAXIMIZED=","FALSE&amp;VAR:CALENDAR=FIVEDAY&amp;VAR:SYMBOL=2600.HK&amp;VAR:INDEX=0"}</definedName>
    <definedName name="_473__FDSAUDITLINK__" hidden="1">{"fdsup://directions/FAT Viewer?action=UPDATE&amp;creator=factset&amp;DYN_ARGS=TRUE&amp;DOC_NAME=FAT:FQL_AUDITING_CLIENT_TEMPLATE.FAT&amp;display_string=Audit&amp;VAR:KEY=PARQXUXGFQ&amp;VAR:QUERY=RkZfREVCVF9FUShBTk4sMjAwNik=&amp;WINDOW=FIRST_POPUP&amp;HEIGHT=450&amp;WIDTH=450&amp;START_MAXIMIZED=","FALSE&amp;VAR:CALENDAR=FIVEDAY&amp;VAR:SYMBOL=2600.HK&amp;VAR:INDEX=0"}</definedName>
    <definedName name="_474__FDSAUDITLINK__" localSheetId="10" hidden="1">{"fdsup://directions/FAT Viewer?action=UPDATE&amp;creator=factset&amp;DYN_ARGS=TRUE&amp;DOC_NAME=FAT:FQL_AUDITING_CLIENT_TEMPLATE.FAT&amp;display_string=Audit&amp;VAR:KEY=BIVMNGPEHM&amp;VAR:QUERY=RkZfTkVUX0RFQlQoQU5OLDIwMDkpL0ZGX1NITERSU19FUShBTk4sMjAwOSk=&amp;WINDOW=FIRST_POPUP&amp;HEIGH","T=450&amp;WIDTH=450&amp;START_MAXIMIZED=FALSE&amp;VAR:CALENDAR=FIVEDAY&amp;VAR:SYMBOL=2600.HK&amp;VAR:INDEX=0"}</definedName>
    <definedName name="_474__FDSAUDITLINK__" hidden="1">{"fdsup://directions/FAT Viewer?action=UPDATE&amp;creator=factset&amp;DYN_ARGS=TRUE&amp;DOC_NAME=FAT:FQL_AUDITING_CLIENT_TEMPLATE.FAT&amp;display_string=Audit&amp;VAR:KEY=BIVMNGPEHM&amp;VAR:QUERY=RkZfTkVUX0RFQlQoQU5OLDIwMDkpL0ZGX1NITERSU19FUShBTk4sMjAwOSk=&amp;WINDOW=FIRST_POPUP&amp;HEIGH","T=450&amp;WIDTH=450&amp;START_MAXIMIZED=FALSE&amp;VAR:CALENDAR=FIVEDAY&amp;VAR:SYMBOL=2600.HK&amp;VAR:INDEX=0"}</definedName>
    <definedName name="_475__FDSAUDITLINK__" localSheetId="10" hidden="1">{"fdsup://directions/FAT Viewer?action=UPDATE&amp;creator=factset&amp;DYN_ARGS=TRUE&amp;DOC_NAME=FAT:FQL_AUDITING_CLIENT_TEMPLATE.FAT&amp;display_string=Audit&amp;VAR:KEY=VMLSVYHGNG&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2600.HK&amp;VAR:INDEX=0"}</definedName>
    <definedName name="_475__FDSAUDITLINK__" hidden="1">{"fdsup://directions/FAT Viewer?action=UPDATE&amp;creator=factset&amp;DYN_ARGS=TRUE&amp;DOC_NAME=FAT:FQL_AUDITING_CLIENT_TEMPLATE.FAT&amp;display_string=Audit&amp;VAR:KEY=VMLSVYHGNG&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2600.HK&amp;VAR:INDEX=0"}</definedName>
    <definedName name="_476__FDSAUDITLINK__" localSheetId="10" hidden="1">{"fdsup://directions/FAT Viewer?action=UPDATE&amp;creator=factset&amp;DYN_ARGS=TRUE&amp;DOC_NAME=FAT:FQL_AUDITING_CLIENT_TEMPLATE.FAT&amp;display_string=Audit&amp;VAR:KEY=KNWDAHKJOV&amp;VAR:QUERY=KEZGX05FVF9JTkMoQU5OLDIwMDkpL0ZGX05FVF9JTkMoQU5OLDIwMDgpKS0x&amp;WINDOW=FIRST_POPUP&amp;HEIGH","T=450&amp;WIDTH=450&amp;START_MAXIMIZED=FALSE&amp;VAR:CALENDAR=FIVEDAY&amp;VAR:SYMBOL=2600.HK&amp;VAR:INDEX=0"}</definedName>
    <definedName name="_476__FDSAUDITLINK__" hidden="1">{"fdsup://directions/FAT Viewer?action=UPDATE&amp;creator=factset&amp;DYN_ARGS=TRUE&amp;DOC_NAME=FAT:FQL_AUDITING_CLIENT_TEMPLATE.FAT&amp;display_string=Audit&amp;VAR:KEY=KNWDAHKJOV&amp;VAR:QUERY=KEZGX05FVF9JTkMoQU5OLDIwMDkpL0ZGX05FVF9JTkMoQU5OLDIwMDgpKS0x&amp;WINDOW=FIRST_POPUP&amp;HEIGH","T=450&amp;WIDTH=450&amp;START_MAXIMIZED=FALSE&amp;VAR:CALENDAR=FIVEDAY&amp;VAR:SYMBOL=2600.HK&amp;VAR:INDEX=0"}</definedName>
    <definedName name="_477__FDSAUDITLINK__" localSheetId="10" hidden="1">{"fdsup://directions/FAT Viewer?action=UPDATE&amp;creator=factset&amp;DYN_ARGS=TRUE&amp;DOC_NAME=FAT:FQL_AUDITING_CLIENT_TEMPLATE.FAT&amp;display_string=Audit&amp;VAR:KEY=ODUPWHYRQR&amp;VAR:QUERY=RkZfTkVUX01HTihBTk4sMjAwOSk=&amp;WINDOW=FIRST_POPUP&amp;HEIGHT=450&amp;WIDTH=450&amp;START_MAXIMIZED=","FALSE&amp;VAR:CALENDAR=FIVEDAY&amp;VAR:SYMBOL=2600.HK&amp;VAR:INDEX=0"}</definedName>
    <definedName name="_477__FDSAUDITLINK__" hidden="1">{"fdsup://directions/FAT Viewer?action=UPDATE&amp;creator=factset&amp;DYN_ARGS=TRUE&amp;DOC_NAME=FAT:FQL_AUDITING_CLIENT_TEMPLATE.FAT&amp;display_string=Audit&amp;VAR:KEY=ODUPWHYRQR&amp;VAR:QUERY=RkZfTkVUX01HTihBTk4sMjAwOSk=&amp;WINDOW=FIRST_POPUP&amp;HEIGHT=450&amp;WIDTH=450&amp;START_MAXIMIZED=","FALSE&amp;VAR:CALENDAR=FIVEDAY&amp;VAR:SYMBOL=2600.HK&amp;VAR:INDEX=0"}</definedName>
    <definedName name="_478__FDSAUDITLINK__" localSheetId="10" hidden="1">{"fdsup://directions/FAT Viewer?action=UPDATE&amp;creator=factset&amp;DYN_ARGS=TRUE&amp;DOC_NAME=FAT:FQL_AUDITING_CLIENT_TEMPLATE.FAT&amp;display_string=Audit&amp;VAR:KEY=UFCHOVANIL&amp;VAR:QUERY=RkZfTkVUX01HTihBTk4sMjAwOCk=&amp;WINDOW=FIRST_POPUP&amp;HEIGHT=450&amp;WIDTH=450&amp;START_MAXIMIZED=","FALSE&amp;VAR:CALENDAR=FIVEDAY&amp;VAR:SYMBOL=2600.HK&amp;VAR:INDEX=0"}</definedName>
    <definedName name="_478__FDSAUDITLINK__" hidden="1">{"fdsup://directions/FAT Viewer?action=UPDATE&amp;creator=factset&amp;DYN_ARGS=TRUE&amp;DOC_NAME=FAT:FQL_AUDITING_CLIENT_TEMPLATE.FAT&amp;display_string=Audit&amp;VAR:KEY=UFCHOVANIL&amp;VAR:QUERY=RkZfTkVUX01HTihBTk4sMjAwOCk=&amp;WINDOW=FIRST_POPUP&amp;HEIGHT=450&amp;WIDTH=450&amp;START_MAXIMIZED=","FALSE&amp;VAR:CALENDAR=FIVEDAY&amp;VAR:SYMBOL=2600.HK&amp;VAR:INDEX=0"}</definedName>
    <definedName name="_479__FDSAUDITLINK__" localSheetId="10" hidden="1">{"fdsup://directions/FAT Viewer?action=UPDATE&amp;creator=factset&amp;DYN_ARGS=TRUE&amp;DOC_NAME=FAT:FQL_AUDITING_CLIENT_TEMPLATE.FAT&amp;display_string=Audit&amp;VAR:KEY=WBINOJIHCL&amp;VAR:QUERY=RkZfTkVUX01HTihBTk4sMjAwNyk=&amp;WINDOW=FIRST_POPUP&amp;HEIGHT=450&amp;WIDTH=450&amp;START_MAXIMIZED=","FALSE&amp;VAR:CALENDAR=FIVEDAY&amp;VAR:SYMBOL=2600.HK&amp;VAR:INDEX=0"}</definedName>
    <definedName name="_479__FDSAUDITLINK__" hidden="1">{"fdsup://directions/FAT Viewer?action=UPDATE&amp;creator=factset&amp;DYN_ARGS=TRUE&amp;DOC_NAME=FAT:FQL_AUDITING_CLIENT_TEMPLATE.FAT&amp;display_string=Audit&amp;VAR:KEY=WBINOJIHCL&amp;VAR:QUERY=RkZfTkVUX01HTihBTk4sMjAwNyk=&amp;WINDOW=FIRST_POPUP&amp;HEIGHT=450&amp;WIDTH=450&amp;START_MAXIMIZED=","FALSE&amp;VAR:CALENDAR=FIVEDAY&amp;VAR:SYMBOL=2600.HK&amp;VAR:INDEX=0"}</definedName>
    <definedName name="_48__123Graph_CCHART_8" hidden="1">'[2]E Asia'!$B$13:$V$13</definedName>
    <definedName name="_48__FDSAUDITLINK__" localSheetId="10" hidden="1">{"fdsup://directions/FAT Viewer?action=UPDATE&amp;creator=factset&amp;DYN_ARGS=TRUE&amp;DOC_NAME=FAT:FQL_AUDITING_CLIENT_TEMPLATE.FAT&amp;display_string=Audit&amp;VAR:KEY=GPIDYBWPQH&amp;VAR:QUERY=RkZfRU5UUlBSX1ZBTF9EQUlMWSg0MDM2NiwsLCxVU0QsJ0RJTCcp&amp;WINDOW=FIRST_POPUP&amp;HEIGHT=450&amp;WI","DTH=450&amp;START_MAXIMIZED=FALSE&amp;VAR:CALENDAR=FIVEDAY&amp;VAR:SYMBOL=B3Z9VV&amp;VAR:INDEX=0"}</definedName>
    <definedName name="_48__FDSAUDITLINK__" hidden="1">{"fdsup://directions/FAT Viewer?action=UPDATE&amp;creator=factset&amp;DYN_ARGS=TRUE&amp;DOC_NAME=FAT:FQL_AUDITING_CLIENT_TEMPLATE.FAT&amp;display_string=Audit&amp;VAR:KEY=GPIDYBWPQH&amp;VAR:QUERY=RkZfRU5UUlBSX1ZBTF9EQUlMWSg0MDM2NiwsLCxVU0QsJ0RJTCcp&amp;WINDOW=FIRST_POPUP&amp;HEIGHT=450&amp;WI","DTH=450&amp;START_MAXIMIZED=FALSE&amp;VAR:CALENDAR=FIVEDAY&amp;VAR:SYMBOL=B3Z9VV&amp;VAR:INDEX=0"}</definedName>
    <definedName name="_480__FDSAUDITLINK__" localSheetId="10" hidden="1">{"fdsup://directions/FAT Viewer?action=UPDATE&amp;creator=factset&amp;DYN_ARGS=TRUE&amp;DOC_NAME=FAT:FQL_AUDITING_CLIENT_TEMPLATE.FAT&amp;display_string=Audit&amp;VAR:KEY=UVUJWNOHGF&amp;VAR:QUERY=RkZfTkVUX01HTihBTk4sMjAwNik=&amp;WINDOW=FIRST_POPUP&amp;HEIGHT=450&amp;WIDTH=450&amp;START_MAXIMIZED=","FALSE&amp;VAR:CALENDAR=FIVEDAY&amp;VAR:SYMBOL=2600.HK&amp;VAR:INDEX=0"}</definedName>
    <definedName name="_480__FDSAUDITLINK__" hidden="1">{"fdsup://directions/FAT Viewer?action=UPDATE&amp;creator=factset&amp;DYN_ARGS=TRUE&amp;DOC_NAME=FAT:FQL_AUDITING_CLIENT_TEMPLATE.FAT&amp;display_string=Audit&amp;VAR:KEY=UVUJWNOHGF&amp;VAR:QUERY=RkZfTkVUX01HTihBTk4sMjAwNik=&amp;WINDOW=FIRST_POPUP&amp;HEIGHT=450&amp;WIDTH=450&amp;START_MAXIMIZED=","FALSE&amp;VAR:CALENDAR=FIVEDAY&amp;VAR:SYMBOL=2600.HK&amp;VAR:INDEX=0"}</definedName>
    <definedName name="_481__FDSAUDITLINK__" localSheetId="10" hidden="1">{"fdsup://directions/FAT Viewer?action=UPDATE&amp;creator=factset&amp;DYN_ARGS=TRUE&amp;DOC_NAME=FAT:FQL_AUDITING_CLIENT_TEMPLATE.FAT&amp;display_string=Audit&amp;VAR:KEY=YRITKBWHOH&amp;VAR:QUERY=RkZfUk9BKEFOTiwyMDA5KQ==&amp;WINDOW=FIRST_POPUP&amp;HEIGHT=450&amp;WIDTH=450&amp;START_MAXIMIZED=FALS","E&amp;VAR:CALENDAR=FIVEDAY&amp;VAR:SYMBOL=2600.HK&amp;VAR:INDEX=0"}</definedName>
    <definedName name="_481__FDSAUDITLINK__" hidden="1">{"fdsup://directions/FAT Viewer?action=UPDATE&amp;creator=factset&amp;DYN_ARGS=TRUE&amp;DOC_NAME=FAT:FQL_AUDITING_CLIENT_TEMPLATE.FAT&amp;display_string=Audit&amp;VAR:KEY=YRITKBWHOH&amp;VAR:QUERY=RkZfUk9BKEFOTiwyMDA5KQ==&amp;WINDOW=FIRST_POPUP&amp;HEIGHT=450&amp;WIDTH=450&amp;START_MAXIMIZED=FALS","E&amp;VAR:CALENDAR=FIVEDAY&amp;VAR:SYMBOL=2600.HK&amp;VAR:INDEX=0"}</definedName>
    <definedName name="_482__FDSAUDITLINK__" localSheetId="10" hidden="1">{"fdsup://directions/FAT Viewer?action=UPDATE&amp;creator=factset&amp;DYN_ARGS=TRUE&amp;DOC_NAME=FAT:FQL_AUDITING_CLIENT_TEMPLATE.FAT&amp;display_string=Audit&amp;VAR:KEY=QHQDUZKFCH&amp;VAR:QUERY=RkZfUk9BKEFOTiwyMDA4KQ==&amp;WINDOW=FIRST_POPUP&amp;HEIGHT=450&amp;WIDTH=450&amp;START_MAXIMIZED=FALS","E&amp;VAR:CALENDAR=FIVEDAY&amp;VAR:SYMBOL=2600.HK&amp;VAR:INDEX=0"}</definedName>
    <definedName name="_482__FDSAUDITLINK__" hidden="1">{"fdsup://directions/FAT Viewer?action=UPDATE&amp;creator=factset&amp;DYN_ARGS=TRUE&amp;DOC_NAME=FAT:FQL_AUDITING_CLIENT_TEMPLATE.FAT&amp;display_string=Audit&amp;VAR:KEY=QHQDUZKFCH&amp;VAR:QUERY=RkZfUk9BKEFOTiwyMDA4KQ==&amp;WINDOW=FIRST_POPUP&amp;HEIGHT=450&amp;WIDTH=450&amp;START_MAXIMIZED=FALS","E&amp;VAR:CALENDAR=FIVEDAY&amp;VAR:SYMBOL=2600.HK&amp;VAR:INDEX=0"}</definedName>
    <definedName name="_483__FDSAUDITLINK__" localSheetId="10" hidden="1">{"fdsup://directions/FAT Viewer?action=UPDATE&amp;creator=factset&amp;DYN_ARGS=TRUE&amp;DOC_NAME=FAT:FQL_AUDITING_CLIENT_TEMPLATE.FAT&amp;display_string=Audit&amp;VAR:KEY=OPGHWHAPUT&amp;VAR:QUERY=RkZfUk9BKEFOTiwyMDA3KQ==&amp;WINDOW=FIRST_POPUP&amp;HEIGHT=450&amp;WIDTH=450&amp;START_MAXIMIZED=FALS","E&amp;VAR:CALENDAR=FIVEDAY&amp;VAR:SYMBOL=2600.HK&amp;VAR:INDEX=0"}</definedName>
    <definedName name="_483__FDSAUDITLINK__" hidden="1">{"fdsup://directions/FAT Viewer?action=UPDATE&amp;creator=factset&amp;DYN_ARGS=TRUE&amp;DOC_NAME=FAT:FQL_AUDITING_CLIENT_TEMPLATE.FAT&amp;display_string=Audit&amp;VAR:KEY=OPGHWHAPUT&amp;VAR:QUERY=RkZfUk9BKEFOTiwyMDA3KQ==&amp;WINDOW=FIRST_POPUP&amp;HEIGHT=450&amp;WIDTH=450&amp;START_MAXIMIZED=FALS","E&amp;VAR:CALENDAR=FIVEDAY&amp;VAR:SYMBOL=2600.HK&amp;VAR:INDEX=0"}</definedName>
    <definedName name="_484__FDSAUDITLINK__" localSheetId="10" hidden="1">{"fdsup://directions/FAT Viewer?action=UPDATE&amp;creator=factset&amp;DYN_ARGS=TRUE&amp;DOC_NAME=FAT:FQL_AUDITING_CLIENT_TEMPLATE.FAT&amp;display_string=Audit&amp;VAR:KEY=CLCRSDAPSX&amp;VAR:QUERY=RkZfUk9BKEFOTiwyMDA2KQ==&amp;WINDOW=FIRST_POPUP&amp;HEIGHT=450&amp;WIDTH=450&amp;START_MAXIMIZED=FALS","E&amp;VAR:CALENDAR=FIVEDAY&amp;VAR:SYMBOL=2600.HK&amp;VAR:INDEX=0"}</definedName>
    <definedName name="_484__FDSAUDITLINK__" hidden="1">{"fdsup://directions/FAT Viewer?action=UPDATE&amp;creator=factset&amp;DYN_ARGS=TRUE&amp;DOC_NAME=FAT:FQL_AUDITING_CLIENT_TEMPLATE.FAT&amp;display_string=Audit&amp;VAR:KEY=CLCRSDAPSX&amp;VAR:QUERY=RkZfUk9BKEFOTiwyMDA2KQ==&amp;WINDOW=FIRST_POPUP&amp;HEIGHT=450&amp;WIDTH=450&amp;START_MAXIMIZED=FALS","E&amp;VAR:CALENDAR=FIVEDAY&amp;VAR:SYMBOL=2600.HK&amp;VAR:INDEX=0"}</definedName>
    <definedName name="_485__FDSAUDITLINK__" localSheetId="10" hidden="1">{"fdsup://directions/FAT Viewer?action=UPDATE&amp;creator=factset&amp;DYN_ARGS=TRUE&amp;DOC_NAME=FAT:FQL_AUDITING_CLIENT_TEMPLATE.FAT&amp;display_string=Audit&amp;VAR:KEY=YLCVWFIZGL&amp;VAR:QUERY=RkZfUk9FKEFOTiwyMDA5KQ==&amp;WINDOW=FIRST_POPUP&amp;HEIGHT=450&amp;WIDTH=450&amp;START_MAXIMIZED=FALS","E&amp;VAR:CALENDAR=FIVEDAY&amp;VAR:SYMBOL=2600.HK&amp;VAR:INDEX=0"}</definedName>
    <definedName name="_485__FDSAUDITLINK__" hidden="1">{"fdsup://directions/FAT Viewer?action=UPDATE&amp;creator=factset&amp;DYN_ARGS=TRUE&amp;DOC_NAME=FAT:FQL_AUDITING_CLIENT_TEMPLATE.FAT&amp;display_string=Audit&amp;VAR:KEY=YLCVWFIZGL&amp;VAR:QUERY=RkZfUk9FKEFOTiwyMDA5KQ==&amp;WINDOW=FIRST_POPUP&amp;HEIGHT=450&amp;WIDTH=450&amp;START_MAXIMIZED=FALS","E&amp;VAR:CALENDAR=FIVEDAY&amp;VAR:SYMBOL=2600.HK&amp;VAR:INDEX=0"}</definedName>
    <definedName name="_486__FDSAUDITLINK__" localSheetId="10" hidden="1">{"fdsup://directions/FAT Viewer?action=UPDATE&amp;creator=factset&amp;DYN_ARGS=TRUE&amp;DOC_NAME=FAT:FQL_AUDITING_CLIENT_TEMPLATE.FAT&amp;display_string=Audit&amp;VAR:KEY=IRGRQDQTWB&amp;VAR:QUERY=RkZfUk9FKEFOTiwyMDA4KQ==&amp;WINDOW=FIRST_POPUP&amp;HEIGHT=450&amp;WIDTH=450&amp;START_MAXIMIZED=FALS","E&amp;VAR:CALENDAR=FIVEDAY&amp;VAR:SYMBOL=2600.HK&amp;VAR:INDEX=0"}</definedName>
    <definedName name="_486__FDSAUDITLINK__" hidden="1">{"fdsup://directions/FAT Viewer?action=UPDATE&amp;creator=factset&amp;DYN_ARGS=TRUE&amp;DOC_NAME=FAT:FQL_AUDITING_CLIENT_TEMPLATE.FAT&amp;display_string=Audit&amp;VAR:KEY=IRGRQDQTWB&amp;VAR:QUERY=RkZfUk9FKEFOTiwyMDA4KQ==&amp;WINDOW=FIRST_POPUP&amp;HEIGHT=450&amp;WIDTH=450&amp;START_MAXIMIZED=FALS","E&amp;VAR:CALENDAR=FIVEDAY&amp;VAR:SYMBOL=2600.HK&amp;VAR:INDEX=0"}</definedName>
    <definedName name="_487__FDSAUDITLINK__" localSheetId="10" hidden="1">{"fdsup://directions/FAT Viewer?action=UPDATE&amp;creator=factset&amp;DYN_ARGS=TRUE&amp;DOC_NAME=FAT:FQL_AUDITING_CLIENT_TEMPLATE.FAT&amp;display_string=Audit&amp;VAR:KEY=EPKPEBABGZ&amp;VAR:QUERY=RkZfUk9FKEFOTiwyMDA3KQ==&amp;WINDOW=FIRST_POPUP&amp;HEIGHT=450&amp;WIDTH=450&amp;START_MAXIMIZED=FALS","E&amp;VAR:CALENDAR=FIVEDAY&amp;VAR:SYMBOL=2600.HK&amp;VAR:INDEX=0"}</definedName>
    <definedName name="_487__FDSAUDITLINK__" hidden="1">{"fdsup://directions/FAT Viewer?action=UPDATE&amp;creator=factset&amp;DYN_ARGS=TRUE&amp;DOC_NAME=FAT:FQL_AUDITING_CLIENT_TEMPLATE.FAT&amp;display_string=Audit&amp;VAR:KEY=EPKPEBABGZ&amp;VAR:QUERY=RkZfUk9FKEFOTiwyMDA3KQ==&amp;WINDOW=FIRST_POPUP&amp;HEIGHT=450&amp;WIDTH=450&amp;START_MAXIMIZED=FALS","E&amp;VAR:CALENDAR=FIVEDAY&amp;VAR:SYMBOL=2600.HK&amp;VAR:INDEX=0"}</definedName>
    <definedName name="_488__FDSAUDITLINK__" localSheetId="10" hidden="1">{"fdsup://directions/FAT Viewer?action=UPDATE&amp;creator=factset&amp;DYN_ARGS=TRUE&amp;DOC_NAME=FAT:FQL_AUDITING_CLIENT_TEMPLATE.FAT&amp;display_string=Audit&amp;VAR:KEY=CPCRGJOXSD&amp;VAR:QUERY=RkZfUk9FKEFOTiwyMDA2KQ==&amp;WINDOW=FIRST_POPUP&amp;HEIGHT=450&amp;WIDTH=450&amp;START_MAXIMIZED=FALS","E&amp;VAR:CALENDAR=FIVEDAY&amp;VAR:SYMBOL=2600.HK&amp;VAR:INDEX=0"}</definedName>
    <definedName name="_488__FDSAUDITLINK__" hidden="1">{"fdsup://directions/FAT Viewer?action=UPDATE&amp;creator=factset&amp;DYN_ARGS=TRUE&amp;DOC_NAME=FAT:FQL_AUDITING_CLIENT_TEMPLATE.FAT&amp;display_string=Audit&amp;VAR:KEY=CPCRGJOXSD&amp;VAR:QUERY=RkZfUk9FKEFOTiwyMDA2KQ==&amp;WINDOW=FIRST_POPUP&amp;HEIGHT=450&amp;WIDTH=450&amp;START_MAXIMIZED=FALS","E&amp;VAR:CALENDAR=FIVEDAY&amp;VAR:SYMBOL=2600.HK&amp;VAR:INDEX=0"}</definedName>
    <definedName name="_489__FDSAUDITLINK__" localSheetId="10" hidden="1">{"fdsup://directions/FAT Viewer?action=UPDATE&amp;creator=factset&amp;DYN_ARGS=TRUE&amp;DOC_NAME=FAT:FQL_AUDITING_CLIENT_TEMPLATE.FAT&amp;display_string=Audit&amp;VAR:KEY=YZAZOHSNGH&amp;VAR:QUERY=KEVDQV9NRUFOX0VQUygyMDA5LDQwNzM1KS9GRl9FUFMoQU5OLDIwMDgsLCwsRUNfQ1VSUigpKSktMS4wMDAwM","DA=&amp;WINDOW=FIRST_POPUP&amp;HEIGHT=450&amp;WIDTH=450&amp;START_MAXIMIZED=FALSE&amp;VAR:CALENDAR=FIVEDAY&amp;VAR:SYMBOL=2600.HK&amp;VAR:INDEX=0"}</definedName>
    <definedName name="_489__FDSAUDITLINK__" hidden="1">{"fdsup://directions/FAT Viewer?action=UPDATE&amp;creator=factset&amp;DYN_ARGS=TRUE&amp;DOC_NAME=FAT:FQL_AUDITING_CLIENT_TEMPLATE.FAT&amp;display_string=Audit&amp;VAR:KEY=YZAZOHSNGH&amp;VAR:QUERY=KEVDQV9NRUFOX0VQUygyMDA5LDQwNzM1KS9GRl9FUFMoQU5OLDIwMDgsLCwsRUNfQ1VSUigpKSktMS4wMDAwM","DA=&amp;WINDOW=FIRST_POPUP&amp;HEIGHT=450&amp;WIDTH=450&amp;START_MAXIMIZED=FALSE&amp;VAR:CALENDAR=FIVEDAY&amp;VAR:SYMBOL=2600.HK&amp;VAR:INDEX=0"}</definedName>
    <definedName name="_49__123Graph_XCHART_10" hidden="1">'[2]E Eur'!$B$8:$V$8</definedName>
    <definedName name="_49__FDSAUDITLINK__" localSheetId="10" hidden="1">{"fdsup://directions/FAT Viewer?action=UPDATE&amp;creator=factset&amp;DYN_ARGS=TRUE&amp;DOC_NAME=FAT:FQL_AUDITING_CLIENT_TEMPLATE.FAT&amp;display_string=Audit&amp;VAR:KEY=AJIHUNYRMR&amp;VAR:QUERY=RkZfRU5UUlBSX1ZBTF9EQUlMWSg0MDM2NSwsLCwsJ0RJTCcp&amp;WINDOW=FIRST_POPUP&amp;HEIGHT=450&amp;WIDTH=","450&amp;START_MAXIMIZED=FALSE&amp;VAR:CALENDAR=FIVEDAY&amp;VAR:SYMBOL=B1YVKN&amp;VAR:INDEX=0"}</definedName>
    <definedName name="_49__FDSAUDITLINK__" hidden="1">{"fdsup://directions/FAT Viewer?action=UPDATE&amp;creator=factset&amp;DYN_ARGS=TRUE&amp;DOC_NAME=FAT:FQL_AUDITING_CLIENT_TEMPLATE.FAT&amp;display_string=Audit&amp;VAR:KEY=AJIHUNYRMR&amp;VAR:QUERY=RkZfRU5UUlBSX1ZBTF9EQUlMWSg0MDM2NSwsLCwsJ0RJTCcp&amp;WINDOW=FIRST_POPUP&amp;HEIGHT=450&amp;WIDTH=","450&amp;START_MAXIMIZED=FALSE&amp;VAR:CALENDAR=FIVEDAY&amp;VAR:SYMBOL=B1YVKN&amp;VAR:INDEX=0"}</definedName>
    <definedName name="_5__123Graph_ACHART_13" hidden="1">[2]Mideast!$B$19:$V$19</definedName>
    <definedName name="_5__FDSAUDITLINK__" localSheetId="10" hidden="1">{"fdsup://directions/FAT Viewer?action=UPDATE&amp;creator=factset&amp;DYN_ARGS=TRUE&amp;DOC_NAME=FAT:FQL_AUDITING_CLIENT_TEMPLATE.FAT&amp;display_string=Audit&amp;VAR:KEY=YHQTSVONSR&amp;VAR:QUERY=RkZfRU5UUlBSX1ZBTF9EQUlMWSg0MDM2NiwsLCwsJ0RJTCcp&amp;WINDOW=FIRST_POPUP&amp;HEIGHT=450&amp;WIDTH=","450&amp;START_MAXIMIZED=FALSE&amp;VAR:CALENDAR=FIVEDAY&amp;VAR:SYMBOL=98849810&amp;VAR:INDEX=0"}</definedName>
    <definedName name="_5__FDSAUDITLINK__" hidden="1">{"fdsup://directions/FAT Viewer?action=UPDATE&amp;creator=factset&amp;DYN_ARGS=TRUE&amp;DOC_NAME=FAT:FQL_AUDITING_CLIENT_TEMPLATE.FAT&amp;display_string=Audit&amp;VAR:KEY=YHQTSVONSR&amp;VAR:QUERY=RkZfRU5UUlBSX1ZBTF9EQUlMWSg0MDM2NiwsLCwsJ0RJTCcp&amp;WINDOW=FIRST_POPUP&amp;HEIGHT=450&amp;WIDTH=","450&amp;START_MAXIMIZED=FALSE&amp;VAR:CALENDAR=FIVEDAY&amp;VAR:SYMBOL=98849810&amp;VAR:INDEX=0"}</definedName>
    <definedName name="_50__123Graph_XCHART_11" hidden="1">'[2]E Eur'!$B$8:$V$8</definedName>
    <definedName name="_50__FDSAUDITLINK__" localSheetId="10" hidden="1">{"fdsup://directions/FAT Viewer?action=UPDATE&amp;creator=factset&amp;DYN_ARGS=TRUE&amp;DOC_NAME=FAT:FQL_AUDITING_CLIENT_TEMPLATE.FAT&amp;display_string=Audit&amp;VAR:KEY=IJCBUVOZKL&amp;VAR:QUERY=RkZfRU5UUlBSX1ZBTF9EQUlMWSg0MDM2NSwsLCwsJ0RJTCcp&amp;WINDOW=FIRST_POPUP&amp;HEIGHT=450&amp;WIDTH=","450&amp;START_MAXIMIZED=FALSE&amp;VAR:CALENDAR=FIVEDAY&amp;VAR:SYMBOL=B288V4&amp;VAR:INDEX=0"}</definedName>
    <definedName name="_50__FDSAUDITLINK__" hidden="1">{"fdsup://directions/FAT Viewer?action=UPDATE&amp;creator=factset&amp;DYN_ARGS=TRUE&amp;DOC_NAME=FAT:FQL_AUDITING_CLIENT_TEMPLATE.FAT&amp;display_string=Audit&amp;VAR:KEY=IJCBUVOZKL&amp;VAR:QUERY=RkZfRU5UUlBSX1ZBTF9EQUlMWSg0MDM2NSwsLCwsJ0RJTCcp&amp;WINDOW=FIRST_POPUP&amp;HEIGHT=450&amp;WIDTH=","450&amp;START_MAXIMIZED=FALSE&amp;VAR:CALENDAR=FIVEDAY&amp;VAR:SYMBOL=B288V4&amp;VAR:INDEX=0"}</definedName>
    <definedName name="_51__123Graph_XCHART_14" hidden="1">[2]Mideast!$B$8:$V$8</definedName>
    <definedName name="_51__FDSAUDITLINK__" localSheetId="10" hidden="1">{"fdsup://directions/FAT Viewer?action=UPDATE&amp;creator=factset&amp;DYN_ARGS=TRUE&amp;DOC_NAME=FAT:FQL_AUDITING_CLIENT_TEMPLATE.FAT&amp;display_string=Audit&amp;VAR:KEY=OJGTINCTML&amp;VAR:QUERY=RkZfRU5UUlBSX1ZBTF9EQUlMWSg0MDM2NSwsLCwsJ0RJTCcp&amp;WINDOW=FIRST_POPUP&amp;HEIGHT=450&amp;WIDTH=","450&amp;START_MAXIMIZED=FALSE&amp;VAR:CALENDAR=FIVEDAY&amp;VAR:SYMBOL=658653&amp;VAR:INDEX=0"}</definedName>
    <definedName name="_51__FDSAUDITLINK__" hidden="1">{"fdsup://directions/FAT Viewer?action=UPDATE&amp;creator=factset&amp;DYN_ARGS=TRUE&amp;DOC_NAME=FAT:FQL_AUDITING_CLIENT_TEMPLATE.FAT&amp;display_string=Audit&amp;VAR:KEY=OJGTINCTML&amp;VAR:QUERY=RkZfRU5UUlBSX1ZBTF9EQUlMWSg0MDM2NSwsLCwsJ0RJTCcp&amp;WINDOW=FIRST_POPUP&amp;HEIGHT=450&amp;WIDTH=","450&amp;START_MAXIMIZED=FALSE&amp;VAR:CALENDAR=FIVEDAY&amp;VAR:SYMBOL=658653&amp;VAR:INDEX=0"}</definedName>
    <definedName name="_52__123Graph_XCHART_15" hidden="1">[2]Mideast!$B$8:$V$8</definedName>
    <definedName name="_52__FDSAUDITLINK__" localSheetId="10" hidden="1">{"fdsup://directions/FAT Viewer?action=UPDATE&amp;creator=factset&amp;DYN_ARGS=TRUE&amp;DOC_NAME=FAT:FQL_AUDITING_CLIENT_TEMPLATE.FAT&amp;display_string=Audit&amp;VAR:KEY=YPUVKXOLSR&amp;VAR:QUERY=RkZfRU5UUlBSX1ZBTF9EQUlMWSg0MDM2NSwsLCwsJ0RJTCcp&amp;WINDOW=FIRST_POPUP&amp;HEIGHT=450&amp;WIDTH=","450&amp;START_MAXIMIZED=FALSE&amp;VAR:CALENDAR=FIVEDAY&amp;VAR:SYMBOL=B51BL7&amp;VAR:INDEX=0"}</definedName>
    <definedName name="_52__FDSAUDITLINK__" hidden="1">{"fdsup://directions/FAT Viewer?action=UPDATE&amp;creator=factset&amp;DYN_ARGS=TRUE&amp;DOC_NAME=FAT:FQL_AUDITING_CLIENT_TEMPLATE.FAT&amp;display_string=Audit&amp;VAR:KEY=YPUVKXOLSR&amp;VAR:QUERY=RkZfRU5UUlBSX1ZBTF9EQUlMWSg0MDM2NSwsLCwsJ0RJTCcp&amp;WINDOW=FIRST_POPUP&amp;HEIGHT=450&amp;WIDTH=","450&amp;START_MAXIMIZED=FALSE&amp;VAR:CALENDAR=FIVEDAY&amp;VAR:SYMBOL=B51BL7&amp;VAR:INDEX=0"}</definedName>
    <definedName name="_53__123Graph_XCHART_17" hidden="1">[2]Ocean!$B$8:$V$8</definedName>
    <definedName name="_53__FDSAUDITLINK__" localSheetId="10" hidden="1">{"fdsup://directions/FAT Viewer?action=UPDATE&amp;creator=factset&amp;DYN_ARGS=TRUE&amp;DOC_NAME=FAT:FQL_AUDITING_CLIENT_TEMPLATE.FAT&amp;display_string=Audit&amp;VAR:KEY=QXSXUTKHQD&amp;VAR:QUERY=RkZfRU5UUlBSX1ZBTF9EQUlMWSg0MDM2NSwsLCwsJ0RJTCcp&amp;WINDOW=FIRST_POPUP&amp;HEIGHT=450&amp;WIDTH=","450&amp;START_MAXIMIZED=FALSE&amp;VAR:CALENDAR=FIVEDAY&amp;VAR:SYMBOL=B01JCK&amp;VAR:INDEX=0"}</definedName>
    <definedName name="_53__FDSAUDITLINK__" hidden="1">{"fdsup://directions/FAT Viewer?action=UPDATE&amp;creator=factset&amp;DYN_ARGS=TRUE&amp;DOC_NAME=FAT:FQL_AUDITING_CLIENT_TEMPLATE.FAT&amp;display_string=Audit&amp;VAR:KEY=QXSXUTKHQD&amp;VAR:QUERY=RkZfRU5UUlBSX1ZBTF9EQUlMWSg0MDM2NSwsLCwsJ0RJTCcp&amp;WINDOW=FIRST_POPUP&amp;HEIGHT=450&amp;WIDTH=","450&amp;START_MAXIMIZED=FALSE&amp;VAR:CALENDAR=FIVEDAY&amp;VAR:SYMBOL=B01JCK&amp;VAR:INDEX=0"}</definedName>
    <definedName name="_54__123Graph_XCHART_18" hidden="1">[2]Ocean!$B$8:$V$8</definedName>
    <definedName name="_54__FDSAUDITLINK__" localSheetId="10" hidden="1">{"fdsup://directions/FAT Viewer?action=UPDATE&amp;creator=factset&amp;DYN_ARGS=TRUE&amp;DOC_NAME=FAT:FQL_AUDITING_CLIENT_TEMPLATE.FAT&amp;display_string=Audit&amp;VAR:KEY=AJIHUNYRMR&amp;VAR:QUERY=RkZfRU5UUlBSX1ZBTF9EQUlMWSg0MDM2NSwsLCwsJ0RJTCcp&amp;WINDOW=FIRST_POPUP&amp;HEIGHT=450&amp;WIDTH=","450&amp;START_MAXIMIZED=FALSE&amp;VAR:CALENDAR=FIVEDAY&amp;VAR:SYMBOL=B1YVKN&amp;VAR:INDEX=0"}</definedName>
    <definedName name="_54__FDSAUDITLINK__" hidden="1">{"fdsup://directions/FAT Viewer?action=UPDATE&amp;creator=factset&amp;DYN_ARGS=TRUE&amp;DOC_NAME=FAT:FQL_AUDITING_CLIENT_TEMPLATE.FAT&amp;display_string=Audit&amp;VAR:KEY=AJIHUNYRMR&amp;VAR:QUERY=RkZfRU5UUlBSX1ZBTF9EQUlMWSg0MDM2NSwsLCwsJ0RJTCcp&amp;WINDOW=FIRST_POPUP&amp;HEIGHT=450&amp;WIDTH=","450&amp;START_MAXIMIZED=FALSE&amp;VAR:CALENDAR=FIVEDAY&amp;VAR:SYMBOL=B1YVKN&amp;VAR:INDEX=0"}</definedName>
    <definedName name="_55__123Graph_XCHART_2" hidden="1">[2]Africa!$B$8:$V$8</definedName>
    <definedName name="_55__FDSAUDITLINK__" localSheetId="10" hidden="1">{"fdsup://directions/FAT Viewer?action=UPDATE&amp;creator=factset&amp;DYN_ARGS=TRUE&amp;DOC_NAME=FAT:FQL_AUDITING_CLIENT_TEMPLATE.FAT&amp;display_string=Audit&amp;VAR:KEY=IPSRSDKVGD&amp;VAR:QUERY=RkZfRU5UUlBSX1ZBTF9EQUlMWSg0MDM2NSwsLCwsJ0RJTCcp&amp;WINDOW=FIRST_POPUP&amp;HEIGHT=450&amp;WIDTH=","450&amp;START_MAXIMIZED=FALSE&amp;VAR:CALENDAR=FIVEDAY&amp;VAR:SYMBOL=B4L24Y&amp;VAR:INDEX=0"}</definedName>
    <definedName name="_55__FDSAUDITLINK__" hidden="1">{"fdsup://directions/FAT Viewer?action=UPDATE&amp;creator=factset&amp;DYN_ARGS=TRUE&amp;DOC_NAME=FAT:FQL_AUDITING_CLIENT_TEMPLATE.FAT&amp;display_string=Audit&amp;VAR:KEY=IPSRSDKVGD&amp;VAR:QUERY=RkZfRU5UUlBSX1ZBTF9EQUlMWSg0MDM2NSwsLCwsJ0RJTCcp&amp;WINDOW=FIRST_POPUP&amp;HEIGHT=450&amp;WIDTH=","450&amp;START_MAXIMIZED=FALSE&amp;VAR:CALENDAR=FIVEDAY&amp;VAR:SYMBOL=B4L24Y&amp;VAR:INDEX=0"}</definedName>
    <definedName name="_56__123Graph_XCHART_20" hidden="1">'[2]S Amer'!$B$8:$V$8</definedName>
    <definedName name="_56__FDSAUDITLINK__" localSheetId="10" hidden="1">{"fdsup://directions/FAT Viewer?action=UPDATE&amp;creator=factset&amp;DYN_ARGS=TRUE&amp;DOC_NAME=FAT:FQL_AUDITING_CLIENT_TEMPLATE.FAT&amp;display_string=Audit&amp;VAR:KEY=KDUZQJOFWP&amp;VAR:QUERY=RkZfRU5UUlBSX1ZBTF9EQUlMWSg0MDM2NSwsLCwsJ0RJTCcp&amp;WINDOW=FIRST_POPUP&amp;HEIGHT=450&amp;WIDTH=","450&amp;START_MAXIMIZED=FALSE&amp;VAR:CALENDAR=FIVEDAY&amp;VAR:SYMBOL=B3LVC2&amp;VAR:INDEX=0"}</definedName>
    <definedName name="_56__FDSAUDITLINK__" hidden="1">{"fdsup://directions/FAT Viewer?action=UPDATE&amp;creator=factset&amp;DYN_ARGS=TRUE&amp;DOC_NAME=FAT:FQL_AUDITING_CLIENT_TEMPLATE.FAT&amp;display_string=Audit&amp;VAR:KEY=KDUZQJOFWP&amp;VAR:QUERY=RkZfRU5UUlBSX1ZBTF9EQUlMWSg0MDM2NSwsLCwsJ0RJTCcp&amp;WINDOW=FIRST_POPUP&amp;HEIGHT=450&amp;WIDTH=","450&amp;START_MAXIMIZED=FALSE&amp;VAR:CALENDAR=FIVEDAY&amp;VAR:SYMBOL=B3LVC2&amp;VAR:INDEX=0"}</definedName>
    <definedName name="_57__123Graph_XCHART_21" hidden="1">'[2]S Amer'!$B$8:$V$8</definedName>
    <definedName name="_57__FDSAUDITLINK__" localSheetId="10" hidden="1">{"fdsup://directions/FAT Viewer?action=UPDATE&amp;creator=factset&amp;DYN_ARGS=TRUE&amp;DOC_NAME=FAT:FQL_AUDITING_CLIENT_TEMPLATE.FAT&amp;display_string=Audit&amp;VAR:KEY=CVALMJGTUF&amp;VAR:QUERY=RkZfRU5UUlBSX1ZBTF9EQUlMWSg0MDM2NSwsLCwsJ0RJTCcp&amp;WINDOW=FIRST_POPUP&amp;HEIGHT=450&amp;WIDTH=","450&amp;START_MAXIMIZED=FALSE&amp;VAR:CALENDAR=FIVEDAY&amp;VAR:SYMBOL=B3Z9VV&amp;VAR:INDEX=0"}</definedName>
    <definedName name="_57__FDSAUDITLINK__" hidden="1">{"fdsup://directions/FAT Viewer?action=UPDATE&amp;creator=factset&amp;DYN_ARGS=TRUE&amp;DOC_NAME=FAT:FQL_AUDITING_CLIENT_TEMPLATE.FAT&amp;display_string=Audit&amp;VAR:KEY=CVALMJGTUF&amp;VAR:QUERY=RkZfRU5UUlBSX1ZBTF9EQUlMWSg0MDM2NSwsLCwsJ0RJTCcp&amp;WINDOW=FIRST_POPUP&amp;HEIGHT=450&amp;WIDTH=","450&amp;START_MAXIMIZED=FALSE&amp;VAR:CALENDAR=FIVEDAY&amp;VAR:SYMBOL=B3Z9VV&amp;VAR:INDEX=0"}</definedName>
    <definedName name="_58__123Graph_XCHART_23" hidden="1">'[2]W Eur'!$B$8:$V$8</definedName>
    <definedName name="_58__FDSAUDITLINK__" localSheetId="10" hidden="1">{"fdsup://directions/FAT Viewer?action=UPDATE&amp;creator=factset&amp;DYN_ARGS=TRUE&amp;DOC_NAME=FAT:FQL_AUDITING_CLIENT_TEMPLATE.FAT&amp;display_string=Audit&amp;VAR:KEY=SVIJQHQFWF&amp;VAR:QUERY=RkZfRU5UUlBSX1ZBTF9EQUlMWSg0MDM2NSwsLCxVU0QsJ0RJTCcp&amp;WINDOW=FIRST_POPUP&amp;HEIGHT=450&amp;WI","DTH=450&amp;START_MAXIMIZED=FALSE&amp;VAR:CALENDAR=FIVEDAY&amp;VAR:SYMBOL=B1YVKN&amp;VAR:INDEX=0"}</definedName>
    <definedName name="_58__FDSAUDITLINK__" hidden="1">{"fdsup://directions/FAT Viewer?action=UPDATE&amp;creator=factset&amp;DYN_ARGS=TRUE&amp;DOC_NAME=FAT:FQL_AUDITING_CLIENT_TEMPLATE.FAT&amp;display_string=Audit&amp;VAR:KEY=SVIJQHQFWF&amp;VAR:QUERY=RkZfRU5UUlBSX1ZBTF9EQUlMWSg0MDM2NSwsLCxVU0QsJ0RJTCcp&amp;WINDOW=FIRST_POPUP&amp;HEIGHT=450&amp;WI","DTH=450&amp;START_MAXIMIZED=FALSE&amp;VAR:CALENDAR=FIVEDAY&amp;VAR:SYMBOL=B1YVKN&amp;VAR:INDEX=0"}</definedName>
    <definedName name="_59__123Graph_XCHART_24" hidden="1">'[2]W Eur'!$B$8:$V$8</definedName>
    <definedName name="_59__FDSAUDITLINK__" localSheetId="10" hidden="1">{"fdsup://directions/FAT Viewer?action=UPDATE&amp;creator=factset&amp;DYN_ARGS=TRUE&amp;DOC_NAME=FAT:FQL_AUDITING_CLIENT_TEMPLATE.FAT&amp;display_string=Audit&amp;VAR:KEY=OBQBAHIVQL&amp;VAR:QUERY=RkZfRU5UUlBSX1ZBTF9EQUlMWSg0MDM2NSwsLCxVU0QsJ0RJTCcp&amp;WINDOW=FIRST_POPUP&amp;HEIGHT=450&amp;WI","DTH=450&amp;START_MAXIMIZED=FALSE&amp;VAR:CALENDAR=FIVEDAY&amp;VAR:SYMBOL=B288V4&amp;VAR:INDEX=0"}</definedName>
    <definedName name="_59__FDSAUDITLINK__" hidden="1">{"fdsup://directions/FAT Viewer?action=UPDATE&amp;creator=factset&amp;DYN_ARGS=TRUE&amp;DOC_NAME=FAT:FQL_AUDITING_CLIENT_TEMPLATE.FAT&amp;display_string=Audit&amp;VAR:KEY=OBQBAHIVQL&amp;VAR:QUERY=RkZfRU5UUlBSX1ZBTF9EQUlMWSg0MDM2NSwsLCxVU0QsJ0RJTCcp&amp;WINDOW=FIRST_POPUP&amp;HEIGHT=450&amp;WI","DTH=450&amp;START_MAXIMIZED=FALSE&amp;VAR:CALENDAR=FIVEDAY&amp;VAR:SYMBOL=B288V4&amp;VAR:INDEX=0"}</definedName>
    <definedName name="_6__123Graph_ACHART_14" hidden="1">[2]Mideast!$B$14:$V$14</definedName>
    <definedName name="_6__FDSAUDITLINK__" localSheetId="10" hidden="1">{"fdsup://directions/FAT Viewer?action=UPDATE&amp;creator=factset&amp;DYN_ARGS=TRUE&amp;DOC_NAME=FAT:FQL_AUDITING_CLIENT_TEMPLATE.FAT&amp;display_string=Audit&amp;VAR:KEY=KLSZKFETWB&amp;VAR:QUERY=RkZfRU5UUlBSX1ZBTF9EQUlMWSg0MDM2NiwsLCxVU0QsJ0RJTCcp&amp;WINDOW=FIRST_POPUP&amp;HEIGHT=450&amp;WI","DTH=450&amp;START_MAXIMIZED=FALSE&amp;VAR:CALENDAR=FIVEDAY&amp;VAR:SYMBOL=98849810&amp;VAR:INDEX=0"}</definedName>
    <definedName name="_6__FDSAUDITLINK__" hidden="1">{"fdsup://directions/FAT Viewer?action=UPDATE&amp;creator=factset&amp;DYN_ARGS=TRUE&amp;DOC_NAME=FAT:FQL_AUDITING_CLIENT_TEMPLATE.FAT&amp;display_string=Audit&amp;VAR:KEY=KLSZKFETWB&amp;VAR:QUERY=RkZfRU5UUlBSX1ZBTF9EQUlMWSg0MDM2NiwsLCxVU0QsJ0RJTCcp&amp;WINDOW=FIRST_POPUP&amp;HEIGHT=450&amp;WI","DTH=450&amp;START_MAXIMIZED=FALSE&amp;VAR:CALENDAR=FIVEDAY&amp;VAR:SYMBOL=98849810&amp;VAR:INDEX=0"}</definedName>
    <definedName name="_60__123Graph_XCHART_3" hidden="1">[2]Africa!$B$8:$V$8</definedName>
    <definedName name="_60__FDSAUDITLINK__" localSheetId="10" hidden="1">{"fdsup://directions/FAT Viewer?action=UPDATE&amp;creator=factset&amp;DYN_ARGS=TRUE&amp;DOC_NAME=FAT:FQL_AUDITING_CLIENT_TEMPLATE.FAT&amp;display_string=Audit&amp;VAR:KEY=UDGJCXONCL&amp;VAR:QUERY=RkZfRU5UUlBSX1ZBTF9EQUlMWSg0MDM2NSwsLCxVU0QsJ0RJTCcp&amp;WINDOW=FIRST_POPUP&amp;HEIGHT=450&amp;WI","DTH=450&amp;START_MAXIMIZED=FALSE&amp;VAR:CALENDAR=FIVEDAY&amp;VAR:SYMBOL=658653&amp;VAR:INDEX=0"}</definedName>
    <definedName name="_60__FDSAUDITLINK__" hidden="1">{"fdsup://directions/FAT Viewer?action=UPDATE&amp;creator=factset&amp;DYN_ARGS=TRUE&amp;DOC_NAME=FAT:FQL_AUDITING_CLIENT_TEMPLATE.FAT&amp;display_string=Audit&amp;VAR:KEY=UDGJCXONCL&amp;VAR:QUERY=RkZfRU5UUlBSX1ZBTF9EQUlMWSg0MDM2NSwsLCxVU0QsJ0RJTCcp&amp;WINDOW=FIRST_POPUP&amp;HEIGHT=450&amp;WI","DTH=450&amp;START_MAXIMIZED=FALSE&amp;VAR:CALENDAR=FIVEDAY&amp;VAR:SYMBOL=658653&amp;VAR:INDEX=0"}</definedName>
    <definedName name="_61__123Graph_XCHART_5" hidden="1">'[2]C Amer'!$B$8:$V$8</definedName>
    <definedName name="_61__FDSAUDITLINK__" localSheetId="10" hidden="1">{"fdsup://directions/FAT Viewer?action=UPDATE&amp;creator=factset&amp;DYN_ARGS=TRUE&amp;DOC_NAME=FAT:FQL_AUDITING_CLIENT_TEMPLATE.FAT&amp;display_string=Audit&amp;VAR:KEY=MJIZOLGHUD&amp;VAR:QUERY=RkZfRU5UUlBSX1ZBTF9EQUlMWSg0MDM2NSwsLCxVU0QsJ0RJTCcp&amp;WINDOW=FIRST_POPUP&amp;HEIGHT=450&amp;WI","DTH=450&amp;START_MAXIMIZED=FALSE&amp;VAR:CALENDAR=FIVEDAY&amp;VAR:SYMBOL=B51BL7&amp;VAR:INDEX=0"}</definedName>
    <definedName name="_61__FDSAUDITLINK__" hidden="1">{"fdsup://directions/FAT Viewer?action=UPDATE&amp;creator=factset&amp;DYN_ARGS=TRUE&amp;DOC_NAME=FAT:FQL_AUDITING_CLIENT_TEMPLATE.FAT&amp;display_string=Audit&amp;VAR:KEY=MJIZOLGHUD&amp;VAR:QUERY=RkZfRU5UUlBSX1ZBTF9EQUlMWSg0MDM2NSwsLCxVU0QsJ0RJTCcp&amp;WINDOW=FIRST_POPUP&amp;HEIGHT=450&amp;WI","DTH=450&amp;START_MAXIMIZED=FALSE&amp;VAR:CALENDAR=FIVEDAY&amp;VAR:SYMBOL=B51BL7&amp;VAR:INDEX=0"}</definedName>
    <definedName name="_62__123Graph_XCHART_6" hidden="1">'[2]C Amer'!$B$8:$V$8</definedName>
    <definedName name="_62__FDSAUDITLINK__" localSheetId="10" hidden="1">{"fdsup://directions/FAT Viewer?action=UPDATE&amp;creator=factset&amp;DYN_ARGS=TRUE&amp;DOC_NAME=FAT:FQL_AUDITING_CLIENT_TEMPLATE.FAT&amp;display_string=Audit&amp;VAR:KEY=WPUBOZERAJ&amp;VAR:QUERY=RkZfRU5UUlBSX1ZBTF9EQUlMWSg0MDM2NSwsLCxVU0QsJ0RJTCcp&amp;WINDOW=FIRST_POPUP&amp;HEIGHT=450&amp;WI","DTH=450&amp;START_MAXIMIZED=FALSE&amp;VAR:CALENDAR=FIVEDAY&amp;VAR:SYMBOL=B01JCK&amp;VAR:INDEX=0"}</definedName>
    <definedName name="_62__FDSAUDITLINK__" hidden="1">{"fdsup://directions/FAT Viewer?action=UPDATE&amp;creator=factset&amp;DYN_ARGS=TRUE&amp;DOC_NAME=FAT:FQL_AUDITING_CLIENT_TEMPLATE.FAT&amp;display_string=Audit&amp;VAR:KEY=WPUBOZERAJ&amp;VAR:QUERY=RkZfRU5UUlBSX1ZBTF9EQUlMWSg0MDM2NSwsLCxVU0QsJ0RJTCcp&amp;WINDOW=FIRST_POPUP&amp;HEIGHT=450&amp;WI","DTH=450&amp;START_MAXIMIZED=FALSE&amp;VAR:CALENDAR=FIVEDAY&amp;VAR:SYMBOL=B01JCK&amp;VAR:INDEX=0"}</definedName>
    <definedName name="_63__123Graph_XCHART_8" hidden="1">'[2]E Asia'!$B$8:$V$8</definedName>
    <definedName name="_63__FDSAUDITLINK__" localSheetId="10" hidden="1">{"fdsup://directions/FAT Viewer?action=UPDATE&amp;creator=factset&amp;DYN_ARGS=TRUE&amp;DOC_NAME=FAT:FQL_AUDITING_CLIENT_TEMPLATE.FAT&amp;display_string=Audit&amp;VAR:KEY=SVIJQHQFWF&amp;VAR:QUERY=RkZfRU5UUlBSX1ZBTF9EQUlMWSg0MDM2NSwsLCxVU0QsJ0RJTCcp&amp;WINDOW=FIRST_POPUP&amp;HEIGHT=450&amp;WI","DTH=450&amp;START_MAXIMIZED=FALSE&amp;VAR:CALENDAR=FIVEDAY&amp;VAR:SYMBOL=B1YVKN&amp;VAR:INDEX=0"}</definedName>
    <definedName name="_63__FDSAUDITLINK__" hidden="1">{"fdsup://directions/FAT Viewer?action=UPDATE&amp;creator=factset&amp;DYN_ARGS=TRUE&amp;DOC_NAME=FAT:FQL_AUDITING_CLIENT_TEMPLATE.FAT&amp;display_string=Audit&amp;VAR:KEY=SVIJQHQFWF&amp;VAR:QUERY=RkZfRU5UUlBSX1ZBTF9EQUlMWSg0MDM2NSwsLCxVU0QsJ0RJTCcp&amp;WINDOW=FIRST_POPUP&amp;HEIGHT=450&amp;WI","DTH=450&amp;START_MAXIMIZED=FALSE&amp;VAR:CALENDAR=FIVEDAY&amp;VAR:SYMBOL=B1YVKN&amp;VAR:INDEX=0"}</definedName>
    <definedName name="_64__FDSAUDITLINK__" localSheetId="10" hidden="1">{"fdsup://directions/FAT Viewer?action=UPDATE&amp;creator=factset&amp;DYN_ARGS=TRUE&amp;DOC_NAME=FAT:FQL_AUDITING_CLIENT_TEMPLATE.FAT&amp;display_string=Audit&amp;VAR:KEY=CDSFCNMJOZ&amp;VAR:QUERY=RkZfRU5UUlBSX1ZBTF9EQUlMWSg0MDM2NSwsLCxVU0QsJ0RJTCcp&amp;WINDOW=FIRST_POPUP&amp;HEIGHT=450&amp;WI","DTH=450&amp;START_MAXIMIZED=FALSE&amp;VAR:CALENDAR=FIVEDAY&amp;VAR:SYMBOL=B4L24Y&amp;VAR:INDEX=0"}</definedName>
    <definedName name="_64__FDSAUDITLINK__" hidden="1">{"fdsup://directions/FAT Viewer?action=UPDATE&amp;creator=factset&amp;DYN_ARGS=TRUE&amp;DOC_NAME=FAT:FQL_AUDITING_CLIENT_TEMPLATE.FAT&amp;display_string=Audit&amp;VAR:KEY=CDSFCNMJOZ&amp;VAR:QUERY=RkZfRU5UUlBSX1ZBTF9EQUlMWSg0MDM2NSwsLCxVU0QsJ0RJTCcp&amp;WINDOW=FIRST_POPUP&amp;HEIGHT=450&amp;WI","DTH=450&amp;START_MAXIMIZED=FALSE&amp;VAR:CALENDAR=FIVEDAY&amp;VAR:SYMBOL=B4L24Y&amp;VAR:INDEX=0"}</definedName>
    <definedName name="_64_0_0Cwvu.GREY_A" localSheetId="37" hidden="1">[6]TargIS!#REF!</definedName>
    <definedName name="_64_0_0Cwvu.GREY_A" localSheetId="38" hidden="1">[6]TargIS!#REF!</definedName>
    <definedName name="_64_0_0Cwvu.GREY_A" localSheetId="4" hidden="1">[6]TargIS!#REF!</definedName>
    <definedName name="_64_0_0Cwvu.GREY_A" localSheetId="46" hidden="1">[6]TargIS!#REF!</definedName>
    <definedName name="_64_0_0Cwvu.GREY_A" localSheetId="50" hidden="1">[7]TargIS!#REF!</definedName>
    <definedName name="_64_0_0Cwvu.GREY_A" localSheetId="41" hidden="1">[6]TargIS!#REF!</definedName>
    <definedName name="_64_0_0Cwvu.GREY_A" localSheetId="15" hidden="1">[6]TargIS!#REF!</definedName>
    <definedName name="_64_0_0Cwvu.GREY_A" localSheetId="17" hidden="1">[6]TargIS!#REF!</definedName>
    <definedName name="_64_0_0Cwvu.GREY_A" localSheetId="30" hidden="1">[6]TargIS!#REF!</definedName>
    <definedName name="_64_0_0Cwvu.GREY_A" localSheetId="42" hidden="1">[6]TargIS!#REF!</definedName>
    <definedName name="_64_0_0Cwvu.GREY_A" hidden="1">[6]TargIS!#REF!</definedName>
    <definedName name="_65__FDSAUDITLINK__" localSheetId="10" hidden="1">{"fdsup://directions/FAT Viewer?action=UPDATE&amp;creator=factset&amp;DYN_ARGS=TRUE&amp;DOC_NAME=FAT:FQL_AUDITING_CLIENT_TEMPLATE.FAT&amp;display_string=Audit&amp;VAR:KEY=UZOXMHYZWF&amp;VAR:QUERY=RkZfRU5UUlBSX1ZBTF9EQUlMWSg0MDM2NSwsLCxVU0QsJ0RJTCcp&amp;WINDOW=FIRST_POPUP&amp;HEIGHT=450&amp;WI","DTH=450&amp;START_MAXIMIZED=FALSE&amp;VAR:CALENDAR=FIVEDAY&amp;VAR:SYMBOL=B3LVC2&amp;VAR:INDEX=0"}</definedName>
    <definedName name="_65__FDSAUDITLINK__" hidden="1">{"fdsup://directions/FAT Viewer?action=UPDATE&amp;creator=factset&amp;DYN_ARGS=TRUE&amp;DOC_NAME=FAT:FQL_AUDITING_CLIENT_TEMPLATE.FAT&amp;display_string=Audit&amp;VAR:KEY=UZOXMHYZWF&amp;VAR:QUERY=RkZfRU5UUlBSX1ZBTF9EQUlMWSg0MDM2NSwsLCxVU0QsJ0RJTCcp&amp;WINDOW=FIRST_POPUP&amp;HEIGHT=450&amp;WI","DTH=450&amp;START_MAXIMIZED=FALSE&amp;VAR:CALENDAR=FIVEDAY&amp;VAR:SYMBOL=B3LVC2&amp;VAR:INDEX=0"}</definedName>
    <definedName name="_66__FDSAUDITLINK__" localSheetId="10" hidden="1">{"fdsup://directions/FAT Viewer?action=UPDATE&amp;creator=factset&amp;DYN_ARGS=TRUE&amp;DOC_NAME=FAT:FQL_AUDITING_CLIENT_TEMPLATE.FAT&amp;display_string=Audit&amp;VAR:KEY=SFWLIZCFIN&amp;VAR:QUERY=RkZfRU5UUlBSX1ZBTF9EQUlMWSg0MDM2NSwsLCxVU0QsJ0RJTCcp&amp;WINDOW=FIRST_POPUP&amp;HEIGHT=450&amp;WI","DTH=450&amp;START_MAXIMIZED=FALSE&amp;VAR:CALENDAR=FIVEDAY&amp;VAR:SYMBOL=B3Z9VV&amp;VAR:INDEX=0"}</definedName>
    <definedName name="_66__FDSAUDITLINK__" hidden="1">{"fdsup://directions/FAT Viewer?action=UPDATE&amp;creator=factset&amp;DYN_ARGS=TRUE&amp;DOC_NAME=FAT:FQL_AUDITING_CLIENT_TEMPLATE.FAT&amp;display_string=Audit&amp;VAR:KEY=SFWLIZCFIN&amp;VAR:QUERY=RkZfRU5UUlBSX1ZBTF9EQUlMWSg0MDM2NSwsLCxVU0QsJ0RJTCcp&amp;WINDOW=FIRST_POPUP&amp;HEIGHT=450&amp;WI","DTH=450&amp;START_MAXIMIZED=FALSE&amp;VAR:CALENDAR=FIVEDAY&amp;VAR:SYMBOL=B3Z9VV&amp;VAR:INDEX=0"}</definedName>
    <definedName name="_67__FDSAUDITLINK__" localSheetId="10" hidden="1">{"fdsup://directions/FAT Viewer?action=UPDATE&amp;creator=factset&amp;DYN_ARGS=TRUE&amp;DOC_NAME=FAT:FQL_AUDITING_CLIENT_TEMPLATE.FAT&amp;display_string=Audit&amp;VAR:KEY=FGZUXCZGDO&amp;VAR:QUERY=RkZfRU5UUlBSX1ZBTF9EQUlMWSg0MDM2NSwsLCwsJ0RJTCcp&amp;WINDOW=FIRST_POPUP&amp;HEIGHT=450&amp;WIDTH=","450&amp;START_MAXIMIZED=FALSE&amp;VAR:CALENDAR=FIVEDAY&amp;VAR:SYMBOL=669615&amp;VAR:INDEX=0"}</definedName>
    <definedName name="_67__FDSAUDITLINK__" hidden="1">{"fdsup://directions/FAT Viewer?action=UPDATE&amp;creator=factset&amp;DYN_ARGS=TRUE&amp;DOC_NAME=FAT:FQL_AUDITING_CLIENT_TEMPLATE.FAT&amp;display_string=Audit&amp;VAR:KEY=FGZUXCZGDO&amp;VAR:QUERY=RkZfRU5UUlBSX1ZBTF9EQUlMWSg0MDM2NSwsLCwsJ0RJTCcp&amp;WINDOW=FIRST_POPUP&amp;HEIGHT=450&amp;WIDTH=","450&amp;START_MAXIMIZED=FALSE&amp;VAR:CALENDAR=FIVEDAY&amp;VAR:SYMBOL=669615&amp;VAR:INDEX=0"}</definedName>
    <definedName name="_68__FDSAUDITLINK__" localSheetId="10" hidden="1">{"fdsup://directions/FAT Viewer?action=UPDATE&amp;creator=factset&amp;DYN_ARGS=TRUE&amp;DOC_NAME=FAT:FQL_AUDITING_CLIENT_TEMPLATE.FAT&amp;display_string=Audit&amp;VAR:KEY=HOBGJYXWRQ&amp;VAR:QUERY=RkZfRU5UUlBSX1ZBTF9EQUlMWSg0MDM2NSwsLCxVU0QsJ0RJTCcp&amp;WINDOW=FIRST_POPUP&amp;HEIGHT=450&amp;WI","DTH=450&amp;START_MAXIMIZED=FALSE&amp;VAR:CALENDAR=FIVEDAY&amp;VAR:SYMBOL=669615&amp;VAR:INDEX=0"}</definedName>
    <definedName name="_68__FDSAUDITLINK__" hidden="1">{"fdsup://directions/FAT Viewer?action=UPDATE&amp;creator=factset&amp;DYN_ARGS=TRUE&amp;DOC_NAME=FAT:FQL_AUDITING_CLIENT_TEMPLATE.FAT&amp;display_string=Audit&amp;VAR:KEY=HOBGJYXWRQ&amp;VAR:QUERY=RkZfRU5UUlBSX1ZBTF9EQUlMWSg0MDM2NSwsLCxVU0QsJ0RJTCcp&amp;WINDOW=FIRST_POPUP&amp;HEIGHT=450&amp;WI","DTH=450&amp;START_MAXIMIZED=FALSE&amp;VAR:CALENDAR=FIVEDAY&amp;VAR:SYMBOL=669615&amp;VAR:INDEX=0"}</definedName>
    <definedName name="_69__FDSAUDITLINK__" localSheetId="10" hidden="1">{"fdsup://directions/FAT Viewer?action=UPDATE&amp;creator=factset&amp;DYN_ARGS=TRUE&amp;DOC_NAME=FAT:FQL_AUDITING_CLIENT_TEMPLATE.FAT&amp;display_string=Audit&amp;VAR:KEY=AXIBKVCFQL&amp;VAR:QUERY=RkZfRU5UUlBSX1ZBTF9EQUlMWSg0MDM2NSwsLCwsJ0RJTCcp&amp;WINDOW=FIRST_POPUP&amp;HEIGHT=450&amp;WIDTH=","450&amp;START_MAXIMIZED=FALSE&amp;VAR:CALENDAR=FIVEDAY&amp;VAR:SYMBOL=506472&amp;VAR:INDEX=0"}</definedName>
    <definedName name="_69__FDSAUDITLINK__" hidden="1">{"fdsup://directions/FAT Viewer?action=UPDATE&amp;creator=factset&amp;DYN_ARGS=TRUE&amp;DOC_NAME=FAT:FQL_AUDITING_CLIENT_TEMPLATE.FAT&amp;display_string=Audit&amp;VAR:KEY=AXIBKVCFQL&amp;VAR:QUERY=RkZfRU5UUlBSX1ZBTF9EQUlMWSg0MDM2NSwsLCwsJ0RJTCcp&amp;WINDOW=FIRST_POPUP&amp;HEIGHT=450&amp;WIDTH=","450&amp;START_MAXIMIZED=FALSE&amp;VAR:CALENDAR=FIVEDAY&amp;VAR:SYMBOL=506472&amp;VAR:INDEX=0"}</definedName>
    <definedName name="_7__123Graph_ACHART_15" hidden="1">[2]Mideast!$B$28:$V$28</definedName>
    <definedName name="_7__FDSAUDITLINK__" localSheetId="10" hidden="1">{"fdsup://directions/FAT Viewer?action=UPDATE&amp;creator=factset&amp;DYN_ARGS=TRUE&amp;DOC_NAME=FAT:FQL_AUDITING_CLIENT_TEMPLATE.FAT&amp;display_string=Audit&amp;VAR:KEY=WFALUTYBGP&amp;VAR:QUERY=RkZfRU5UUlBSX1ZBTF9EQUlMWSg0MDM2NiwsLCwsJ0RJTCcp&amp;WINDOW=FIRST_POPUP&amp;HEIGHT=450&amp;WIDTH=","450&amp;START_MAXIMIZED=FALSE&amp;VAR:CALENDAR=FIVEDAY&amp;VAR:SYMBOL=85524410&amp;VAR:INDEX=0"}</definedName>
    <definedName name="_7__FDSAUDITLINK__" hidden="1">{"fdsup://directions/FAT Viewer?action=UPDATE&amp;creator=factset&amp;DYN_ARGS=TRUE&amp;DOC_NAME=FAT:FQL_AUDITING_CLIENT_TEMPLATE.FAT&amp;display_string=Audit&amp;VAR:KEY=WFALUTYBGP&amp;VAR:QUERY=RkZfRU5UUlBSX1ZBTF9EQUlMWSg0MDM2NiwsLCwsJ0RJTCcp&amp;WINDOW=FIRST_POPUP&amp;HEIGHT=450&amp;WIDTH=","450&amp;START_MAXIMIZED=FALSE&amp;VAR:CALENDAR=FIVEDAY&amp;VAR:SYMBOL=85524410&amp;VAR:INDEX=0"}</definedName>
    <definedName name="_70__FDSAUDITLINK__" localSheetId="10" hidden="1">{"fdsup://directions/FAT Viewer?action=UPDATE&amp;creator=factset&amp;DYN_ARGS=TRUE&amp;DOC_NAME=FAT:FQL_AUDITING_CLIENT_TEMPLATE.FAT&amp;display_string=Audit&amp;VAR:KEY=MXUPYJUFYL&amp;VAR:QUERY=RkZfRU5UUlBSX1ZBTF9EQUlMWSg0MDM2NSwsLCwsJ0RJTCcp&amp;WINDOW=FIRST_POPUP&amp;HEIGHT=450&amp;WIDTH=","450&amp;START_MAXIMIZED=FALSE&amp;VAR:CALENDAR=FIVEDAY&amp;VAR:SYMBOL=403197&amp;VAR:INDEX=0"}</definedName>
    <definedName name="_70__FDSAUDITLINK__" hidden="1">{"fdsup://directions/FAT Viewer?action=UPDATE&amp;creator=factset&amp;DYN_ARGS=TRUE&amp;DOC_NAME=FAT:FQL_AUDITING_CLIENT_TEMPLATE.FAT&amp;display_string=Audit&amp;VAR:KEY=MXUPYJUFYL&amp;VAR:QUERY=RkZfRU5UUlBSX1ZBTF9EQUlMWSg0MDM2NSwsLCwsJ0RJTCcp&amp;WINDOW=FIRST_POPUP&amp;HEIGHT=450&amp;WIDTH=","450&amp;START_MAXIMIZED=FALSE&amp;VAR:CALENDAR=FIVEDAY&amp;VAR:SYMBOL=403197&amp;VAR:INDEX=0"}</definedName>
    <definedName name="_71__FDSAUDITLINK__" localSheetId="10" hidden="1">{"fdsup://directions/FAT Viewer?action=UPDATE&amp;creator=factset&amp;DYN_ARGS=TRUE&amp;DOC_NAME=FAT:FQL_AUDITING_CLIENT_TEMPLATE.FAT&amp;display_string=Audit&amp;VAR:KEY=OVCFAVYZWD&amp;VAR:QUERY=RkZfRU5UUlBSX1ZBTF9EQUlMWSg0MDM2NSwsLCwsJ0RJTCcp&amp;WINDOW=FIRST_POPUP&amp;HEIGHT=450&amp;WIDTH=","450&amp;START_MAXIMIZED=FALSE&amp;VAR:CALENDAR=FIVEDAY&amp;VAR:SYMBOL=NIKE-USA&amp;VAR:INDEX=0"}</definedName>
    <definedName name="_71__FDSAUDITLINK__" hidden="1">{"fdsup://directions/FAT Viewer?action=UPDATE&amp;creator=factset&amp;DYN_ARGS=TRUE&amp;DOC_NAME=FAT:FQL_AUDITING_CLIENT_TEMPLATE.FAT&amp;display_string=Audit&amp;VAR:KEY=OVCFAVYZWD&amp;VAR:QUERY=RkZfRU5UUlBSX1ZBTF9EQUlMWSg0MDM2NSwsLCwsJ0RJTCcp&amp;WINDOW=FIRST_POPUP&amp;HEIGHT=450&amp;WIDTH=","450&amp;START_MAXIMIZED=FALSE&amp;VAR:CALENDAR=FIVEDAY&amp;VAR:SYMBOL=NIKE-USA&amp;VAR:INDEX=0"}</definedName>
    <definedName name="_72__FDSAUDITLINK__" localSheetId="10" hidden="1">{"fdsup://directions/FAT Viewer?action=UPDATE&amp;creator=factset&amp;DYN_ARGS=TRUE&amp;DOC_NAME=FAT:FQL_AUDITING_CLIENT_TEMPLATE.FAT&amp;display_string=Audit&amp;VAR:KEY=ULEJAHKDUB&amp;VAR:QUERY=RkZfRU5UUlBSX1ZBTF9EQUlMWSg0MDM2NSwsLCwsJ0RJTCcp&amp;WINDOW=FIRST_POPUP&amp;HEIGHT=450&amp;WIDTH=","450&amp;START_MAXIMIZED=FALSE&amp;VAR:CALENDAR=FIVEDAY&amp;VAR:SYMBOL=605737&amp;VAR:INDEX=0"}</definedName>
    <definedName name="_72__FDSAUDITLINK__" hidden="1">{"fdsup://directions/FAT Viewer?action=UPDATE&amp;creator=factset&amp;DYN_ARGS=TRUE&amp;DOC_NAME=FAT:FQL_AUDITING_CLIENT_TEMPLATE.FAT&amp;display_string=Audit&amp;VAR:KEY=ULEJAHKDUB&amp;VAR:QUERY=RkZfRU5UUlBSX1ZBTF9EQUlMWSg0MDM2NSwsLCwsJ0RJTCcp&amp;WINDOW=FIRST_POPUP&amp;HEIGHT=450&amp;WIDTH=","450&amp;START_MAXIMIZED=FALSE&amp;VAR:CALENDAR=FIVEDAY&amp;VAR:SYMBOL=605737&amp;VAR:INDEX=0"}</definedName>
    <definedName name="_73__FDSAUDITLINK__" localSheetId="10" hidden="1">{"fdsup://directions/FAT Viewer?action=UPDATE&amp;creator=factset&amp;DYN_ARGS=TRUE&amp;DOC_NAME=FAT:FQL_AUDITING_CLIENT_TEMPLATE.FAT&amp;display_string=Audit&amp;VAR:KEY=GBSPKJYXGJ&amp;VAR:QUERY=RkZfRU5UUlBSX1ZBTF9EQUlMWSg0MDM2NSwsLCxVU0QsJ0RJTCcp&amp;WINDOW=FIRST_POPUP&amp;HEIGHT=450&amp;WI","DTH=450&amp;START_MAXIMIZED=FALSE&amp;VAR:CALENDAR=FIVEDAY&amp;VAR:SYMBOL=506472&amp;VAR:INDEX=0"}</definedName>
    <definedName name="_73__FDSAUDITLINK__" hidden="1">{"fdsup://directions/FAT Viewer?action=UPDATE&amp;creator=factset&amp;DYN_ARGS=TRUE&amp;DOC_NAME=FAT:FQL_AUDITING_CLIENT_TEMPLATE.FAT&amp;display_string=Audit&amp;VAR:KEY=GBSPKJYXGJ&amp;VAR:QUERY=RkZfRU5UUlBSX1ZBTF9EQUlMWSg0MDM2NSwsLCxVU0QsJ0RJTCcp&amp;WINDOW=FIRST_POPUP&amp;HEIGHT=450&amp;WI","DTH=450&amp;START_MAXIMIZED=FALSE&amp;VAR:CALENDAR=FIVEDAY&amp;VAR:SYMBOL=506472&amp;VAR:INDEX=0"}</definedName>
    <definedName name="_74__FDSAUDITLINK__" localSheetId="10" hidden="1">{"fdsup://directions/FAT Viewer?action=UPDATE&amp;creator=factset&amp;DYN_ARGS=TRUE&amp;DOC_NAME=FAT:FQL_AUDITING_CLIENT_TEMPLATE.FAT&amp;display_string=Audit&amp;VAR:KEY=UZSTYDAXAF&amp;VAR:QUERY=RkZfRU5UUlBSX1ZBTF9EQUlMWSg0MDM2NSwsLCxVU0QsJ0RJTCcp&amp;WINDOW=FIRST_POPUP&amp;HEIGHT=450&amp;WI","DTH=450&amp;START_MAXIMIZED=FALSE&amp;VAR:CALENDAR=FIVEDAY&amp;VAR:SYMBOL=403197&amp;VAR:INDEX=0"}</definedName>
    <definedName name="_74__FDSAUDITLINK__" hidden="1">{"fdsup://directions/FAT Viewer?action=UPDATE&amp;creator=factset&amp;DYN_ARGS=TRUE&amp;DOC_NAME=FAT:FQL_AUDITING_CLIENT_TEMPLATE.FAT&amp;display_string=Audit&amp;VAR:KEY=UZSTYDAXAF&amp;VAR:QUERY=RkZfRU5UUlBSX1ZBTF9EQUlMWSg0MDM2NSwsLCxVU0QsJ0RJTCcp&amp;WINDOW=FIRST_POPUP&amp;HEIGHT=450&amp;WI","DTH=450&amp;START_MAXIMIZED=FALSE&amp;VAR:CALENDAR=FIVEDAY&amp;VAR:SYMBOL=403197&amp;VAR:INDEX=0"}</definedName>
    <definedName name="_75__FDSAUDITLINK__" localSheetId="10" hidden="1">{"fdsup://directions/FAT Viewer?action=UPDATE&amp;creator=factset&amp;DYN_ARGS=TRUE&amp;DOC_NAME=FAT:FQL_AUDITING_CLIENT_TEMPLATE.FAT&amp;display_string=Audit&amp;VAR:KEY=GRADAJEFET&amp;VAR:QUERY=RkZfRU5UUlBSX1ZBTF9EQUlMWSg0MDM2NSwsLCxVU0QsJ0RJTCcp&amp;WINDOW=FIRST_POPUP&amp;HEIGHT=450&amp;WI","DTH=450&amp;START_MAXIMIZED=FALSE&amp;VAR:CALENDAR=FIVEDAY&amp;VAR:SYMBOL=NIKE-USA&amp;VAR:INDEX=0"}</definedName>
    <definedName name="_75__FDSAUDITLINK__" hidden="1">{"fdsup://directions/FAT Viewer?action=UPDATE&amp;creator=factset&amp;DYN_ARGS=TRUE&amp;DOC_NAME=FAT:FQL_AUDITING_CLIENT_TEMPLATE.FAT&amp;display_string=Audit&amp;VAR:KEY=GRADAJEFET&amp;VAR:QUERY=RkZfRU5UUlBSX1ZBTF9EQUlMWSg0MDM2NSwsLCxVU0QsJ0RJTCcp&amp;WINDOW=FIRST_POPUP&amp;HEIGHT=450&amp;WI","DTH=450&amp;START_MAXIMIZED=FALSE&amp;VAR:CALENDAR=FIVEDAY&amp;VAR:SYMBOL=NIKE-USA&amp;VAR:INDEX=0"}</definedName>
    <definedName name="_76__FDSAUDITLINK__" localSheetId="10" hidden="1">{"fdsup://directions/FAT Viewer?action=UPDATE&amp;creator=factset&amp;DYN_ARGS=TRUE&amp;DOC_NAME=FAT:FQL_AUDITING_CLIENT_TEMPLATE.FAT&amp;display_string=Audit&amp;VAR:KEY=CLOJEDEHSF&amp;VAR:QUERY=RkZfRU5UUlBSX1ZBTF9EQUlMWSg0MDM2NSwsLCxVU0QsJ0RJTCcp&amp;WINDOW=FIRST_POPUP&amp;HEIGHT=450&amp;WI","DTH=450&amp;START_MAXIMIZED=FALSE&amp;VAR:CALENDAR=FIVEDAY&amp;VAR:SYMBOL=605737&amp;VAR:INDEX=0"}</definedName>
    <definedName name="_76__FDSAUDITLINK__" hidden="1">{"fdsup://directions/FAT Viewer?action=UPDATE&amp;creator=factset&amp;DYN_ARGS=TRUE&amp;DOC_NAME=FAT:FQL_AUDITING_CLIENT_TEMPLATE.FAT&amp;display_string=Audit&amp;VAR:KEY=CLOJEDEHSF&amp;VAR:QUERY=RkZfRU5UUlBSX1ZBTF9EQUlMWSg0MDM2NSwsLCxVU0QsJ0RJTCcp&amp;WINDOW=FIRST_POPUP&amp;HEIGHT=450&amp;WI","DTH=450&amp;START_MAXIMIZED=FALSE&amp;VAR:CALENDAR=FIVEDAY&amp;VAR:SYMBOL=605737&amp;VAR:INDEX=0"}</definedName>
    <definedName name="_77__FDSAUDITLINK__" localSheetId="10" hidden="1">{"fdsup://directions/FAT Viewer?action=UPDATE&amp;creator=factset&amp;DYN_ARGS=TRUE&amp;DOC_NAME=FAT:FQL_AUDITING_CLIENT_TEMPLATE.FAT&amp;display_string=Audit&amp;VAR:KEY=CVYZYNALSJ&amp;VAR:QUERY=RkZfRU5UUlBSX1ZBTF9EQUlMWSg0MDM2NSwsLCwsJ0RJTCcp&amp;WINDOW=FIRST_POPUP&amp;HEIGHT=450&amp;WIDTH=","450&amp;START_MAXIMIZED=FALSE&amp;VAR:CALENDAR=FIVEDAY&amp;VAR:SYMBOL=NIKE-US&amp;VAR:INDEX=0"}</definedName>
    <definedName name="_77__FDSAUDITLINK__" hidden="1">{"fdsup://directions/FAT Viewer?action=UPDATE&amp;creator=factset&amp;DYN_ARGS=TRUE&amp;DOC_NAME=FAT:FQL_AUDITING_CLIENT_TEMPLATE.FAT&amp;display_string=Audit&amp;VAR:KEY=CVYZYNALSJ&amp;VAR:QUERY=RkZfRU5UUlBSX1ZBTF9EQUlMWSg0MDM2NSwsLCwsJ0RJTCcp&amp;WINDOW=FIRST_POPUP&amp;HEIGHT=450&amp;WIDTH=","450&amp;START_MAXIMIZED=FALSE&amp;VAR:CALENDAR=FIVEDAY&amp;VAR:SYMBOL=NIKE-US&amp;VAR:INDEX=0"}</definedName>
    <definedName name="_78__FDSAUDITLINK__" localSheetId="10" hidden="1">{"fdsup://directions/FAT Viewer?action=UPDATE&amp;creator=factset&amp;DYN_ARGS=TRUE&amp;DOC_NAME=FAT:FQL_AUDITING_CLIENT_TEMPLATE.FAT&amp;display_string=Audit&amp;VAR:KEY=UHKLOBWDYJ&amp;VAR:QUERY=RkZfRU5UUlBSX1ZBTF9EQUlMWSg0MDM2NSwsLCxVU0QsJ0RJTCcp&amp;WINDOW=FIRST_POPUP&amp;HEIGHT=450&amp;WI","DTH=450&amp;START_MAXIMIZED=FALSE&amp;VAR:CALENDAR=FIVEDAY&amp;VAR:SYMBOL=NIKE-US&amp;VAR:INDEX=0"}</definedName>
    <definedName name="_78__FDSAUDITLINK__" hidden="1">{"fdsup://directions/FAT Viewer?action=UPDATE&amp;creator=factset&amp;DYN_ARGS=TRUE&amp;DOC_NAME=FAT:FQL_AUDITING_CLIENT_TEMPLATE.FAT&amp;display_string=Audit&amp;VAR:KEY=UHKLOBWDYJ&amp;VAR:QUERY=RkZfRU5UUlBSX1ZBTF9EQUlMWSg0MDM2NSwsLCxVU0QsJ0RJTCcp&amp;WINDOW=FIRST_POPUP&amp;HEIGHT=450&amp;WI","DTH=450&amp;START_MAXIMIZED=FALSE&amp;VAR:CALENDAR=FIVEDAY&amp;VAR:SYMBOL=NIKE-US&amp;VAR:INDEX=0"}</definedName>
    <definedName name="_79__FDSAUDITLINK__" localSheetId="10" hidden="1">{"fdsup://directions/FAT Viewer?action=UPDATE&amp;creator=factset&amp;DYN_ARGS=TRUE&amp;DOC_NAME=FAT:FQL_AUDITING_CLIENT_TEMPLATE.FAT&amp;display_string=Audit&amp;VAR:KEY=TQZQVSVCRU&amp;VAR:QUERY=RkZfRU5UUlBSX1ZBTF9EQUlMWSg0MDM2NSwsLCwsJ0RJTCcp&amp;WINDOW=FIRST_POPUP&amp;HEIGHT=450&amp;WIDTH=","450&amp;START_MAXIMIZED=FALSE&amp;VAR:CALENDAR=FIVEDAY&amp;VAR:SYMBOL=65410610&amp;VAR:INDEX=0"}</definedName>
    <definedName name="_79__FDSAUDITLINK__" hidden="1">{"fdsup://directions/FAT Viewer?action=UPDATE&amp;creator=factset&amp;DYN_ARGS=TRUE&amp;DOC_NAME=FAT:FQL_AUDITING_CLIENT_TEMPLATE.FAT&amp;display_string=Audit&amp;VAR:KEY=TQZQVSVCRU&amp;VAR:QUERY=RkZfRU5UUlBSX1ZBTF9EQUlMWSg0MDM2NSwsLCwsJ0RJTCcp&amp;WINDOW=FIRST_POPUP&amp;HEIGHT=450&amp;WIDTH=","450&amp;START_MAXIMIZED=FALSE&amp;VAR:CALENDAR=FIVEDAY&amp;VAR:SYMBOL=65410610&amp;VAR:INDEX=0"}</definedName>
    <definedName name="_8__123Graph_ACHART_16" hidden="1">[2]Ocean!$B$19:$V$19</definedName>
    <definedName name="_8__FDSAUDITLINK__" localSheetId="10" hidden="1">{"fdsup://directions/FAT Viewer?action=UPDATE&amp;creator=factset&amp;DYN_ARGS=TRUE&amp;DOC_NAME=FAT:FQL_AUDITING_CLIENT_TEMPLATE.FAT&amp;display_string=Audit&amp;VAR:KEY=ODYHONQXAZ&amp;VAR:QUERY=RkZfRU5UUlBSX1ZBTF9EQUlMWSg0MDM2NiwsLCxVU0QsJ0RJTCcp&amp;WINDOW=FIRST_POPUP&amp;HEIGHT=450&amp;WI","DTH=450&amp;START_MAXIMIZED=FALSE&amp;VAR:CALENDAR=FIVEDAY&amp;VAR:SYMBOL=85524410&amp;VAR:INDEX=0"}</definedName>
    <definedName name="_8__FDSAUDITLINK__" hidden="1">{"fdsup://directions/FAT Viewer?action=UPDATE&amp;creator=factset&amp;DYN_ARGS=TRUE&amp;DOC_NAME=FAT:FQL_AUDITING_CLIENT_TEMPLATE.FAT&amp;display_string=Audit&amp;VAR:KEY=ODYHONQXAZ&amp;VAR:QUERY=RkZfRU5UUlBSX1ZBTF9EQUlMWSg0MDM2NiwsLCxVU0QsJ0RJTCcp&amp;WINDOW=FIRST_POPUP&amp;HEIGHT=450&amp;WI","DTH=450&amp;START_MAXIMIZED=FALSE&amp;VAR:CALENDAR=FIVEDAY&amp;VAR:SYMBOL=85524410&amp;VAR:INDEX=0"}</definedName>
    <definedName name="_80__FDSAUDITLINK__" localSheetId="10" hidden="1">{"fdsup://directions/FAT Viewer?action=UPDATE&amp;creator=factset&amp;DYN_ARGS=TRUE&amp;DOC_NAME=FAT:FQL_AUDITING_CLIENT_TEMPLATE.FAT&amp;display_string=Audit&amp;VAR:KEY=DYFMDWRGXE&amp;VAR:QUERY=RkZfRU5UUlBSX1ZBTF9EQUlMWSg0MDM2NSwsLCxVU0QsJ0RJTCcp&amp;WINDOW=FIRST_POPUP&amp;HEIGHT=450&amp;WI","DTH=450&amp;START_MAXIMIZED=FALSE&amp;VAR:CALENDAR=FIVEDAY&amp;VAR:SYMBOL=65410610&amp;VAR:INDEX=0"}</definedName>
    <definedName name="_80__FDSAUDITLINK__" hidden="1">{"fdsup://directions/FAT Viewer?action=UPDATE&amp;creator=factset&amp;DYN_ARGS=TRUE&amp;DOC_NAME=FAT:FQL_AUDITING_CLIENT_TEMPLATE.FAT&amp;display_string=Audit&amp;VAR:KEY=DYFMDWRGXE&amp;VAR:QUERY=RkZfRU5UUlBSX1ZBTF9EQUlMWSg0MDM2NSwsLCxVU0QsJ0RJTCcp&amp;WINDOW=FIRST_POPUP&amp;HEIGHT=450&amp;WI","DTH=450&amp;START_MAXIMIZED=FALSE&amp;VAR:CALENDAR=FIVEDAY&amp;VAR:SYMBOL=65410610&amp;VAR:INDEX=0"}</definedName>
    <definedName name="_81__FDSAUDITLINK__" localSheetId="10" hidden="1">{"fdsup://directions/FAT Viewer?action=UPDATE&amp;creator=factset&amp;DYN_ARGS=TRUE&amp;DOC_NAME=FAT:FQL_AUDITING_CLIENT_TEMPLATE.FAT&amp;display_string=Audit&amp;VAR:KEY=HWFIDITOJC&amp;VAR:QUERY=RkZfRU5UUlBSX1ZBTF9EQUlMWSg0MDM2NSwsLCwsJ0RJTCcp&amp;WINDOW=FIRST_POPUP&amp;HEIGHT=450&amp;WIDTH=","450&amp;START_MAXIMIZED=FALSE&amp;VAR:CALENDAR=FIVEDAY&amp;VAR:SYMBOL=506472&amp;VAR:INDEX=0"}</definedName>
    <definedName name="_81__FDSAUDITLINK__" hidden="1">{"fdsup://directions/FAT Viewer?action=UPDATE&amp;creator=factset&amp;DYN_ARGS=TRUE&amp;DOC_NAME=FAT:FQL_AUDITING_CLIENT_TEMPLATE.FAT&amp;display_string=Audit&amp;VAR:KEY=HWFIDITOJC&amp;VAR:QUERY=RkZfRU5UUlBSX1ZBTF9EQUlMWSg0MDM2NSwsLCwsJ0RJTCcp&amp;WINDOW=FIRST_POPUP&amp;HEIGHT=450&amp;WIDTH=","450&amp;START_MAXIMIZED=FALSE&amp;VAR:CALENDAR=FIVEDAY&amp;VAR:SYMBOL=506472&amp;VAR:INDEX=0"}</definedName>
    <definedName name="_82__FDSAUDITLINK__" localSheetId="10" hidden="1">{"fdsup://directions/FAT Viewer?action=UPDATE&amp;creator=factset&amp;DYN_ARGS=TRUE&amp;DOC_NAME=FAT:FQL_AUDITING_CLIENT_TEMPLATE.FAT&amp;display_string=Audit&amp;VAR:KEY=TCNOLYHYVK&amp;VAR:QUERY=RkZfRU5UUlBSX1ZBTF9EQUlMWSg0MDM2NSwsLCwsJ0RJTCcp&amp;WINDOW=FIRST_POPUP&amp;HEIGHT=450&amp;WIDTH=","450&amp;START_MAXIMIZED=FALSE&amp;VAR:CALENDAR=FIVEDAY&amp;VAR:SYMBOL=403197&amp;VAR:INDEX=0"}</definedName>
    <definedName name="_82__FDSAUDITLINK__" hidden="1">{"fdsup://directions/FAT Viewer?action=UPDATE&amp;creator=factset&amp;DYN_ARGS=TRUE&amp;DOC_NAME=FAT:FQL_AUDITING_CLIENT_TEMPLATE.FAT&amp;display_string=Audit&amp;VAR:KEY=TCNOLYHYVK&amp;VAR:QUERY=RkZfRU5UUlBSX1ZBTF9EQUlMWSg0MDM2NSwsLCwsJ0RJTCcp&amp;WINDOW=FIRST_POPUP&amp;HEIGHT=450&amp;WIDTH=","450&amp;START_MAXIMIZED=FALSE&amp;VAR:CALENDAR=FIVEDAY&amp;VAR:SYMBOL=403197&amp;VAR:INDEX=0"}</definedName>
    <definedName name="_83__FDSAUDITLINK__" localSheetId="10" hidden="1">{"fdsup://directions/FAT Viewer?action=UPDATE&amp;creator=factset&amp;DYN_ARGS=TRUE&amp;DOC_NAME=FAT:FQL_AUDITING_CLIENT_TEMPLATE.FAT&amp;display_string=Audit&amp;VAR:KEY=BEZIDYJCVA&amp;VAR:QUERY=RkZfRU5UUlBSX1ZBTF9EQUlMWSg0MDM2NSwsLCwsJ0RJTCcp&amp;WINDOW=FIRST_POPUP&amp;HEIGHT=450&amp;WIDTH=","450&amp;START_MAXIMIZED=FALSE&amp;VAR:CALENDAR=FIVEDAY&amp;VAR:SYMBOL=65410610&amp;VAR:INDEX=0"}</definedName>
    <definedName name="_83__FDSAUDITLINK__" hidden="1">{"fdsup://directions/FAT Viewer?action=UPDATE&amp;creator=factset&amp;DYN_ARGS=TRUE&amp;DOC_NAME=FAT:FQL_AUDITING_CLIENT_TEMPLATE.FAT&amp;display_string=Audit&amp;VAR:KEY=BEZIDYJCVA&amp;VAR:QUERY=RkZfRU5UUlBSX1ZBTF9EQUlMWSg0MDM2NSwsLCwsJ0RJTCcp&amp;WINDOW=FIRST_POPUP&amp;HEIGHT=450&amp;WIDTH=","450&amp;START_MAXIMIZED=FALSE&amp;VAR:CALENDAR=FIVEDAY&amp;VAR:SYMBOL=65410610&amp;VAR:INDEX=0"}</definedName>
    <definedName name="_84__FDSAUDITLINK__" localSheetId="10" hidden="1">{"fdsup://directions/FAT Viewer?action=UPDATE&amp;creator=factset&amp;DYN_ARGS=TRUE&amp;DOC_NAME=FAT:FQL_AUDITING_CLIENT_TEMPLATE.FAT&amp;display_string=Audit&amp;VAR:KEY=PCNUZAZYNE&amp;VAR:QUERY=RkZfRU5UUlBSX1ZBTF9EQUlMWSg0MDM2NSwsLCwsJ0RJTCcp&amp;WINDOW=FIRST_POPUP&amp;HEIGHT=450&amp;WIDTH=","450&amp;START_MAXIMIZED=FALSE&amp;VAR:CALENDAR=FIVEDAY&amp;VAR:SYMBOL=605737&amp;VAR:INDEX=0"}</definedName>
    <definedName name="_84__FDSAUDITLINK__" hidden="1">{"fdsup://directions/FAT Viewer?action=UPDATE&amp;creator=factset&amp;DYN_ARGS=TRUE&amp;DOC_NAME=FAT:FQL_AUDITING_CLIENT_TEMPLATE.FAT&amp;display_string=Audit&amp;VAR:KEY=PCNUZAZYNE&amp;VAR:QUERY=RkZfRU5UUlBSX1ZBTF9EQUlMWSg0MDM2NSwsLCwsJ0RJTCcp&amp;WINDOW=FIRST_POPUP&amp;HEIGHT=450&amp;WIDTH=","450&amp;START_MAXIMIZED=FALSE&amp;VAR:CALENDAR=FIVEDAY&amp;VAR:SYMBOL=605737&amp;VAR:INDEX=0"}</definedName>
    <definedName name="_85__FDSAUDITLINK__" localSheetId="10" hidden="1">{"fdsup://directions/FAT Viewer?action=UPDATE&amp;creator=factset&amp;DYN_ARGS=TRUE&amp;DOC_NAME=FAT:FQL_AUDITING_CLIENT_TEMPLATE.FAT&amp;display_string=Audit&amp;VAR:KEY=LYXWVCDWPS&amp;VAR:QUERY=RkZfRU5UUlBSX1ZBTF9EQUlMWSg0MDM2NSwsLCwsJ0RJTCcp&amp;WINDOW=FIRST_POPUP&amp;HEIGHT=450&amp;WIDTH=","450&amp;START_MAXIMIZED=FALSE&amp;VAR:CALENDAR=FIVEDAY&amp;VAR:SYMBOL=669615&amp;VAR:INDEX=0"}</definedName>
    <definedName name="_85__FDSAUDITLINK__" hidden="1">{"fdsup://directions/FAT Viewer?action=UPDATE&amp;creator=factset&amp;DYN_ARGS=TRUE&amp;DOC_NAME=FAT:FQL_AUDITING_CLIENT_TEMPLATE.FAT&amp;display_string=Audit&amp;VAR:KEY=LYXWVCDWPS&amp;VAR:QUERY=RkZfRU5UUlBSX1ZBTF9EQUlMWSg0MDM2NSwsLCwsJ0RJTCcp&amp;WINDOW=FIRST_POPUP&amp;HEIGHT=450&amp;WIDTH=","450&amp;START_MAXIMIZED=FALSE&amp;VAR:CALENDAR=FIVEDAY&amp;VAR:SYMBOL=669615&amp;VAR:INDEX=0"}</definedName>
    <definedName name="_86__FDSAUDITLINK__" localSheetId="10" hidden="1">{"fdsup://directions/FAT Viewer?action=UPDATE&amp;creator=factset&amp;DYN_ARGS=TRUE&amp;DOC_NAME=FAT:FQL_AUDITING_CLIENT_TEMPLATE.FAT&amp;display_string=Audit&amp;VAR:KEY=JQVEJORIFK&amp;VAR:QUERY=RkZfRU5UUlBSX1ZBTF9EQUlMWSg0MDM2NSwsLCxVU0QsJ0RJTCcp&amp;WINDOW=FIRST_POPUP&amp;HEIGHT=450&amp;WI","DTH=450&amp;START_MAXIMIZED=FALSE&amp;VAR:CALENDAR=FIVEDAY&amp;VAR:SYMBOL=506472&amp;VAR:INDEX=0"}</definedName>
    <definedName name="_86__FDSAUDITLINK__" hidden="1">{"fdsup://directions/FAT Viewer?action=UPDATE&amp;creator=factset&amp;DYN_ARGS=TRUE&amp;DOC_NAME=FAT:FQL_AUDITING_CLIENT_TEMPLATE.FAT&amp;display_string=Audit&amp;VAR:KEY=JQVEJORIFK&amp;VAR:QUERY=RkZfRU5UUlBSX1ZBTF9EQUlMWSg0MDM2NSwsLCxVU0QsJ0RJTCcp&amp;WINDOW=FIRST_POPUP&amp;HEIGHT=450&amp;WI","DTH=450&amp;START_MAXIMIZED=FALSE&amp;VAR:CALENDAR=FIVEDAY&amp;VAR:SYMBOL=506472&amp;VAR:INDEX=0"}</definedName>
    <definedName name="_87__FDSAUDITLINK__" localSheetId="10" hidden="1">{"fdsup://directions/FAT Viewer?action=UPDATE&amp;creator=factset&amp;DYN_ARGS=TRUE&amp;DOC_NAME=FAT:FQL_AUDITING_CLIENT_TEMPLATE.FAT&amp;display_string=Audit&amp;VAR:KEY=LYBEXUBGJS&amp;VAR:QUERY=RkZfRU5UUlBSX1ZBTF9EQUlMWSg0MDM2NSwsLCxVU0QsJ0RJTCcp&amp;WINDOW=FIRST_POPUP&amp;HEIGHT=450&amp;WI","DTH=450&amp;START_MAXIMIZED=FALSE&amp;VAR:CALENDAR=FIVEDAY&amp;VAR:SYMBOL=403197&amp;VAR:INDEX=0"}</definedName>
    <definedName name="_87__FDSAUDITLINK__" hidden="1">{"fdsup://directions/FAT Viewer?action=UPDATE&amp;creator=factset&amp;DYN_ARGS=TRUE&amp;DOC_NAME=FAT:FQL_AUDITING_CLIENT_TEMPLATE.FAT&amp;display_string=Audit&amp;VAR:KEY=LYBEXUBGJS&amp;VAR:QUERY=RkZfRU5UUlBSX1ZBTF9EQUlMWSg0MDM2NSwsLCxVU0QsJ0RJTCcp&amp;WINDOW=FIRST_POPUP&amp;HEIGHT=450&amp;WI","DTH=450&amp;START_MAXIMIZED=FALSE&amp;VAR:CALENDAR=FIVEDAY&amp;VAR:SYMBOL=403197&amp;VAR:INDEX=0"}</definedName>
    <definedName name="_88__FDSAUDITLINK__" localSheetId="10" hidden="1">{"fdsup://directions/FAT Viewer?action=UPDATE&amp;creator=factset&amp;DYN_ARGS=TRUE&amp;DOC_NAME=FAT:FQL_AUDITING_CLIENT_TEMPLATE.FAT&amp;display_string=Audit&amp;VAR:KEY=RARIBEBMRQ&amp;VAR:QUERY=RkZfRU5UUlBSX1ZBTF9EQUlMWSg0MDM2NSwsLCxVU0QsJ0RJTCcp&amp;WINDOW=FIRST_POPUP&amp;HEIGHT=450&amp;WI","DTH=450&amp;START_MAXIMIZED=FALSE&amp;VAR:CALENDAR=FIVEDAY&amp;VAR:SYMBOL=65410610&amp;VAR:INDEX=0"}</definedName>
    <definedName name="_88__FDSAUDITLINK__" hidden="1">{"fdsup://directions/FAT Viewer?action=UPDATE&amp;creator=factset&amp;DYN_ARGS=TRUE&amp;DOC_NAME=FAT:FQL_AUDITING_CLIENT_TEMPLATE.FAT&amp;display_string=Audit&amp;VAR:KEY=RARIBEBMRQ&amp;VAR:QUERY=RkZfRU5UUlBSX1ZBTF9EQUlMWSg0MDM2NSwsLCxVU0QsJ0RJTCcp&amp;WINDOW=FIRST_POPUP&amp;HEIGHT=450&amp;WI","DTH=450&amp;START_MAXIMIZED=FALSE&amp;VAR:CALENDAR=FIVEDAY&amp;VAR:SYMBOL=65410610&amp;VAR:INDEX=0"}</definedName>
    <definedName name="_89__FDSAUDITLINK__" localSheetId="10" hidden="1">{"fdsup://directions/FAT Viewer?action=UPDATE&amp;creator=factset&amp;DYN_ARGS=TRUE&amp;DOC_NAME=FAT:FQL_AUDITING_CLIENT_TEMPLATE.FAT&amp;display_string=Audit&amp;VAR:KEY=NQDCPIVADY&amp;VAR:QUERY=RkZfRU5UUlBSX1ZBTF9EQUlMWSg0MDM2NSwsLCxVU0QsJ0RJTCcp&amp;WINDOW=FIRST_POPUP&amp;HEIGHT=450&amp;WI","DTH=450&amp;START_MAXIMIZED=FALSE&amp;VAR:CALENDAR=FIVEDAY&amp;VAR:SYMBOL=605737&amp;VAR:INDEX=0"}</definedName>
    <definedName name="_89__FDSAUDITLINK__" hidden="1">{"fdsup://directions/FAT Viewer?action=UPDATE&amp;creator=factset&amp;DYN_ARGS=TRUE&amp;DOC_NAME=FAT:FQL_AUDITING_CLIENT_TEMPLATE.FAT&amp;display_string=Audit&amp;VAR:KEY=NQDCPIVADY&amp;VAR:QUERY=RkZfRU5UUlBSX1ZBTF9EQUlMWSg0MDM2NSwsLCxVU0QsJ0RJTCcp&amp;WINDOW=FIRST_POPUP&amp;HEIGHT=450&amp;WI","DTH=450&amp;START_MAXIMIZED=FALSE&amp;VAR:CALENDAR=FIVEDAY&amp;VAR:SYMBOL=605737&amp;VAR:INDEX=0"}</definedName>
    <definedName name="_9__123Graph_ACHART_17" hidden="1">[2]Ocean!$B$14:$V$14</definedName>
    <definedName name="_9__FDSAUDITLINK__" localSheetId="10" hidden="1">{"fdsup://directions/FAT Viewer?action=UPDATE&amp;creator=factset&amp;DYN_ARGS=TRUE&amp;DOC_NAME=FAT:FQL_AUDITING_CLIENT_TEMPLATE.FAT&amp;display_string=Audit&amp;VAR:KEY=YDGFSNGJUZ&amp;VAR:QUERY=RkZfRU5UUlBSX1ZBTF9EQUlMWSg0MDM2NiwsLCwsJ0RJTCcp&amp;WINDOW=FIRST_POPUP&amp;HEIGHT=450&amp;WIDTH=","450&amp;START_MAXIMIZED=FALSE&amp;VAR:CALENDAR=FIVEDAY&amp;VAR:SYMBOL=58013510&amp;VAR:INDEX=0"}</definedName>
    <definedName name="_9__FDSAUDITLINK__" hidden="1">{"fdsup://directions/FAT Viewer?action=UPDATE&amp;creator=factset&amp;DYN_ARGS=TRUE&amp;DOC_NAME=FAT:FQL_AUDITING_CLIENT_TEMPLATE.FAT&amp;display_string=Audit&amp;VAR:KEY=YDGFSNGJUZ&amp;VAR:QUERY=RkZfRU5UUlBSX1ZBTF9EQUlMWSg0MDM2NiwsLCwsJ0RJTCcp&amp;WINDOW=FIRST_POPUP&amp;HEIGHT=450&amp;WIDTH=","450&amp;START_MAXIMIZED=FALSE&amp;VAR:CALENDAR=FIVEDAY&amp;VAR:SYMBOL=58013510&amp;VAR:INDEX=0"}</definedName>
    <definedName name="_90__FDSAUDITLINK__" localSheetId="10" hidden="1">{"fdsup://directions/FAT Viewer?action=UPDATE&amp;creator=factset&amp;DYN_ARGS=TRUE&amp;DOC_NAME=FAT:FQL_AUDITING_CLIENT_TEMPLATE.FAT&amp;display_string=Audit&amp;VAR:KEY=FARKZWZSPA&amp;VAR:QUERY=RkZfRU5UUlBSX1ZBTF9EQUlMWSg0MDM2NSwsLCxVU0QsJ0RJTCcp&amp;WINDOW=FIRST_POPUP&amp;HEIGHT=450&amp;WI","DTH=450&amp;START_MAXIMIZED=FALSE&amp;VAR:CALENDAR=FIVEDAY&amp;VAR:SYMBOL=669615&amp;VAR:INDEX=0"}</definedName>
    <definedName name="_90__FDSAUDITLINK__" hidden="1">{"fdsup://directions/FAT Viewer?action=UPDATE&amp;creator=factset&amp;DYN_ARGS=TRUE&amp;DOC_NAME=FAT:FQL_AUDITING_CLIENT_TEMPLATE.FAT&amp;display_string=Audit&amp;VAR:KEY=FARKZWZSPA&amp;VAR:QUERY=RkZfRU5UUlBSX1ZBTF9EQUlMWSg0MDM2NSwsLCxVU0QsJ0RJTCcp&amp;WINDOW=FIRST_POPUP&amp;HEIGHT=450&amp;WI","DTH=450&amp;START_MAXIMIZED=FALSE&amp;VAR:CALENDAR=FIVEDAY&amp;VAR:SYMBOL=669615&amp;VAR:INDEX=0"}</definedName>
    <definedName name="_91__FDSAUDITLINK__" localSheetId="10" hidden="1">{"fdsup://directions/FAT Viewer?action=UPDATE&amp;creator=factset&amp;DYN_ARGS=TRUE&amp;DOC_NAME=FAT:FQL_AUDITING_CLIENT_TEMPLATE.FAT&amp;display_string=Audit&amp;VAR:KEY=LODQTAHGBU&amp;VAR:QUERY=RkZfRU5UUlBSX1ZBTF9EQUlMWSg0MDM2NSwsLCwsJ0RJTCcp&amp;WINDOW=FIRST_POPUP&amp;HEIGHT=450&amp;WIDTH=","450&amp;START_MAXIMIZED=FALSE&amp;VAR:CALENDAR=FIVEDAY&amp;VAR:SYMBOL=B1YVKN&amp;VAR:INDEX=0"}</definedName>
    <definedName name="_91__FDSAUDITLINK__" hidden="1">{"fdsup://directions/FAT Viewer?action=UPDATE&amp;creator=factset&amp;DYN_ARGS=TRUE&amp;DOC_NAME=FAT:FQL_AUDITING_CLIENT_TEMPLATE.FAT&amp;display_string=Audit&amp;VAR:KEY=LODQTAHGBU&amp;VAR:QUERY=RkZfRU5UUlBSX1ZBTF9EQUlMWSg0MDM2NSwsLCwsJ0RJTCcp&amp;WINDOW=FIRST_POPUP&amp;HEIGHT=450&amp;WIDTH=","450&amp;START_MAXIMIZED=FALSE&amp;VAR:CALENDAR=FIVEDAY&amp;VAR:SYMBOL=B1YVKN&amp;VAR:INDEX=0"}</definedName>
    <definedName name="_92__FDSAUDITLINK__" localSheetId="10" hidden="1">{"fdsup://directions/FAT Viewer?action=UPDATE&amp;creator=factset&amp;DYN_ARGS=TRUE&amp;DOC_NAME=FAT:FQL_AUDITING_CLIENT_TEMPLATE.FAT&amp;display_string=Audit&amp;VAR:KEY=ZAHGTETQLO&amp;VAR:QUERY=RkZfRU5UUlBSX1ZBTF9EQUlMWSg0MDM2NSwsLCwsJ0RJTCcp&amp;WINDOW=FIRST_POPUP&amp;HEIGHT=450&amp;WIDTH=","450&amp;START_MAXIMIZED=FALSE&amp;VAR:CALENDAR=FIVEDAY&amp;VAR:SYMBOL=658653&amp;VAR:INDEX=0"}</definedName>
    <definedName name="_92__FDSAUDITLINK__" hidden="1">{"fdsup://directions/FAT Viewer?action=UPDATE&amp;creator=factset&amp;DYN_ARGS=TRUE&amp;DOC_NAME=FAT:FQL_AUDITING_CLIENT_TEMPLATE.FAT&amp;display_string=Audit&amp;VAR:KEY=ZAHGTETQLO&amp;VAR:QUERY=RkZfRU5UUlBSX1ZBTF9EQUlMWSg0MDM2NSwsLCwsJ0RJTCcp&amp;WINDOW=FIRST_POPUP&amp;HEIGHT=450&amp;WIDTH=","450&amp;START_MAXIMIZED=FALSE&amp;VAR:CALENDAR=FIVEDAY&amp;VAR:SYMBOL=658653&amp;VAR:INDEX=0"}</definedName>
    <definedName name="_93__FDSAUDITLINK__" localSheetId="10" hidden="1">{"fdsup://directions/FAT Viewer?action=UPDATE&amp;creator=factset&amp;DYN_ARGS=TRUE&amp;DOC_NAME=FAT:FQL_AUDITING_CLIENT_TEMPLATE.FAT&amp;display_string=Audit&amp;VAR:KEY=RWRCNONOJG&amp;VAR:QUERY=RkZfRU5UUlBSX1ZBTF9EQUlMWSg0MDM2NSwsLCwsJ0RJTCcp&amp;WINDOW=FIRST_POPUP&amp;HEIGHT=450&amp;WIDTH=","450&amp;START_MAXIMIZED=FALSE&amp;VAR:CALENDAR=FIVEDAY&amp;VAR:SYMBOL=B51BL7&amp;VAR:INDEX=0"}</definedName>
    <definedName name="_93__FDSAUDITLINK__" hidden="1">{"fdsup://directions/FAT Viewer?action=UPDATE&amp;creator=factset&amp;DYN_ARGS=TRUE&amp;DOC_NAME=FAT:FQL_AUDITING_CLIENT_TEMPLATE.FAT&amp;display_string=Audit&amp;VAR:KEY=RWRCNONOJG&amp;VAR:QUERY=RkZfRU5UUlBSX1ZBTF9EQUlMWSg0MDM2NSwsLCwsJ0RJTCcp&amp;WINDOW=FIRST_POPUP&amp;HEIGHT=450&amp;WIDTH=","450&amp;START_MAXIMIZED=FALSE&amp;VAR:CALENDAR=FIVEDAY&amp;VAR:SYMBOL=B51BL7&amp;VAR:INDEX=0"}</definedName>
    <definedName name="_94__FDSAUDITLINK__" localSheetId="10" hidden="1">{"fdsup://directions/FAT Viewer?action=UPDATE&amp;creator=factset&amp;DYN_ARGS=TRUE&amp;DOC_NAME=FAT:FQL_AUDITING_CLIENT_TEMPLATE.FAT&amp;display_string=Audit&amp;VAR:KEY=FWTAHYDMJE&amp;VAR:QUERY=RkZfRU5UUlBSX1ZBTF9EQUlMWSg0MDM2NSwsLCwsJ0RJTCcp&amp;WINDOW=FIRST_POPUP&amp;HEIGHT=450&amp;WIDTH=","450&amp;START_MAXIMIZED=FALSE&amp;VAR:CALENDAR=FIVEDAY&amp;VAR:SYMBOL=B01JCK&amp;VAR:INDEX=0"}</definedName>
    <definedName name="_94__FDSAUDITLINK__" hidden="1">{"fdsup://directions/FAT Viewer?action=UPDATE&amp;creator=factset&amp;DYN_ARGS=TRUE&amp;DOC_NAME=FAT:FQL_AUDITING_CLIENT_TEMPLATE.FAT&amp;display_string=Audit&amp;VAR:KEY=FWTAHYDMJE&amp;VAR:QUERY=RkZfRU5UUlBSX1ZBTF9EQUlMWSg0MDM2NSwsLCwsJ0RJTCcp&amp;WINDOW=FIRST_POPUP&amp;HEIGHT=450&amp;WIDTH=","450&amp;START_MAXIMIZED=FALSE&amp;VAR:CALENDAR=FIVEDAY&amp;VAR:SYMBOL=B01JCK&amp;VAR:INDEX=0"}</definedName>
    <definedName name="_95__FDSAUDITLINK__" localSheetId="10" hidden="1">{"fdsup://directions/FAT Viewer?action=UPDATE&amp;creator=factset&amp;DYN_ARGS=TRUE&amp;DOC_NAME=FAT:FQL_AUDITING_CLIENT_TEMPLATE.FAT&amp;display_string=Audit&amp;VAR:KEY=LODQTAHGBU&amp;VAR:QUERY=RkZfRU5UUlBSX1ZBTF9EQUlMWSg0MDM2NSwsLCwsJ0RJTCcp&amp;WINDOW=FIRST_POPUP&amp;HEIGHT=450&amp;WIDTH=","450&amp;START_MAXIMIZED=FALSE&amp;VAR:CALENDAR=FIVEDAY&amp;VAR:SYMBOL=B1YVKN&amp;VAR:INDEX=0"}</definedName>
    <definedName name="_95__FDSAUDITLINK__" hidden="1">{"fdsup://directions/FAT Viewer?action=UPDATE&amp;creator=factset&amp;DYN_ARGS=TRUE&amp;DOC_NAME=FAT:FQL_AUDITING_CLIENT_TEMPLATE.FAT&amp;display_string=Audit&amp;VAR:KEY=LODQTAHGBU&amp;VAR:QUERY=RkZfRU5UUlBSX1ZBTF9EQUlMWSg0MDM2NSwsLCwsJ0RJTCcp&amp;WINDOW=FIRST_POPUP&amp;HEIGHT=450&amp;WIDTH=","450&amp;START_MAXIMIZED=FALSE&amp;VAR:CALENDAR=FIVEDAY&amp;VAR:SYMBOL=B1YVKN&amp;VAR:INDEX=0"}</definedName>
    <definedName name="_96__FDSAUDITLINK__" localSheetId="10" hidden="1">{"fdsup://directions/FAT Viewer?action=UPDATE&amp;creator=factset&amp;DYN_ARGS=TRUE&amp;DOC_NAME=FAT:FQL_AUDITING_CLIENT_TEMPLATE.FAT&amp;display_string=Audit&amp;VAR:KEY=DSDQLEVSVK&amp;VAR:QUERY=RkZfRU5UUlBSX1ZBTF9EQUlMWSg0MDM2NSwsLCwsJ0RJTCcp&amp;WINDOW=FIRST_POPUP&amp;HEIGHT=450&amp;WIDTH=","450&amp;START_MAXIMIZED=FALSE&amp;VAR:CALENDAR=FIVEDAY&amp;VAR:SYMBOL=B3Z9VV&amp;VAR:INDEX=0"}</definedName>
    <definedName name="_96__FDSAUDITLINK__" hidden="1">{"fdsup://directions/FAT Viewer?action=UPDATE&amp;creator=factset&amp;DYN_ARGS=TRUE&amp;DOC_NAME=FAT:FQL_AUDITING_CLIENT_TEMPLATE.FAT&amp;display_string=Audit&amp;VAR:KEY=DSDQLEVSVK&amp;VAR:QUERY=RkZfRU5UUlBSX1ZBTF9EQUlMWSg0MDM2NSwsLCwsJ0RJTCcp&amp;WINDOW=FIRST_POPUP&amp;HEIGHT=450&amp;WIDTH=","450&amp;START_MAXIMIZED=FALSE&amp;VAR:CALENDAR=FIVEDAY&amp;VAR:SYMBOL=B3Z9VV&amp;VAR:INDEX=0"}</definedName>
    <definedName name="_97__FDSAUDITLINK__" localSheetId="10" hidden="1">{"fdsup://directions/FAT Viewer?action=UPDATE&amp;creator=factset&amp;DYN_ARGS=TRUE&amp;DOC_NAME=FAT:FQL_AUDITING_CLIENT_TEMPLATE.FAT&amp;display_string=Audit&amp;VAR:KEY=VENSJAPABO&amp;VAR:QUERY=RkZfRU5UUlBSX1ZBTF9EQUlMWSg0MDM2NSwsLCxVU0QsJ0RJTCcp&amp;WINDOW=FIRST_POPUP&amp;HEIGHT=450&amp;WI","DTH=450&amp;START_MAXIMIZED=FALSE&amp;VAR:CALENDAR=FIVEDAY&amp;VAR:SYMBOL=B1YVKN&amp;VAR:INDEX=0"}</definedName>
    <definedName name="_97__FDSAUDITLINK__" hidden="1">{"fdsup://directions/FAT Viewer?action=UPDATE&amp;creator=factset&amp;DYN_ARGS=TRUE&amp;DOC_NAME=FAT:FQL_AUDITING_CLIENT_TEMPLATE.FAT&amp;display_string=Audit&amp;VAR:KEY=VENSJAPABO&amp;VAR:QUERY=RkZfRU5UUlBSX1ZBTF9EQUlMWSg0MDM2NSwsLCxVU0QsJ0RJTCcp&amp;WINDOW=FIRST_POPUP&amp;HEIGHT=450&amp;WI","DTH=450&amp;START_MAXIMIZED=FALSE&amp;VAR:CALENDAR=FIVEDAY&amp;VAR:SYMBOL=B1YVKN&amp;VAR:INDEX=0"}</definedName>
    <definedName name="_98__FDSAUDITLINK__" localSheetId="10" hidden="1">{"fdsup://directions/FAT Viewer?action=UPDATE&amp;creator=factset&amp;DYN_ARGS=TRUE&amp;DOC_NAME=FAT:FQL_AUDITING_CLIENT_TEMPLATE.FAT&amp;display_string=Audit&amp;VAR:KEY=TOHSTIFQBO&amp;VAR:QUERY=RkZfRU5UUlBSX1ZBTF9EQUlMWSg0MDM2NSwsLCxVU0QsJ0RJTCcp&amp;WINDOW=FIRST_POPUP&amp;HEIGHT=450&amp;WI","DTH=450&amp;START_MAXIMIZED=FALSE&amp;VAR:CALENDAR=FIVEDAY&amp;VAR:SYMBOL=658653&amp;VAR:INDEX=0"}</definedName>
    <definedName name="_98__FDSAUDITLINK__" hidden="1">{"fdsup://directions/FAT Viewer?action=UPDATE&amp;creator=factset&amp;DYN_ARGS=TRUE&amp;DOC_NAME=FAT:FQL_AUDITING_CLIENT_TEMPLATE.FAT&amp;display_string=Audit&amp;VAR:KEY=TOHSTIFQBO&amp;VAR:QUERY=RkZfRU5UUlBSX1ZBTF9EQUlMWSg0MDM2NSwsLCxVU0QsJ0RJTCcp&amp;WINDOW=FIRST_POPUP&amp;HEIGHT=450&amp;WI","DTH=450&amp;START_MAXIMIZED=FALSE&amp;VAR:CALENDAR=FIVEDAY&amp;VAR:SYMBOL=658653&amp;VAR:INDEX=0"}</definedName>
    <definedName name="_99__FDSAUDITLINK__" localSheetId="10" hidden="1">{"fdsup://directions/FAT Viewer?action=UPDATE&amp;creator=factset&amp;DYN_ARGS=TRUE&amp;DOC_NAME=FAT:FQL_AUDITING_CLIENT_TEMPLATE.FAT&amp;display_string=Audit&amp;VAR:KEY=NAZQBMFKHK&amp;VAR:QUERY=RkZfRU5UUlBSX1ZBTF9EQUlMWSg0MDM2NSwsLCxVU0QsJ0RJTCcp&amp;WINDOW=FIRST_POPUP&amp;HEIGHT=450&amp;WI","DTH=450&amp;START_MAXIMIZED=FALSE&amp;VAR:CALENDAR=FIVEDAY&amp;VAR:SYMBOL=B51BL7&amp;VAR:INDEX=0"}</definedName>
    <definedName name="_99__FDSAUDITLINK__" hidden="1">{"fdsup://directions/FAT Viewer?action=UPDATE&amp;creator=factset&amp;DYN_ARGS=TRUE&amp;DOC_NAME=FAT:FQL_AUDITING_CLIENT_TEMPLATE.FAT&amp;display_string=Audit&amp;VAR:KEY=NAZQBMFKHK&amp;VAR:QUERY=RkZfRU5UUlBSX1ZBTF9EQUlMWSg0MDM2NSwsLCxVU0QsJ0RJTCcp&amp;WINDOW=FIRST_POPUP&amp;HEIGHT=450&amp;WI","DTH=450&amp;START_MAXIMIZED=FALSE&amp;VAR:CALENDAR=FIVEDAY&amp;VAR:SYMBOL=B51BL7&amp;VAR:INDEX=0"}</definedName>
    <definedName name="_a1" localSheetId="10" hidden="1">{#N/A,#N/A,FALSE,"Synth";"parc_DC",#N/A,FALSE,"parc";#N/A,#N/A,FALSE,"CA prest";#N/A,#N/A,FALSE,"Ratio CA";#N/A,#N/A,FALSE,"Trafic";"CR_GSM_acté_DC",#N/A,FALSE,"CR GSM_acté";#N/A,#N/A,FALSE,"Abonnés";#N/A,#N/A,FALSE,"Créances";#N/A,#N/A,FALSE,"Effectifs"}</definedName>
    <definedName name="_a1" localSheetId="47" hidden="1">{#N/A,#N/A,FALSE,"Synth";"parc_DC",#N/A,FALSE,"parc";#N/A,#N/A,FALSE,"CA prest";#N/A,#N/A,FALSE,"Ratio CA";#N/A,#N/A,FALSE,"Trafic";"CR_GSM_acté_DC",#N/A,FALSE,"CR GSM_acté";#N/A,#N/A,FALSE,"Abonnés";#N/A,#N/A,FALSE,"Créances";#N/A,#N/A,FALSE,"Effectifs"}</definedName>
    <definedName name="_a1" hidden="1">{#N/A,#N/A,FALSE,"Synth";"parc_DC",#N/A,FALSE,"parc";#N/A,#N/A,FALSE,"CA prest";#N/A,#N/A,FALSE,"Ratio CA";#N/A,#N/A,FALSE,"Trafic";"CR_GSM_acté_DC",#N/A,FALSE,"CR GSM_acté";#N/A,#N/A,FALSE,"Abonnés";#N/A,#N/A,FALSE,"Créances";#N/A,#N/A,FALSE,"Effectifs"}</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e9cfae0e6ee4194bcd0f1b6ee9ff733.edm" localSheetId="67" hidden="1">'China Revenues'!$A$2:$S$53</definedName>
    <definedName name="_bdm.2d5b7211e9f04bada878245682862189.edm" localSheetId="10" hidden="1">#REF!</definedName>
    <definedName name="_bdm.2d5b7211e9f04bada878245682862189.edm" localSheetId="42" hidden="1">#REF!</definedName>
    <definedName name="_bdm.2d5b7211e9f04bada878245682862189.edm" hidden="1">#REF!</definedName>
    <definedName name="_bdm.400062792e0b460ca167291177ce5943.edm" localSheetId="42" hidden="1">#REF!</definedName>
    <definedName name="_bdm.400062792e0b460ca167291177ce5943.edm" hidden="1">#REF!</definedName>
    <definedName name="_bdm.451a490c7d0344eeaf837af86dbabe42.edm" localSheetId="67" hidden="1">'China Revenues'!$A$2:$S$18</definedName>
    <definedName name="_bdm.46a18ed9dffd4cd6880b56437874ece9.edm" localSheetId="37" hidden="1">#REF!</definedName>
    <definedName name="_bdm.46a18ed9dffd4cd6880b56437874ece9.edm" localSheetId="38" hidden="1">#REF!</definedName>
    <definedName name="_bdm.46a18ed9dffd4cd6880b56437874ece9.edm" localSheetId="4" hidden="1">#REF!</definedName>
    <definedName name="_bdm.46a18ed9dffd4cd6880b56437874ece9.edm" localSheetId="46" hidden="1">#REF!</definedName>
    <definedName name="_bdm.46a18ed9dffd4cd6880b56437874ece9.edm" localSheetId="15" hidden="1">#REF!</definedName>
    <definedName name="_bdm.46a18ed9dffd4cd6880b56437874ece9.edm" localSheetId="17" hidden="1">#REF!</definedName>
    <definedName name="_bdm.46a18ed9dffd4cd6880b56437874ece9.edm" localSheetId="30" hidden="1">#REF!</definedName>
    <definedName name="_bdm.46a18ed9dffd4cd6880b56437874ece9.edm" localSheetId="42" hidden="1">#REF!</definedName>
    <definedName name="_bdm.46a18ed9dffd4cd6880b56437874ece9.edm" hidden="1">#REF!</definedName>
    <definedName name="_bdm.82914cbf4fa94d19ba8700f61dfa8e46.edm" localSheetId="67" hidden="1">'China Revenues'!$A$2:$U$41</definedName>
    <definedName name="_bdm.ad5ad99765ab4abd86294cd557362aa5.edm" localSheetId="67" hidden="1">'China Revenues'!$A$2:$T$18</definedName>
    <definedName name="_bdm.c0fb294c664940a9a26cdf6ec446c333.edm" hidden="1">'China Revenues'!$1:$1048576</definedName>
    <definedName name="_bdm.d437fcb6dd254b7a8c2aff490de850e3.edm" localSheetId="37" hidden="1">#REF!</definedName>
    <definedName name="_bdm.d437fcb6dd254b7a8c2aff490de850e3.edm" localSheetId="38" hidden="1">#REF!</definedName>
    <definedName name="_bdm.d437fcb6dd254b7a8c2aff490de850e3.edm" localSheetId="4" hidden="1">#REF!</definedName>
    <definedName name="_bdm.d437fcb6dd254b7a8c2aff490de850e3.edm" localSheetId="46" hidden="1">#REF!</definedName>
    <definedName name="_bdm.d437fcb6dd254b7a8c2aff490de850e3.edm" localSheetId="15" hidden="1">#REF!</definedName>
    <definedName name="_bdm.d437fcb6dd254b7a8c2aff490de850e3.edm" localSheetId="17" hidden="1">#REF!</definedName>
    <definedName name="_bdm.d437fcb6dd254b7a8c2aff490de850e3.edm" localSheetId="30" hidden="1">#REF!</definedName>
    <definedName name="_bdm.d437fcb6dd254b7a8c2aff490de850e3.edm" localSheetId="42" hidden="1">#REF!</definedName>
    <definedName name="_bdm.d437fcb6dd254b7a8c2aff490de850e3.edm" hidden="1">#REF!</definedName>
    <definedName name="_bdm.d97762a431bc47a188ab7c2f84c57d3e.edm" localSheetId="37" hidden="1">#REF!</definedName>
    <definedName name="_bdm.d97762a431bc47a188ab7c2f84c57d3e.edm" localSheetId="38" hidden="1">#REF!</definedName>
    <definedName name="_bdm.d97762a431bc47a188ab7c2f84c57d3e.edm" localSheetId="4" hidden="1">#REF!</definedName>
    <definedName name="_bdm.d97762a431bc47a188ab7c2f84c57d3e.edm" localSheetId="46" hidden="1">#REF!</definedName>
    <definedName name="_bdm.d97762a431bc47a188ab7c2f84c57d3e.edm" localSheetId="41" hidden="1">#REF!</definedName>
    <definedName name="_bdm.d97762a431bc47a188ab7c2f84c57d3e.edm" localSheetId="15" hidden="1">#REF!</definedName>
    <definedName name="_bdm.d97762a431bc47a188ab7c2f84c57d3e.edm" localSheetId="17" hidden="1">#REF!</definedName>
    <definedName name="_bdm.d97762a431bc47a188ab7c2f84c57d3e.edm" localSheetId="30" hidden="1">#REF!</definedName>
    <definedName name="_bdm.d97762a431bc47a188ab7c2f84c57d3e.edm" localSheetId="42" hidden="1">#REF!</definedName>
    <definedName name="_bdm.d97762a431bc47a188ab7c2f84c57d3e.edm" hidden="1">#REF!</definedName>
    <definedName name="_bdm.D97763A431BC47A188AB7C2F84C57D3E.edm" localSheetId="37" hidden="1">#REF!</definedName>
    <definedName name="_bdm.D97763A431BC47A188AB7C2F84C57D3E.edm" localSheetId="38" hidden="1">#REF!</definedName>
    <definedName name="_bdm.D97763A431BC47A188AB7C2F84C57D3E.edm" localSheetId="4" hidden="1">#REF!</definedName>
    <definedName name="_bdm.D97763A431BC47A188AB7C2F84C57D3E.edm" localSheetId="46" hidden="1">#REF!</definedName>
    <definedName name="_bdm.D97763A431BC47A188AB7C2F84C57D3E.edm" localSheetId="41" hidden="1">#REF!</definedName>
    <definedName name="_bdm.D97763A431BC47A188AB7C2F84C57D3E.edm" localSheetId="15" hidden="1">#REF!</definedName>
    <definedName name="_bdm.D97763A431BC47A188AB7C2F84C57D3E.edm" localSheetId="17" hidden="1">#REF!</definedName>
    <definedName name="_bdm.D97763A431BC47A188AB7C2F84C57D3E.edm" localSheetId="30" hidden="1">#REF!</definedName>
    <definedName name="_bdm.D97763A431BC47A188AB7C2F84C57D3E.edm" localSheetId="42" hidden="1">#REF!</definedName>
    <definedName name="_bdm.D97763A431BC47A188AB7C2F84C57D3E.edm" hidden="1">#REF!</definedName>
    <definedName name="_bdm.dffe7920109949e696a0299f4ba8c117.edm" localSheetId="67" hidden="1">'China Revenues'!$A$2:$S$56</definedName>
    <definedName name="_bdm.e539c4946a95413aad273c460e98ea49.edm" localSheetId="10" hidden="1">#REF!</definedName>
    <definedName name="_bdm.e539c4946a95413aad273c460e98ea49.edm" localSheetId="42" hidden="1">#REF!</definedName>
    <definedName name="_bdm.e539c4946a95413aad273c460e98ea49.edm" hidden="1">#REF!</definedName>
    <definedName name="_bdm.e727332d7520448fa99b567bfd2da913.edm" localSheetId="67" hidden="1">'China Revenues'!$A$2:$T$41</definedName>
    <definedName name="_bdm.FBC8F4734CD44B95848F689416B40C4F.edm" localSheetId="37" hidden="1">#REF!</definedName>
    <definedName name="_bdm.FBC8F4734CD44B95848F689416B40C4F.edm" localSheetId="38" hidden="1">#REF!</definedName>
    <definedName name="_bdm.FBC8F4734CD44B95848F689416B40C4F.edm" localSheetId="4" hidden="1">#REF!</definedName>
    <definedName name="_bdm.FBC8F4734CD44B95848F689416B40C4F.edm" localSheetId="46" hidden="1">#REF!</definedName>
    <definedName name="_bdm.FBC8F4734CD44B95848F689416B40C4F.edm" localSheetId="47" hidden="1">#REF!</definedName>
    <definedName name="_bdm.FBC8F4734CD44B95848F689416B40C4F.edm" localSheetId="50" hidden="1">#REF!</definedName>
    <definedName name="_bdm.FBC8F4734CD44B95848F689416B40C4F.edm" localSheetId="41" hidden="1">#REF!</definedName>
    <definedName name="_bdm.FBC8F4734CD44B95848F689416B40C4F.edm" localSheetId="15" hidden="1">#REF!</definedName>
    <definedName name="_bdm.FBC8F4734CD44B95848F689416B40C4F.edm" localSheetId="17" hidden="1">#REF!</definedName>
    <definedName name="_bdm.FBC8F4734CD44B95848F689416B40C4F.edm" localSheetId="30" hidden="1">#REF!</definedName>
    <definedName name="_bdm.FBC8F4734CD44B95848F689416B40C4F.edm" localSheetId="79" hidden="1">#REF!</definedName>
    <definedName name="_bdm.FBC8F4734CD44B95848F689416B40C4F.edm" localSheetId="42" hidden="1">#REF!</definedName>
    <definedName name="_bdm.FBC8F4734CD44B95848F689416B40C4F.edm" hidden="1">#REF!</definedName>
    <definedName name="_Dist_Values" localSheetId="37" hidden="1">#REF!</definedName>
    <definedName name="_Dist_Values" localSheetId="38" hidden="1">#REF!</definedName>
    <definedName name="_Dist_Values" localSheetId="4" hidden="1">#REF!</definedName>
    <definedName name="_Dist_Values" localSheetId="46" hidden="1">#REF!</definedName>
    <definedName name="_Dist_Values" localSheetId="47" hidden="1">#REF!</definedName>
    <definedName name="_Dist_Values" localSheetId="50" hidden="1">#REF!</definedName>
    <definedName name="_Dist_Values" localSheetId="41" hidden="1">#REF!</definedName>
    <definedName name="_Dist_Values" localSheetId="15" hidden="1">#REF!</definedName>
    <definedName name="_Dist_Values" localSheetId="17" hidden="1">#REF!</definedName>
    <definedName name="_Dist_Values" localSheetId="30" hidden="1">#REF!</definedName>
    <definedName name="_Dist_Values" localSheetId="79" hidden="1">#REF!</definedName>
    <definedName name="_Dist_Values" localSheetId="42" hidden="1">#REF!</definedName>
    <definedName name="_Dist_Values" hidden="1">#REF!</definedName>
    <definedName name="_Fill" localSheetId="37" hidden="1">#REF!</definedName>
    <definedName name="_Fill" localSheetId="38" hidden="1">#REF!</definedName>
    <definedName name="_Fill" localSheetId="4" hidden="1">#REF!</definedName>
    <definedName name="_Fill" localSheetId="46" hidden="1">#REF!</definedName>
    <definedName name="_Fill" localSheetId="47" hidden="1">#REF!</definedName>
    <definedName name="_Fill" localSheetId="50" hidden="1">#REF!</definedName>
    <definedName name="_Fill" localSheetId="41" hidden="1">#REF!</definedName>
    <definedName name="_Fill" localSheetId="15" hidden="1">#REF!</definedName>
    <definedName name="_Fill" localSheetId="17" hidden="1">#REF!</definedName>
    <definedName name="_Fill" localSheetId="30" hidden="1">#REF!</definedName>
    <definedName name="_Fill" localSheetId="79" hidden="1">#REF!</definedName>
    <definedName name="_Fill" localSheetId="42" hidden="1">#REF!</definedName>
    <definedName name="_Fill" hidden="1">#REF!</definedName>
    <definedName name="_xlnm._FilterDatabase" localSheetId="10" hidden="1">#REF!</definedName>
    <definedName name="_xlnm._FilterDatabase" localSheetId="82" hidden="1">China!$A$1:$M$375</definedName>
    <definedName name="_xlnm._FilterDatabase" localSheetId="56" hidden="1">'ESOP All_June'!$A$2:$BJ$103</definedName>
    <definedName name="_xlnm._FilterDatabase" localSheetId="41" hidden="1">'IPO Data_BioPharma'!$B$10:$AE$194</definedName>
    <definedName name="_xlnm._FilterDatabase" localSheetId="68" hidden="1">Scope!$B$3:$H$28</definedName>
    <definedName name="_xlnm._FilterDatabase" localSheetId="42" hidden="1">#REF!</definedName>
    <definedName name="_xlnm._FilterDatabase" localSheetId="55" hidden="1">汇总!#REF!</definedName>
    <definedName name="_xlnm._FilterDatabase" hidden="1">#REF!</definedName>
    <definedName name="_I2" localSheetId="10" hidden="1">{"PVGraph2",#N/A,FALSE,"PV Data"}</definedName>
    <definedName name="_I2" localSheetId="46" hidden="1">{"PVGraph2",#N/A,FALSE,"PV Data"}</definedName>
    <definedName name="_I2" localSheetId="51" hidden="1">{"PVGraph2",#N/A,FALSE,"PV Data"}</definedName>
    <definedName name="_I2" localSheetId="47" hidden="1">{"PVGraph2",#N/A,FALSE,"PV Data"}</definedName>
    <definedName name="_I2" localSheetId="12" hidden="1">{"PVGraph2",#N/A,FALSE,"PV Data"}</definedName>
    <definedName name="_I2" localSheetId="25" hidden="1">{"PVGraph2",#N/A,FALSE,"PV Data"}</definedName>
    <definedName name="_I2" localSheetId="30" hidden="1">{"PVGraph2",#N/A,FALSE,"PV Data"}</definedName>
    <definedName name="_I2" hidden="1">{"PVGraph2",#N/A,FALSE,"PV Data"}</definedName>
    <definedName name="_I3" localSheetId="10" hidden="1">{"PVGraph2",#N/A,FALSE,"PV Data"}</definedName>
    <definedName name="_I3" localSheetId="46" hidden="1">{"PVGraph2",#N/A,FALSE,"PV Data"}</definedName>
    <definedName name="_I3" localSheetId="51" hidden="1">{"PVGraph2",#N/A,FALSE,"PV Data"}</definedName>
    <definedName name="_I3" localSheetId="47" hidden="1">{"PVGraph2",#N/A,FALSE,"PV Data"}</definedName>
    <definedName name="_I3" localSheetId="12" hidden="1">{"PVGraph2",#N/A,FALSE,"PV Data"}</definedName>
    <definedName name="_I3" localSheetId="25" hidden="1">{"PVGraph2",#N/A,FALSE,"PV Data"}</definedName>
    <definedName name="_I3" localSheetId="30" hidden="1">{"PVGraph2",#N/A,FALSE,"PV Data"}</definedName>
    <definedName name="_I3" hidden="1">{"PVGraph2",#N/A,FALSE,"PV Data"}</definedName>
    <definedName name="_Key1" localSheetId="37" hidden="1">#REF!</definedName>
    <definedName name="_Key1" localSheetId="38" hidden="1">#REF!</definedName>
    <definedName name="_Key1" localSheetId="4" hidden="1">#REF!</definedName>
    <definedName name="_Key1" localSheetId="46" hidden="1">#REF!</definedName>
    <definedName name="_Key1" localSheetId="47" hidden="1">#REF!</definedName>
    <definedName name="_Key1" localSheetId="50" hidden="1">#REF!</definedName>
    <definedName name="_Key1" localSheetId="41" hidden="1">#REF!</definedName>
    <definedName name="_Key1" localSheetId="15" hidden="1">#REF!</definedName>
    <definedName name="_Key1" localSheetId="17" hidden="1">#REF!</definedName>
    <definedName name="_Key1" localSheetId="30" hidden="1">#REF!</definedName>
    <definedName name="_Key1" localSheetId="79" hidden="1">#REF!</definedName>
    <definedName name="_Key1" localSheetId="42" hidden="1">#REF!</definedName>
    <definedName name="_Key1" hidden="1">#REF!</definedName>
    <definedName name="_Key2" localSheetId="37" hidden="1">#REF!</definedName>
    <definedName name="_Key2" localSheetId="38" hidden="1">#REF!</definedName>
    <definedName name="_Key2" localSheetId="4" hidden="1">#REF!</definedName>
    <definedName name="_Key2" localSheetId="46" hidden="1">#REF!</definedName>
    <definedName name="_Key2" localSheetId="47" hidden="1">#REF!</definedName>
    <definedName name="_Key2" localSheetId="50" hidden="1">#REF!</definedName>
    <definedName name="_Key2" localSheetId="41" hidden="1">#REF!</definedName>
    <definedName name="_Key2" localSheetId="15" hidden="1">#REF!</definedName>
    <definedName name="_Key2" localSheetId="17" hidden="1">#REF!</definedName>
    <definedName name="_Key2" localSheetId="30" hidden="1">#REF!</definedName>
    <definedName name="_Key2" localSheetId="79" hidden="1">#REF!</definedName>
    <definedName name="_Key2" localSheetId="42" hidden="1">#REF!</definedName>
    <definedName name="_Key2" hidden="1">#REF!</definedName>
    <definedName name="_m" localSheetId="37" hidden="1">#REF!</definedName>
    <definedName name="_m" localSheetId="38" hidden="1">#REF!</definedName>
    <definedName name="_m" localSheetId="4" hidden="1">#REF!</definedName>
    <definedName name="_m" localSheetId="46" hidden="1">#REF!</definedName>
    <definedName name="_m" localSheetId="41" hidden="1">#REF!</definedName>
    <definedName name="_m" localSheetId="15" hidden="1">#REF!</definedName>
    <definedName name="_m" localSheetId="17" hidden="1">#REF!</definedName>
    <definedName name="_m" localSheetId="30" hidden="1">#REF!</definedName>
    <definedName name="_m" localSheetId="42" hidden="1">#REF!</definedName>
    <definedName name="_m" hidden="1">#REF!</definedName>
    <definedName name="_mgs" localSheetId="42" hidden="1">#REF!</definedName>
    <definedName name="_mgs" hidden="1">#REF!</definedName>
    <definedName name="_Order1" hidden="1">0</definedName>
    <definedName name="_Order2" hidden="1">255</definedName>
    <definedName name="_r" localSheetId="47"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_Regression_Int" hidden="1">1</definedName>
    <definedName name="_s1" hidden="1">'[5]sales vol.'!$J$34:$J$37</definedName>
    <definedName name="_s2" hidden="1">'[5]sales vol.'!$J$398:$J$401</definedName>
    <definedName name="_s3" hidden="1">'[5]sales vol.'!$J$211:$J$214</definedName>
    <definedName name="_s4" hidden="1">'[5]sales vol.'!$I$1121:$I$1122</definedName>
    <definedName name="_s5" hidden="1">'[5]sales vol.'!$I$1632:$I$1635</definedName>
    <definedName name="_s6" hidden="1">'[5]sales vol.'!$I$2248:$I$2251</definedName>
    <definedName name="_sga" localSheetId="10" hidden="1">#REF!</definedName>
    <definedName name="_sga" localSheetId="42" hidden="1">#REF!</definedName>
    <definedName name="_sga" hidden="1">#REF!</definedName>
    <definedName name="_Sort" localSheetId="37" hidden="1">#REF!</definedName>
    <definedName name="_Sort" localSheetId="38" hidden="1">#REF!</definedName>
    <definedName name="_Sort" localSheetId="4" hidden="1">#REF!</definedName>
    <definedName name="_Sort" localSheetId="46" hidden="1">#REF!</definedName>
    <definedName name="_Sort" localSheetId="47" hidden="1">#REF!</definedName>
    <definedName name="_Sort" localSheetId="50" hidden="1">#REF!</definedName>
    <definedName name="_Sort" localSheetId="41" hidden="1">#REF!</definedName>
    <definedName name="_Sort" localSheetId="15" hidden="1">#REF!</definedName>
    <definedName name="_Sort" localSheetId="17" hidden="1">#REF!</definedName>
    <definedName name="_Sort" localSheetId="30" hidden="1">#REF!</definedName>
    <definedName name="_Sort" localSheetId="79" hidden="1">#REF!</definedName>
    <definedName name="_Sort" localSheetId="42" hidden="1">#REF!</definedName>
    <definedName name="_Sort" hidden="1">#REF!</definedName>
    <definedName name="_Table1_In1" localSheetId="37" hidden="1">#REF!</definedName>
    <definedName name="_Table1_In1" localSheetId="38" hidden="1">#REF!</definedName>
    <definedName name="_Table1_In1" localSheetId="4" hidden="1">#REF!</definedName>
    <definedName name="_Table1_In1" localSheetId="46" hidden="1">#REF!</definedName>
    <definedName name="_Table1_In1" localSheetId="47" hidden="1">#REF!</definedName>
    <definedName name="_Table1_In1" localSheetId="50" hidden="1">#REF!</definedName>
    <definedName name="_Table1_In1" localSheetId="41" hidden="1">#REF!</definedName>
    <definedName name="_Table1_In1" localSheetId="15" hidden="1">#REF!</definedName>
    <definedName name="_Table1_In1" localSheetId="17" hidden="1">#REF!</definedName>
    <definedName name="_Table1_In1" localSheetId="30" hidden="1">#REF!</definedName>
    <definedName name="_Table1_In1" localSheetId="79" hidden="1">#REF!</definedName>
    <definedName name="_Table1_In1" localSheetId="42" hidden="1">#REF!</definedName>
    <definedName name="_Table1_In1" hidden="1">#REF!</definedName>
    <definedName name="_Table1_Out" localSheetId="37" hidden="1">#REF!</definedName>
    <definedName name="_Table1_Out" localSheetId="38" hidden="1">#REF!</definedName>
    <definedName name="_Table1_Out" localSheetId="4" hidden="1">#REF!</definedName>
    <definedName name="_Table1_Out" localSheetId="46" hidden="1">#REF!</definedName>
    <definedName name="_Table1_Out" localSheetId="47" hidden="1">#REF!</definedName>
    <definedName name="_Table1_Out" localSheetId="50" hidden="1">#REF!</definedName>
    <definedName name="_Table1_Out" localSheetId="41" hidden="1">#REF!</definedName>
    <definedName name="_Table1_Out" localSheetId="15" hidden="1">#REF!</definedName>
    <definedName name="_Table1_Out" localSheetId="17" hidden="1">#REF!</definedName>
    <definedName name="_Table1_Out" localSheetId="30" hidden="1">#REF!</definedName>
    <definedName name="_Table1_Out" localSheetId="79" hidden="1">#REF!</definedName>
    <definedName name="_Table1_Out" localSheetId="42" hidden="1">#REF!</definedName>
    <definedName name="_Table1_Out" hidden="1">#REF!</definedName>
    <definedName name="_Table2_In1" localSheetId="37" hidden="1">#REF!</definedName>
    <definedName name="_Table2_In1" localSheetId="38" hidden="1">#REF!</definedName>
    <definedName name="_Table2_In1" localSheetId="4" hidden="1">#REF!</definedName>
    <definedName name="_Table2_In1" localSheetId="46" hidden="1">#REF!</definedName>
    <definedName name="_Table2_In1" localSheetId="47" hidden="1">#REF!</definedName>
    <definedName name="_Table2_In1" localSheetId="50" hidden="1">#REF!</definedName>
    <definedName name="_Table2_In1" localSheetId="41" hidden="1">#REF!</definedName>
    <definedName name="_Table2_In1" localSheetId="15" hidden="1">#REF!</definedName>
    <definedName name="_Table2_In1" localSheetId="17" hidden="1">#REF!</definedName>
    <definedName name="_Table2_In1" localSheetId="30" hidden="1">#REF!</definedName>
    <definedName name="_Table2_In1" localSheetId="79" hidden="1">#REF!</definedName>
    <definedName name="_Table2_In1" localSheetId="42" hidden="1">#REF!</definedName>
    <definedName name="_Table2_In1" hidden="1">#REF!</definedName>
    <definedName name="_Table2_In2" localSheetId="37" hidden="1">#REF!</definedName>
    <definedName name="_Table2_In2" localSheetId="38" hidden="1">#REF!</definedName>
    <definedName name="_Table2_In2" localSheetId="4" hidden="1">#REF!</definedName>
    <definedName name="_Table2_In2" localSheetId="46" hidden="1">#REF!</definedName>
    <definedName name="_Table2_In2" localSheetId="47" hidden="1">#REF!</definedName>
    <definedName name="_Table2_In2" localSheetId="50" hidden="1">#REF!</definedName>
    <definedName name="_Table2_In2" localSheetId="41" hidden="1">#REF!</definedName>
    <definedName name="_Table2_In2" localSheetId="15" hidden="1">#REF!</definedName>
    <definedName name="_Table2_In2" localSheetId="17" hidden="1">#REF!</definedName>
    <definedName name="_Table2_In2" localSheetId="30" hidden="1">#REF!</definedName>
    <definedName name="_Table2_In2" localSheetId="42" hidden="1">#REF!</definedName>
    <definedName name="_Table2_In2" hidden="1">#REF!</definedName>
    <definedName name="_Table2_Out" localSheetId="37" hidden="1">#REF!</definedName>
    <definedName name="_Table2_Out" localSheetId="38" hidden="1">#REF!</definedName>
    <definedName name="_Table2_Out" localSheetId="4" hidden="1">#REF!</definedName>
    <definedName name="_Table2_Out" localSheetId="46" hidden="1">#REF!</definedName>
    <definedName name="_Table2_Out" localSheetId="47" hidden="1">#REF!</definedName>
    <definedName name="_Table2_Out" localSheetId="50" hidden="1">#REF!</definedName>
    <definedName name="_Table2_Out" localSheetId="41" hidden="1">#REF!</definedName>
    <definedName name="_Table2_Out" localSheetId="15" hidden="1">#REF!</definedName>
    <definedName name="_Table2_Out" localSheetId="17" hidden="1">#REF!</definedName>
    <definedName name="_Table2_Out" localSheetId="30" hidden="1">#REF!</definedName>
    <definedName name="_Table2_Out" localSheetId="79" hidden="1">#REF!</definedName>
    <definedName name="_Table2_Out" localSheetId="42" hidden="1">#REF!</definedName>
    <definedName name="_Table2_Out" hidden="1">#REF!</definedName>
    <definedName name="_w1" localSheetId="10" hidden="1">{"PVGraph2",#N/A,FALSE,"PV Data"}</definedName>
    <definedName name="_w1" localSheetId="46" hidden="1">{"PVGraph2",#N/A,FALSE,"PV Data"}</definedName>
    <definedName name="_w1" localSheetId="51" hidden="1">{"PVGraph2",#N/A,FALSE,"PV Data"}</definedName>
    <definedName name="_w1" localSheetId="47" hidden="1">{"PVGraph2",#N/A,FALSE,"PV Data"}</definedName>
    <definedName name="_w1" localSheetId="12" hidden="1">{"PVGraph2",#N/A,FALSE,"PV Data"}</definedName>
    <definedName name="_w1" localSheetId="25" hidden="1">{"PVGraph2",#N/A,FALSE,"PV Data"}</definedName>
    <definedName name="_w1" localSheetId="30" hidden="1">{"PVGraph2",#N/A,FALSE,"PV Data"}</definedName>
    <definedName name="_w1" hidden="1">{"PVGraph2",#N/A,FALSE,"PV Data"}</definedName>
    <definedName name="_w2" localSheetId="10" hidden="1">{"PVGraph2",#N/A,FALSE,"PV Data"}</definedName>
    <definedName name="_w2" localSheetId="46" hidden="1">{"PVGraph2",#N/A,FALSE,"PV Data"}</definedName>
    <definedName name="_w2" localSheetId="51" hidden="1">{"PVGraph2",#N/A,FALSE,"PV Data"}</definedName>
    <definedName name="_w2" localSheetId="47" hidden="1">{"PVGraph2",#N/A,FALSE,"PV Data"}</definedName>
    <definedName name="_w2" localSheetId="12" hidden="1">{"PVGraph2",#N/A,FALSE,"PV Data"}</definedName>
    <definedName name="_w2" localSheetId="25" hidden="1">{"PVGraph2",#N/A,FALSE,"PV Data"}</definedName>
    <definedName name="_w2" localSheetId="30" hidden="1">{"PVGraph2",#N/A,FALSE,"PV Data"}</definedName>
    <definedName name="_w2" hidden="1">{"PVGraph2",#N/A,FALSE,"PV Data"}</definedName>
    <definedName name="_w3" localSheetId="10" hidden="1">{"PVGraph2",#N/A,FALSE,"PV Data"}</definedName>
    <definedName name="_w3" localSheetId="46" hidden="1">{"PVGraph2",#N/A,FALSE,"PV Data"}</definedName>
    <definedName name="_w3" localSheetId="51" hidden="1">{"PVGraph2",#N/A,FALSE,"PV Data"}</definedName>
    <definedName name="_w3" localSheetId="47" hidden="1">{"PVGraph2",#N/A,FALSE,"PV Data"}</definedName>
    <definedName name="_w3" localSheetId="12" hidden="1">{"PVGraph2",#N/A,FALSE,"PV Data"}</definedName>
    <definedName name="_w3" localSheetId="25" hidden="1">{"PVGraph2",#N/A,FALSE,"PV Data"}</definedName>
    <definedName name="_w3" localSheetId="30" hidden="1">{"PVGraph2",#N/A,FALSE,"PV Data"}</definedName>
    <definedName name="_w3" hidden="1">{"PVGraph2",#N/A,FALSE,"PV Data"}</definedName>
    <definedName name="_wrn.Aging._.and._.Trend._.Analysis" localSheetId="10" hidden="1">{#N/A,#N/A,FALSE,"Aging Summary";#N/A,#N/A,FALSE,"Ratio Analysis";#N/A,#N/A,FALSE,"Test 120 Day Accts";#N/A,#N/A,FALSE,"Tickmarks"}</definedName>
    <definedName name="_wrn.Aging._.and._.Trend._.Analysis" localSheetId="47" hidden="1">{#N/A,#N/A,FALSE,"Aging Summary";#N/A,#N/A,FALSE,"Ratio Analysis";#N/A,#N/A,FALSE,"Test 120 Day Accts";#N/A,#N/A,FALSE,"Tickmarks"}</definedName>
    <definedName name="_wrn.Aging._.and._.Trend._.Analysis" hidden="1">{#N/A,#N/A,FALSE,"Aging Summary";#N/A,#N/A,FALSE,"Ratio Analysis";#N/A,#N/A,FALSE,"Test 120 Day Accts";#N/A,#N/A,FALSE,"Tickmarks"}</definedName>
    <definedName name="_wrn3" localSheetId="10" hidden="1">{#N/A,#N/A,FALSE,"Aging Summary";#N/A,#N/A,FALSE,"Ratio Analysis";#N/A,#N/A,FALSE,"Test 120 Day Accts";#N/A,#N/A,FALSE,"Tickmarks"}</definedName>
    <definedName name="_wrn3" localSheetId="47" hidden="1">{#N/A,#N/A,FALSE,"Aging Summary";#N/A,#N/A,FALSE,"Ratio Analysis";#N/A,#N/A,FALSE,"Test 120 Day Accts";#N/A,#N/A,FALSE,"Tickmarks"}</definedName>
    <definedName name="_wrn3" hidden="1">{#N/A,#N/A,FALSE,"Aging Summary";#N/A,#N/A,FALSE,"Ratio Analysis";#N/A,#N/A,FALSE,"Test 120 Day Accts";#N/A,#N/A,FALSE,"Tickmarks"}</definedName>
    <definedName name="_xz4" localSheetId="10" hidden="1">{0,0,0,0;0,0,0,0;0,0,0,0;0,0,0,0;0,0,0,0;0,0,0,0}</definedName>
    <definedName name="_xz4" hidden="1">{0,0,0,0;0,0,0,0;0,0,0,0;0,0,0,0;0,0,0,0;0,0,0,0}</definedName>
    <definedName name="_y2" localSheetId="10" hidden="1">{"PVGraph2",#N/A,FALSE,"PV Data"}</definedName>
    <definedName name="_y2" localSheetId="46" hidden="1">{"PVGraph2",#N/A,FALSE,"PV Data"}</definedName>
    <definedName name="_y2" localSheetId="51" hidden="1">{"PVGraph2",#N/A,FALSE,"PV Data"}</definedName>
    <definedName name="_y2" localSheetId="47" hidden="1">{"PVGraph2",#N/A,FALSE,"PV Data"}</definedName>
    <definedName name="_y2" localSheetId="12" hidden="1">{"PVGraph2",#N/A,FALSE,"PV Data"}</definedName>
    <definedName name="_y2" localSheetId="25" hidden="1">{"PVGraph2",#N/A,FALSE,"PV Data"}</definedName>
    <definedName name="_y2" localSheetId="30" hidden="1">{"PVGraph2",#N/A,FALSE,"PV Data"}</definedName>
    <definedName name="_y2" hidden="1">{"PVGraph2",#N/A,FALSE,"PV Data"}</definedName>
    <definedName name="aaa" hidden="1">42462.6078819444</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ubn" localSheetId="10" hidden="1">{"page1",#N/A,FALSE,"Model";"page2",#N/A,FALSE,"Model";"page3",#N/A,FALSE,"Model";"page4",#N/A,FALSE,"Model";"page5",#N/A,FALSE,"Model";"page6",#N/A,FALSE,"Model";"page7",#N/A,FALSE,"Model";"page8",#N/A,FALSE,"Model";"page9",#N/A,FALSE,"Model";"page10",#N/A,FALSE,"Model";"page11",#N/A,FALSE,"Model";"page12",#N/A,FALSE,"Model";"page13",#N/A,FALSE,"Model"}</definedName>
    <definedName name="aaubn" hidden="1">{"page1",#N/A,FALSE,"Model";"page2",#N/A,FALSE,"Model";"page3",#N/A,FALSE,"Model";"page4",#N/A,FALSE,"Model";"page5",#N/A,FALSE,"Model";"page6",#N/A,FALSE,"Model";"page7",#N/A,FALSE,"Model";"page8",#N/A,FALSE,"Model";"page9",#N/A,FALSE,"Model";"page10",#N/A,FALSE,"Model";"page11",#N/A,FALSE,"Model";"page12",#N/A,FALSE,"Model";"page13",#N/A,FALSE,"Model"}</definedName>
    <definedName name="abc" localSheetId="37" hidden="1">#REF!</definedName>
    <definedName name="abc" localSheetId="38" hidden="1">#REF!</definedName>
    <definedName name="abc" localSheetId="4" hidden="1">#REF!</definedName>
    <definedName name="abc" localSheetId="67" hidden="1">{#N/A,#N/A,TRUE,"Assumptions";#N/A,#N/A,TRUE,"Sources of Revenue";#N/A,#N/A,TRUE,"P&amp;L";#N/A,#N/A,TRUE,"Bal. Sheet";#N/A,#N/A,TRUE,"Rights Issue &amp; X Adjustment";#N/A,#N/A,TRUE,"Transaction Model"}</definedName>
    <definedName name="abc" localSheetId="46" hidden="1">#REF!</definedName>
    <definedName name="ABC" localSheetId="47" hidden="1">#REF!</definedName>
    <definedName name="ABC" localSheetId="50" hidden="1">#REF!</definedName>
    <definedName name="abc" localSheetId="41" hidden="1">#REF!</definedName>
    <definedName name="abc" localSheetId="15" hidden="1">#REF!</definedName>
    <definedName name="abc" localSheetId="17" hidden="1">#REF!</definedName>
    <definedName name="abc" localSheetId="30" hidden="1">#REF!</definedName>
    <definedName name="abc" localSheetId="42" hidden="1">#REF!</definedName>
    <definedName name="abc" hidden="1">#REF!</definedName>
    <definedName name="ABS" localSheetId="37" hidden="1">#REF!</definedName>
    <definedName name="ABS" localSheetId="38" hidden="1">#REF!</definedName>
    <definedName name="ABS" localSheetId="4" hidden="1">#REF!</definedName>
    <definedName name="ABS" localSheetId="46" hidden="1">#REF!</definedName>
    <definedName name="ABS" localSheetId="50" hidden="1">#REF!</definedName>
    <definedName name="ABS" localSheetId="41" hidden="1">#REF!</definedName>
    <definedName name="ABS" localSheetId="15" hidden="1">#REF!</definedName>
    <definedName name="ABS" localSheetId="17" hidden="1">#REF!</definedName>
    <definedName name="ABS" localSheetId="30" hidden="1">#REF!</definedName>
    <definedName name="ABS" localSheetId="42" hidden="1">#REF!</definedName>
    <definedName name="ABS" hidden="1">#REF!</definedName>
    <definedName name="AccessDatabase" hidden="1">"I:\DEPT8900\OEL\FY01\Reports\Budget Comparison\Comparitive Budget TEST.mdb"</definedName>
    <definedName name="adj" localSheetId="10" hidden="1">{"MM Visits",#N/A,TRUE,"Moderately Managed";"MM Dollars per Hour",#N/A,TRUE,"Moderately Managed";"MM Hours per Visit",#N/A,TRUE,"Moderately Managed";"MM Dollars per Visit",#N/A,TRUE,"Moderately Managed";"MM Total Visits",#N/A,TRUE,"Moderately Managed";"MM PMPM",#N/A,TRUE,"Moderately Managed"}</definedName>
    <definedName name="adj" localSheetId="47" hidden="1">{"MM Visits",#N/A,TRUE,"Moderately Managed";"MM Dollars per Hour",#N/A,TRUE,"Moderately Managed";"MM Hours per Visit",#N/A,TRUE,"Moderately Managed";"MM Dollars per Visit",#N/A,TRUE,"Moderately Managed";"MM Total Visits",#N/A,TRUE,"Moderately Managed";"MM PMPM",#N/A,TRUE,"Moderately Managed"}</definedName>
    <definedName name="adj" hidden="1">{"MM Visits",#N/A,TRUE,"Moderately Managed";"MM Dollars per Hour",#N/A,TRUE,"Moderately Managed";"MM Hours per Visit",#N/A,TRUE,"Moderately Managed";"MM Dollars per Visit",#N/A,TRUE,"Moderately Managed";"MM Total Visits",#N/A,TRUE,"Moderately Managed";"MM PMPM",#N/A,TRUE,"Moderately Managed"}</definedName>
    <definedName name="adj_lm" localSheetId="10" hidden="1">{"UM Visits",#N/A,FALSE,"Unmanaged";"UM Dollars per Hour",#N/A,FALSE,"Unmanaged";"UM Hours per Visit",#N/A,FALSE,"Unmanaged";"UM Dollars per Visit",#N/A,FALSE,"Unmanaged";"UM Total Visits",#N/A,FALSE,"Unmanaged";"UM PMPM",#N/A,FALSE,"Unmanaged"}</definedName>
    <definedName name="adj_lm" localSheetId="47" hidden="1">{"UM Visits",#N/A,FALSE,"Unmanaged";"UM Dollars per Hour",#N/A,FALSE,"Unmanaged";"UM Hours per Visit",#N/A,FALSE,"Unmanaged";"UM Dollars per Visit",#N/A,FALSE,"Unmanaged";"UM Total Visits",#N/A,FALSE,"Unmanaged";"UM PMPM",#N/A,FALSE,"Unmanaged"}</definedName>
    <definedName name="adj_lm" hidden="1">{"UM Visits",#N/A,FALSE,"Unmanaged";"UM Dollars per Hour",#N/A,FALSE,"Unmanaged";"UM Hours per Visit",#N/A,FALSE,"Unmanaged";"UM Dollars per Visit",#N/A,FALSE,"Unmanaged";"UM Total Visits",#N/A,FALSE,"Unmanaged";"UM PMPM",#N/A,FALSE,"Unmanaged"}</definedName>
    <definedName name="adj_opt" localSheetId="10" hidden="1">{"OM Visits",#N/A,TRUE,"Optimal";"OM Dollars per Hour",#N/A,TRUE,"Optimal";"OM Hours per Visit",#N/A,TRUE,"Optimal";"OM Dollars per Visit",#N/A,TRUE,"Optimal";"OM Total Visits",#N/A,TRUE,"Optimal";"OM PMPM",#N/A,TRUE,"Optimal"}</definedName>
    <definedName name="adj_opt" localSheetId="47" hidden="1">{"OM Visits",#N/A,TRUE,"Optimal";"OM Dollars per Hour",#N/A,TRUE,"Optimal";"OM Hours per Visit",#N/A,TRUE,"Optimal";"OM Dollars per Visit",#N/A,TRUE,"Optimal";"OM Total Visits",#N/A,TRUE,"Optimal";"OM PMPM",#N/A,TRUE,"Optimal"}</definedName>
    <definedName name="adj_opt" hidden="1">{"OM Visits",#N/A,TRUE,"Optimal";"OM Dollars per Hour",#N/A,TRUE,"Optimal";"OM Hours per Visit",#N/A,TRUE,"Optimal";"OM Dollars per Visit",#N/A,TRUE,"Optimal";"OM Total Visits",#N/A,TRUE,"Optimal";"OM PMPM",#N/A,TRUE,"Optimal"}</definedName>
    <definedName name="adjnb" localSheetId="10" hidden="1">{"page1",#N/A,FALSE,"Model";"page2",#N/A,FALSE,"Model";"page3",#N/A,FALSE,"Model";"page4",#N/A,FALSE,"Model";"page5",#N/A,FALSE,"Model";"page6",#N/A,FALSE,"Model";"page7",#N/A,FALSE,"Model";"page8",#N/A,FALSE,"Model";"page9",#N/A,FALSE,"Model";"page10",#N/A,FALSE,"Model";"page11",#N/A,FALSE,"Model";"page12",#N/A,FALSE,"Model";"page13",#N/A,FALSE,"Model"}</definedName>
    <definedName name="adjnb" hidden="1">{"page1",#N/A,FALSE,"Model";"page2",#N/A,FALSE,"Model";"page3",#N/A,FALSE,"Model";"page4",#N/A,FALSE,"Model";"page5",#N/A,FALSE,"Model";"page6",#N/A,FALSE,"Model";"page7",#N/A,FALSE,"Model";"page8",#N/A,FALSE,"Model";"page9",#N/A,FALSE,"Model";"page10",#N/A,FALSE,"Model";"page11",#N/A,FALSE,"Model";"page12",#N/A,FALSE,"Model";"page13",#N/A,FALSE,"Model"}</definedName>
    <definedName name="adkjbn" localSheetId="10" hidden="1">{"page1",#N/A,FALSE,"Model";"page2",#N/A,FALSE,"Model";"page3",#N/A,FALSE,"Model";"page4",#N/A,FALSE,"Model";"page5",#N/A,FALSE,"Model";"page6",#N/A,FALSE,"Model";"page7",#N/A,FALSE,"Model";"page8",#N/A,FALSE,"Model";"page9",#N/A,FALSE,"Model";"page10",#N/A,FALSE,"Model";"page11",#N/A,FALSE,"Model";"page12",#N/A,FALSE,"Model";"page13",#N/A,FALSE,"Model"}</definedName>
    <definedName name="adkjbn" hidden="1">{"page1",#N/A,FALSE,"Model";"page2",#N/A,FALSE,"Model";"page3",#N/A,FALSE,"Model";"page4",#N/A,FALSE,"Model";"page5",#N/A,FALSE,"Model";"page6",#N/A,FALSE,"Model";"page7",#N/A,FALSE,"Model";"page8",#N/A,FALSE,"Model";"page9",#N/A,FALSE,"Model";"page10",#N/A,FALSE,"Model";"page11",#N/A,FALSE,"Model";"page12",#N/A,FALSE,"Model";"page13",#N/A,FALSE,"Model"}</definedName>
    <definedName name="adohfvbr" localSheetId="10" hidden="1">{"page1",#N/A,FALSE,"Model";"page2",#N/A,FALSE,"Model";"page3",#N/A,FALSE,"Model";"page4",#N/A,FALSE,"Model";"page5",#N/A,FALSE,"Model";"page6",#N/A,FALSE,"Model";"page7",#N/A,FALSE,"Model";"page8",#N/A,FALSE,"Model";"page9",#N/A,FALSE,"Model";"page10",#N/A,FALSE,"Model";"page11",#N/A,FALSE,"Model";"page12",#N/A,FALSE,"Model";"page13",#N/A,FALSE,"Model"}</definedName>
    <definedName name="adohfvbr" hidden="1">{"page1",#N/A,FALSE,"Model";"page2",#N/A,FALSE,"Model";"page3",#N/A,FALSE,"Model";"page4",#N/A,FALSE,"Model";"page5",#N/A,FALSE,"Model";"page6",#N/A,FALSE,"Model";"page7",#N/A,FALSE,"Model";"page8",#N/A,FALSE,"Model";"page9",#N/A,FALSE,"Model";"page10",#N/A,FALSE,"Model";"page11",#N/A,FALSE,"Model";"page12",#N/A,FALSE,"Model";"page13",#N/A,FALSE,"Model"}</definedName>
    <definedName name="adsf" localSheetId="37" hidden="1">#REF!</definedName>
    <definedName name="adsf" localSheetId="38" hidden="1">#REF!</definedName>
    <definedName name="adsf" localSheetId="4" hidden="1">#REF!</definedName>
    <definedName name="adsf" localSheetId="46" hidden="1">#REF!</definedName>
    <definedName name="adsf" localSheetId="47" hidden="1">#REF!</definedName>
    <definedName name="adsf" localSheetId="50" hidden="1">#REF!</definedName>
    <definedName name="adsf" localSheetId="41" hidden="1">#REF!</definedName>
    <definedName name="adsf" localSheetId="15" hidden="1">#REF!</definedName>
    <definedName name="adsf" localSheetId="17" hidden="1">#REF!</definedName>
    <definedName name="adsf" localSheetId="30" hidden="1">#REF!</definedName>
    <definedName name="adsf" localSheetId="42" hidden="1">#REF!</definedName>
    <definedName name="adsf" hidden="1">#REF!</definedName>
    <definedName name="adskvb" localSheetId="10" hidden="1">{"page1",#N/A,FALSE,"Model";"page2",#N/A,FALSE,"Model";"page3",#N/A,FALSE,"Model";"page4",#N/A,FALSE,"Model";"page5",#N/A,FALSE,"Model";"page6",#N/A,FALSE,"Model";"page7",#N/A,FALSE,"Model";"page8",#N/A,FALSE,"Model";"page9",#N/A,FALSE,"Model";"page10",#N/A,FALSE,"Model";"page11",#N/A,FALSE,"Model";"page12",#N/A,FALSE,"Model";"page13",#N/A,FALSE,"Model"}</definedName>
    <definedName name="adskvb" hidden="1">{"page1",#N/A,FALSE,"Model";"page2",#N/A,FALSE,"Model";"page3",#N/A,FALSE,"Model";"page4",#N/A,FALSE,"Model";"page5",#N/A,FALSE,"Model";"page6",#N/A,FALSE,"Model";"page7",#N/A,FALSE,"Model";"page8",#N/A,FALSE,"Model";"page9",#N/A,FALSE,"Model";"page10",#N/A,FALSE,"Model";"page11",#N/A,FALSE,"Model";"page12",#N/A,FALSE,"Model";"page13",#N/A,FALSE,"Model"}</definedName>
    <definedName name="ahebgr" localSheetId="10" hidden="1">{"page1",#N/A,FALSE,"Model";"page2",#N/A,FALSE,"Model";"page3",#N/A,FALSE,"Model";"page4",#N/A,FALSE,"Model";"page5",#N/A,FALSE,"Model";"page6",#N/A,FALSE,"Model";"page7",#N/A,FALSE,"Model";"page8",#N/A,FALSE,"Model";"page9",#N/A,FALSE,"Model";"page10",#N/A,FALSE,"Model";"page11",#N/A,FALSE,"Model";"page12",#N/A,FALSE,"Model";"page13",#N/A,FALSE,"Model"}</definedName>
    <definedName name="ahebgr" hidden="1">{"page1",#N/A,FALSE,"Model";"page2",#N/A,FALSE,"Model";"page3",#N/A,FALSE,"Model";"page4",#N/A,FALSE,"Model";"page5",#N/A,FALSE,"Model";"page6",#N/A,FALSE,"Model";"page7",#N/A,FALSE,"Model";"page8",#N/A,FALSE,"Model";"page9",#N/A,FALSE,"Model";"page10",#N/A,FALSE,"Model";"page11",#N/A,FALSE,"Model";"page12",#N/A,FALSE,"Model";"page13",#N/A,FALSE,"Model"}</definedName>
    <definedName name="akdunb" localSheetId="10" hidden="1">{"page1",#N/A,FALSE,"Model";"page2",#N/A,FALSE,"Model";"page3",#N/A,FALSE,"Model";"page4",#N/A,FALSE,"Model";"page5",#N/A,FALSE,"Model";"page6",#N/A,FALSE,"Model";"page7",#N/A,FALSE,"Model";"page8",#N/A,FALSE,"Model";"page9",#N/A,FALSE,"Model";"page10",#N/A,FALSE,"Model";"page11",#N/A,FALSE,"Model";"page12",#N/A,FALSE,"Model";"page13",#N/A,FALSE,"Model"}</definedName>
    <definedName name="akdunb" hidden="1">{"page1",#N/A,FALSE,"Model";"page2",#N/A,FALSE,"Model";"page3",#N/A,FALSE,"Model";"page4",#N/A,FALSE,"Model";"page5",#N/A,FALSE,"Model";"page6",#N/A,FALSE,"Model";"page7",#N/A,FALSE,"Model";"page8",#N/A,FALSE,"Model";"page9",#N/A,FALSE,"Model";"page10",#N/A,FALSE,"Model";"page11",#N/A,FALSE,"Model";"page12",#N/A,FALSE,"Model";"page13",#N/A,FALSE,"Model"}</definedName>
    <definedName name="akhdsvb" localSheetId="10" hidden="1">{"page1",#N/A,FALSE,"Model";"page2",#N/A,FALSE,"Model";"page3",#N/A,FALSE,"Model";"page4",#N/A,FALSE,"Model";"page5",#N/A,FALSE,"Model";"page6",#N/A,FALSE,"Model";"page7",#N/A,FALSE,"Model";"page8",#N/A,FALSE,"Model";"page9",#N/A,FALSE,"Model";"page10",#N/A,FALSE,"Model";"page11",#N/A,FALSE,"Model";"page12",#N/A,FALSE,"Model";"page13",#N/A,FALSE,"Model"}</definedName>
    <definedName name="akhdsvb" hidden="1">{"page1",#N/A,FALSE,"Model";"page2",#N/A,FALSE,"Model";"page3",#N/A,FALSE,"Model";"page4",#N/A,FALSE,"Model";"page5",#N/A,FALSE,"Model";"page6",#N/A,FALSE,"Model";"page7",#N/A,FALSE,"Model";"page8",#N/A,FALSE,"Model";"page9",#N/A,FALSE,"Model";"page10",#N/A,FALSE,"Model";"page11",#N/A,FALSE,"Model";"page12",#N/A,FALSE,"Model";"page13",#N/A,FALSE,"Model"}</definedName>
    <definedName name="alireu" localSheetId="10" hidden="1">{"page1",#N/A,FALSE,"Model";"page2",#N/A,FALSE,"Model";"page3",#N/A,FALSE,"Model";"page4",#N/A,FALSE,"Model";"page5",#N/A,FALSE,"Model";"page6",#N/A,FALSE,"Model";"page7",#N/A,FALSE,"Model";"page8",#N/A,FALSE,"Model";"page9",#N/A,FALSE,"Model";"page10",#N/A,FALSE,"Model";"page11",#N/A,FALSE,"Model";"page12",#N/A,FALSE,"Model";"page13",#N/A,FALSE,"Model"}</definedName>
    <definedName name="alireu" hidden="1">{"page1",#N/A,FALSE,"Model";"page2",#N/A,FALSE,"Model";"page3",#N/A,FALSE,"Model";"page4",#N/A,FALSE,"Model";"page5",#N/A,FALSE,"Model";"page6",#N/A,FALSE,"Model";"page7",#N/A,FALSE,"Model";"page8",#N/A,FALSE,"Model";"page9",#N/A,FALSE,"Model";"page10",#N/A,FALSE,"Model";"page11",#N/A,FALSE,"Model";"page12",#N/A,FALSE,"Model";"page13",#N/A,FALSE,"Model"}</definedName>
    <definedName name="allocation" localSheetId="10" hidden="1">{#N/A,#N/A,FALSE,"Allocation"}</definedName>
    <definedName name="allocation" localSheetId="47" hidden="1">{#N/A,#N/A,FALSE,"Allocation"}</definedName>
    <definedName name="allocation" hidden="1">{#N/A,#N/A,FALSE,"Allocation"}</definedName>
    <definedName name="AllTables">{3}</definedName>
    <definedName name="anscount" localSheetId="67" hidden="1">1</definedName>
    <definedName name="anscount" localSheetId="53" hidden="1">1</definedName>
    <definedName name="anscount" hidden="1">6</definedName>
    <definedName name="as" localSheetId="10" hidden="1">{"ModelPage1",#N/A,TRUE,"Model";"ModelSum_Debt",#N/A,TRUE,"Model"}</definedName>
    <definedName name="as" localSheetId="46" hidden="1">{"ModelPage1",#N/A,TRUE,"Model";"ModelSum_Debt",#N/A,TRUE,"Model"}</definedName>
    <definedName name="as" localSheetId="51" hidden="1">{"ModelPage1",#N/A,TRUE,"Model";"ModelSum_Debt",#N/A,TRUE,"Model"}</definedName>
    <definedName name="as" localSheetId="47" hidden="1">{"ModelPage1",#N/A,TRUE,"Model";"ModelSum_Debt",#N/A,TRUE,"Model"}</definedName>
    <definedName name="as" localSheetId="12" hidden="1">{"ModelPage1",#N/A,TRUE,"Model";"ModelSum_Debt",#N/A,TRUE,"Model"}</definedName>
    <definedName name="as" localSheetId="25" hidden="1">{"ModelPage1",#N/A,TRUE,"Model";"ModelSum_Debt",#N/A,TRUE,"Model"}</definedName>
    <definedName name="as" localSheetId="30" hidden="1">{"ModelPage1",#N/A,TRUE,"Model";"ModelSum_Debt",#N/A,TRUE,"Model"}</definedName>
    <definedName name="as" hidden="1">{"ModelPage1",#N/A,TRUE,"Model";"ModelSum_Debt",#N/A,TRUE,"Model"}</definedName>
    <definedName name="AS2DocOpenMode" hidden="1">"AS2DocumentEdit"</definedName>
    <definedName name="AS2ReportLS" hidden="1">1</definedName>
    <definedName name="AS2SyncStepLS" hidden="1">0</definedName>
    <definedName name="AS2VersionLS" hidden="1">300</definedName>
    <definedName name="asd" localSheetId="47" hidden="1">{"DCF","UPSIDE CASE",FALSE,"Sheet1";"DCF","BASE CASE",FALSE,"Sheet1";"DCF","DOWNSIDE CASE",FALSE,"Sheet1"}</definedName>
    <definedName name="asd" localSheetId="12" hidden="1">{"DCF","UPSIDE CASE",FALSE,"Sheet1";"DCF","BASE CASE",FALSE,"Sheet1";"DCF","DOWNSIDE CASE",FALSE,"Sheet1"}</definedName>
    <definedName name="asd" localSheetId="30" hidden="1">{"DCF","UPSIDE CASE",FALSE,"Sheet1";"DCF","BASE CASE",FALSE,"Sheet1";"DCF","DOWNSIDE CASE",FALSE,"Sheet1"}</definedName>
    <definedName name="asdf" localSheetId="67" hidden="1">{"page1",#N/A,FALSE,"Model";"page2",#N/A,FALSE,"Model";"page3",#N/A,FALSE,"Model";"page4",#N/A,FALSE,"Model";"page5",#N/A,FALSE,"Model";"page6",#N/A,FALSE,"Model";"page7",#N/A,FALSE,"Model";"page8",#N/A,FALSE,"Model";"page9",#N/A,FALSE,"Model";"page10",#N/A,FALSE,"Model";"page11",#N/A,FALSE,"Model";"page12",#N/A,FALSE,"Model";"page13",#N/A,FALSE,"Model"}</definedName>
    <definedName name="asdfasdfdddd" localSheetId="10" hidden="1">{"DCF","UPSIDE CASE",FALSE,"Sheet1";"DCF","BASE CASE",FALSE,"Sheet1";"DCF","DOWNSIDE CASE",FALSE,"Sheet1"}</definedName>
    <definedName name="asdfasdfdddd" localSheetId="46" hidden="1">{"DCF","UPSIDE CASE",FALSE,"Sheet1";"DCF","BASE CASE",FALSE,"Sheet1";"DCF","DOWNSIDE CASE",FALSE,"Sheet1"}</definedName>
    <definedName name="asdfasdfdddd" localSheetId="51" hidden="1">{"DCF","UPSIDE CASE",FALSE,"Sheet1";"DCF","BASE CASE",FALSE,"Sheet1";"DCF","DOWNSIDE CASE",FALSE,"Sheet1"}</definedName>
    <definedName name="asdfasdfdddd" localSheetId="47" hidden="1">{"DCF","UPSIDE CASE",FALSE,"Sheet1";"DCF","BASE CASE",FALSE,"Sheet1";"DCF","DOWNSIDE CASE",FALSE,"Sheet1"}</definedName>
    <definedName name="asdfasdfdddd" localSheetId="12" hidden="1">{"DCF","UPSIDE CASE",FALSE,"Sheet1";"DCF","BASE CASE",FALSE,"Sheet1";"DCF","DOWNSIDE CASE",FALSE,"Sheet1"}</definedName>
    <definedName name="asdfasdfdddd" localSheetId="25" hidden="1">{"DCF","UPSIDE CASE",FALSE,"Sheet1";"DCF","BASE CASE",FALSE,"Sheet1";"DCF","DOWNSIDE CASE",FALSE,"Sheet1"}</definedName>
    <definedName name="asdfasdfdddd" localSheetId="30" hidden="1">{"DCF","UPSIDE CASE",FALSE,"Sheet1";"DCF","BASE CASE",FALSE,"Sheet1";"DCF","DOWNSIDE CASE",FALSE,"Sheet1"}</definedName>
    <definedName name="asdfasdfdddd" hidden="1">{"DCF","UPSIDE CASE",FALSE,"Sheet1";"DCF","BASE CASE",FALSE,"Sheet1";"DCF","DOWNSIDE CASE",FALSE,"Sheet1"}</definedName>
    <definedName name="asspts" localSheetId="10" hidden="1">{#N/A,#N/A,FALSE,"Assumptions"}</definedName>
    <definedName name="asspts" localSheetId="47" hidden="1">{#N/A,#N/A,FALSE,"Assumptions"}</definedName>
    <definedName name="asspts" hidden="1">{#N/A,#N/A,FALSE,"Assumptions"}</definedName>
    <definedName name="avegmultiple" localSheetId="37" hidden="1">#REF!</definedName>
    <definedName name="avegmultiple" localSheetId="38" hidden="1">#REF!</definedName>
    <definedName name="avegmultiple" localSheetId="4" hidden="1">#REF!</definedName>
    <definedName name="avegmultiple" localSheetId="46" hidden="1">#REF!</definedName>
    <definedName name="avegmultiple" localSheetId="47" hidden="1">#REF!</definedName>
    <definedName name="avegmultiple" localSheetId="50" hidden="1">#REF!</definedName>
    <definedName name="avegmultiple" localSheetId="41" hidden="1">#REF!</definedName>
    <definedName name="avegmultiple" localSheetId="15" hidden="1">#REF!</definedName>
    <definedName name="avegmultiple" localSheetId="17" hidden="1">#REF!</definedName>
    <definedName name="avegmultiple" localSheetId="30" hidden="1">#REF!</definedName>
    <definedName name="avegmultiple" localSheetId="42" hidden="1">#REF!</definedName>
    <definedName name="avegmultiple" hidden="1">#REF!</definedName>
    <definedName name="B" localSheetId="10" hidden="1">{#N/A,#N/A,FALSE,"Synth";"parc_DC",#N/A,FALSE,"parc";#N/A,#N/A,FALSE,"CA prest";#N/A,#N/A,FALSE,"Ratio CA";#N/A,#N/A,FALSE,"Trafic";"CR_GSM_acté_DC",#N/A,FALSE,"CR GSM_acté";#N/A,#N/A,FALSE,"Abonnés";#N/A,#N/A,FALSE,"Créances";#N/A,#N/A,FALSE,"Effectifs"}</definedName>
    <definedName name="B" localSheetId="47" hidden="1">{#N/A,#N/A,FALSE,"Synth";"parc_DC",#N/A,FALSE,"parc";#N/A,#N/A,FALSE,"CA prest";#N/A,#N/A,FALSE,"Ratio CA";#N/A,#N/A,FALSE,"Trafic";"CR_GSM_acté_DC",#N/A,FALSE,"CR GSM_acté";#N/A,#N/A,FALSE,"Abonnés";#N/A,#N/A,FALSE,"Créances";#N/A,#N/A,FALSE,"Effectifs"}</definedName>
    <definedName name="B" hidden="1">{#N/A,#N/A,FALSE,"Synth";"parc_DC",#N/A,FALSE,"parc";#N/A,#N/A,FALSE,"CA prest";#N/A,#N/A,FALSE,"Ratio CA";#N/A,#N/A,FALSE,"Trafic";"CR_GSM_acté_DC",#N/A,FALSE,"CR GSM_acté";#N/A,#N/A,FALSE,"Abonnés";#N/A,#N/A,FALSE,"Créances";#N/A,#N/A,FALSE,"Effectifs"}</definedName>
    <definedName name="balufdh" localSheetId="10" hidden="1">{"page1",#N/A,FALSE,"Model";"page2",#N/A,FALSE,"Model";"page3",#N/A,FALSE,"Model";"page4",#N/A,FALSE,"Model";"page5",#N/A,FALSE,"Model";"page6",#N/A,FALSE,"Model";"page7",#N/A,FALSE,"Model";"page8",#N/A,FALSE,"Model";"page9",#N/A,FALSE,"Model";"page10",#N/A,FALSE,"Model";"page11",#N/A,FALSE,"Model";"page12",#N/A,FALSE,"Model";"page13",#N/A,FALSE,"Model"}</definedName>
    <definedName name="balufdh" hidden="1">{"page1",#N/A,FALSE,"Model";"page2",#N/A,FALSE,"Model";"page3",#N/A,FALSE,"Model";"page4",#N/A,FALSE,"Model";"page5",#N/A,FALSE,"Model";"page6",#N/A,FALSE,"Model";"page7",#N/A,FALSE,"Model";"page8",#N/A,FALSE,"Model";"page9",#N/A,FALSE,"Model";"page10",#N/A,FALSE,"Model";"page11",#N/A,FALSE,"Model";"page12",#N/A,FALSE,"Model";"page13",#N/A,FALSE,"Model"}</definedName>
    <definedName name="bar" localSheetId="10" hidden="1">{"OM Visits",#N/A,TRUE,"Optimal";"OM Dollars per Hour",#N/A,TRUE,"Optimal";"OM Hours per Visit",#N/A,TRUE,"Optimal";"OM Dollars per Visit",#N/A,TRUE,"Optimal";"OM Total Visits",#N/A,TRUE,"Optimal";"OM PMPM",#N/A,TRUE,"Optimal"}</definedName>
    <definedName name="bar" localSheetId="47" hidden="1">{"OM Visits",#N/A,TRUE,"Optimal";"OM Dollars per Hour",#N/A,TRUE,"Optimal";"OM Hours per Visit",#N/A,TRUE,"Optimal";"OM Dollars per Visit",#N/A,TRUE,"Optimal";"OM Total Visits",#N/A,TRUE,"Optimal";"OM PMPM",#N/A,TRUE,"Optimal"}</definedName>
    <definedName name="bar" hidden="1">{"OM Visits",#N/A,TRUE,"Optimal";"OM Dollars per Hour",#N/A,TRUE,"Optimal";"OM Hours per Visit",#N/A,TRUE,"Optimal";"OM Dollars per Visit",#N/A,TRUE,"Optimal";"OM Total Visits",#N/A,TRUE,"Optimal";"OM PMPM",#N/A,TRUE,"Optimal"}</definedName>
    <definedName name="BBB" localSheetId="10" hidden="1">{#N/A,#N/A,TRUE,"Assumptions";#N/A,#N/A,TRUE,"Sources of Revenue";#N/A,#N/A,TRUE,"P&amp;L";#N/A,#N/A,TRUE,"Bal. Sheet";#N/A,#N/A,TRUE,"Rights Issue &amp; X Adjustment";#N/A,#N/A,TRUE,"Transaction Model"}</definedName>
    <definedName name="BBB" hidden="1">{#N/A,#N/A,TRUE,"Assumptions";#N/A,#N/A,TRUE,"Sources of Revenue";#N/A,#N/A,TRUE,"P&amp;L";#N/A,#N/A,TRUE,"Bal. Sheet";#N/A,#N/A,TRUE,"Rights Issue &amp; X Adjustment";#N/A,#N/A,TRUE,"Transaction Model"}</definedName>
    <definedName name="bei" localSheetId="10" hidden="1">{#N/A,#N/A,FALSE,"softdraw";#N/A,#N/A,FALSE,"linereclass";"northpint loan",#N/A,FALSE,"LOAN"}</definedName>
    <definedName name="bei" localSheetId="46" hidden="1">{#N/A,#N/A,FALSE,"softdraw";#N/A,#N/A,FALSE,"linereclass";"northpint loan",#N/A,FALSE,"LOAN"}</definedName>
    <definedName name="bei" localSheetId="51" hidden="1">{#N/A,#N/A,FALSE,"softdraw";#N/A,#N/A,FALSE,"linereclass";"northpint loan",#N/A,FALSE,"LOAN"}</definedName>
    <definedName name="bei" localSheetId="47" hidden="1">{#N/A,#N/A,FALSE,"softdraw";#N/A,#N/A,FALSE,"linereclass";"northpint loan",#N/A,FALSE,"LOAN"}</definedName>
    <definedName name="bei" localSheetId="12" hidden="1">{#N/A,#N/A,FALSE,"softdraw";#N/A,#N/A,FALSE,"linereclass";"northpint loan",#N/A,FALSE,"LOAN"}</definedName>
    <definedName name="bei" localSheetId="25" hidden="1">{#N/A,#N/A,FALSE,"softdraw";#N/A,#N/A,FALSE,"linereclass";"northpint loan",#N/A,FALSE,"LOAN"}</definedName>
    <definedName name="bei" localSheetId="30" hidden="1">{#N/A,#N/A,FALSE,"softdraw";#N/A,#N/A,FALSE,"linereclass";"northpint loan",#N/A,FALSE,"LOAN"}</definedName>
    <definedName name="bei" hidden="1">{#N/A,#N/A,FALSE,"softdraw";#N/A,#N/A,FALSE,"linereclass";"northpint loan",#N/A,FALSE,"LOAN"}</definedName>
    <definedName name="BG_Ins" hidden="1">4</definedName>
    <definedName name="BG_Mod" hidden="1">6</definedName>
    <definedName name="bjnd" localSheetId="10" hidden="1">{"page1",#N/A,FALSE,"Model";"page2",#N/A,FALSE,"Model";"page3",#N/A,FALSE,"Model";"page4",#N/A,FALSE,"Model";"page5",#N/A,FALSE,"Model";"page6",#N/A,FALSE,"Model";"page7",#N/A,FALSE,"Model";"page8",#N/A,FALSE,"Model";"page9",#N/A,FALSE,"Model";"page10",#N/A,FALSE,"Model";"page11",#N/A,FALSE,"Model";"page12",#N/A,FALSE,"Model";"page13",#N/A,FALSE,"Model"}</definedName>
    <definedName name="bjnd" hidden="1">{"page1",#N/A,FALSE,"Model";"page2",#N/A,FALSE,"Model";"page3",#N/A,FALSE,"Model";"page4",#N/A,FALSE,"Model";"page5",#N/A,FALSE,"Model";"page6",#N/A,FALSE,"Model";"page7",#N/A,FALSE,"Model";"page8",#N/A,FALSE,"Model";"page9",#N/A,FALSE,"Model";"page10",#N/A,FALSE,"Model";"page11",#N/A,FALSE,"Model";"page12",#N/A,FALSE,"Model";"page13",#N/A,FALSE,"Model"}</definedName>
    <definedName name="blah" localSheetId="10" hidden="1">{"MM Visits",#N/A,TRUE,"Moderately Managed";"MM Dollars per Hour",#N/A,TRUE,"Moderately Managed";"MM Hours per Visit",#N/A,TRUE,"Moderately Managed";"MM Dollars per Visit",#N/A,TRUE,"Moderately Managed";"MM Total Visits",#N/A,TRUE,"Moderately Managed";"MM PMPM",#N/A,TRUE,"Moderately Managed"}</definedName>
    <definedName name="blah" localSheetId="47" hidden="1">{"MM Visits",#N/A,TRUE,"Moderately Managed";"MM Dollars per Hour",#N/A,TRUE,"Moderately Managed";"MM Hours per Visit",#N/A,TRUE,"Moderately Managed";"MM Dollars per Visit",#N/A,TRUE,"Moderately Managed";"MM Total Visits",#N/A,TRUE,"Moderately Managed";"MM PMPM",#N/A,TRUE,"Moderately Managed"}</definedName>
    <definedName name="blah" hidden="1">{"MM Visits",#N/A,TRUE,"Moderately Managed";"MM Dollars per Hour",#N/A,TRUE,"Moderately Managed";"MM Hours per Visit",#N/A,TRUE,"Moderately Managed";"MM Dollars per Visit",#N/A,TRUE,"Moderately Managed";"MM Total Visits",#N/A,TRUE,"Moderately Managed";"MM PMPM",#N/A,TRUE,"Moderately Managed"}</definedName>
    <definedName name="BLPH1" localSheetId="37" hidden="1">#REF!</definedName>
    <definedName name="BLPH1" localSheetId="38" hidden="1">#REF!</definedName>
    <definedName name="BLPH1" localSheetId="4" hidden="1">#REF!</definedName>
    <definedName name="BLPH1" localSheetId="46" hidden="1">#REF!</definedName>
    <definedName name="BLPH1" localSheetId="47" hidden="1">#REF!</definedName>
    <definedName name="BLPH1" localSheetId="12" hidden="1">#REF!</definedName>
    <definedName name="BLPH1" localSheetId="41" hidden="1">#REF!</definedName>
    <definedName name="BLPH1" localSheetId="15" hidden="1">#REF!</definedName>
    <definedName name="BLPH1" localSheetId="17" hidden="1">#REF!</definedName>
    <definedName name="BLPH1" localSheetId="30" hidden="1">#REF!</definedName>
    <definedName name="BLPH1" localSheetId="42" hidden="1">#REF!</definedName>
    <definedName name="BLPH1" hidden="1">#REF!</definedName>
    <definedName name="BLPH10" localSheetId="37" hidden="1">#REF!</definedName>
    <definedName name="BLPH10" localSheetId="38" hidden="1">#REF!</definedName>
    <definedName name="BLPH10" localSheetId="4" hidden="1">#REF!</definedName>
    <definedName name="BLPH10" localSheetId="46" hidden="1">#REF!</definedName>
    <definedName name="BLPH10" localSheetId="41" hidden="1">#REF!</definedName>
    <definedName name="BLPH10" localSheetId="15" hidden="1">#REF!</definedName>
    <definedName name="BLPH10" localSheetId="17" hidden="1">#REF!</definedName>
    <definedName name="BLPH10" localSheetId="30" hidden="1">#REF!</definedName>
    <definedName name="BLPH10" localSheetId="42" hidden="1">#REF!</definedName>
    <definedName name="BLPH10" hidden="1">#REF!</definedName>
    <definedName name="BLPH11" localSheetId="37" hidden="1">#REF!</definedName>
    <definedName name="BLPH11" localSheetId="38" hidden="1">#REF!</definedName>
    <definedName name="BLPH11" localSheetId="4" hidden="1">#REF!</definedName>
    <definedName name="BLPH11" localSheetId="46" hidden="1">#REF!</definedName>
    <definedName name="BLPH11" localSheetId="41" hidden="1">#REF!</definedName>
    <definedName name="BLPH11" localSheetId="15" hidden="1">#REF!</definedName>
    <definedName name="BLPH11" localSheetId="17" hidden="1">#REF!</definedName>
    <definedName name="BLPH11" localSheetId="30" hidden="1">#REF!</definedName>
    <definedName name="BLPH11" localSheetId="42" hidden="1">#REF!</definedName>
    <definedName name="BLPH11" hidden="1">#REF!</definedName>
    <definedName name="BLPH12" localSheetId="37" hidden="1">#REF!</definedName>
    <definedName name="BLPH12" localSheetId="38" hidden="1">#REF!</definedName>
    <definedName name="BLPH12" localSheetId="4" hidden="1">#REF!</definedName>
    <definedName name="BLPH12" localSheetId="46" hidden="1">#REF!</definedName>
    <definedName name="BLPH12" localSheetId="41" hidden="1">#REF!</definedName>
    <definedName name="BLPH12" localSheetId="15" hidden="1">#REF!</definedName>
    <definedName name="BLPH12" localSheetId="17" hidden="1">#REF!</definedName>
    <definedName name="BLPH12" localSheetId="30" hidden="1">#REF!</definedName>
    <definedName name="BLPH12" localSheetId="42" hidden="1">#REF!</definedName>
    <definedName name="BLPH12" hidden="1">#REF!</definedName>
    <definedName name="BLPH13" localSheetId="37" hidden="1">#REF!</definedName>
    <definedName name="BLPH13" localSheetId="38" hidden="1">#REF!</definedName>
    <definedName name="BLPH13" localSheetId="4" hidden="1">#REF!</definedName>
    <definedName name="BLPH13" localSheetId="46" hidden="1">#REF!</definedName>
    <definedName name="BLPH13" localSheetId="41" hidden="1">#REF!</definedName>
    <definedName name="BLPH13" localSheetId="15" hidden="1">#REF!</definedName>
    <definedName name="BLPH13" localSheetId="17" hidden="1">#REF!</definedName>
    <definedName name="BLPH13" localSheetId="30" hidden="1">#REF!</definedName>
    <definedName name="BLPH13" localSheetId="42" hidden="1">#REF!</definedName>
    <definedName name="BLPH13" hidden="1">#REF!</definedName>
    <definedName name="BLPH14" localSheetId="37" hidden="1">#REF!</definedName>
    <definedName name="BLPH14" localSheetId="38" hidden="1">#REF!</definedName>
    <definedName name="BLPH14" localSheetId="4" hidden="1">#REF!</definedName>
    <definedName name="BLPH14" localSheetId="46" hidden="1">#REF!</definedName>
    <definedName name="BLPH14" localSheetId="41" hidden="1">#REF!</definedName>
    <definedName name="BLPH14" localSheetId="15" hidden="1">#REF!</definedName>
    <definedName name="BLPH14" localSheetId="17" hidden="1">#REF!</definedName>
    <definedName name="BLPH14" localSheetId="30" hidden="1">#REF!</definedName>
    <definedName name="BLPH14" localSheetId="42" hidden="1">#REF!</definedName>
    <definedName name="BLPH14" hidden="1">#REF!</definedName>
    <definedName name="BLPH15" localSheetId="37" hidden="1">#REF!</definedName>
    <definedName name="BLPH15" localSheetId="38" hidden="1">#REF!</definedName>
    <definedName name="BLPH15" localSheetId="4" hidden="1">#REF!</definedName>
    <definedName name="BLPH15" localSheetId="46" hidden="1">#REF!</definedName>
    <definedName name="BLPH15" localSheetId="41" hidden="1">#REF!</definedName>
    <definedName name="BLPH15" localSheetId="15" hidden="1">#REF!</definedName>
    <definedName name="BLPH15" localSheetId="17" hidden="1">#REF!</definedName>
    <definedName name="BLPH15" localSheetId="30" hidden="1">#REF!</definedName>
    <definedName name="BLPH15" localSheetId="42" hidden="1">#REF!</definedName>
    <definedName name="BLPH15" hidden="1">#REF!</definedName>
    <definedName name="BLPH16" localSheetId="37" hidden="1">#REF!</definedName>
    <definedName name="BLPH16" localSheetId="38" hidden="1">#REF!</definedName>
    <definedName name="BLPH16" localSheetId="4" hidden="1">#REF!</definedName>
    <definedName name="BLPH16" localSheetId="46" hidden="1">#REF!</definedName>
    <definedName name="BLPH16" localSheetId="41" hidden="1">#REF!</definedName>
    <definedName name="BLPH16" localSheetId="15" hidden="1">#REF!</definedName>
    <definedName name="BLPH16" localSheetId="17" hidden="1">#REF!</definedName>
    <definedName name="BLPH16" localSheetId="30" hidden="1">#REF!</definedName>
    <definedName name="BLPH16" localSheetId="42" hidden="1">#REF!</definedName>
    <definedName name="BLPH16" hidden="1">#REF!</definedName>
    <definedName name="BLPH2" localSheetId="37" hidden="1">#REF!</definedName>
    <definedName name="BLPH2" localSheetId="38" hidden="1">#REF!</definedName>
    <definedName name="BLPH2" localSheetId="4" hidden="1">#REF!</definedName>
    <definedName name="BLPH2" localSheetId="46" hidden="1">#REF!</definedName>
    <definedName name="BLPH2" localSheetId="41" hidden="1">#REF!</definedName>
    <definedName name="BLPH2" localSheetId="15" hidden="1">#REF!</definedName>
    <definedName name="BLPH2" localSheetId="17" hidden="1">#REF!</definedName>
    <definedName name="BLPH2" localSheetId="30" hidden="1">#REF!</definedName>
    <definedName name="BLPH2" localSheetId="42" hidden="1">#REF!</definedName>
    <definedName name="BLPH2" hidden="1">#REF!</definedName>
    <definedName name="BLPH3" localSheetId="37" hidden="1">#REF!</definedName>
    <definedName name="BLPH3" localSheetId="38" hidden="1">#REF!</definedName>
    <definedName name="BLPH3" localSheetId="4" hidden="1">#REF!</definedName>
    <definedName name="BLPH3" localSheetId="46" hidden="1">#REF!</definedName>
    <definedName name="BLPH3" localSheetId="41" hidden="1">#REF!</definedName>
    <definedName name="BLPH3" localSheetId="15" hidden="1">#REF!</definedName>
    <definedName name="BLPH3" localSheetId="17" hidden="1">#REF!</definedName>
    <definedName name="BLPH3" localSheetId="30" hidden="1">#REF!</definedName>
    <definedName name="BLPH3" localSheetId="42" hidden="1">#REF!</definedName>
    <definedName name="BLPH3" hidden="1">#REF!</definedName>
    <definedName name="BLPH4" localSheetId="37" hidden="1">#REF!</definedName>
    <definedName name="BLPH4" localSheetId="38" hidden="1">#REF!</definedName>
    <definedName name="BLPH4" localSheetId="4" hidden="1">#REF!</definedName>
    <definedName name="BLPH4" localSheetId="46" hidden="1">#REF!</definedName>
    <definedName name="BLPH4" localSheetId="41" hidden="1">#REF!</definedName>
    <definedName name="BLPH4" localSheetId="15" hidden="1">#REF!</definedName>
    <definedName name="BLPH4" localSheetId="17" hidden="1">#REF!</definedName>
    <definedName name="BLPH4" localSheetId="30" hidden="1">#REF!</definedName>
    <definedName name="BLPH4" localSheetId="42" hidden="1">#REF!</definedName>
    <definedName name="BLPH4" hidden="1">#REF!</definedName>
    <definedName name="BLPH5" localSheetId="37" hidden="1">#REF!</definedName>
    <definedName name="BLPH5" localSheetId="38" hidden="1">#REF!</definedName>
    <definedName name="BLPH5" localSheetId="4" hidden="1">#REF!</definedName>
    <definedName name="BLPH5" localSheetId="46" hidden="1">#REF!</definedName>
    <definedName name="BLPH5" localSheetId="41" hidden="1">#REF!</definedName>
    <definedName name="BLPH5" localSheetId="15" hidden="1">#REF!</definedName>
    <definedName name="BLPH5" localSheetId="17" hidden="1">#REF!</definedName>
    <definedName name="BLPH5" localSheetId="30" hidden="1">#REF!</definedName>
    <definedName name="BLPH5" localSheetId="42" hidden="1">#REF!</definedName>
    <definedName name="BLPH5" hidden="1">#REF!</definedName>
    <definedName name="BLPH6" localSheetId="37" hidden="1">#REF!</definedName>
    <definedName name="BLPH6" localSheetId="38" hidden="1">#REF!</definedName>
    <definedName name="BLPH6" localSheetId="4" hidden="1">#REF!</definedName>
    <definedName name="BLPH6" localSheetId="46" hidden="1">#REF!</definedName>
    <definedName name="BLPH6" localSheetId="41" hidden="1">#REF!</definedName>
    <definedName name="BLPH6" localSheetId="15" hidden="1">#REF!</definedName>
    <definedName name="BLPH6" localSheetId="17" hidden="1">#REF!</definedName>
    <definedName name="BLPH6" localSheetId="30" hidden="1">#REF!</definedName>
    <definedName name="BLPH6" localSheetId="42" hidden="1">#REF!</definedName>
    <definedName name="BLPH6" hidden="1">#REF!</definedName>
    <definedName name="BLPH7" localSheetId="37" hidden="1">#REF!</definedName>
    <definedName name="BLPH7" localSheetId="38" hidden="1">#REF!</definedName>
    <definedName name="BLPH7" localSheetId="4" hidden="1">#REF!</definedName>
    <definedName name="BLPH7" localSheetId="46" hidden="1">#REF!</definedName>
    <definedName name="BLPH7" localSheetId="41" hidden="1">#REF!</definedName>
    <definedName name="BLPH7" localSheetId="15" hidden="1">#REF!</definedName>
    <definedName name="BLPH7" localSheetId="17" hidden="1">#REF!</definedName>
    <definedName name="BLPH7" localSheetId="30" hidden="1">#REF!</definedName>
    <definedName name="BLPH7" localSheetId="42" hidden="1">#REF!</definedName>
    <definedName name="BLPH7" hidden="1">#REF!</definedName>
    <definedName name="BLPH8" localSheetId="37" hidden="1">#REF!</definedName>
    <definedName name="BLPH8" localSheetId="38" hidden="1">#REF!</definedName>
    <definedName name="BLPH8" localSheetId="4" hidden="1">#REF!</definedName>
    <definedName name="BLPH8" localSheetId="46" hidden="1">#REF!</definedName>
    <definedName name="BLPH8" localSheetId="41" hidden="1">#REF!</definedName>
    <definedName name="BLPH8" localSheetId="15" hidden="1">#REF!</definedName>
    <definedName name="BLPH8" localSheetId="17" hidden="1">#REF!</definedName>
    <definedName name="BLPH8" localSheetId="30" hidden="1">#REF!</definedName>
    <definedName name="BLPH8" localSheetId="42" hidden="1">#REF!</definedName>
    <definedName name="BLPH8" hidden="1">#REF!</definedName>
    <definedName name="BLPH9" localSheetId="37" hidden="1">#REF!</definedName>
    <definedName name="BLPH9" localSheetId="38" hidden="1">#REF!</definedName>
    <definedName name="BLPH9" localSheetId="4" hidden="1">#REF!</definedName>
    <definedName name="BLPH9" localSheetId="46" hidden="1">#REF!</definedName>
    <definedName name="BLPH9" localSheetId="41" hidden="1">#REF!</definedName>
    <definedName name="BLPH9" localSheetId="15" hidden="1">#REF!</definedName>
    <definedName name="BLPH9" localSheetId="17" hidden="1">#REF!</definedName>
    <definedName name="BLPH9" localSheetId="30" hidden="1">#REF!</definedName>
    <definedName name="BLPH9" localSheetId="42" hidden="1">#REF!</definedName>
    <definedName name="BLPH9" hidden="1">#REF!</definedName>
    <definedName name="BNE_MESSAGES_HIDDEN" localSheetId="37" hidden="1">#REF!</definedName>
    <definedName name="BNE_MESSAGES_HIDDEN" localSheetId="38" hidden="1">#REF!</definedName>
    <definedName name="BNE_MESSAGES_HIDDEN" localSheetId="4" hidden="1">#REF!</definedName>
    <definedName name="BNE_MESSAGES_HIDDEN" localSheetId="46" hidden="1">#REF!</definedName>
    <definedName name="BNE_MESSAGES_HIDDEN" localSheetId="41" hidden="1">#REF!</definedName>
    <definedName name="BNE_MESSAGES_HIDDEN" localSheetId="15" hidden="1">#REF!</definedName>
    <definedName name="BNE_MESSAGES_HIDDEN" localSheetId="17" hidden="1">#REF!</definedName>
    <definedName name="BNE_MESSAGES_HIDDEN" localSheetId="42" hidden="1">#REF!</definedName>
    <definedName name="BNE_MESSAGES_HIDDEN" hidden="1">#REF!</definedName>
    <definedName name="Bridge_mo" localSheetId="10" hidden="1">{#N/A,#N/A,FALSE,"Model";#N/A,#N/A,FALSE,"Gen Pts &amp; Rts 2000";#N/A,#N/A,FALSE,"AcqsAss";#N/A,#N/A,FALSE,"Acqs &amp; De Novos"}</definedName>
    <definedName name="Bridge_mo" localSheetId="46" hidden="1">{#N/A,#N/A,FALSE,"Model";#N/A,#N/A,FALSE,"Gen Pts &amp; Rts 2000";#N/A,#N/A,FALSE,"AcqsAss";#N/A,#N/A,FALSE,"Acqs &amp; De Novos"}</definedName>
    <definedName name="Bridge_mo" localSheetId="51" hidden="1">{#N/A,#N/A,FALSE,"Model";#N/A,#N/A,FALSE,"Gen Pts &amp; Rts 2000";#N/A,#N/A,FALSE,"AcqsAss";#N/A,#N/A,FALSE,"Acqs &amp; De Novos"}</definedName>
    <definedName name="Bridge_mo" localSheetId="47" hidden="1">{#N/A,#N/A,FALSE,"Model";#N/A,#N/A,FALSE,"Gen Pts &amp; Rts 2000";#N/A,#N/A,FALSE,"AcqsAss";#N/A,#N/A,FALSE,"Acqs &amp; De Novos"}</definedName>
    <definedName name="Bridge_mo" localSheetId="12" hidden="1">{#N/A,#N/A,FALSE,"Model";#N/A,#N/A,FALSE,"Gen Pts &amp; Rts 2000";#N/A,#N/A,FALSE,"AcqsAss";#N/A,#N/A,FALSE,"Acqs &amp; De Novos"}</definedName>
    <definedName name="Bridge_mo" localSheetId="25" hidden="1">{#N/A,#N/A,FALSE,"Model";#N/A,#N/A,FALSE,"Gen Pts &amp; Rts 2000";#N/A,#N/A,FALSE,"AcqsAss";#N/A,#N/A,FALSE,"Acqs &amp; De Novos"}</definedName>
    <definedName name="Bridge_mo" localSheetId="30" hidden="1">{#N/A,#N/A,FALSE,"Model";#N/A,#N/A,FALSE,"Gen Pts &amp; Rts 2000";#N/A,#N/A,FALSE,"AcqsAss";#N/A,#N/A,FALSE,"Acqs &amp; De Novos"}</definedName>
    <definedName name="Bridge_mo" hidden="1">{#N/A,#N/A,FALSE,"Model";#N/A,#N/A,FALSE,"Gen Pts &amp; Rts 2000";#N/A,#N/A,FALSE,"AcqsAss";#N/A,#N/A,FALSE,"Acqs &amp; De Novos"}</definedName>
    <definedName name="bridge_month" localSheetId="10" hidden="1">{#N/A,#N/A,FALSE,"Model";#N/A,#N/A,FALSE,"Gen Pts &amp; Rts 2000";#N/A,#N/A,FALSE,"AcqsAss";#N/A,#N/A,FALSE,"Acqs &amp; De Novos"}</definedName>
    <definedName name="bridge_month" localSheetId="46" hidden="1">{#N/A,#N/A,FALSE,"Model";#N/A,#N/A,FALSE,"Gen Pts &amp; Rts 2000";#N/A,#N/A,FALSE,"AcqsAss";#N/A,#N/A,FALSE,"Acqs &amp; De Novos"}</definedName>
    <definedName name="bridge_month" localSheetId="51" hidden="1">{#N/A,#N/A,FALSE,"Model";#N/A,#N/A,FALSE,"Gen Pts &amp; Rts 2000";#N/A,#N/A,FALSE,"AcqsAss";#N/A,#N/A,FALSE,"Acqs &amp; De Novos"}</definedName>
    <definedName name="bridge_month" localSheetId="47" hidden="1">{#N/A,#N/A,FALSE,"Model";#N/A,#N/A,FALSE,"Gen Pts &amp; Rts 2000";#N/A,#N/A,FALSE,"AcqsAss";#N/A,#N/A,FALSE,"Acqs &amp; De Novos"}</definedName>
    <definedName name="bridge_month" localSheetId="12" hidden="1">{#N/A,#N/A,FALSE,"Model";#N/A,#N/A,FALSE,"Gen Pts &amp; Rts 2000";#N/A,#N/A,FALSE,"AcqsAss";#N/A,#N/A,FALSE,"Acqs &amp; De Novos"}</definedName>
    <definedName name="bridge_month" localSheetId="25" hidden="1">{#N/A,#N/A,FALSE,"Model";#N/A,#N/A,FALSE,"Gen Pts &amp; Rts 2000";#N/A,#N/A,FALSE,"AcqsAss";#N/A,#N/A,FALSE,"Acqs &amp; De Novos"}</definedName>
    <definedName name="bridge_month" localSheetId="30" hidden="1">{#N/A,#N/A,FALSE,"Model";#N/A,#N/A,FALSE,"Gen Pts &amp; Rts 2000";#N/A,#N/A,FALSE,"AcqsAss";#N/A,#N/A,FALSE,"Acqs &amp; De Novos"}</definedName>
    <definedName name="bridge_month" hidden="1">{#N/A,#N/A,FALSE,"Model";#N/A,#N/A,FALSE,"Gen Pts &amp; Rts 2000";#N/A,#N/A,FALSE,"AcqsAss";#N/A,#N/A,FALSE,"Acqs &amp; De Novos"}</definedName>
    <definedName name="bridge_qtr" localSheetId="10" hidden="1">{#N/A,#N/A,FALSE,"Model";#N/A,#N/A,FALSE,"Gen Pts &amp; Rts 2000";#N/A,#N/A,FALSE,"AcqsAss";#N/A,#N/A,FALSE,"Acqs &amp; De Novos"}</definedName>
    <definedName name="bridge_qtr" localSheetId="46" hidden="1">{#N/A,#N/A,FALSE,"Model";#N/A,#N/A,FALSE,"Gen Pts &amp; Rts 2000";#N/A,#N/A,FALSE,"AcqsAss";#N/A,#N/A,FALSE,"Acqs &amp; De Novos"}</definedName>
    <definedName name="bridge_qtr" localSheetId="51" hidden="1">{#N/A,#N/A,FALSE,"Model";#N/A,#N/A,FALSE,"Gen Pts &amp; Rts 2000";#N/A,#N/A,FALSE,"AcqsAss";#N/A,#N/A,FALSE,"Acqs &amp; De Novos"}</definedName>
    <definedName name="bridge_qtr" localSheetId="47" hidden="1">{#N/A,#N/A,FALSE,"Model";#N/A,#N/A,FALSE,"Gen Pts &amp; Rts 2000";#N/A,#N/A,FALSE,"AcqsAss";#N/A,#N/A,FALSE,"Acqs &amp; De Novos"}</definedName>
    <definedName name="bridge_qtr" localSheetId="12" hidden="1">{#N/A,#N/A,FALSE,"Model";#N/A,#N/A,FALSE,"Gen Pts &amp; Rts 2000";#N/A,#N/A,FALSE,"AcqsAss";#N/A,#N/A,FALSE,"Acqs &amp; De Novos"}</definedName>
    <definedName name="bridge_qtr" localSheetId="25" hidden="1">{#N/A,#N/A,FALSE,"Model";#N/A,#N/A,FALSE,"Gen Pts &amp; Rts 2000";#N/A,#N/A,FALSE,"AcqsAss";#N/A,#N/A,FALSE,"Acqs &amp; De Novos"}</definedName>
    <definedName name="bridge_qtr" localSheetId="30" hidden="1">{#N/A,#N/A,FALSE,"Model";#N/A,#N/A,FALSE,"Gen Pts &amp; Rts 2000";#N/A,#N/A,FALSE,"AcqsAss";#N/A,#N/A,FALSE,"Acqs &amp; De Novos"}</definedName>
    <definedName name="bridge_qtr" hidden="1">{#N/A,#N/A,FALSE,"Model";#N/A,#N/A,FALSE,"Gen Pts &amp; Rts 2000";#N/A,#N/A,FALSE,"AcqsAss";#N/A,#N/A,FALSE,"Acqs &amp; De Novos"}</definedName>
    <definedName name="bridger_qtr" localSheetId="10" hidden="1">{#N/A,#N/A,FALSE,"Model";#N/A,#N/A,FALSE,"Gen Pts &amp; Rts 2000";#N/A,#N/A,FALSE,"AcqsAss";#N/A,#N/A,FALSE,"Acqs &amp; De Novos"}</definedName>
    <definedName name="bridger_qtr" localSheetId="46" hidden="1">{#N/A,#N/A,FALSE,"Model";#N/A,#N/A,FALSE,"Gen Pts &amp; Rts 2000";#N/A,#N/A,FALSE,"AcqsAss";#N/A,#N/A,FALSE,"Acqs &amp; De Novos"}</definedName>
    <definedName name="bridger_qtr" localSheetId="51" hidden="1">{#N/A,#N/A,FALSE,"Model";#N/A,#N/A,FALSE,"Gen Pts &amp; Rts 2000";#N/A,#N/A,FALSE,"AcqsAss";#N/A,#N/A,FALSE,"Acqs &amp; De Novos"}</definedName>
    <definedName name="bridger_qtr" localSheetId="47" hidden="1">{#N/A,#N/A,FALSE,"Model";#N/A,#N/A,FALSE,"Gen Pts &amp; Rts 2000";#N/A,#N/A,FALSE,"AcqsAss";#N/A,#N/A,FALSE,"Acqs &amp; De Novos"}</definedName>
    <definedName name="bridger_qtr" localSheetId="12" hidden="1">{#N/A,#N/A,FALSE,"Model";#N/A,#N/A,FALSE,"Gen Pts &amp; Rts 2000";#N/A,#N/A,FALSE,"AcqsAss";#N/A,#N/A,FALSE,"Acqs &amp; De Novos"}</definedName>
    <definedName name="bridger_qtr" localSheetId="25" hidden="1">{#N/A,#N/A,FALSE,"Model";#N/A,#N/A,FALSE,"Gen Pts &amp; Rts 2000";#N/A,#N/A,FALSE,"AcqsAss";#N/A,#N/A,FALSE,"Acqs &amp; De Novos"}</definedName>
    <definedName name="bridger_qtr" localSheetId="30" hidden="1">{#N/A,#N/A,FALSE,"Model";#N/A,#N/A,FALSE,"Gen Pts &amp; Rts 2000";#N/A,#N/A,FALSE,"AcqsAss";#N/A,#N/A,FALSE,"Acqs &amp; De Novos"}</definedName>
    <definedName name="bridger_qtr" hidden="1">{#N/A,#N/A,FALSE,"Model";#N/A,#N/A,FALSE,"Gen Pts &amp; Rts 2000";#N/A,#N/A,FALSE,"AcqsAss";#N/A,#N/A,FALSE,"Acqs &amp; De Novos"}</definedName>
    <definedName name="bskjnd" localSheetId="10" hidden="1">{"page1",#N/A,FALSE,"Model";"page2",#N/A,FALSE,"Model";"page3",#N/A,FALSE,"Model";"page4",#N/A,FALSE,"Model";"page5",#N/A,FALSE,"Model";"page6",#N/A,FALSE,"Model";"page7",#N/A,FALSE,"Model";"page8",#N/A,FALSE,"Model";"page9",#N/A,FALSE,"Model";"page10",#N/A,FALSE,"Model";"page11",#N/A,FALSE,"Model";"page12",#N/A,FALSE,"Model";"page13",#N/A,FALSE,"Model"}</definedName>
    <definedName name="bskjnd" hidden="1">{"page1",#N/A,FALSE,"Model";"page2",#N/A,FALSE,"Model";"page3",#N/A,FALSE,"Model";"page4",#N/A,FALSE,"Model";"page5",#N/A,FALSE,"Model";"page6",#N/A,FALSE,"Model";"page7",#N/A,FALSE,"Model";"page8",#N/A,FALSE,"Model";"page9",#N/A,FALSE,"Model";"page10",#N/A,FALSE,"Model";"page11",#N/A,FALSE,"Model";"page12",#N/A,FALSE,"Model";"page13",#N/A,FALSE,"Model"}</definedName>
    <definedName name="build" localSheetId="10" hidden="1">{#N/A,#N/A,FALSE,"softdraw";#N/A,#N/A,FALSE,"linereclass";"northpint loan",#N/A,FALSE,"LOAN"}</definedName>
    <definedName name="build" localSheetId="46" hidden="1">{#N/A,#N/A,FALSE,"softdraw";#N/A,#N/A,FALSE,"linereclass";"northpint loan",#N/A,FALSE,"LOAN"}</definedName>
    <definedName name="build" localSheetId="51" hidden="1">{#N/A,#N/A,FALSE,"softdraw";#N/A,#N/A,FALSE,"linereclass";"northpint loan",#N/A,FALSE,"LOAN"}</definedName>
    <definedName name="build" localSheetId="47" hidden="1">{#N/A,#N/A,FALSE,"softdraw";#N/A,#N/A,FALSE,"linereclass";"northpint loan",#N/A,FALSE,"LOAN"}</definedName>
    <definedName name="build" localSheetId="12" hidden="1">{#N/A,#N/A,FALSE,"softdraw";#N/A,#N/A,FALSE,"linereclass";"northpint loan",#N/A,FALSE,"LOAN"}</definedName>
    <definedName name="build" localSheetId="25" hidden="1">{#N/A,#N/A,FALSE,"softdraw";#N/A,#N/A,FALSE,"linereclass";"northpint loan",#N/A,FALSE,"LOAN"}</definedName>
    <definedName name="build" localSheetId="30" hidden="1">{#N/A,#N/A,FALSE,"softdraw";#N/A,#N/A,FALSE,"linereclass";"northpint loan",#N/A,FALSE,"LOAN"}</definedName>
    <definedName name="build" hidden="1">{#N/A,#N/A,FALSE,"softdraw";#N/A,#N/A,FALSE,"linereclass";"northpint loan",#N/A,FALSE,"LOAN"}</definedName>
    <definedName name="cb_Add_CalloutChart_24_opts" hidden="1">"1, 9, 1, False, 2, False, False, , 0, False, False, 1, 1"</definedName>
    <definedName name="cb_Add_CalloutChart_25_opts" hidden="1">"1, 10, 1, False, 2, False, False, , 0, False, True, 1, 1"</definedName>
    <definedName name="cb_Add_CalloutChart_26_opts" hidden="1">"1, 9, 1, False, 2, False, False, , 0, False, True, 1, 1"</definedName>
    <definedName name="cb_ALT_STACKED_COLUMNChart_22_opts" hidden="1">"1, 3, 1, False, 2, True, False, , 0, False, True, 1, 2"</definedName>
    <definedName name="cb_ALT_STACKED_COLUMNChart_23_opts" hidden="1">"1, 3, 1, False, 2, True, False, , 0, False, True, 1, 2"</definedName>
    <definedName name="cb_Chart_1_opts" hidden="1">"1, 6, 1, False, 2, False, False, , 0, False, True, 1, 2"</definedName>
    <definedName name="cb_Chart_10_opts" hidden="1">"1, 8, 1, False, 2, False, False, , 0, False, False, 1, 1"</definedName>
    <definedName name="cb_Chart_100032_opts" hidden="1">"1, 10, 1, False, 2, True, False, , 0, False, False, 2, 2"</definedName>
    <definedName name="cb_Chart_10104_opts" hidden="1">"1, 5, 1, False, 2, True, False, , 0, True, False, 2, 1"</definedName>
    <definedName name="cb_Chart_10401_opts" hidden="1">"1, 5, 1, False, 2, False, False, , 0, True, False, 2, 1"</definedName>
    <definedName name="cb_Chart_10736_opts" hidden="1">"1, 10, 1, False, 2, False, False, , 0, False, False, 2, 2"</definedName>
    <definedName name="cb_Chart_11_opts" hidden="1">"1, 5, 1, False, 2, False, False, , 0, False, False, 1, 2"</definedName>
    <definedName name="cb_Chart_12_opts" hidden="1">"1, 5, 1, False, 2, True, False, , 0, True, False, 1, 2"</definedName>
    <definedName name="cb_Chart_13_opts" hidden="1">"1, 5, 1, False, 2, True, False, , 0, True, False, 1, 2"</definedName>
    <definedName name="cb_Chart_14_opts" hidden="1">"2, 2, 2, True, 2, False, False, , 0, False, True, 1, 2"</definedName>
    <definedName name="cb_Chart_15_opts" hidden="1">"2, 1, 2, True, 2, False, False, , 0, False, True, 1, 2"</definedName>
    <definedName name="cb_Chart_1501_opts" hidden="1">"1, 10, 1, False, 2, True, False, , 0, False, False, 2, 2"</definedName>
    <definedName name="cb_Chart_16_opts" hidden="1">"2, 1, 2, True, 2, False, False, , 0, False, True, 1, 2"</definedName>
    <definedName name="cb_Chart_1670_opts" hidden="1">"1, 5, 1, False, 2, True, False, , 0, False, False, 2, 1"</definedName>
    <definedName name="cb_Chart_17_opts" hidden="1">"1, 9, 1, False, 2, False, False, , 0, False, False, 1, 1"</definedName>
    <definedName name="cb_Chart_18_opts" hidden="1">"1, 9, 1, False, 2, False, False, , 0, False, False, 1, 1"</definedName>
    <definedName name="cb_Chart_19_opts" hidden="1">"1, 2, 1, False, 2, True, False, , 0, True, False, 2, 1"</definedName>
    <definedName name="cb_Chart_2_opts" hidden="1">"1, 6, 1, False, 2, False, False, , 0, False, False, 1, 2"</definedName>
    <definedName name="cb_Chart_20_opts" hidden="1">"1, 9, 1, False, 2, False, False, , 0, False, False, 1, 1"</definedName>
    <definedName name="cb_Chart_21_opts" hidden="1">"1, 2, 1, False, 2, False, False, , 0, False, False, 2, 1"</definedName>
    <definedName name="cb_Chart_22_opts" hidden="1">"1, 2, 1, False, 2, True, False, , 0, False, False, 2, 1"</definedName>
    <definedName name="cb_Chart_22784_opts" hidden="1">"1, 9, 1, False, 2, False, False, , 0, False, True, 1, 2"</definedName>
    <definedName name="cb_Chart_23_opts" hidden="1">"1, 9, 1, False, 2, False, False, , 0, False, False, 1, 1"</definedName>
    <definedName name="cb_Chart_24_opts" hidden="1">"1, 2, 1, False, 2, False, False, , 0, False, False, 2, 1"</definedName>
    <definedName name="cb_Chart_24490_opts" hidden="1">"1, 10, 1, False, 2, True, False, , 0, False, False, 2, 2"</definedName>
    <definedName name="cb_Chart_25_opts" hidden="1">"1, 3, 1, False, 2, False, False, , 0, True, True, 1, 2"</definedName>
    <definedName name="cb_Chart_26_opts" hidden="1">"1, 2, 1, False, 2, False, False, , 0, False, False, 2, 1"</definedName>
    <definedName name="cb_Chart_26476_opts" hidden="1">"1, 1, 1, False, 2, True, False, , 0, False, False, 1, 2"</definedName>
    <definedName name="cb_Chart_27_opts" hidden="1">"1, 1, 1, False, 2, True, False, , 0, False, True, 1, 2"</definedName>
    <definedName name="cb_Chart_28_opts" hidden="1">"1, 3, 1, False, 2, True, False, , 0, False, True, 1, 2"</definedName>
    <definedName name="cb_Chart_28031_opts" hidden="1">"1, 1, 1, False, 2, True, False, , 0, False, False, 1, 2"</definedName>
    <definedName name="cb_Chart_28545_opts" hidden="1">"1, 5, 1, False, 2, True, False, , 0, False, True, 2, 1"</definedName>
    <definedName name="cb_Chart_29_opts" hidden="1">"1, 3, 1, False, 2, False, False, , 0, False, False, 1, 1"</definedName>
    <definedName name="cb_Chart_29053_opts" hidden="1">"1, 10, 1, False, 2, True, False, , 0, False, False, 2, 2"</definedName>
    <definedName name="cb_Chart_29913_opts" hidden="1">"1, 1, 1, False, 2, False, False, , 0, False, False, 1, 1"</definedName>
    <definedName name="cb_Chart_3_opts" hidden="1">"1, 1, 1, False, 2, True, False, , 0, False, False, 2, 2"</definedName>
    <definedName name="cb_Chart_30_opts" hidden="1">"1, 3, 1, False, 2, True, False, , 0, False, True, 1, 2"</definedName>
    <definedName name="cb_Chart_30292_opts" hidden="1">"1, 1, 1, False, 2, False, False, , 0, False, False, 1, 2"</definedName>
    <definedName name="cb_Chart_31_opts" hidden="1">"1, 1, 1, False, 2, True, False, , 0, True, True, 2, 2"</definedName>
    <definedName name="cb_Chart_32_opts" hidden="1">"1, 1, 1, False, 2, True, False, , 0, False, False, 2, 2"</definedName>
    <definedName name="cb_Chart_33_opts" hidden="1">"1, 1, 1, False, 2, True, False, , 0, False, True, 3, 2"</definedName>
    <definedName name="cb_Chart_34_opts" hidden="1">"1, 10, 1, False, 2, True, False, , 0, False, False, 2, 2"</definedName>
    <definedName name="cb_Chart_36498_opts" hidden="1">"1, 1, 1, False, 2, True, False, , 0, False, False, 1, 2"</definedName>
    <definedName name="cb_Chart_37450_opts" hidden="1">"1, 10, 1, False, 2, True, False, , 0, False, False, 2, 2"</definedName>
    <definedName name="cb_Chart_4_opts" hidden="1">"1, 7, 1, False, 2, False, False, , 0, False, True, 1, 2"</definedName>
    <definedName name="cb_Chart_41_opts" hidden="1">"1, 10, 1, False, 2, True, False, , 0, False, False, 2, 1"</definedName>
    <definedName name="cb_Chart_41499_opts" hidden="1">"1, 10, 1, False, 2, True, False, , 0, False, False, 2, 2"</definedName>
    <definedName name="cb_Chart_42_opts" hidden="1">"1, 10, 1, False, 2, True, False, , 0, False, False, 2, 1"</definedName>
    <definedName name="cb_Chart_43_opts" hidden="1">"1, 10, 1, False, 2, True, False, , 0, False, False, 2, 1"</definedName>
    <definedName name="cb_Chart_4634_opts" hidden="1">"1, 10, 1, False, 2, True, False, , 0, False, False, 2, 2"</definedName>
    <definedName name="cb_Chart_4664_opts" hidden="1">"1, 5, 1, False, 2, True, False, , 0, False, True, 1, 2"</definedName>
    <definedName name="cb_Chart_46965_opts" hidden="1">"1, 1, 1, False, 2, False, False, , 0, False, False, 1, 1"</definedName>
    <definedName name="cb_Chart_5_opts" hidden="1">"1, 8, 1, False, 2, False, False, , 0, False, False, 1, 2"</definedName>
    <definedName name="cb_Chart_52582_opts" hidden="1">"1, 1, 1, False, 2, False, False, , 0, False, False, 1, 2"</definedName>
    <definedName name="cb_Chart_53437_opts" hidden="1">"1, 10, 1, False, 2, True, False, , 0, False, False, 2, 2"</definedName>
    <definedName name="cb_Chart_53482_opts" hidden="1">"1, 10, 1, False, 2, True, False, , 0, False, False, 2, 2"</definedName>
    <definedName name="cb_Chart_54_opts" hidden="1">"1, 3, 1, False, 2, False, False, , 0, False, True, 2, 2"</definedName>
    <definedName name="cb_Chart_5449_opts" hidden="1">"1, 1, 1, False, 2, False, False, , 0, False, False, 1, 1"</definedName>
    <definedName name="cb_Chart_5723_opts" hidden="1">"1, 1, 1, False, 2, True, False, , 0, False, True, 1, 2"</definedName>
    <definedName name="cb_Chart_57613_opts" hidden="1">"1, 5, 1, False, 2, True, False, , 0, False, True, 2, 1"</definedName>
    <definedName name="cb_Chart_58046_opts" hidden="1">"1, 10, 1, False, 2, True, False, , 0, False, False, 2, 2"</definedName>
    <definedName name="cb_Chart_59010_opts" hidden="1">"1, 2, 1, False, 2, False, False, , 0, False, False, 2, 1"</definedName>
    <definedName name="cb_Chart_59340_opts" hidden="1">"1, 1, 1, False, 2, False, False, , 0, False, False, 1, 1"</definedName>
    <definedName name="cb_Chart_6_opts" hidden="1">"1, 10, 1, False, 2, True, False, , 0, False, False, 2, 2"</definedName>
    <definedName name="cb_Chart_62364_opts" hidden="1">"1, 1, 1, False, 2, True, False, , 0, False, False, 1, 2"</definedName>
    <definedName name="cb_Chart_64876_opts" hidden="1">"1, 1, 1, False, 2, True, False, , 0, False, False, 1, 2"</definedName>
    <definedName name="cb_Chart_67711_opts" hidden="1">"1, 10, 1, False, 2, True, False, , 0, False, False, 2, 2"</definedName>
    <definedName name="cb_Chart_69605_opts" hidden="1">"1, 2, 1, False, 2, False, False, , 0, False, False, 2, 1"</definedName>
    <definedName name="cb_Chart_7_opts" hidden="1">"2, 1, 2, True, 2, False, False, , 0, False, True, 1, 2"</definedName>
    <definedName name="cb_Chart_70_opts" hidden="1">"1, 10, 1, False, 2, True, False, , 0, False, False, 1, 1"</definedName>
    <definedName name="cb_Chart_70648_opts" hidden="1">"1, 1, 1, False, 2, True, False, , 0, False, False, 2, 2"</definedName>
    <definedName name="cb_Chart_70997_opts" hidden="1">"1, 10, 1, False, 2, False, False, , 0, False, False, 1, 1"</definedName>
    <definedName name="cb_Chart_71_opts" hidden="1">"1, 10, 1, False, 2, False, False, , 0, False, False, 1, 1"</definedName>
    <definedName name="cb_Chart_72_opts" hidden="1">"1, 10, 1, False, 2, True, False, , 0, False, False, 1, 1"</definedName>
    <definedName name="cb_Chart_73_opts" hidden="1">"1, 10, 1, False, 2, False, False, , 0, False, False, 1, 1"</definedName>
    <definedName name="cb_Chart_76165_opts" hidden="1">"1, 10, 1, False, 2, True, False, , 0, False, False, 2, 2"</definedName>
    <definedName name="cb_Chart_76804_opts" hidden="1">"1, 1, 1, False, 2, False, False, , 0, False, False, 1, 1"</definedName>
    <definedName name="cb_Chart_77567_opts" hidden="1">"1, 10, 1, False, 2, False, False, , 0, False, False, 1, 1"</definedName>
    <definedName name="cb_Chart_79140_opts" hidden="1">"1, 10, 1, False, 2, True, False, , 0, False, False, 2, 2"</definedName>
    <definedName name="cb_Chart_79981_opts" hidden="1">"1, 5, 1, False, 2, True, False, , 0, True, False, 2, 1"</definedName>
    <definedName name="cb_Chart_8_opts" hidden="1">"2, 1, 2, True, 2, False, False, , 0, False, True, 1, 2"</definedName>
    <definedName name="cb_Chart_81541_opts" hidden="1">"1, 10, 1, False, 2, True, False, , 0, False, False, 2, 2"</definedName>
    <definedName name="cb_Chart_82552_opts" hidden="1">"1, 1, 1, False, 2, True, False, , 0, False, False, 1, 2"</definedName>
    <definedName name="cb_Chart_83072_opts" hidden="1">"1, 1, 1, False, 2, True, False, , 0, False, False, 1, 2"</definedName>
    <definedName name="cb_Chart_86354_opts" hidden="1">"1, 10, 1, False, 2, False, False, , 0, False, False, 1, 1"</definedName>
    <definedName name="cb_Chart_87236_opts" hidden="1">"1, 1, 1, False, 2, True, False, , 0, False, False, 1, 2"</definedName>
    <definedName name="cb_Chart_9_opts" hidden="1">"1, 8, 1, False, 2, False, False, , 0, False, False, 1, 1"</definedName>
    <definedName name="cb_Chart_91188_opts" hidden="1">"1, 8, 1, False, 2, False, False, , 0, False, False, 1, 2"</definedName>
    <definedName name="cb_Chart_95047_opts" hidden="1">"1, 1, 1, False, 2, False, False, , 0, False, False, 1, 2"</definedName>
    <definedName name="cb_Chart_96286_opts" hidden="1">"1, 10, 1, False, 2, True, False, , 0, False, False, 2, 2"</definedName>
    <definedName name="cb_Chart_98091_opts" hidden="1">"1, 2, 1, False, 2, False, False, , 0, False, False, 2, 1"</definedName>
    <definedName name="cb_Chart_98700_opts" hidden="1">"1, 8, 1, False, 2, False, False, , 0, False, False, 1, 2"</definedName>
    <definedName name="cb_Copy_Chart_w_New_DataChart_10_opts" hidden="1">"2, 1, 1, True, 4, False, False, , 0, False, False, 2, 2"</definedName>
    <definedName name="cb_Copy_Chart_w_New_DataChart_7_opts" hidden="1">"2, 1, 1, True, 4, False, False, , 0, False, False, 2, 2"</definedName>
    <definedName name="cb_Copy_Chart_w_New_DataChart_8_opts" hidden="1">"2, 1, 1, True, 4, False, False, , 0, False, False, 2, 2"</definedName>
    <definedName name="cb_Copy_Chart_w_New_DataChart_9_opts" hidden="1">"2, 1, 1, True, 4, False, False, , 0, False, False, 2, 2"</definedName>
    <definedName name="cb_Dimension_Pie_ChartsChart_1_opts" hidden="1">"1, 1, 1, False, 2, True, False, , 0, False, False, 2, 2"</definedName>
    <definedName name="cb_Dimension_Pie_ChartsChart_2_opts" hidden="1">"1, 10, 1, False, 2, True, False, , 0, False, False, 2, 2"</definedName>
    <definedName name="cb_Export_LegendChart_14_opts" hidden="1">"1, 10, 1, False, 2, True, False, , 0, False, False, 2, 2"</definedName>
    <definedName name="cb_Export_LegendChart_15_opts" hidden="1">"1, 10, 1, False, 2, True, False, , 0, False, False, 2, 2"</definedName>
    <definedName name="cb_PieChart_16_opts" hidden="1">"1, 10, 1, False, 2, True, False, , 0, False, False, 2, 2"</definedName>
    <definedName name="cb_sChart_1501_opts" hidden="1">"1, 2, 1, False, 2, False, False, , 0, False, False, 2, 1"</definedName>
    <definedName name="cb_sChart_26476_opts" hidden="1">"1, 4, 1, False, 2, True, False, , 0, False, False, 1, 2"</definedName>
    <definedName name="cb_sChart_28031_opts" hidden="1">"1, 4, 1, False, 2, True, False, , 0, False, False, 1, 1"</definedName>
    <definedName name="cb_sChart_29053_opts" hidden="1">"1, 2, 1, False, 2, False, False, , 0, False, False, 2, 1"</definedName>
    <definedName name="cb_sChart_29913_opts" hidden="1">"1, 3, 1, False, 2, False, False, , 0, False, True, 2, 2"</definedName>
    <definedName name="cb_sChart_30292_opts" hidden="1">"1, 2, 1, False, 2, False, False, , 0, False, False, 2, 1"</definedName>
    <definedName name="cb_sChart_36498_opts" hidden="1">"1, 3, 1, False, 2, False, False, , 0, False, False, 1, 2"</definedName>
    <definedName name="cb_sChart_37450_opts" hidden="1">"1, 1, 1, False, 2, True, False, , 0, False, False, 1, 2"</definedName>
    <definedName name="cb_sChart_41499_opts" hidden="1">"1, 2, 1, False, 2, False, False, , 0, False, False, 2, 1"</definedName>
    <definedName name="cb_sChart_4634_opts" hidden="1">"1, 2, 1, False, 2, False, False, , 0, False, False, 2, 1"</definedName>
    <definedName name="cb_sChart_46965_opts" hidden="1">"1, 1, 1, False, 2, False, False, , 0, False, False, 1, 1"</definedName>
    <definedName name="cb_sChart_52582_opts" hidden="1">"1, 5, 1, False, 2, False, False, , 0, False, True, 1, 2"</definedName>
    <definedName name="cb_sChart_53437_opts" hidden="1">"1, 1, 1, False, 2, True, False, , 0, False, False, 1, 2"</definedName>
    <definedName name="cb_sChart_5449_opts" hidden="1">"1, 3, 1, False, 2, False, False, , 0, False, True, 2, 2"</definedName>
    <definedName name="cb_sChart_5723_opts" hidden="1">"1, 1, 1, False, 2, True, False, , 0, False, False, 2, 1"</definedName>
    <definedName name="cb_sChart_58046_opts" hidden="1">"1, 1, 1, False, 2, True, False, , 0, False, False, 1, 2"</definedName>
    <definedName name="cb_sChart_59010_opts" hidden="1">"1, 5, 1, False, 2, True, False, , 0, False, False, 2, 1"</definedName>
    <definedName name="cb_sChart_59340_opts" hidden="1">"1, 3, 1, False, 2, False, False, , 0, False, True, 2, 2"</definedName>
    <definedName name="cb_sChart_62364_opts" hidden="1">"1, 3, 1, False, 2, False, False, , 0, False, True, 2, 2"</definedName>
    <definedName name="cb_sChart_64876_opts" hidden="1">"1, 5, 1, False, 2, True, False, , 0, False, False, 2, 2"</definedName>
    <definedName name="cb_sChart_70648_opts" hidden="1">"1, 1, 1, False, 2, False, False, , 0, False, False, 1, 1"</definedName>
    <definedName name="cb_sChart_70997_opts" hidden="1">"1, 2, 1, False, 2, False, False, , 0, False, False, 2, 1"</definedName>
    <definedName name="cb_sChart_76165_opts" hidden="1">"1, 2, 1, False, 2, False, False, , 0, False, False, 2, 1"</definedName>
    <definedName name="cb_sChart_76804_opts" hidden="1">"1, 3, 1, False, 2, False, False, , 0, False, True, 2, 2"</definedName>
    <definedName name="cb_sChart_77567_opts" hidden="1">"1, 2, 1, False, 2, False, False, , 0, False, False, 2, 1"</definedName>
    <definedName name="cb_sChart_79140_opts" hidden="1">"1, 1, 1, False, 2, True, False, , 0, False, False, 1, 2"</definedName>
    <definedName name="cb_sChart_81541_opts" hidden="1">"1, 2, 1, False, 2, False, False, , 0, False, False, 2, 1"</definedName>
    <definedName name="cb_sChart_82552_opts" hidden="1">"1, 4, 1, False, 2, True, False, , 0, False, False, 2, 1"</definedName>
    <definedName name="cb_sChart_83072_opts" hidden="1">"1, 4, 1, False, 2, True, False, , 0, False, False, 2, 1"</definedName>
    <definedName name="cb_sChart_86354_opts" hidden="1">"1, 1, 1, False, 2, True, False, , 0, False, False, 1, 2"</definedName>
    <definedName name="cb_sChart_87236_opts" hidden="1">"1, 2, 1, False, 2, False, False, , 0, False, False, 2, 1"</definedName>
    <definedName name="cb_sChart_95047_opts" hidden="1">"1, 3, 1, False, 2, False, False, , 0, False, False, 1, 2"</definedName>
    <definedName name="cb_sChart_96286_opts" hidden="1">"1, 2, 1, False, 2, False, False, , 0, False, False, 2, 1"</definedName>
    <definedName name="cb_sChart11DCFB24_opts" hidden="1">"1, 9, 1, False, 2, False, False, , 0, False, True, 1, 1"</definedName>
    <definedName name="cb_sChart11EADA92_opts" hidden="1">"1, 1, 1, False, 2, False, False, , 0, False, True, 2, 2"</definedName>
    <definedName name="cb_sChart11EAED4A_opts" hidden="1">"1, 1, 1, False, 2, False, False, , 0, False, True, 2, 2"</definedName>
    <definedName name="cb_sChart11EB049E_opts" hidden="1">"1, 1, 1, False, 2, False, False, , 0, False, True, 2, 2"</definedName>
    <definedName name="cb_sChart11FB1BDC_opts" hidden="1">"1, 1, 1, False, 2, True, False, , 0, False, True, 2, 2"</definedName>
    <definedName name="cb_sChart11FB2467_opts" hidden="1">"1, 1, 1, False, 2, True, False, , 0, False, True, 2, 2"</definedName>
    <definedName name="cb_sChart11FB271E_opts" hidden="1">"1, 1, 1, False, 2, True, False, , 0, False, True, 2, 2"</definedName>
    <definedName name="cb_sChart11FB296C_opts" hidden="1">"1, 1, 1, False, 2, True, False, , 0, False, True, 2, 2"</definedName>
    <definedName name="cb_sChart11FB4DE8_opts" hidden="1">"1, 9, 1, False, 2, False, False, , 0, False, True, 1, 2"</definedName>
    <definedName name="cb_sChart11FCA363_opts" hidden="1">"2, 1, 2, True, 2, False, False, , 0, False, True, 2, 2"</definedName>
    <definedName name="cb_sChart11FCA851_opts" hidden="1">"2, 1, 2, True, 2, False, False, , 0, False, True, 2, 2"</definedName>
    <definedName name="cb_sChart11FCE81C_opts" hidden="1">"1, 9, 1, False, 2, False, False, , 0, False, True, 2, 2"</definedName>
    <definedName name="cb_sChart12073B79_opts" hidden="1">"1, 9, 1, False, 2, False, False, , 0, False, True, 2, 2"</definedName>
    <definedName name="cb_sChart12074F69_opts" hidden="1">"1, 9, 1, False, 2, False, False, , 0, False, True, 2, 2"</definedName>
    <definedName name="cb_sChart1216F828_opts" hidden="1">"2, 1, 1, False, 2, False, False, , 0, False, True, 2, 2"</definedName>
    <definedName name="cb_sChart122574E1_opts" hidden="1">"1, 1, 1, False, 2, False, False, , 0, False, True, 2, 2"</definedName>
    <definedName name="cb_sChart12285211_opts" hidden="1">"1, 9, 1, False, 2, False, False, , 0, False, False, 1, 2"</definedName>
    <definedName name="cb_sChart12291B1F_opts" hidden="1">"2, 1, 1, True, 3, False, False, , 0, False, False, 1, 2"</definedName>
    <definedName name="cb_sChart1248DE96_opts" hidden="1">"1, 9, 1, False, 2, False, False, , 0, False, False, 1, 2"</definedName>
    <definedName name="cb_sChart1248E206_opts" hidden="1">"1, 9, 1, False, 2, False, False, , 0, False, False, 1, 2"</definedName>
    <definedName name="cb_sChart15CA0E0A_opts" hidden="1">"1, 9, 1, False, 2, False, False, , 0, False, False, 1, 2"</definedName>
    <definedName name="cb_sChart15CA1FFD_opts" hidden="1">"1, 10, 1, False, 2, False, False, , 0, False, False, 1, 1"</definedName>
    <definedName name="cb_sChart15CA20AB_opts" hidden="1">"1, 9, 1, False, 2, False, False, , 0, False, False, 1, 1"</definedName>
    <definedName name="cb_sChart15CA2F5C_opts" hidden="1">"1, 9, 1, False, 2, False, False, , 0, False, False, 1, 1"</definedName>
    <definedName name="cb_sChart15CA30C3_opts" hidden="1">"1, 9, 1, False, 2, False, False, , 0, False, True, 1, 1"</definedName>
    <definedName name="cb_sChart1A3873A1_opts" hidden="1">"1, 1, 1, False, 2, True, False, , 0, False, True, 1, 1"</definedName>
    <definedName name="cb_sChart1A3875D8_opts" hidden="1">"1, 1, 1, False, 2, False, False, , 0, False, False, 1, 1"</definedName>
    <definedName name="cb_sChart1A3877BF_opts" hidden="1">"1, 1, 1, False, 2, True, False, , 0, False, True, 1, 1"</definedName>
    <definedName name="cb_sChart1A387878_opts" hidden="1">"1, 1, 1, False, 2, True, False, , 0, False, True, 1, 1"</definedName>
    <definedName name="cb_sChart1A387AF4_opts" hidden="1">"1, 3, 1, False, 2, False, False, , 0, False, False, 1, 1"</definedName>
    <definedName name="cb_sChart1A38BEAE_opts" hidden="1">"1, 10, 1, False, 2, True, False, , 0, False, False, 1, 1"</definedName>
    <definedName name="cb_sChart1A43A019_opts" hidden="1">"1, 1, 1, False, 2, True, False, , 0, False, False, 1, 1"</definedName>
    <definedName name="cb_sChart1A4414D6_opts" hidden="1">"1, 1, 1, False, 2, True, False, , 0, False, False, 1, 1"</definedName>
    <definedName name="cb_sChart1A4416BC_opts" hidden="1">"1, 1, 1, False, 2, True, False, , 0, False, False, 1, 1"</definedName>
    <definedName name="cb_sChart1A4418D0_opts" hidden="1">"1, 1, 1, False, 2, True, False, , 0, False, False, 1, 1"</definedName>
    <definedName name="cb_sChart1A4419DA_opts" hidden="1">"1, 1, 1, False, 2, True, False, , 0, False, False, 1, 1"</definedName>
    <definedName name="cb_sChart41E9A35_opts" hidden="1">"1, 9, 1, False, 2, False, False, , 0, False, True, 1, 1"</definedName>
    <definedName name="cb_sChart7F59C8D_opts" hidden="1">"1, 4, 1, False, 2, False, False, , 0, False, False, 1, 1"</definedName>
    <definedName name="cb_sChart7F59D80_opts" hidden="1">"1, 1, 1, False, 2, True, False, , 0, False, False, 1, 1"</definedName>
    <definedName name="cb_sChart7F5A913_opts" hidden="1">"1, 1, 1, False, 2, True, False, , 0, False, False, 3, 1"</definedName>
    <definedName name="cb_sChart7F5AA63_opts" hidden="1">"1, 1, 1, False, 2, False, False, , 0, False, False, 3, 1"</definedName>
    <definedName name="cb_sChart7F5AB6D_opts" hidden="1">"1, 1, 1, False, 2, False, False, , 0, False, False, 3, 1"</definedName>
    <definedName name="cb_sChart7F5AED1_opts" hidden="1">"1, 1, 1, False, 2, False, False, , 0, False, False, 3, 1"</definedName>
    <definedName name="cb_sChartD68BCC9_opts" hidden="1">"1, 1, 1, False, 2, True, False, , 0, False, True, 1, 1"</definedName>
    <definedName name="cb_sChartD6B06A2_opts" hidden="1">"1, 1, 1, False, 2, False, False, , 0, False, False, 2, 2"</definedName>
    <definedName name="cb_sChartD6B1FA3_opts" hidden="1">"1, 1, 1, False, 2, False, False, , 0, False, False, 2, 2"</definedName>
    <definedName name="cb_sChartD6B69B1_opts" hidden="1">"1, 1, 1, False, 2, False, False, , 0, False, False, 1, 2"</definedName>
    <definedName name="cb_sChartD6B76F0_opts" hidden="1">"2, 1, 1, False, 2, False, False, , 0, False, False, 1, 2"</definedName>
    <definedName name="cb_sChartD6B943C_opts" hidden="1">"2, 1, 1, False, 3, False, False, , 0, False, False, 1, 2"</definedName>
    <definedName name="cb_sChartD6C1C01_opts" hidden="1">"2, 1, 1, True, 2, False, False, , 0, False, False, 1, 2"</definedName>
    <definedName name="cb_sChartD6FD60D_opts" hidden="1">"1, 1, 1, False, 2, False, False, , 0, False, False, 1, 1"</definedName>
    <definedName name="cb_sChartD78B484_opts" hidden="1">"2, 1, 1, False, 2, True, False, , 0, False, False, 1, 2"</definedName>
    <definedName name="cb_sChartD78C2AA_opts" hidden="1">"2, 1, 1, True, 2, True, False, , 0, False, False, 1, 2"</definedName>
    <definedName name="cb_sChartD78C76A_opts" hidden="1">"2, 1, 1, True, 2, True, False, , 0, False, False, 1, 1"</definedName>
    <definedName name="cb_sChartD78CF99_opts" hidden="1">"2, 1, 3, True, 2, False, False, , 0, False, False, 1, 1"</definedName>
    <definedName name="cb_sChartD78D2CE_opts" hidden="1">"1, 1, 1, False, 2, False, False, , 0, False, False, 1, 2"</definedName>
    <definedName name="cb_sChartD78D365_opts" hidden="1">"1, 1, 1, False, 2, False, False, , 0, False, False, 1, 2"</definedName>
    <definedName name="cb_sChartD78D5B3_opts" hidden="1">"1, 1, 1, False, 2, False, False, , 0, False, False, 1, 2"</definedName>
    <definedName name="cb_sChartD78D655_opts" hidden="1">"1, 1, 1, False, 2, True, False, , 0, False, False, 1, 2"</definedName>
    <definedName name="cb_sChartD78DFD4_opts" hidden="1">"2, 1, 1, True, 2, False, False, , 0, False, False, 1, 2"</definedName>
    <definedName name="cb_sChartD78E27F_opts" hidden="1">"2, 1, 1, True, 2, False, False, , 0, False, False, 1, 2"</definedName>
    <definedName name="cb_sChartD78E924_opts" hidden="1">"2, 1, 1, True, 3, False, False, , 0, False, False, 1, 2"</definedName>
    <definedName name="cb_sChartD7A9852_opts" hidden="1">"2, 1, 1, True, 3, False, False, , 0, False, False, 1, 2"</definedName>
    <definedName name="cb_Size_by_height_and_widthChart_16_opts" hidden="1">"1, 4, 1, False, 2, False, False, , 0, False, False, 1, 1"</definedName>
    <definedName name="cb_Size_by_height_and_widthChart_7_opts" hidden="1">"1, 4, 1, False, 2, False, False, , 0, False, False, 1, 1"</definedName>
    <definedName name="cb_Size_by_height_and_widthChart_8_opts" hidden="1">"1, 4, 1, False, 2, False, False, , 0, False, False, 1, 1"</definedName>
    <definedName name="CBWorkbookPriority" hidden="1">-1959504492</definedName>
    <definedName name="CIQWBGuid" localSheetId="80" hidden="1">"fbe512cc-6749-4c8e-993d-8a4c49fb67e0"</definedName>
    <definedName name="CIQWBGuid" localSheetId="67" hidden="1">"2017.10 - Hua Medicine (Financial Forecast).xlsx"</definedName>
    <definedName name="CIQWBGuid" localSheetId="53" hidden="1">"Copy of 2017 Biologics cashflow fcs_20161220.xlsx"</definedName>
    <definedName name="CIQWBGuid" localSheetId="79" hidden="1">"fbe512cc-6749-4c8e-993d-8a4c49fb67e0"</definedName>
    <definedName name="CIQWBGuid" hidden="1">"4c317e69-d429-41e3-b46a-b4c398e620fd"</definedName>
    <definedName name="CIQWBGuid2" hidden="1">"Capital IQ Ratios.xlsm"</definedName>
    <definedName name="circ">[8]Cover!$G$10</definedName>
    <definedName name="CNYHKD">[8]Cover!$G$19</definedName>
    <definedName name="CNYUSD">[8]Cover!$G$16</definedName>
    <definedName name="CNYUSD16">[8]Cover!$G$22</definedName>
    <definedName name="COBRA" localSheetId="10" hidden="1">{#N/A,#N/A,FALSE,"softdraw";#N/A,#N/A,FALSE,"linereclass";"northpint loan",#N/A,FALSE,"LOAN"}</definedName>
    <definedName name="COBRA" localSheetId="46" hidden="1">{#N/A,#N/A,FALSE,"softdraw";#N/A,#N/A,FALSE,"linereclass";"northpint loan",#N/A,FALSE,"LOAN"}</definedName>
    <definedName name="COBRA" localSheetId="51" hidden="1">{#N/A,#N/A,FALSE,"softdraw";#N/A,#N/A,FALSE,"linereclass";"northpint loan",#N/A,FALSE,"LOAN"}</definedName>
    <definedName name="COBRA" localSheetId="47" hidden="1">{#N/A,#N/A,FALSE,"softdraw";#N/A,#N/A,FALSE,"linereclass";"northpint loan",#N/A,FALSE,"LOAN"}</definedName>
    <definedName name="COBRA" localSheetId="12" hidden="1">{#N/A,#N/A,FALSE,"softdraw";#N/A,#N/A,FALSE,"linereclass";"northpint loan",#N/A,FALSE,"LOAN"}</definedName>
    <definedName name="COBRA" localSheetId="25" hidden="1">{#N/A,#N/A,FALSE,"softdraw";#N/A,#N/A,FALSE,"linereclass";"northpint loan",#N/A,FALSE,"LOAN"}</definedName>
    <definedName name="COBRA" localSheetId="30" hidden="1">{#N/A,#N/A,FALSE,"softdraw";#N/A,#N/A,FALSE,"linereclass";"northpint loan",#N/A,FALSE,"LOAN"}</definedName>
    <definedName name="COBRA" hidden="1">{#N/A,#N/A,FALSE,"softdraw";#N/A,#N/A,FALSE,"linereclass";"northpint loan",#N/A,FALSE,"LOAN"}</definedName>
    <definedName name="COBRA1" localSheetId="10" hidden="1">{#N/A,#N/A,FALSE,"softdraw";#N/A,#N/A,FALSE,"linereclass";"northpint loan",#N/A,FALSE,"LOAN"}</definedName>
    <definedName name="COBRA1" localSheetId="46" hidden="1">{#N/A,#N/A,FALSE,"softdraw";#N/A,#N/A,FALSE,"linereclass";"northpint loan",#N/A,FALSE,"LOAN"}</definedName>
    <definedName name="COBRA1" localSheetId="51" hidden="1">{#N/A,#N/A,FALSE,"softdraw";#N/A,#N/A,FALSE,"linereclass";"northpint loan",#N/A,FALSE,"LOAN"}</definedName>
    <definedName name="COBRA1" localSheetId="47" hidden="1">{#N/A,#N/A,FALSE,"softdraw";#N/A,#N/A,FALSE,"linereclass";"northpint loan",#N/A,FALSE,"LOAN"}</definedName>
    <definedName name="COBRA1" localSheetId="12" hidden="1">{#N/A,#N/A,FALSE,"softdraw";#N/A,#N/A,FALSE,"linereclass";"northpint loan",#N/A,FALSE,"LOAN"}</definedName>
    <definedName name="COBRA1" localSheetId="25" hidden="1">{#N/A,#N/A,FALSE,"softdraw";#N/A,#N/A,FALSE,"linereclass";"northpint loan",#N/A,FALSE,"LOAN"}</definedName>
    <definedName name="COBRA1" localSheetId="30" hidden="1">{#N/A,#N/A,FALSE,"softdraw";#N/A,#N/A,FALSE,"linereclass";"northpint loan",#N/A,FALSE,"LOAN"}</definedName>
    <definedName name="COBRA1" hidden="1">{#N/A,#N/A,FALSE,"softdraw";#N/A,#N/A,FALSE,"linereclass";"northpint loan",#N/A,FALSE,"LOAN"}</definedName>
    <definedName name="Company_Name" hidden="1">[9]Settings!$C$56</definedName>
    <definedName name="compnam" localSheetId="37" hidden="1">[10]KeyMultInputs!#REF!</definedName>
    <definedName name="compnam" localSheetId="38" hidden="1">[10]KeyMultInputs!#REF!</definedName>
    <definedName name="compnam" localSheetId="4" hidden="1">[10]KeyMultInputs!#REF!</definedName>
    <definedName name="compnam" localSheetId="46" hidden="1">[10]KeyMultInputs!#REF!</definedName>
    <definedName name="compnam" localSheetId="50" hidden="1">[10]KeyMultInputs!#REF!</definedName>
    <definedName name="compnam" localSheetId="12" hidden="1">[10]KeyMultInputs!#REF!</definedName>
    <definedName name="compnam" localSheetId="41" hidden="1">[10]KeyMultInputs!#REF!</definedName>
    <definedName name="compnam" localSheetId="15" hidden="1">[10]KeyMultInputs!#REF!</definedName>
    <definedName name="compnam" localSheetId="17" hidden="1">[10]KeyMultInputs!#REF!</definedName>
    <definedName name="compnam" localSheetId="30" hidden="1">[10]KeyMultInputs!#REF!</definedName>
    <definedName name="compnam" localSheetId="42" hidden="1">[10]KeyMultInputs!#REF!</definedName>
    <definedName name="compnam" hidden="1">[10]KeyMultInputs!#REF!</definedName>
    <definedName name="copy" localSheetId="10" hidden="1">{#N/A,#N/A,FALSE,"Title Page";#N/A,#N/A,FALSE,"Conclusions";#N/A,#N/A,FALSE,"Assum.";#N/A,#N/A,FALSE,"Sun  DCF-WC-Dep";#N/A,#N/A,FALSE,"MarketValue";#N/A,#N/A,FALSE,"BalSheet";#N/A,#N/A,FALSE,"WACC";#N/A,#N/A,FALSE,"PC+ Info.";#N/A,#N/A,FALSE,"PC+Info_2"}</definedName>
    <definedName name="copy" localSheetId="46" hidden="1">{#N/A,#N/A,FALSE,"Title Page";#N/A,#N/A,FALSE,"Conclusions";#N/A,#N/A,FALSE,"Assum.";#N/A,#N/A,FALSE,"Sun  DCF-WC-Dep";#N/A,#N/A,FALSE,"MarketValue";#N/A,#N/A,FALSE,"BalSheet";#N/A,#N/A,FALSE,"WACC";#N/A,#N/A,FALSE,"PC+ Info.";#N/A,#N/A,FALSE,"PC+Info_2"}</definedName>
    <definedName name="copy" localSheetId="51" hidden="1">{#N/A,#N/A,FALSE,"Title Page";#N/A,#N/A,FALSE,"Conclusions";#N/A,#N/A,FALSE,"Assum.";#N/A,#N/A,FALSE,"Sun  DCF-WC-Dep";#N/A,#N/A,FALSE,"MarketValue";#N/A,#N/A,FALSE,"BalSheet";#N/A,#N/A,FALSE,"WACC";#N/A,#N/A,FALSE,"PC+ Info.";#N/A,#N/A,FALSE,"PC+Info_2"}</definedName>
    <definedName name="copy" localSheetId="47" hidden="1">{#N/A,#N/A,FALSE,"Title Page";#N/A,#N/A,FALSE,"Conclusions";#N/A,#N/A,FALSE,"Assum.";#N/A,#N/A,FALSE,"Sun  DCF-WC-Dep";#N/A,#N/A,FALSE,"MarketValue";#N/A,#N/A,FALSE,"BalSheet";#N/A,#N/A,FALSE,"WACC";#N/A,#N/A,FALSE,"PC+ Info.";#N/A,#N/A,FALSE,"PC+Info_2"}</definedName>
    <definedName name="copy" localSheetId="12" hidden="1">{#N/A,#N/A,FALSE,"Title Page";#N/A,#N/A,FALSE,"Conclusions";#N/A,#N/A,FALSE,"Assum.";#N/A,#N/A,FALSE,"Sun  DCF-WC-Dep";#N/A,#N/A,FALSE,"MarketValue";#N/A,#N/A,FALSE,"BalSheet";#N/A,#N/A,FALSE,"WACC";#N/A,#N/A,FALSE,"PC+ Info.";#N/A,#N/A,FALSE,"PC+Info_2"}</definedName>
    <definedName name="copy" localSheetId="25" hidden="1">{#N/A,#N/A,FALSE,"Title Page";#N/A,#N/A,FALSE,"Conclusions";#N/A,#N/A,FALSE,"Assum.";#N/A,#N/A,FALSE,"Sun  DCF-WC-Dep";#N/A,#N/A,FALSE,"MarketValue";#N/A,#N/A,FALSE,"BalSheet";#N/A,#N/A,FALSE,"WACC";#N/A,#N/A,FALSE,"PC+ Info.";#N/A,#N/A,FALSE,"PC+Info_2"}</definedName>
    <definedName name="copy" localSheetId="30" hidden="1">{#N/A,#N/A,FALSE,"Title Page";#N/A,#N/A,FALSE,"Conclusions";#N/A,#N/A,FALSE,"Assum.";#N/A,#N/A,FALSE,"Sun  DCF-WC-Dep";#N/A,#N/A,FALSE,"MarketValue";#N/A,#N/A,FALSE,"BalSheet";#N/A,#N/A,FALSE,"WACC";#N/A,#N/A,FALSE,"PC+ Info.";#N/A,#N/A,FALSE,"PC+Info_2"}</definedName>
    <definedName name="copy" hidden="1">{#N/A,#N/A,FALSE,"Title Page";#N/A,#N/A,FALSE,"Conclusions";#N/A,#N/A,FALSE,"Assum.";#N/A,#N/A,FALSE,"Sun  DCF-WC-Dep";#N/A,#N/A,FALSE,"MarketValue";#N/A,#N/A,FALSE,"BalSheet";#N/A,#N/A,FALSE,"WACC";#N/A,#N/A,FALSE,"PC+ Info.";#N/A,#N/A,FALSE,"PC+Info_2"}</definedName>
    <definedName name="d" localSheetId="10" hidden="1">{#N/A,#N/A,FALSE,"e-Svc Level";#N/A,#N/A,FALSE,"e-Hosted";#N/A,#N/A,FALSE,"e-Licensed";#N/A,#N/A,FALSE,"Assumptions"}</definedName>
    <definedName name="d" localSheetId="67" hidden="1">{"page1",#N/A,FALSE,"Model";"page2",#N/A,FALSE,"Model";"page3",#N/A,FALSE,"Model";"page4",#N/A,FALSE,"Model";"page5",#N/A,FALSE,"Model";"page6",#N/A,FALSE,"Model";"page7",#N/A,FALSE,"Model";"page8",#N/A,FALSE,"Model";"page9",#N/A,FALSE,"Model";"page10",#N/A,FALSE,"Model";"page11",#N/A,FALSE,"Model";"page12",#N/A,FALSE,"Model";"page13",#N/A,FALSE,"Model"}</definedName>
    <definedName name="d" localSheetId="47" hidden="1">{#N/A,#N/A,FALSE,"e-Svc Level";#N/A,#N/A,FALSE,"e-Hosted";#N/A,#N/A,FALSE,"e-Licensed";#N/A,#N/A,FALSE,"Assumptions"}</definedName>
    <definedName name="d" hidden="1">{#N/A,#N/A,FALSE,"e-Svc Level";#N/A,#N/A,FALSE,"e-Hosted";#N/A,#N/A,FALSE,"e-Licensed";#N/A,#N/A,FALSE,"Assumptions"}</definedName>
    <definedName name="DA_2164615669000001165" localSheetId="51" hidden="1">'[11]2 Monthly Expense Actuals'!#REF!</definedName>
    <definedName name="DA_2164615669000001165" localSheetId="42" hidden="1">'[12]2 Monthly Expense Actuals'!#REF!</definedName>
    <definedName name="DA_2164615669000001165" hidden="1">'[12]2 Monthly Expense Actuals'!#REF!</definedName>
    <definedName name="dafhvb" localSheetId="10" hidden="1">{"page1",#N/A,FALSE,"Model";"page2",#N/A,FALSE,"Model";"page3",#N/A,FALSE,"Model";"page4",#N/A,FALSE,"Model";"page5",#N/A,FALSE,"Model";"page6",#N/A,FALSE,"Model";"page7",#N/A,FALSE,"Model";"page8",#N/A,FALSE,"Model";"page9",#N/A,FALSE,"Model";"page10",#N/A,FALSE,"Model";"page11",#N/A,FALSE,"Model";"page12",#N/A,FALSE,"Model";"page13",#N/A,FALSE,"Model"}</definedName>
    <definedName name="dafhvb" hidden="1">{"page1",#N/A,FALSE,"Model";"page2",#N/A,FALSE,"Model";"page3",#N/A,FALSE,"Model";"page4",#N/A,FALSE,"Model";"page5",#N/A,FALSE,"Model";"page6",#N/A,FALSE,"Model";"page7",#N/A,FALSE,"Model";"page8",#N/A,FALSE,"Model";"page9",#N/A,FALSE,"Model";"page10",#N/A,FALSE,"Model";"page11",#N/A,FALSE,"Model";"page12",#N/A,FALSE,"Model";"page13",#N/A,FALSE,"Model"}</definedName>
    <definedName name="Data.Dump" localSheetId="37" hidden="1">OFFSET([0]!Data.Top.Left,1,0)</definedName>
    <definedName name="Data.Dump" localSheetId="38" hidden="1">OFFSET([0]!Data.Top.Left,1,0)</definedName>
    <definedName name="Data.Dump" localSheetId="10" hidden="1">OFFSET([0]!Data.Top.Left,1,0)</definedName>
    <definedName name="Data.Dump" localSheetId="4" hidden="1">OFFSET([0]!Data.Top.Left,1,0)</definedName>
    <definedName name="Data.Dump" localSheetId="46" hidden="1">OFFSET([0]!Data.Top.Left,1,0)</definedName>
    <definedName name="Data.Dump" localSheetId="51" hidden="1">OFFSET([0]!Data.Top.Left,1,0)</definedName>
    <definedName name="Data.Dump" localSheetId="47" hidden="1">OFFSET([0]!Data.Top.Left,1,0)</definedName>
    <definedName name="Data.Dump" localSheetId="50" hidden="1">OFFSET([0]!Data.Top.Left,1,0)</definedName>
    <definedName name="Data.Dump" localSheetId="12" hidden="1">OFFSET([0]!Data.Top.Left,1,0)</definedName>
    <definedName name="Data.Dump" localSheetId="41" hidden="1">OFFSET([0]!Data.Top.Left,1,0)</definedName>
    <definedName name="Data.Dump" localSheetId="25" hidden="1">OFFSET([0]!Data.Top.Left,1,0)</definedName>
    <definedName name="Data.Dump" localSheetId="15" hidden="1">OFFSET([0]!Data.Top.Left,1,0)</definedName>
    <definedName name="Data.Dump" localSheetId="17" hidden="1">OFFSET([0]!Data.Top.Left,1,0)</definedName>
    <definedName name="Data.Dump" localSheetId="30" hidden="1">OFFSET([0]!Data.Top.Left,1,0)</definedName>
    <definedName name="Data.Dump" localSheetId="42" hidden="1">OFFSET([0]!Data.Top.Left,1,0)</definedName>
    <definedName name="Data.Dump" hidden="1">OFFSET([0]!Data.Top.Left,1,0)</definedName>
    <definedName name="dd" localSheetId="10" hidden="1">{#N/A,#N/A,FALSE,"Bakersfield PCs";#N/A,#N/A,FALSE,"Bremer PCs";#N/A,#N/A,FALSE,"Bakersfield Notebooks"}</definedName>
    <definedName name="dd" localSheetId="67" hidden="1">{"page1",#N/A,FALSE,"Model";"page2",#N/A,FALSE,"Model";"page3",#N/A,FALSE,"Model";"page4",#N/A,FALSE,"Model";"page5",#N/A,FALSE,"Model";"page6",#N/A,FALSE,"Model";"page7",#N/A,FALSE,"Model";"page8",#N/A,FALSE,"Model";"page9",#N/A,FALSE,"Model";"page10",#N/A,FALSE,"Model";"page11",#N/A,FALSE,"Model";"page12",#N/A,FALSE,"Model";"page13",#N/A,FALSE,"Model"}</definedName>
    <definedName name="dd" localSheetId="46" hidden="1">{#N/A,#N/A,FALSE,"Bakersfield PCs";#N/A,#N/A,FALSE,"Bremer PCs";#N/A,#N/A,FALSE,"Bakersfield Notebooks"}</definedName>
    <definedName name="dd" localSheetId="51" hidden="1">{#N/A,#N/A,FALSE,"Bakersfield PCs";#N/A,#N/A,FALSE,"Bremer PCs";#N/A,#N/A,FALSE,"Bakersfield Notebooks"}</definedName>
    <definedName name="dd" localSheetId="47" hidden="1">{#N/A,#N/A,FALSE,"Bakersfield PCs";#N/A,#N/A,FALSE,"Bremer PCs";#N/A,#N/A,FALSE,"Bakersfield Notebooks"}</definedName>
    <definedName name="dd" localSheetId="12" hidden="1">{#N/A,#N/A,FALSE,"Bakersfield PCs";#N/A,#N/A,FALSE,"Bremer PCs";#N/A,#N/A,FALSE,"Bakersfield Notebooks"}</definedName>
    <definedName name="dd" localSheetId="25" hidden="1">{#N/A,#N/A,FALSE,"Bakersfield PCs";#N/A,#N/A,FALSE,"Bremer PCs";#N/A,#N/A,FALSE,"Bakersfield Notebooks"}</definedName>
    <definedName name="dd" localSheetId="30" hidden="1">{#N/A,#N/A,FALSE,"Bakersfield PCs";#N/A,#N/A,FALSE,"Bremer PCs";#N/A,#N/A,FALSE,"Bakersfield Notebooks"}</definedName>
    <definedName name="dd" hidden="1">{#N/A,#N/A,FALSE,"Bakersfield PCs";#N/A,#N/A,FALSE,"Bremer PCs";#N/A,#N/A,FALSE,"Bakersfield Notebooks"}</definedName>
    <definedName name="ddd" localSheetId="10" hidden="1">{#N/A,#N/A,TRUE,"Assumptions";#N/A,#N/A,TRUE,"Sources of Revenue";#N/A,#N/A,TRUE,"P&amp;L";#N/A,#N/A,TRUE,"Bal. Sheet";#N/A,#N/A,TRUE,"Rights Issue &amp; X Adjustment";#N/A,#N/A,TRUE,"Transaction Model"}</definedName>
    <definedName name="ddd" hidden="1">{#N/A,#N/A,TRUE,"Assumptions";#N/A,#N/A,TRUE,"Sources of Revenue";#N/A,#N/A,TRUE,"P&amp;L";#N/A,#N/A,TRUE,"Bal. Sheet";#N/A,#N/A,TRUE,"Rights Issue &amp; X Adjustment";#N/A,#N/A,TRUE,"Transaction Model"}</definedName>
    <definedName name="dddddddddddddddd" localSheetId="37" hidden="1">Main.SAPF4Help()</definedName>
    <definedName name="dddddddddddddddd" localSheetId="38" hidden="1">Main.SAPF4Help()</definedName>
    <definedName name="dddddddddddddddd" localSheetId="10" hidden="1">Main.SAPF4Help()</definedName>
    <definedName name="dddddddddddddddd" localSheetId="4" hidden="1">Main.SAPF4Help()</definedName>
    <definedName name="dddddddddddddddd" localSheetId="46" hidden="1">Main.SAPF4Help()</definedName>
    <definedName name="dddddddddddddddd" localSheetId="51" hidden="1">Main.SAPF4Help()</definedName>
    <definedName name="dddddddddddddddd" localSheetId="47" hidden="1">Main.SAPF4Help()</definedName>
    <definedName name="dddddddddddddddd" localSheetId="50" hidden="1">Main.SAPF4Help()</definedName>
    <definedName name="dddddddddddddddd" localSheetId="12" hidden="1">Main.SAPF4Help()</definedName>
    <definedName name="dddddddddddddddd" localSheetId="41" hidden="1">Main.SAPF4Help()</definedName>
    <definedName name="dddddddddddddddd" localSheetId="25" hidden="1">Main.SAPF4Help()</definedName>
    <definedName name="dddddddddddddddd" localSheetId="15" hidden="1">Main.SAPF4Help()</definedName>
    <definedName name="dddddddddddddddd" localSheetId="17" hidden="1">Main.SAPF4Help()</definedName>
    <definedName name="dddddddddddddddd" localSheetId="30" hidden="1">Main.SAPF4Help()</definedName>
    <definedName name="dddddddddddddddd" localSheetId="42" hidden="1">Main.SAPF4Help()</definedName>
    <definedName name="dddddddddddddddd" hidden="1">Main.SAPF4Help()</definedName>
    <definedName name="del" localSheetId="10" hidden="1">{#N/A,#N/A,FALSE,"Cov";#N/A,#N/A,FALSE,"sum";#N/A,#N/A,FALSE,"baladj";#N/A,#N/A,FALSE,"bs";#N/A,#N/A,FALSE,"is";#N/A,#N/A,FALSE,"pis";#N/A,#N/A,FALSE,"pis";#N/A,#N/A,FALSE,"cf";#N/A,#N/A,FALSE,"balhist";#N/A,#N/A,FALSE,"wc";#N/A,#N/A,FALSE,"ltd";#N/A,#N/A,FALSE,"cover";#N/A,#N/A,FALSE,"fa";#N/A,#N/A,FALSE,"tax";#N/A,#N/A,FALSE,"irr";#N/A,#N/A,FALSE,"in";#N/A,#N/A,FALSE,"DCF Cov";#N/A,#N/A,FALSE,"dcf"}</definedName>
    <definedName name="del" localSheetId="46" hidden="1">{#N/A,#N/A,FALSE,"Cov";#N/A,#N/A,FALSE,"sum";#N/A,#N/A,FALSE,"baladj";#N/A,#N/A,FALSE,"bs";#N/A,#N/A,FALSE,"is";#N/A,#N/A,FALSE,"pis";#N/A,#N/A,FALSE,"pis";#N/A,#N/A,FALSE,"cf";#N/A,#N/A,FALSE,"balhist";#N/A,#N/A,FALSE,"wc";#N/A,#N/A,FALSE,"ltd";#N/A,#N/A,FALSE,"cover";#N/A,#N/A,FALSE,"fa";#N/A,#N/A,FALSE,"tax";#N/A,#N/A,FALSE,"irr";#N/A,#N/A,FALSE,"in";#N/A,#N/A,FALSE,"DCF Cov";#N/A,#N/A,FALSE,"dcf"}</definedName>
    <definedName name="del" localSheetId="51" hidden="1">{#N/A,#N/A,FALSE,"Cov";#N/A,#N/A,FALSE,"sum";#N/A,#N/A,FALSE,"baladj";#N/A,#N/A,FALSE,"bs";#N/A,#N/A,FALSE,"is";#N/A,#N/A,FALSE,"pis";#N/A,#N/A,FALSE,"pis";#N/A,#N/A,FALSE,"cf";#N/A,#N/A,FALSE,"balhist";#N/A,#N/A,FALSE,"wc";#N/A,#N/A,FALSE,"ltd";#N/A,#N/A,FALSE,"cover";#N/A,#N/A,FALSE,"fa";#N/A,#N/A,FALSE,"tax";#N/A,#N/A,FALSE,"irr";#N/A,#N/A,FALSE,"in";#N/A,#N/A,FALSE,"DCF Cov";#N/A,#N/A,FALSE,"dcf"}</definedName>
    <definedName name="del" localSheetId="47" hidden="1">{#N/A,#N/A,FALSE,"Cov";#N/A,#N/A,FALSE,"sum";#N/A,#N/A,FALSE,"baladj";#N/A,#N/A,FALSE,"bs";#N/A,#N/A,FALSE,"is";#N/A,#N/A,FALSE,"pis";#N/A,#N/A,FALSE,"pis";#N/A,#N/A,FALSE,"cf";#N/A,#N/A,FALSE,"balhist";#N/A,#N/A,FALSE,"wc";#N/A,#N/A,FALSE,"ltd";#N/A,#N/A,FALSE,"cover";#N/A,#N/A,FALSE,"fa";#N/A,#N/A,FALSE,"tax";#N/A,#N/A,FALSE,"irr";#N/A,#N/A,FALSE,"in";#N/A,#N/A,FALSE,"DCF Cov";#N/A,#N/A,FALSE,"dcf"}</definedName>
    <definedName name="del" localSheetId="12" hidden="1">{#N/A,#N/A,FALSE,"Cov";#N/A,#N/A,FALSE,"sum";#N/A,#N/A,FALSE,"baladj";#N/A,#N/A,FALSE,"bs";#N/A,#N/A,FALSE,"is";#N/A,#N/A,FALSE,"pis";#N/A,#N/A,FALSE,"pis";#N/A,#N/A,FALSE,"cf";#N/A,#N/A,FALSE,"balhist";#N/A,#N/A,FALSE,"wc";#N/A,#N/A,FALSE,"ltd";#N/A,#N/A,FALSE,"cover";#N/A,#N/A,FALSE,"fa";#N/A,#N/A,FALSE,"tax";#N/A,#N/A,FALSE,"irr";#N/A,#N/A,FALSE,"in";#N/A,#N/A,FALSE,"DCF Cov";#N/A,#N/A,FALSE,"dcf"}</definedName>
    <definedName name="del" localSheetId="25" hidden="1">{#N/A,#N/A,FALSE,"Cov";#N/A,#N/A,FALSE,"sum";#N/A,#N/A,FALSE,"baladj";#N/A,#N/A,FALSE,"bs";#N/A,#N/A,FALSE,"is";#N/A,#N/A,FALSE,"pis";#N/A,#N/A,FALSE,"pis";#N/A,#N/A,FALSE,"cf";#N/A,#N/A,FALSE,"balhist";#N/A,#N/A,FALSE,"wc";#N/A,#N/A,FALSE,"ltd";#N/A,#N/A,FALSE,"cover";#N/A,#N/A,FALSE,"fa";#N/A,#N/A,FALSE,"tax";#N/A,#N/A,FALSE,"irr";#N/A,#N/A,FALSE,"in";#N/A,#N/A,FALSE,"DCF Cov";#N/A,#N/A,FALSE,"dcf"}</definedName>
    <definedName name="del" localSheetId="30" hidden="1">{#N/A,#N/A,FALSE,"Cov";#N/A,#N/A,FALSE,"sum";#N/A,#N/A,FALSE,"baladj";#N/A,#N/A,FALSE,"bs";#N/A,#N/A,FALSE,"is";#N/A,#N/A,FALSE,"pis";#N/A,#N/A,FALSE,"pis";#N/A,#N/A,FALSE,"cf";#N/A,#N/A,FALSE,"balhist";#N/A,#N/A,FALSE,"wc";#N/A,#N/A,FALSE,"ltd";#N/A,#N/A,FALSE,"cover";#N/A,#N/A,FALSE,"fa";#N/A,#N/A,FALSE,"tax";#N/A,#N/A,FALSE,"irr";#N/A,#N/A,FALSE,"in";#N/A,#N/A,FALSE,"DCF Cov";#N/A,#N/A,FALSE,"dcf"}</definedName>
    <definedName name="del" hidden="1">{#N/A,#N/A,FALSE,"Cov";#N/A,#N/A,FALSE,"sum";#N/A,#N/A,FALSE,"baladj";#N/A,#N/A,FALSE,"bs";#N/A,#N/A,FALSE,"is";#N/A,#N/A,FALSE,"pis";#N/A,#N/A,FALSE,"pis";#N/A,#N/A,FALSE,"cf";#N/A,#N/A,FALSE,"balhist";#N/A,#N/A,FALSE,"wc";#N/A,#N/A,FALSE,"ltd";#N/A,#N/A,FALSE,"cover";#N/A,#N/A,FALSE,"fa";#N/A,#N/A,FALSE,"tax";#N/A,#N/A,FALSE,"irr";#N/A,#N/A,FALSE,"in";#N/A,#N/A,FALSE,"DCF Cov";#N/A,#N/A,FALSE,"dcf"}</definedName>
    <definedName name="dele" localSheetId="10" hidden="1">{#N/A,#N/A,FALSE,"Cov";#N/A,#N/A,FALSE,"sum";#N/A,#N/A,FALSE,"baladj";#N/A,#N/A,FALSE,"bs";#N/A,#N/A,FALSE,"is";#N/A,#N/A,FALSE,"pis";#N/A,#N/A,FALSE,"cf";#N/A,#N/A,FALSE,"balhist";#N/A,#N/A,FALSE,"wc";#N/A,#N/A,FALSE,"ltd";#N/A,#N/A,FALSE,"cover";#N/A,#N/A,FALSE,"fa";#N/A,#N/A,FALSE,"tax";#N/A,#N/A,FALSE,"irr";#N/A,#N/A,FALSE,"in"}</definedName>
    <definedName name="dele" localSheetId="46" hidden="1">{#N/A,#N/A,FALSE,"Cov";#N/A,#N/A,FALSE,"sum";#N/A,#N/A,FALSE,"baladj";#N/A,#N/A,FALSE,"bs";#N/A,#N/A,FALSE,"is";#N/A,#N/A,FALSE,"pis";#N/A,#N/A,FALSE,"cf";#N/A,#N/A,FALSE,"balhist";#N/A,#N/A,FALSE,"wc";#N/A,#N/A,FALSE,"ltd";#N/A,#N/A,FALSE,"cover";#N/A,#N/A,FALSE,"fa";#N/A,#N/A,FALSE,"tax";#N/A,#N/A,FALSE,"irr";#N/A,#N/A,FALSE,"in"}</definedName>
    <definedName name="dele" localSheetId="51" hidden="1">{#N/A,#N/A,FALSE,"Cov";#N/A,#N/A,FALSE,"sum";#N/A,#N/A,FALSE,"baladj";#N/A,#N/A,FALSE,"bs";#N/A,#N/A,FALSE,"is";#N/A,#N/A,FALSE,"pis";#N/A,#N/A,FALSE,"cf";#N/A,#N/A,FALSE,"balhist";#N/A,#N/A,FALSE,"wc";#N/A,#N/A,FALSE,"ltd";#N/A,#N/A,FALSE,"cover";#N/A,#N/A,FALSE,"fa";#N/A,#N/A,FALSE,"tax";#N/A,#N/A,FALSE,"irr";#N/A,#N/A,FALSE,"in"}</definedName>
    <definedName name="dele" localSheetId="47" hidden="1">{#N/A,#N/A,FALSE,"Cov";#N/A,#N/A,FALSE,"sum";#N/A,#N/A,FALSE,"baladj";#N/A,#N/A,FALSE,"bs";#N/A,#N/A,FALSE,"is";#N/A,#N/A,FALSE,"pis";#N/A,#N/A,FALSE,"cf";#N/A,#N/A,FALSE,"balhist";#N/A,#N/A,FALSE,"wc";#N/A,#N/A,FALSE,"ltd";#N/A,#N/A,FALSE,"cover";#N/A,#N/A,FALSE,"fa";#N/A,#N/A,FALSE,"tax";#N/A,#N/A,FALSE,"irr";#N/A,#N/A,FALSE,"in"}</definedName>
    <definedName name="dele" localSheetId="12" hidden="1">{#N/A,#N/A,FALSE,"Cov";#N/A,#N/A,FALSE,"sum";#N/A,#N/A,FALSE,"baladj";#N/A,#N/A,FALSE,"bs";#N/A,#N/A,FALSE,"is";#N/A,#N/A,FALSE,"pis";#N/A,#N/A,FALSE,"cf";#N/A,#N/A,FALSE,"balhist";#N/A,#N/A,FALSE,"wc";#N/A,#N/A,FALSE,"ltd";#N/A,#N/A,FALSE,"cover";#N/A,#N/A,FALSE,"fa";#N/A,#N/A,FALSE,"tax";#N/A,#N/A,FALSE,"irr";#N/A,#N/A,FALSE,"in"}</definedName>
    <definedName name="dele" localSheetId="25" hidden="1">{#N/A,#N/A,FALSE,"Cov";#N/A,#N/A,FALSE,"sum";#N/A,#N/A,FALSE,"baladj";#N/A,#N/A,FALSE,"bs";#N/A,#N/A,FALSE,"is";#N/A,#N/A,FALSE,"pis";#N/A,#N/A,FALSE,"cf";#N/A,#N/A,FALSE,"balhist";#N/A,#N/A,FALSE,"wc";#N/A,#N/A,FALSE,"ltd";#N/A,#N/A,FALSE,"cover";#N/A,#N/A,FALSE,"fa";#N/A,#N/A,FALSE,"tax";#N/A,#N/A,FALSE,"irr";#N/A,#N/A,FALSE,"in"}</definedName>
    <definedName name="dele" localSheetId="30" hidden="1">{#N/A,#N/A,FALSE,"Cov";#N/A,#N/A,FALSE,"sum";#N/A,#N/A,FALSE,"baladj";#N/A,#N/A,FALSE,"bs";#N/A,#N/A,FALSE,"is";#N/A,#N/A,FALSE,"pis";#N/A,#N/A,FALSE,"cf";#N/A,#N/A,FALSE,"balhist";#N/A,#N/A,FALSE,"wc";#N/A,#N/A,FALSE,"ltd";#N/A,#N/A,FALSE,"cover";#N/A,#N/A,FALSE,"fa";#N/A,#N/A,FALSE,"tax";#N/A,#N/A,FALSE,"irr";#N/A,#N/A,FALSE,"in"}</definedName>
    <definedName name="dele" hidden="1">{#N/A,#N/A,FALSE,"Cov";#N/A,#N/A,FALSE,"sum";#N/A,#N/A,FALSE,"baladj";#N/A,#N/A,FALSE,"bs";#N/A,#N/A,FALSE,"is";#N/A,#N/A,FALSE,"pis";#N/A,#N/A,FALSE,"cf";#N/A,#N/A,FALSE,"balhist";#N/A,#N/A,FALSE,"wc";#N/A,#N/A,FALSE,"ltd";#N/A,#N/A,FALSE,"cover";#N/A,#N/A,FALSE,"fa";#N/A,#N/A,FALSE,"tax";#N/A,#N/A,FALSE,"irr";#N/A,#N/A,FALSE,"in"}</definedName>
    <definedName name="delete" localSheetId="10" hidden="1">{#N/A,#N/A,FALSE,"DCF Cov";#N/A,#N/A,FALSE,"dcf"}</definedName>
    <definedName name="delete" localSheetId="46" hidden="1">{#N/A,#N/A,FALSE,"DCF Cov";#N/A,#N/A,FALSE,"dcf"}</definedName>
    <definedName name="delete" localSheetId="51" hidden="1">{#N/A,#N/A,FALSE,"DCF Cov";#N/A,#N/A,FALSE,"dcf"}</definedName>
    <definedName name="delete" localSheetId="47" hidden="1">{#N/A,#N/A,FALSE,"DCF Cov";#N/A,#N/A,FALSE,"dcf"}</definedName>
    <definedName name="delete" localSheetId="12" hidden="1">{#N/A,#N/A,FALSE,"DCF Cov";#N/A,#N/A,FALSE,"dcf"}</definedName>
    <definedName name="delete" localSheetId="25" hidden="1">{#N/A,#N/A,FALSE,"DCF Cov";#N/A,#N/A,FALSE,"dcf"}</definedName>
    <definedName name="delete" localSheetId="30" hidden="1">{#N/A,#N/A,FALSE,"DCF Cov";#N/A,#N/A,FALSE,"dcf"}</definedName>
    <definedName name="delete" hidden="1">{#N/A,#N/A,FALSE,"DCF Cov";#N/A,#N/A,FALSE,"dcf"}</definedName>
    <definedName name="detail" localSheetId="10" hidden="1">{"umarea",#N/A,FALSE,"Starting Cost";"umagesex",#N/A,FALSE,"Starting Cost";"umbenlim",#N/A,FALSE,"Starting Cost";"umprovdisc",#N/A,FALSE,"Starting Cost";"umother",#N/A,FALSE,"Starting Cost";"umtrend",#N/A,FALSE,"Starting Cost"}</definedName>
    <definedName name="detail" localSheetId="47" hidden="1">{"umarea",#N/A,FALSE,"Starting Cost";"umagesex",#N/A,FALSE,"Starting Cost";"umbenlim",#N/A,FALSE,"Starting Cost";"umprovdisc",#N/A,FALSE,"Starting Cost";"umother",#N/A,FALSE,"Starting Cost";"umtrend",#N/A,FALSE,"Starting Cost"}</definedName>
    <definedName name="detail" hidden="1">{"umarea",#N/A,FALSE,"Starting Cost";"umagesex",#N/A,FALSE,"Starting Cost";"umbenlim",#N/A,FALSE,"Starting Cost";"umprovdisc",#N/A,FALSE,"Starting Cost";"umother",#N/A,FALSE,"Starting Cost";"umtrend",#N/A,FALSE,"Starting Cost"}</definedName>
    <definedName name="dfanb" localSheetId="10" hidden="1">{"page1",#N/A,FALSE,"Model";"page2",#N/A,FALSE,"Model";"page3",#N/A,FALSE,"Model";"page4",#N/A,FALSE,"Model";"page5",#N/A,FALSE,"Model";"page6",#N/A,FALSE,"Model";"page7",#N/A,FALSE,"Model";"page8",#N/A,FALSE,"Model";"page9",#N/A,FALSE,"Model";"page10",#N/A,FALSE,"Model";"page11",#N/A,FALSE,"Model";"page12",#N/A,FALSE,"Model";"page13",#N/A,FALSE,"Model"}</definedName>
    <definedName name="dfanb" hidden="1">{"page1",#N/A,FALSE,"Model";"page2",#N/A,FALSE,"Model";"page3",#N/A,FALSE,"Model";"page4",#N/A,FALSE,"Model";"page5",#N/A,FALSE,"Model";"page6",#N/A,FALSE,"Model";"page7",#N/A,FALSE,"Model";"page8",#N/A,FALSE,"Model";"page9",#N/A,FALSE,"Model";"page10",#N/A,FALSE,"Model";"page11",#N/A,FALSE,"Model";"page12",#N/A,FALSE,"Model";"page13",#N/A,FALSE,"Model"}</definedName>
    <definedName name="dfd" localSheetId="10" hidden="1">{#N/A,#N/A,FALSE,"e-Svc Level";#N/A,#N/A,FALSE,"e-Hosted";#N/A,#N/A,FALSE,"e-Licensed";#N/A,#N/A,FALSE,"Assumptions"}</definedName>
    <definedName name="dfd" localSheetId="47" hidden="1">{#N/A,#N/A,FALSE,"e-Svc Level";#N/A,#N/A,FALSE,"e-Hosted";#N/A,#N/A,FALSE,"e-Licensed";#N/A,#N/A,FALSE,"Assumptions"}</definedName>
    <definedName name="dfd" hidden="1">{#N/A,#N/A,FALSE,"e-Svc Level";#N/A,#N/A,FALSE,"e-Hosted";#N/A,#N/A,FALSE,"e-Licensed";#N/A,#N/A,FALSE,"Assumptions"}</definedName>
    <definedName name="dhfbvg" localSheetId="10" hidden="1">{"page1",#N/A,FALSE,"Model";"page2",#N/A,FALSE,"Model";"page3",#N/A,FALSE,"Model";"page4",#N/A,FALSE,"Model";"page5",#N/A,FALSE,"Model";"page6",#N/A,FALSE,"Model";"page7",#N/A,FALSE,"Model";"page8",#N/A,FALSE,"Model";"page9",#N/A,FALSE,"Model";"page10",#N/A,FALSE,"Model";"page11",#N/A,FALSE,"Model";"page12",#N/A,FALSE,"Model";"page13",#N/A,FALSE,"Model"}</definedName>
    <definedName name="dhfbvg" hidden="1">{"page1",#N/A,FALSE,"Model";"page2",#N/A,FALSE,"Model";"page3",#N/A,FALSE,"Model";"page4",#N/A,FALSE,"Model";"page5",#N/A,FALSE,"Model";"page6",#N/A,FALSE,"Model";"page7",#N/A,FALSE,"Model";"page8",#N/A,FALSE,"Model";"page9",#N/A,FALSE,"Model";"page10",#N/A,FALSE,"Model";"page11",#N/A,FALSE,"Model";"page12",#N/A,FALSE,"Model";"page13",#N/A,FALSE,"Model"}</definedName>
    <definedName name="djalfnb" localSheetId="10" hidden="1">{"page1",#N/A,FALSE,"Model";"page2",#N/A,FALSE,"Model";"page3",#N/A,FALSE,"Model";"page4",#N/A,FALSE,"Model";"page5",#N/A,FALSE,"Model";"page6",#N/A,FALSE,"Model";"page7",#N/A,FALSE,"Model";"page8",#N/A,FALSE,"Model";"page9",#N/A,FALSE,"Model";"page10",#N/A,FALSE,"Model";"page11",#N/A,FALSE,"Model";"page12",#N/A,FALSE,"Model";"page13",#N/A,FALSE,"Model"}</definedName>
    <definedName name="djalfnb" hidden="1">{"page1",#N/A,FALSE,"Model";"page2",#N/A,FALSE,"Model";"page3",#N/A,FALSE,"Model";"page4",#N/A,FALSE,"Model";"page5",#N/A,FALSE,"Model";"page6",#N/A,FALSE,"Model";"page7",#N/A,FALSE,"Model";"page8",#N/A,FALSE,"Model";"page9",#N/A,FALSE,"Model";"page10",#N/A,FALSE,"Model";"page11",#N/A,FALSE,"Model";"page12",#N/A,FALSE,"Model";"page13",#N/A,FALSE,"Model"}</definedName>
    <definedName name="djfnbd" localSheetId="10" hidden="1">{"page1",#N/A,FALSE,"Model";"page2",#N/A,FALSE,"Model";"page3",#N/A,FALSE,"Model";"page4",#N/A,FALSE,"Model";"page5",#N/A,FALSE,"Model";"page6",#N/A,FALSE,"Model";"page7",#N/A,FALSE,"Model";"page8",#N/A,FALSE,"Model";"page9",#N/A,FALSE,"Model";"page10",#N/A,FALSE,"Model";"page11",#N/A,FALSE,"Model";"page12",#N/A,FALSE,"Model";"page13",#N/A,FALSE,"Model"}</definedName>
    <definedName name="djfnbd" hidden="1">{"page1",#N/A,FALSE,"Model";"page2",#N/A,FALSE,"Model";"page3",#N/A,FALSE,"Model";"page4",#N/A,FALSE,"Model";"page5",#N/A,FALSE,"Model";"page6",#N/A,FALSE,"Model";"page7",#N/A,FALSE,"Model";"page8",#N/A,FALSE,"Model";"page9",#N/A,FALSE,"Model";"page10",#N/A,FALSE,"Model";"page11",#N/A,FALSE,"Model";"page12",#N/A,FALSE,"Model";"page13",#N/A,FALSE,"Model"}</definedName>
    <definedName name="dkfjnb" localSheetId="10" hidden="1">{"page1",#N/A,FALSE,"Model";"page2",#N/A,FALSE,"Model";"page3",#N/A,FALSE,"Model";"page4",#N/A,FALSE,"Model";"page5",#N/A,FALSE,"Model";"page6",#N/A,FALSE,"Model";"page7",#N/A,FALSE,"Model";"page8",#N/A,FALSE,"Model";"page9",#N/A,FALSE,"Model";"page10",#N/A,FALSE,"Model";"page11",#N/A,FALSE,"Model";"page12",#N/A,FALSE,"Model";"page13",#N/A,FALSE,"Model"}</definedName>
    <definedName name="dkfjnb" hidden="1">{"page1",#N/A,FALSE,"Model";"page2",#N/A,FALSE,"Model";"page3",#N/A,FALSE,"Model";"page4",#N/A,FALSE,"Model";"page5",#N/A,FALSE,"Model";"page6",#N/A,FALSE,"Model";"page7",#N/A,FALSE,"Model";"page8",#N/A,FALSE,"Model";"page9",#N/A,FALSE,"Model";"page10",#N/A,FALSE,"Model";"page11",#N/A,FALSE,"Model";"page12",#N/A,FALSE,"Model";"page13",#N/A,FALSE,"Model"}</definedName>
    <definedName name="dkjabn" localSheetId="10" hidden="1">{"page1",#N/A,FALSE,"Model";"page2",#N/A,FALSE,"Model";"page3",#N/A,FALSE,"Model";"page4",#N/A,FALSE,"Model";"page5",#N/A,FALSE,"Model";"page6",#N/A,FALSE,"Model";"page7",#N/A,FALSE,"Model";"page8",#N/A,FALSE,"Model";"page9",#N/A,FALSE,"Model";"page10",#N/A,FALSE,"Model";"page11",#N/A,FALSE,"Model";"page12",#N/A,FALSE,"Model";"page13",#N/A,FALSE,"Model"}</definedName>
    <definedName name="dkjabn" hidden="1">{"page1",#N/A,FALSE,"Model";"page2",#N/A,FALSE,"Model";"page3",#N/A,FALSE,"Model";"page4",#N/A,FALSE,"Model";"page5",#N/A,FALSE,"Model";"page6",#N/A,FALSE,"Model";"page7",#N/A,FALSE,"Model";"page8",#N/A,FALSE,"Model";"page9",#N/A,FALSE,"Model";"page10",#N/A,FALSE,"Model";"page11",#N/A,FALSE,"Model";"page12",#N/A,FALSE,"Model";"page13",#N/A,FALSE,"Model"}</definedName>
    <definedName name="dkjanb" localSheetId="10" hidden="1">{"page1",#N/A,FALSE,"Model";"page2",#N/A,FALSE,"Model";"page3",#N/A,FALSE,"Model";"page4",#N/A,FALSE,"Model";"page5",#N/A,FALSE,"Model";"page6",#N/A,FALSE,"Model";"page7",#N/A,FALSE,"Model";"page8",#N/A,FALSE,"Model";"page9",#N/A,FALSE,"Model";"page10",#N/A,FALSE,"Model";"page11",#N/A,FALSE,"Model";"page12",#N/A,FALSE,"Model";"page13",#N/A,FALSE,"Model"}</definedName>
    <definedName name="dkjanb" hidden="1">{"page1",#N/A,FALSE,"Model";"page2",#N/A,FALSE,"Model";"page3",#N/A,FALSE,"Model";"page4",#N/A,FALSE,"Model";"page5",#N/A,FALSE,"Model";"page6",#N/A,FALSE,"Model";"page7",#N/A,FALSE,"Model";"page8",#N/A,FALSE,"Model";"page9",#N/A,FALSE,"Model";"page10",#N/A,FALSE,"Model";"page11",#N/A,FALSE,"Model";"page12",#N/A,FALSE,"Model";"page13",#N/A,FALSE,"Model"}</definedName>
    <definedName name="dkjlfnb" localSheetId="10" hidden="1">{"page1",#N/A,FALSE,"Model";"page2",#N/A,FALSE,"Model";"page3",#N/A,FALSE,"Model";"page4",#N/A,FALSE,"Model";"page5",#N/A,FALSE,"Model";"page6",#N/A,FALSE,"Model";"page7",#N/A,FALSE,"Model";"page8",#N/A,FALSE,"Model";"page9",#N/A,FALSE,"Model";"page10",#N/A,FALSE,"Model";"page11",#N/A,FALSE,"Model";"page12",#N/A,FALSE,"Model";"page13",#N/A,FALSE,"Model"}</definedName>
    <definedName name="dkjlfnb" hidden="1">{"page1",#N/A,FALSE,"Model";"page2",#N/A,FALSE,"Model";"page3",#N/A,FALSE,"Model";"page4",#N/A,FALSE,"Model";"page5",#N/A,FALSE,"Model";"page6",#N/A,FALSE,"Model";"page7",#N/A,FALSE,"Model";"page8",#N/A,FALSE,"Model";"page9",#N/A,FALSE,"Model";"page10",#N/A,FALSE,"Model";"page11",#N/A,FALSE,"Model";"page12",#N/A,FALSE,"Model";"page13",#N/A,FALSE,"Model"}</definedName>
    <definedName name="dkjnb" localSheetId="10" hidden="1">{"page1",#N/A,FALSE,"Model";"page2",#N/A,FALSE,"Model";"page3",#N/A,FALSE,"Model";"page4",#N/A,FALSE,"Model";"page5",#N/A,FALSE,"Model";"page6",#N/A,FALSE,"Model";"page7",#N/A,FALSE,"Model";"page8",#N/A,FALSE,"Model";"page9",#N/A,FALSE,"Model";"page10",#N/A,FALSE,"Model";"page11",#N/A,FALSE,"Model";"page12",#N/A,FALSE,"Model";"page13",#N/A,FALSE,"Model"}</definedName>
    <definedName name="dkjnb" hidden="1">{"page1",#N/A,FALSE,"Model";"page2",#N/A,FALSE,"Model";"page3",#N/A,FALSE,"Model";"page4",#N/A,FALSE,"Model";"page5",#N/A,FALSE,"Model";"page6",#N/A,FALSE,"Model";"page7",#N/A,FALSE,"Model";"page8",#N/A,FALSE,"Model";"page9",#N/A,FALSE,"Model";"page10",#N/A,FALSE,"Model";"page11",#N/A,FALSE,"Model";"page12",#N/A,FALSE,"Model";"page13",#N/A,FALSE,"Model"}</definedName>
    <definedName name="dlakjnb" localSheetId="10" hidden="1">{"page1",#N/A,FALSE,"Model";"page2",#N/A,FALSE,"Model";"page3",#N/A,FALSE,"Model";"page4",#N/A,FALSE,"Model";"page5",#N/A,FALSE,"Model";"page6",#N/A,FALSE,"Model";"page7",#N/A,FALSE,"Model";"page8",#N/A,FALSE,"Model";"page9",#N/A,FALSE,"Model";"page10",#N/A,FALSE,"Model";"page11",#N/A,FALSE,"Model";"page12",#N/A,FALSE,"Model";"page13",#N/A,FALSE,"Model"}</definedName>
    <definedName name="dlakjnb" hidden="1">{"page1",#N/A,FALSE,"Model";"page2",#N/A,FALSE,"Model";"page3",#N/A,FALSE,"Model";"page4",#N/A,FALSE,"Model";"page5",#N/A,FALSE,"Model";"page6",#N/A,FALSE,"Model";"page7",#N/A,FALSE,"Model";"page8",#N/A,FALSE,"Model";"page9",#N/A,FALSE,"Model";"page10",#N/A,FALSE,"Model";"page11",#N/A,FALSE,"Model";"page12",#N/A,FALSE,"Model";"page13",#N/A,FALSE,"Model"}</definedName>
    <definedName name="dlkjfnb" localSheetId="10" hidden="1">{"page1",#N/A,FALSE,"Model";"page2",#N/A,FALSE,"Model";"page3",#N/A,FALSE,"Model";"page4",#N/A,FALSE,"Model";"page5",#N/A,FALSE,"Model";"page6",#N/A,FALSE,"Model";"page7",#N/A,FALSE,"Model";"page8",#N/A,FALSE,"Model";"page9",#N/A,FALSE,"Model";"page10",#N/A,FALSE,"Model";"page11",#N/A,FALSE,"Model";"page12",#N/A,FALSE,"Model";"page13",#N/A,FALSE,"Model"}</definedName>
    <definedName name="dlkjfnb" hidden="1">{"page1",#N/A,FALSE,"Model";"page2",#N/A,FALSE,"Model";"page3",#N/A,FALSE,"Model";"page4",#N/A,FALSE,"Model";"page5",#N/A,FALSE,"Model";"page6",#N/A,FALSE,"Model";"page7",#N/A,FALSE,"Model";"page8",#N/A,FALSE,"Model";"page9",#N/A,FALSE,"Model";"page10",#N/A,FALSE,"Model";"page11",#N/A,FALSE,"Model";"page12",#N/A,FALSE,"Model";"page13",#N/A,FALSE,"Model"}</definedName>
    <definedName name="dlnb" localSheetId="10" hidden="1">{"page1",#N/A,FALSE,"Model";"page2",#N/A,FALSE,"Model";"page3",#N/A,FALSE,"Model";"page4",#N/A,FALSE,"Model";"page5",#N/A,FALSE,"Model";"page6",#N/A,FALSE,"Model";"page7",#N/A,FALSE,"Model";"page8",#N/A,FALSE,"Model";"page9",#N/A,FALSE,"Model";"page10",#N/A,FALSE,"Model";"page11",#N/A,FALSE,"Model";"page12",#N/A,FALSE,"Model";"page13",#N/A,FALSE,"Model"}</definedName>
    <definedName name="dlnb" hidden="1">{"page1",#N/A,FALSE,"Model";"page2",#N/A,FALSE,"Model";"page3",#N/A,FALSE,"Model";"page4",#N/A,FALSE,"Model";"page5",#N/A,FALSE,"Model";"page6",#N/A,FALSE,"Model";"page7",#N/A,FALSE,"Model";"page8",#N/A,FALSE,"Model";"page9",#N/A,FALSE,"Model";"page10",#N/A,FALSE,"Model";"page11",#N/A,FALSE,"Model";"page12",#N/A,FALSE,"Model";"page13",#N/A,FALSE,"Model"}</definedName>
    <definedName name="DME_Dirty" hidden="1">"False"</definedName>
    <definedName name="DME_DocumentFlags" hidden="1">"1"</definedName>
    <definedName name="DME_DocumentID" hidden="1">"::ODMA\DME-MSE\London-44356"</definedName>
    <definedName name="DME_DocumentOpened" hidden="1">"True"</definedName>
    <definedName name="DME_DocumentTitle" hidden="1">"London-44356 - impress model"</definedName>
    <definedName name="DME_LocalFile" hidden="1">"False"</definedName>
    <definedName name="DME_NextWindowNumber" hidden="1">"2"</definedName>
    <definedName name="dse" localSheetId="10" hidden="1">{#N/A,#N/A,FALSE,"Model";#N/A,#N/A,FALSE,"Gen Pts &amp; Rts 2000";#N/A,#N/A,FALSE,"AcqsAss";#N/A,#N/A,FALSE,"Acqs &amp; De Novos"}</definedName>
    <definedName name="dse" localSheetId="46" hidden="1">{#N/A,#N/A,FALSE,"Model";#N/A,#N/A,FALSE,"Gen Pts &amp; Rts 2000";#N/A,#N/A,FALSE,"AcqsAss";#N/A,#N/A,FALSE,"Acqs &amp; De Novos"}</definedName>
    <definedName name="dse" localSheetId="51" hidden="1">{#N/A,#N/A,FALSE,"Model";#N/A,#N/A,FALSE,"Gen Pts &amp; Rts 2000";#N/A,#N/A,FALSE,"AcqsAss";#N/A,#N/A,FALSE,"Acqs &amp; De Novos"}</definedName>
    <definedName name="dse" localSheetId="47" hidden="1">{#N/A,#N/A,FALSE,"Model";#N/A,#N/A,FALSE,"Gen Pts &amp; Rts 2000";#N/A,#N/A,FALSE,"AcqsAss";#N/A,#N/A,FALSE,"Acqs &amp; De Novos"}</definedName>
    <definedName name="dse" localSheetId="12" hidden="1">{#N/A,#N/A,FALSE,"Model";#N/A,#N/A,FALSE,"Gen Pts &amp; Rts 2000";#N/A,#N/A,FALSE,"AcqsAss";#N/A,#N/A,FALSE,"Acqs &amp; De Novos"}</definedName>
    <definedName name="dse" localSheetId="25" hidden="1">{#N/A,#N/A,FALSE,"Model";#N/A,#N/A,FALSE,"Gen Pts &amp; Rts 2000";#N/A,#N/A,FALSE,"AcqsAss";#N/A,#N/A,FALSE,"Acqs &amp; De Novos"}</definedName>
    <definedName name="dse" localSheetId="30" hidden="1">{#N/A,#N/A,FALSE,"Model";#N/A,#N/A,FALSE,"Gen Pts &amp; Rts 2000";#N/A,#N/A,FALSE,"AcqsAss";#N/A,#N/A,FALSE,"Acqs &amp; De Novos"}</definedName>
    <definedName name="dse" hidden="1">{#N/A,#N/A,FALSE,"Model";#N/A,#N/A,FALSE,"Gen Pts &amp; Rts 2000";#N/A,#N/A,FALSE,"AcqsAss";#N/A,#N/A,FALSE,"Acqs &amp; De Novos"}</definedName>
    <definedName name="dsnb" localSheetId="10" hidden="1">{"page1",#N/A,FALSE,"Model";"page2",#N/A,FALSE,"Model";"page3",#N/A,FALSE,"Model";"page4",#N/A,FALSE,"Model";"page5",#N/A,FALSE,"Model";"page6",#N/A,FALSE,"Model";"page7",#N/A,FALSE,"Model";"page8",#N/A,FALSE,"Model";"page9",#N/A,FALSE,"Model";"page10",#N/A,FALSE,"Model";"page11",#N/A,FALSE,"Model";"page12",#N/A,FALSE,"Model";"page13",#N/A,FALSE,"Model"}</definedName>
    <definedName name="dsnb" hidden="1">{"page1",#N/A,FALSE,"Model";"page2",#N/A,FALSE,"Model";"page3",#N/A,FALSE,"Model";"page4",#N/A,FALSE,"Model";"page5",#N/A,FALSE,"Model";"page6",#N/A,FALSE,"Model";"page7",#N/A,FALSE,"Model";"page8",#N/A,FALSE,"Model";"page9",#N/A,FALSE,"Model";"page10",#N/A,FALSE,"Model";"page11",#N/A,FALSE,"Model";"page12",#N/A,FALSE,"Model";"page13",#N/A,FALSE,"Model"}</definedName>
    <definedName name="e" localSheetId="47" hidden="1">{#N/A,#N/A,FALSE,"e-Svc Level";#N/A,#N/A,FALSE,"e-Hosted";#N/A,#N/A,FALSE,"e-Licensed";#N/A,#N/A,FALSE,"Assumptions"}</definedName>
    <definedName name="eakb" localSheetId="10" hidden="1">{"page1",#N/A,FALSE,"Model";"page2",#N/A,FALSE,"Model";"page3",#N/A,FALSE,"Model";"page4",#N/A,FALSE,"Model";"page5",#N/A,FALSE,"Model";"page6",#N/A,FALSE,"Model";"page7",#N/A,FALSE,"Model";"page8",#N/A,FALSE,"Model";"page9",#N/A,FALSE,"Model";"page10",#N/A,FALSE,"Model";"page11",#N/A,FALSE,"Model";"page12",#N/A,FALSE,"Model";"page13",#N/A,FALSE,"Model"}</definedName>
    <definedName name="eakb" hidden="1">{"page1",#N/A,FALSE,"Model";"page2",#N/A,FALSE,"Model";"page3",#N/A,FALSE,"Model";"page4",#N/A,FALSE,"Model";"page5",#N/A,FALSE,"Model";"page6",#N/A,FALSE,"Model";"page7",#N/A,FALSE,"Model";"page8",#N/A,FALSE,"Model";"page9",#N/A,FALSE,"Model";"page10",#N/A,FALSE,"Model";"page11",#N/A,FALSE,"Model";"page12",#N/A,FALSE,"Model";"page13",#N/A,FALSE,"Model"}</definedName>
    <definedName name="eakjnb" localSheetId="10" hidden="1">{"page1",#N/A,FALSE,"Model";"page2",#N/A,FALSE,"Model";"page3",#N/A,FALSE,"Model";"page4",#N/A,FALSE,"Model";"page5",#N/A,FALSE,"Model";"page6",#N/A,FALSE,"Model";"page7",#N/A,FALSE,"Model";"page8",#N/A,FALSE,"Model";"page9",#N/A,FALSE,"Model";"page10",#N/A,FALSE,"Model";"page11",#N/A,FALSE,"Model";"page12",#N/A,FALSE,"Model";"page13",#N/A,FALSE,"Model"}</definedName>
    <definedName name="eakjnb" hidden="1">{"page1",#N/A,FALSE,"Model";"page2",#N/A,FALSE,"Model";"page3",#N/A,FALSE,"Model";"page4",#N/A,FALSE,"Model";"page5",#N/A,FALSE,"Model";"page6",#N/A,FALSE,"Model";"page7",#N/A,FALSE,"Model";"page8",#N/A,FALSE,"Model";"page9",#N/A,FALSE,"Model";"page10",#N/A,FALSE,"Model";"page11",#N/A,FALSE,"Model";"page12",#N/A,FALSE,"Model";"page13",#N/A,FALSE,"Model"}</definedName>
    <definedName name="earvb" localSheetId="10" hidden="1">{"page1",#N/A,FALSE,"Model";"page2",#N/A,FALSE,"Model";"page3",#N/A,FALSE,"Model";"page4",#N/A,FALSE,"Model";"page5",#N/A,FALSE,"Model";"page6",#N/A,FALSE,"Model";"page7",#N/A,FALSE,"Model";"page8",#N/A,FALSE,"Model";"page9",#N/A,FALSE,"Model";"page10",#N/A,FALSE,"Model";"page11",#N/A,FALSE,"Model";"page12",#N/A,FALSE,"Model";"page13",#N/A,FALSE,"Model"}</definedName>
    <definedName name="earvb" hidden="1">{"page1",#N/A,FALSE,"Model";"page2",#N/A,FALSE,"Model";"page3",#N/A,FALSE,"Model";"page4",#N/A,FALSE,"Model";"page5",#N/A,FALSE,"Model";"page6",#N/A,FALSE,"Model";"page7",#N/A,FALSE,"Model";"page8",#N/A,FALSE,"Model";"page9",#N/A,FALSE,"Model";"page10",#N/A,FALSE,"Model";"page11",#N/A,FALSE,"Model";"page12",#N/A,FALSE,"Model";"page13",#N/A,FALSE,"Model"}</definedName>
    <definedName name="eaur" localSheetId="10" hidden="1">{"page1",#N/A,FALSE,"Model";"page2",#N/A,FALSE,"Model";"page3",#N/A,FALSE,"Model";"page4",#N/A,FALSE,"Model";"page5",#N/A,FALSE,"Model";"page6",#N/A,FALSE,"Model";"page7",#N/A,FALSE,"Model";"page8",#N/A,FALSE,"Model";"page9",#N/A,FALSE,"Model";"page10",#N/A,FALSE,"Model";"page11",#N/A,FALSE,"Model";"page12",#N/A,FALSE,"Model";"page13",#N/A,FALSE,"Model"}</definedName>
    <definedName name="eaur" hidden="1">{"page1",#N/A,FALSE,"Model";"page2",#N/A,FALSE,"Model";"page3",#N/A,FALSE,"Model";"page4",#N/A,FALSE,"Model";"page5",#N/A,FALSE,"Model";"page6",#N/A,FALSE,"Model";"page7",#N/A,FALSE,"Model";"page8",#N/A,FALSE,"Model";"page9",#N/A,FALSE,"Model";"page10",#N/A,FALSE,"Model";"page11",#N/A,FALSE,"Model";"page12",#N/A,FALSE,"Model";"page13",#N/A,FALSE,"Model"}</definedName>
    <definedName name="ee" localSheetId="10" hidden="1">{#N/A,#N/A,FALSE,"e-Svc Level";#N/A,#N/A,FALSE,"e-Hosted";#N/A,#N/A,FALSE,"e-Licensed";#N/A,#N/A,FALSE,"Assumptions"}</definedName>
    <definedName name="ee" localSheetId="47" hidden="1">{#N/A,#N/A,FALSE,"e-Svc Level";#N/A,#N/A,FALSE,"e-Hosted";#N/A,#N/A,FALSE,"e-Licensed";#N/A,#N/A,FALSE,"Assumptions"}</definedName>
    <definedName name="ee" hidden="1">{#N/A,#N/A,FALSE,"e-Svc Level";#N/A,#N/A,FALSE,"e-Hosted";#N/A,#N/A,FALSE,"e-Licensed";#N/A,#N/A,FALSE,"Assumptions"}</definedName>
    <definedName name="ef." localSheetId="10" hidden="1">{#N/A,"A",FALSE,"DCF"}</definedName>
    <definedName name="ef." localSheetId="46" hidden="1">{#N/A,"A",FALSE,"DCF"}</definedName>
    <definedName name="ef." localSheetId="51" hidden="1">{#N/A,"A",FALSE,"DCF"}</definedName>
    <definedName name="ef." localSheetId="47" hidden="1">{#N/A,"A",FALSE,"DCF"}</definedName>
    <definedName name="ef." localSheetId="12" hidden="1">{#N/A,"A",FALSE,"DCF"}</definedName>
    <definedName name="ef." localSheetId="25" hidden="1">{#N/A,"A",FALSE,"DCF"}</definedName>
    <definedName name="ef." localSheetId="30" hidden="1">{#N/A,"A",FALSE,"DCF"}</definedName>
    <definedName name="ef." hidden="1">{#N/A,"A",FALSE,"DCF"}</definedName>
    <definedName name="eirubg" localSheetId="10" hidden="1">{"page1",#N/A,FALSE,"Model";"page2",#N/A,FALSE,"Model";"page3",#N/A,FALSE,"Model";"page4",#N/A,FALSE,"Model";"page5",#N/A,FALSE,"Model";"page6",#N/A,FALSE,"Model";"page7",#N/A,FALSE,"Model";"page8",#N/A,FALSE,"Model";"page9",#N/A,FALSE,"Model";"page10",#N/A,FALSE,"Model";"page11",#N/A,FALSE,"Model";"page12",#N/A,FALSE,"Model";"page13",#N/A,FALSE,"Model"}</definedName>
    <definedName name="eirubg" hidden="1">{"page1",#N/A,FALSE,"Model";"page2",#N/A,FALSE,"Model";"page3",#N/A,FALSE,"Model";"page4",#N/A,FALSE,"Model";"page5",#N/A,FALSE,"Model";"page6",#N/A,FALSE,"Model";"page7",#N/A,FALSE,"Model";"page8",#N/A,FALSE,"Model";"page9",#N/A,FALSE,"Model";"page10",#N/A,FALSE,"Model";"page11",#N/A,FALSE,"Model";"page12",#N/A,FALSE,"Model";"page13",#N/A,FALSE,"Model"}</definedName>
    <definedName name="ejbg" localSheetId="10" hidden="1">{"page1",#N/A,FALSE,"Model";"page2",#N/A,FALSE,"Model";"page3",#N/A,FALSE,"Model";"page4",#N/A,FALSE,"Model";"page5",#N/A,FALSE,"Model";"page6",#N/A,FALSE,"Model";"page7",#N/A,FALSE,"Model";"page8",#N/A,FALSE,"Model";"page9",#N/A,FALSE,"Model";"page10",#N/A,FALSE,"Model";"page11",#N/A,FALSE,"Model";"page12",#N/A,FALSE,"Model";"page13",#N/A,FALSE,"Model"}</definedName>
    <definedName name="ejbg" hidden="1">{"page1",#N/A,FALSE,"Model";"page2",#N/A,FALSE,"Model";"page3",#N/A,FALSE,"Model";"page4",#N/A,FALSE,"Model";"page5",#N/A,FALSE,"Model";"page6",#N/A,FALSE,"Model";"page7",#N/A,FALSE,"Model";"page8",#N/A,FALSE,"Model";"page9",#N/A,FALSE,"Model";"page10",#N/A,FALSE,"Model";"page11",#N/A,FALSE,"Model";"page12",#N/A,FALSE,"Model";"page13",#N/A,FALSE,"Model"}</definedName>
    <definedName name="ejrgb" localSheetId="10" hidden="1">{"page1",#N/A,FALSE,"Model";"page2",#N/A,FALSE,"Model";"page3",#N/A,FALSE,"Model";"page4",#N/A,FALSE,"Model";"page5",#N/A,FALSE,"Model";"page6",#N/A,FALSE,"Model";"page7",#N/A,FALSE,"Model";"page8",#N/A,FALSE,"Model";"page9",#N/A,FALSE,"Model";"page10",#N/A,FALSE,"Model";"page11",#N/A,FALSE,"Model";"page12",#N/A,FALSE,"Model";"page13",#N/A,FALSE,"Model"}</definedName>
    <definedName name="ejrgb" hidden="1">{"page1",#N/A,FALSE,"Model";"page2",#N/A,FALSE,"Model";"page3",#N/A,FALSE,"Model";"page4",#N/A,FALSE,"Model";"page5",#N/A,FALSE,"Model";"page6",#N/A,FALSE,"Model";"page7",#N/A,FALSE,"Model";"page8",#N/A,FALSE,"Model";"page9",#N/A,FALSE,"Model";"page10",#N/A,FALSE,"Model";"page11",#N/A,FALSE,"Model";"page12",#N/A,FALSE,"Model";"page13",#N/A,FALSE,"Model"}</definedName>
    <definedName name="eliurbg" localSheetId="10" hidden="1">{"page1",#N/A,FALSE,"Model";"page2",#N/A,FALSE,"Model";"page3",#N/A,FALSE,"Model";"page4",#N/A,FALSE,"Model";"page5",#N/A,FALSE,"Model";"page6",#N/A,FALSE,"Model";"page7",#N/A,FALSE,"Model";"page8",#N/A,FALSE,"Model";"page9",#N/A,FALSE,"Model";"page10",#N/A,FALSE,"Model";"page11",#N/A,FALSE,"Model";"page12",#N/A,FALSE,"Model";"page13",#N/A,FALSE,"Model"}</definedName>
    <definedName name="eliurbg" hidden="1">{"page1",#N/A,FALSE,"Model";"page2",#N/A,FALSE,"Model";"page3",#N/A,FALSE,"Model";"page4",#N/A,FALSE,"Model";"page5",#N/A,FALSE,"Model";"page6",#N/A,FALSE,"Model";"page7",#N/A,FALSE,"Model";"page8",#N/A,FALSE,"Model";"page9",#N/A,FALSE,"Model";"page10",#N/A,FALSE,"Model";"page11",#N/A,FALSE,"Model";"page12",#N/A,FALSE,"Model";"page13",#N/A,FALSE,"Model"}</definedName>
    <definedName name="eojhrbg" localSheetId="10" hidden="1">{"page1",#N/A,FALSE,"Model";"page2",#N/A,FALSE,"Model";"page3",#N/A,FALSE,"Model";"page4",#N/A,FALSE,"Model";"page5",#N/A,FALSE,"Model";"page6",#N/A,FALSE,"Model";"page7",#N/A,FALSE,"Model";"page8",#N/A,FALSE,"Model";"page9",#N/A,FALSE,"Model";"page10",#N/A,FALSE,"Model";"page11",#N/A,FALSE,"Model";"page12",#N/A,FALSE,"Model";"page13",#N/A,FALSE,"Model"}</definedName>
    <definedName name="eojhrbg" hidden="1">{"page1",#N/A,FALSE,"Model";"page2",#N/A,FALSE,"Model";"page3",#N/A,FALSE,"Model";"page4",#N/A,FALSE,"Model";"page5",#N/A,FALSE,"Model";"page6",#N/A,FALSE,"Model";"page7",#N/A,FALSE,"Model";"page8",#N/A,FALSE,"Model";"page9",#N/A,FALSE,"Model";"page10",#N/A,FALSE,"Model";"page11",#N/A,FALSE,"Model";"page12",#N/A,FALSE,"Model";"page13",#N/A,FALSE,"Model"}</definedName>
    <definedName name="eouhg" localSheetId="10" hidden="1">{"page1",#N/A,FALSE,"Model";"page2",#N/A,FALSE,"Model";"page3",#N/A,FALSE,"Model";"page4",#N/A,FALSE,"Model";"page5",#N/A,FALSE,"Model";"page6",#N/A,FALSE,"Model";"page7",#N/A,FALSE,"Model";"page8",#N/A,FALSE,"Model";"page9",#N/A,FALSE,"Model";"page10",#N/A,FALSE,"Model";"page11",#N/A,FALSE,"Model";"page12",#N/A,FALSE,"Model";"page13",#N/A,FALSE,"Model"}</definedName>
    <definedName name="eouhg" hidden="1">{"page1",#N/A,FALSE,"Model";"page2",#N/A,FALSE,"Model";"page3",#N/A,FALSE,"Model";"page4",#N/A,FALSE,"Model";"page5",#N/A,FALSE,"Model";"page6",#N/A,FALSE,"Model";"page7",#N/A,FALSE,"Model";"page8",#N/A,FALSE,"Model";"page9",#N/A,FALSE,"Model";"page10",#N/A,FALSE,"Model";"page11",#N/A,FALSE,"Model";"page12",#N/A,FALSE,"Model";"page13",#N/A,FALSE,"Model"}</definedName>
    <definedName name="eown" localSheetId="10" hidden="1">{#N/A,#N/A,FALSE,"Assumptions"}</definedName>
    <definedName name="eown" localSheetId="47" hidden="1">{#N/A,#N/A,FALSE,"Assumptions"}</definedName>
    <definedName name="eown" hidden="1">{#N/A,#N/A,FALSE,"Assumptions"}</definedName>
    <definedName name="epwouhg" localSheetId="10" hidden="1">{"page1",#N/A,FALSE,"Model";"page2",#N/A,FALSE,"Model";"page3",#N/A,FALSE,"Model";"page4",#N/A,FALSE,"Model";"page5",#N/A,FALSE,"Model";"page6",#N/A,FALSE,"Model";"page7",#N/A,FALSE,"Model";"page8",#N/A,FALSE,"Model";"page9",#N/A,FALSE,"Model";"page10",#N/A,FALSE,"Model";"page11",#N/A,FALSE,"Model";"page12",#N/A,FALSE,"Model";"page13",#N/A,FALSE,"Model"}</definedName>
    <definedName name="epwouhg" hidden="1">{"page1",#N/A,FALSE,"Model";"page2",#N/A,FALSE,"Model";"page3",#N/A,FALSE,"Model";"page4",#N/A,FALSE,"Model";"page5",#N/A,FALSE,"Model";"page6",#N/A,FALSE,"Model";"page7",#N/A,FALSE,"Model";"page8",#N/A,FALSE,"Model";"page9",#N/A,FALSE,"Model";"page10",#N/A,FALSE,"Model";"page11",#N/A,FALSE,"Model";"page12",#N/A,FALSE,"Model";"page13",#N/A,FALSE,"Model"}</definedName>
    <definedName name="eqbgroieqg" localSheetId="10" hidden="1">{"page1",#N/A,FALSE,"Model";"page2",#N/A,FALSE,"Model";"page3",#N/A,FALSE,"Model";"page4",#N/A,FALSE,"Model";"page5",#N/A,FALSE,"Model";"page6",#N/A,FALSE,"Model";"page7",#N/A,FALSE,"Model";"page8",#N/A,FALSE,"Model";"page9",#N/A,FALSE,"Model";"page10",#N/A,FALSE,"Model";"page11",#N/A,FALSE,"Model";"page12",#N/A,FALSE,"Model";"page13",#N/A,FALSE,"Model"}</definedName>
    <definedName name="eqbgroieqg" hidden="1">{"page1",#N/A,FALSE,"Model";"page2",#N/A,FALSE,"Model";"page3",#N/A,FALSE,"Model";"page4",#N/A,FALSE,"Model";"page5",#N/A,FALSE,"Model";"page6",#N/A,FALSE,"Model";"page7",#N/A,FALSE,"Model";"page8",#N/A,FALSE,"Model";"page9",#N/A,FALSE,"Model";"page10",#N/A,FALSE,"Model";"page11",#N/A,FALSE,"Model";"page12",#N/A,FALSE,"Model";"page13",#N/A,FALSE,"Model"}</definedName>
    <definedName name="eqipug" localSheetId="10" hidden="1">{"page1",#N/A,FALSE,"Model";"page2",#N/A,FALSE,"Model";"page3",#N/A,FALSE,"Model";"page4",#N/A,FALSE,"Model";"page5",#N/A,FALSE,"Model";"page6",#N/A,FALSE,"Model";"page7",#N/A,FALSE,"Model";"page8",#N/A,FALSE,"Model";"page9",#N/A,FALSE,"Model";"page10",#N/A,FALSE,"Model";"page11",#N/A,FALSE,"Model";"page12",#N/A,FALSE,"Model";"page13",#N/A,FALSE,"Model"}</definedName>
    <definedName name="eqipug" hidden="1">{"page1",#N/A,FALSE,"Model";"page2",#N/A,FALSE,"Model";"page3",#N/A,FALSE,"Model";"page4",#N/A,FALSE,"Model";"page5",#N/A,FALSE,"Model";"page6",#N/A,FALSE,"Model";"page7",#N/A,FALSE,"Model";"page8",#N/A,FALSE,"Model";"page9",#N/A,FALSE,"Model";"page10",#N/A,FALSE,"Model";"page11",#N/A,FALSE,"Model";"page12",#N/A,FALSE,"Model";"page13",#N/A,FALSE,"Model"}</definedName>
    <definedName name="eqouibg" localSheetId="10" hidden="1">{"page1",#N/A,FALSE,"Model";"page2",#N/A,FALSE,"Model";"page3",#N/A,FALSE,"Model";"page4",#N/A,FALSE,"Model";"page5",#N/A,FALSE,"Model";"page6",#N/A,FALSE,"Model";"page7",#N/A,FALSE,"Model";"page8",#N/A,FALSE,"Model";"page9",#N/A,FALSE,"Model";"page10",#N/A,FALSE,"Model";"page11",#N/A,FALSE,"Model";"page12",#N/A,FALSE,"Model";"page13",#N/A,FALSE,"Model"}</definedName>
    <definedName name="eqouibg" hidden="1">{"page1",#N/A,FALSE,"Model";"page2",#N/A,FALSE,"Model";"page3",#N/A,FALSE,"Model";"page4",#N/A,FALSE,"Model";"page5",#N/A,FALSE,"Model";"page6",#N/A,FALSE,"Model";"page7",#N/A,FALSE,"Model";"page8",#N/A,FALSE,"Model";"page9",#N/A,FALSE,"Model";"page10",#N/A,FALSE,"Model";"page11",#N/A,FALSE,"Model";"page12",#N/A,FALSE,"Model";"page13",#N/A,FALSE,"Model"}</definedName>
    <definedName name="eqrng" localSheetId="10" hidden="1">{"page1",#N/A,FALSE,"Model";"page2",#N/A,FALSE,"Model";"page3",#N/A,FALSE,"Model";"page4",#N/A,FALSE,"Model";"page5",#N/A,FALSE,"Model";"page6",#N/A,FALSE,"Model";"page7",#N/A,FALSE,"Model";"page8",#N/A,FALSE,"Model";"page9",#N/A,FALSE,"Model";"page10",#N/A,FALSE,"Model";"page11",#N/A,FALSE,"Model";"page12",#N/A,FALSE,"Model";"page13",#N/A,FALSE,"Model"}</definedName>
    <definedName name="eqrng" hidden="1">{"page1",#N/A,FALSE,"Model";"page2",#N/A,FALSE,"Model";"page3",#N/A,FALSE,"Model";"page4",#N/A,FALSE,"Model";"page5",#N/A,FALSE,"Model";"page6",#N/A,FALSE,"Model";"page7",#N/A,FALSE,"Model";"page8",#N/A,FALSE,"Model";"page9",#N/A,FALSE,"Model";"page10",#N/A,FALSE,"Model";"page11",#N/A,FALSE,"Model";"page12",#N/A,FALSE,"Model";"page13",#N/A,FALSE,"Model"}</definedName>
    <definedName name="erbgebr" localSheetId="10" hidden="1">{"page1",#N/A,FALSE,"Model";"page2",#N/A,FALSE,"Model";"page3",#N/A,FALSE,"Model";"page4",#N/A,FALSE,"Model";"page5",#N/A,FALSE,"Model";"page6",#N/A,FALSE,"Model";"page7",#N/A,FALSE,"Model";"page8",#N/A,FALSE,"Model";"page9",#N/A,FALSE,"Model";"page10",#N/A,FALSE,"Model";"page11",#N/A,FALSE,"Model";"page12",#N/A,FALSE,"Model";"page13",#N/A,FALSE,"Model"}</definedName>
    <definedName name="erbgebr" hidden="1">{"page1",#N/A,FALSE,"Model";"page2",#N/A,FALSE,"Model";"page3",#N/A,FALSE,"Model";"page4",#N/A,FALSE,"Model";"page5",#N/A,FALSE,"Model";"page6",#N/A,FALSE,"Model";"page7",#N/A,FALSE,"Model";"page8",#N/A,FALSE,"Model";"page9",#N/A,FALSE,"Model";"page10",#N/A,FALSE,"Model";"page11",#N/A,FALSE,"Model";"page12",#N/A,FALSE,"Model";"page13",#N/A,FALSE,"Model"}</definedName>
    <definedName name="erljg" localSheetId="10" hidden="1">{"page1",#N/A,FALSE,"Model";"page2",#N/A,FALSE,"Model";"page3",#N/A,FALSE,"Model";"page4",#N/A,FALSE,"Model";"page5",#N/A,FALSE,"Model";"page6",#N/A,FALSE,"Model";"page7",#N/A,FALSE,"Model";"page8",#N/A,FALSE,"Model";"page9",#N/A,FALSE,"Model";"page10",#N/A,FALSE,"Model";"page11",#N/A,FALSE,"Model";"page12",#N/A,FALSE,"Model";"page13",#N/A,FALSE,"Model"}</definedName>
    <definedName name="erljg" hidden="1">{"page1",#N/A,FALSE,"Model";"page2",#N/A,FALSE,"Model";"page3",#N/A,FALSE,"Model";"page4",#N/A,FALSE,"Model";"page5",#N/A,FALSE,"Model";"page6",#N/A,FALSE,"Model";"page7",#N/A,FALSE,"Model";"page8",#N/A,FALSE,"Model";"page9",#N/A,FALSE,"Model";"page10",#N/A,FALSE,"Model";"page11",#N/A,FALSE,"Model";"page12",#N/A,FALSE,"Model";"page13",#N/A,FALSE,"Model"}</definedName>
    <definedName name="Error_Amount" hidden="1">"'Error_Checks'!B10"</definedName>
    <definedName name="Error_Check" hidden="1">"ABS(Error_Amount)&gt;Error_Threshold"</definedName>
    <definedName name="Error_Threshold" hidden="1">0.05</definedName>
    <definedName name="eshrvbe" localSheetId="10" hidden="1">{"page1",#N/A,FALSE,"Model";"page2",#N/A,FALSE,"Model";"page3",#N/A,FALSE,"Model";"page4",#N/A,FALSE,"Model";"page5",#N/A,FALSE,"Model";"page6",#N/A,FALSE,"Model";"page7",#N/A,FALSE,"Model";"page8",#N/A,FALSE,"Model";"page9",#N/A,FALSE,"Model";"page10",#N/A,FALSE,"Model";"page11",#N/A,FALSE,"Model";"page12",#N/A,FALSE,"Model";"page13",#N/A,FALSE,"Model"}</definedName>
    <definedName name="eshrvbe" hidden="1">{"page1",#N/A,FALSE,"Model";"page2",#N/A,FALSE,"Model";"page3",#N/A,FALSE,"Model";"page4",#N/A,FALSE,"Model";"page5",#N/A,FALSE,"Model";"page6",#N/A,FALSE,"Model";"page7",#N/A,FALSE,"Model";"page8",#N/A,FALSE,"Model";"page9",#N/A,FALSE,"Model";"page10",#N/A,FALSE,"Model";"page11",#N/A,FALSE,"Model";"page12",#N/A,FALSE,"Model";"page13",#N/A,FALSE,"Model"}</definedName>
    <definedName name="ev.Calculation" hidden="1">-4105</definedName>
    <definedName name="ev.Initialized" hidden="1">FALSE</definedName>
    <definedName name="ewkrhg" localSheetId="10" hidden="1">{"page1",#N/A,FALSE,"Model";"page2",#N/A,FALSE,"Model";"page3",#N/A,FALSE,"Model";"page4",#N/A,FALSE,"Model";"page5",#N/A,FALSE,"Model";"page6",#N/A,FALSE,"Model";"page7",#N/A,FALSE,"Model";"page8",#N/A,FALSE,"Model";"page9",#N/A,FALSE,"Model";"page10",#N/A,FALSE,"Model";"page11",#N/A,FALSE,"Model";"page12",#N/A,FALSE,"Model";"page13",#N/A,FALSE,"Model"}</definedName>
    <definedName name="ewkrhg" hidden="1">{"page1",#N/A,FALSE,"Model";"page2",#N/A,FALSE,"Model";"page3",#N/A,FALSE,"Model";"page4",#N/A,FALSE,"Model";"page5",#N/A,FALSE,"Model";"page6",#N/A,FALSE,"Model";"page7",#N/A,FALSE,"Model";"page8",#N/A,FALSE,"Model";"page9",#N/A,FALSE,"Model";"page10",#N/A,FALSE,"Model";"page11",#N/A,FALSE,"Model";"page12",#N/A,FALSE,"Model";"page13",#N/A,FALSE,"Model"}</definedName>
    <definedName name="ewpohg" localSheetId="10" hidden="1">{"page1",#N/A,FALSE,"Model";"page2",#N/A,FALSE,"Model";"page3",#N/A,FALSE,"Model";"page4",#N/A,FALSE,"Model";"page5",#N/A,FALSE,"Model";"page6",#N/A,FALSE,"Model";"page7",#N/A,FALSE,"Model";"page8",#N/A,FALSE,"Model";"page9",#N/A,FALSE,"Model";"page10",#N/A,FALSE,"Model";"page11",#N/A,FALSE,"Model";"page12",#N/A,FALSE,"Model";"page13",#N/A,FALSE,"Model"}</definedName>
    <definedName name="ewpohg" hidden="1">{"page1",#N/A,FALSE,"Model";"page2",#N/A,FALSE,"Model";"page3",#N/A,FALSE,"Model";"page4",#N/A,FALSE,"Model";"page5",#N/A,FALSE,"Model";"page6",#N/A,FALSE,"Model";"page7",#N/A,FALSE,"Model";"page8",#N/A,FALSE,"Model";"page9",#N/A,FALSE,"Model";"page10",#N/A,FALSE,"Model";"page11",#N/A,FALSE,"Model";"page12",#N/A,FALSE,"Model";"page13",#N/A,FALSE,"Model"}</definedName>
    <definedName name="ex">'[13]Cash Flow_RMB'!$A$87</definedName>
    <definedName name="ExactAddinReports" hidden="1">1</definedName>
    <definedName name="ExbMult_Total" localSheetId="37" hidden="1">#REF!</definedName>
    <definedName name="ExbMult_Total" localSheetId="38" hidden="1">#REF!</definedName>
    <definedName name="ExbMult_Total" localSheetId="4" hidden="1">#REF!</definedName>
    <definedName name="ExbMult_Total" localSheetId="46" hidden="1">#REF!</definedName>
    <definedName name="ExbMult_Total" localSheetId="47" hidden="1">#REF!</definedName>
    <definedName name="ExbMult_Total" localSheetId="50" hidden="1">#REF!</definedName>
    <definedName name="ExbMult_Total" localSheetId="41" hidden="1">#REF!</definedName>
    <definedName name="ExbMult_Total" localSheetId="15" hidden="1">#REF!</definedName>
    <definedName name="ExbMult_Total" localSheetId="17" hidden="1">#REF!</definedName>
    <definedName name="ExbMult_Total" localSheetId="30" hidden="1">#REF!</definedName>
    <definedName name="ExbMult_Total" localSheetId="42" hidden="1">#REF!</definedName>
    <definedName name="ExbMult_Total" hidden="1">#REF!</definedName>
    <definedName name="factors" localSheetId="10" hidden="1">{#N/A,#N/A,FALSE,"Factors"}</definedName>
    <definedName name="factors" localSheetId="47" hidden="1">{#N/A,#N/A,FALSE,"Factors"}</definedName>
    <definedName name="factors" hidden="1">{#N/A,#N/A,FALSE,"Factors"}</definedName>
    <definedName name="fasldkjfs" localSheetId="10" hidden="1">{#N/A,#N/A,FALSE,"ACQ_GRAPHS";#N/A,#N/A,FALSE,"T_1 GRAPHS";#N/A,#N/A,FALSE,"T_2 GRAPHS";#N/A,#N/A,FALSE,"COMB_GRAPHS"}</definedName>
    <definedName name="fasldkjfs" hidden="1">{#N/A,#N/A,FALSE,"ACQ_GRAPHS";#N/A,#N/A,FALSE,"T_1 GRAPHS";#N/A,#N/A,FALSE,"T_2 GRAPHS";#N/A,#N/A,FALSE,"COMB_GRAPHS"}</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f" localSheetId="10" hidden="1">{#N/A,#N/A,FALSE,"e-Svc Level";#N/A,#N/A,FALSE,"e-Hosted";#N/A,#N/A,FALSE,"e-Licensed";#N/A,#N/A,FALSE,"Assumptions"}</definedName>
    <definedName name="ff" localSheetId="47" hidden="1">{#N/A,#N/A,FALSE,"e-Svc Level";#N/A,#N/A,FALSE,"e-Hosted";#N/A,#N/A,FALSE,"e-Licensed";#N/A,#N/A,FALSE,"Assumptions"}</definedName>
    <definedName name="ff" hidden="1">{#N/A,#N/A,FALSE,"e-Svc Level";#N/A,#N/A,FALSE,"e-Hosted";#N/A,#N/A,FALSE,"e-Licensed";#N/A,#N/A,FALSE,"Assumptions"}</definedName>
    <definedName name="finres" localSheetId="37" hidden="1">#REF!</definedName>
    <definedName name="finres" localSheetId="38" hidden="1">#REF!</definedName>
    <definedName name="finres" localSheetId="4" hidden="1">#REF!</definedName>
    <definedName name="finres" localSheetId="46" hidden="1">#REF!</definedName>
    <definedName name="finres" localSheetId="47" hidden="1">#REF!</definedName>
    <definedName name="finres" localSheetId="50" hidden="1">#REF!</definedName>
    <definedName name="finres" localSheetId="41" hidden="1">#REF!</definedName>
    <definedName name="finres" localSheetId="15" hidden="1">#REF!</definedName>
    <definedName name="finres" localSheetId="17" hidden="1">#REF!</definedName>
    <definedName name="finres" localSheetId="30" hidden="1">#REF!</definedName>
    <definedName name="finres" localSheetId="42" hidden="1">#REF!</definedName>
    <definedName name="finres" hidden="1">#REF!</definedName>
    <definedName name="fleebarg" localSheetId="10" hidden="1">{"rates",#N/A,FALSE,"Summary"}</definedName>
    <definedName name="fleebarg" localSheetId="47" hidden="1">{"rates",#N/A,FALSE,"Summary"}</definedName>
    <definedName name="fleebarg" hidden="1">{"rates",#N/A,FALSE,"Summary"}</definedName>
    <definedName name="flurb" localSheetId="10" hidden="1">{"umarea",#N/A,FALSE,"Starting Cost";"umagesex",#N/A,FALSE,"Starting Cost";"umbenlim",#N/A,FALSE,"Starting Cost";"umprovdisc",#N/A,FALSE,"Starting Cost";"umother",#N/A,FALSE,"Starting Cost";"umtrend",#N/A,FALSE,"Starting Cost"}</definedName>
    <definedName name="flurb" localSheetId="47" hidden="1">{"umarea",#N/A,FALSE,"Starting Cost";"umagesex",#N/A,FALSE,"Starting Cost";"umbenlim",#N/A,FALSE,"Starting Cost";"umprovdisc",#N/A,FALSE,"Starting Cost";"umother",#N/A,FALSE,"Starting Cost";"umtrend",#N/A,FALSE,"Starting Cost"}</definedName>
    <definedName name="flurb" hidden="1">{"umarea",#N/A,FALSE,"Starting Cost";"umagesex",#N/A,FALSE,"Starting Cost";"umbenlim",#N/A,FALSE,"Starting Cost";"umprovdisc",#N/A,FALSE,"Starting Cost";"umother",#N/A,FALSE,"Starting Cost";"umtrend",#N/A,FALSE,"Starting Cost"}</definedName>
    <definedName name="fw" localSheetId="10" hidden="1">{#N/A,#N/A,FALSE,"Model";#N/A,#N/A,FALSE,"Gen Pts &amp; Rts 2000";#N/A,#N/A,FALSE,"AcqsAss";#N/A,#N/A,FALSE,"Acqs &amp; De Novos"}</definedName>
    <definedName name="fw" localSheetId="46" hidden="1">{#N/A,#N/A,FALSE,"Model";#N/A,#N/A,FALSE,"Gen Pts &amp; Rts 2000";#N/A,#N/A,FALSE,"AcqsAss";#N/A,#N/A,FALSE,"Acqs &amp; De Novos"}</definedName>
    <definedName name="fw" localSheetId="51" hidden="1">{#N/A,#N/A,FALSE,"Model";#N/A,#N/A,FALSE,"Gen Pts &amp; Rts 2000";#N/A,#N/A,FALSE,"AcqsAss";#N/A,#N/A,FALSE,"Acqs &amp; De Novos"}</definedName>
    <definedName name="fw" localSheetId="47" hidden="1">{#N/A,#N/A,FALSE,"Model";#N/A,#N/A,FALSE,"Gen Pts &amp; Rts 2000";#N/A,#N/A,FALSE,"AcqsAss";#N/A,#N/A,FALSE,"Acqs &amp; De Novos"}</definedName>
    <definedName name="fw" localSheetId="12" hidden="1">{#N/A,#N/A,FALSE,"Model";#N/A,#N/A,FALSE,"Gen Pts &amp; Rts 2000";#N/A,#N/A,FALSE,"AcqsAss";#N/A,#N/A,FALSE,"Acqs &amp; De Novos"}</definedName>
    <definedName name="fw" localSheetId="25" hidden="1">{#N/A,#N/A,FALSE,"Model";#N/A,#N/A,FALSE,"Gen Pts &amp; Rts 2000";#N/A,#N/A,FALSE,"AcqsAss";#N/A,#N/A,FALSE,"Acqs &amp; De Novos"}</definedName>
    <definedName name="fw" localSheetId="30" hidden="1">{#N/A,#N/A,FALSE,"Model";#N/A,#N/A,FALSE,"Gen Pts &amp; Rts 2000";#N/A,#N/A,FALSE,"AcqsAss";#N/A,#N/A,FALSE,"Acqs &amp; De Novos"}</definedName>
    <definedName name="fw" hidden="1">{#N/A,#N/A,FALSE,"Model";#N/A,#N/A,FALSE,"Gen Pts &amp; Rts 2000";#N/A,#N/A,FALSE,"AcqsAss";#N/A,#N/A,FALSE,"Acqs &amp; De Novos"}</definedName>
    <definedName name="fwap" localSheetId="10" hidden="1">{#N/A,#N/A,FALSE,"Allocation"}</definedName>
    <definedName name="fwap" localSheetId="47" hidden="1">{#N/A,#N/A,FALSE,"Allocation"}</definedName>
    <definedName name="fwap" hidden="1">{#N/A,#N/A,FALSE,"Allocation"}</definedName>
    <definedName name="fweep" localSheetId="10" hidden="1">{"OM Visits",#N/A,TRUE,"Optimal";"OM Dollars per Hour",#N/A,TRUE,"Optimal";"OM Hours per Visit",#N/A,TRUE,"Optimal";"OM Dollars per Visit",#N/A,TRUE,"Optimal";"OM Total Visits",#N/A,TRUE,"Optimal";"OM PMPM",#N/A,TRUE,"Optimal"}</definedName>
    <definedName name="fweep" localSheetId="47" hidden="1">{"OM Visits",#N/A,TRUE,"Optimal";"OM Dollars per Hour",#N/A,TRUE,"Optimal";"OM Hours per Visit",#N/A,TRUE,"Optimal";"OM Dollars per Visit",#N/A,TRUE,"Optimal";"OM Total Visits",#N/A,TRUE,"Optimal";"OM PMPM",#N/A,TRUE,"Optimal"}</definedName>
    <definedName name="fweep" hidden="1">{"OM Visits",#N/A,TRUE,"Optimal";"OM Dollars per Hour",#N/A,TRUE,"Optimal";"OM Hours per Visit",#N/A,TRUE,"Optimal";"OM Dollars per Visit",#N/A,TRUE,"Optimal";"OM Total Visits",#N/A,TRUE,"Optimal";"OM PMPM",#N/A,TRUE,"Optimal"}</definedName>
    <definedName name="g" localSheetId="10" hidden="1">{"page1",#N/A,FALSE,"Model";"page2",#N/A,FALSE,"Model";"page3",#N/A,FALSE,"Model";"page4",#N/A,FALSE,"Model";"page5",#N/A,FALSE,"Model";"page6",#N/A,FALSE,"Model";"page7",#N/A,FALSE,"Model";"page8",#N/A,FALSE,"Model";"page9",#N/A,FALSE,"Model";"page10",#N/A,FALSE,"Model";"page11",#N/A,FALSE,"Model";"page12",#N/A,FALSE,"Model";"page13",#N/A,FALSE,"Model"}</definedName>
    <definedName name="g" hidden="1">{"page1",#N/A,FALSE,"Model";"page2",#N/A,FALSE,"Model";"page3",#N/A,FALSE,"Model";"page4",#N/A,FALSE,"Model";"page5",#N/A,FALSE,"Model";"page6",#N/A,FALSE,"Model";"page7",#N/A,FALSE,"Model";"page8",#N/A,FALSE,"Model";"page9",#N/A,FALSE,"Model";"page10",#N/A,FALSE,"Model";"page11",#N/A,FALSE,"Model";"page12",#N/A,FALSE,"Model";"page13",#N/A,FALSE,"Model"}</definedName>
    <definedName name="gasf" localSheetId="10" hidden="1">{#N/A,#N/A,FALSE,"Model"}</definedName>
    <definedName name="gasf" localSheetId="47" hidden="1">{#N/A,#N/A,FALSE,"Model"}</definedName>
    <definedName name="gasf" hidden="1">{#N/A,#N/A,FALSE,"Model"}</definedName>
    <definedName name="ggg" localSheetId="10" hidden="1">{#N/A,#N/A,FALSE,"e-Svc Level";#N/A,#N/A,FALSE,"e-Hosted";#N/A,#N/A,FALSE,"e-Licensed";#N/A,#N/A,FALSE,"Assumptions"}</definedName>
    <definedName name="ggg" localSheetId="47" hidden="1">{#N/A,#N/A,FALSE,"e-Svc Level";#N/A,#N/A,FALSE,"e-Hosted";#N/A,#N/A,FALSE,"e-Licensed";#N/A,#N/A,FALSE,"Assumptions"}</definedName>
    <definedName name="ggg" hidden="1">{#N/A,#N/A,FALSE,"e-Svc Level";#N/A,#N/A,FALSE,"e-Hosted";#N/A,#N/A,FALSE,"e-Licensed";#N/A,#N/A,FALSE,"Assumptions"}</definedName>
    <definedName name="gin" localSheetId="37" hidden="1">#REF!</definedName>
    <definedName name="gin" localSheetId="38" hidden="1">#REF!</definedName>
    <definedName name="gin" localSheetId="4" hidden="1">#REF!</definedName>
    <definedName name="gin" localSheetId="46" hidden="1">#REF!</definedName>
    <definedName name="gin" localSheetId="47" hidden="1">#REF!</definedName>
    <definedName name="gin" localSheetId="50" hidden="1">#REF!</definedName>
    <definedName name="gin" localSheetId="41" hidden="1">#REF!</definedName>
    <definedName name="gin" localSheetId="15" hidden="1">#REF!</definedName>
    <definedName name="gin" localSheetId="17" hidden="1">#REF!</definedName>
    <definedName name="gin" localSheetId="30" hidden="1">#REF!</definedName>
    <definedName name="gin" localSheetId="42" hidden="1">#REF!</definedName>
    <definedName name="gin" hidden="1">#REF!</definedName>
    <definedName name="hh" localSheetId="10" hidden="1">{#N/A,#N/A,FALSE,"Bakersfield PCs";#N/A,#N/A,FALSE,"Bremer PCs";#N/A,#N/A,FALSE,"Bakersfield Notebooks"}</definedName>
    <definedName name="hh" localSheetId="46" hidden="1">{#N/A,#N/A,FALSE,"Bakersfield PCs";#N/A,#N/A,FALSE,"Bremer PCs";#N/A,#N/A,FALSE,"Bakersfield Notebooks"}</definedName>
    <definedName name="hh" localSheetId="51" hidden="1">{#N/A,#N/A,FALSE,"Bakersfield PCs";#N/A,#N/A,FALSE,"Bremer PCs";#N/A,#N/A,FALSE,"Bakersfield Notebooks"}</definedName>
    <definedName name="hh" localSheetId="47" hidden="1">{#N/A,#N/A,FALSE,"Bakersfield PCs";#N/A,#N/A,FALSE,"Bremer PCs";#N/A,#N/A,FALSE,"Bakersfield Notebooks"}</definedName>
    <definedName name="hh" localSheetId="12" hidden="1">{#N/A,#N/A,FALSE,"Bakersfield PCs";#N/A,#N/A,FALSE,"Bremer PCs";#N/A,#N/A,FALSE,"Bakersfield Notebooks"}</definedName>
    <definedName name="hh" localSheetId="25" hidden="1">{#N/A,#N/A,FALSE,"Bakersfield PCs";#N/A,#N/A,FALSE,"Bremer PCs";#N/A,#N/A,FALSE,"Bakersfield Notebooks"}</definedName>
    <definedName name="hh" localSheetId="30" hidden="1">{#N/A,#N/A,FALSE,"Bakersfield PCs";#N/A,#N/A,FALSE,"Bremer PCs";#N/A,#N/A,FALSE,"Bakersfield Notebooks"}</definedName>
    <definedName name="hh" hidden="1">{#N/A,#N/A,FALSE,"Bakersfield PCs";#N/A,#N/A,FALSE,"Bremer PCs";#N/A,#N/A,FALSE,"Bakersfield Notebooks"}</definedName>
    <definedName name="hhhh" localSheetId="10" hidden="1">{#N/A,#N/A,FALSE,"Bakersfield PCs";#N/A,#N/A,FALSE,"Bremer PCs";#N/A,#N/A,FALSE,"Bakersfield Notebooks"}</definedName>
    <definedName name="hhhh" localSheetId="46" hidden="1">{#N/A,#N/A,FALSE,"Bakersfield PCs";#N/A,#N/A,FALSE,"Bremer PCs";#N/A,#N/A,FALSE,"Bakersfield Notebooks"}</definedName>
    <definedName name="hhhh" localSheetId="51" hidden="1">{#N/A,#N/A,FALSE,"Bakersfield PCs";#N/A,#N/A,FALSE,"Bremer PCs";#N/A,#N/A,FALSE,"Bakersfield Notebooks"}</definedName>
    <definedName name="hhhh" localSheetId="47" hidden="1">{#N/A,#N/A,FALSE,"Bakersfield PCs";#N/A,#N/A,FALSE,"Bremer PCs";#N/A,#N/A,FALSE,"Bakersfield Notebooks"}</definedName>
    <definedName name="hhhh" localSheetId="12" hidden="1">{#N/A,#N/A,FALSE,"Bakersfield PCs";#N/A,#N/A,FALSE,"Bremer PCs";#N/A,#N/A,FALSE,"Bakersfield Notebooks"}</definedName>
    <definedName name="hhhh" localSheetId="25" hidden="1">{#N/A,#N/A,FALSE,"Bakersfield PCs";#N/A,#N/A,FALSE,"Bremer PCs";#N/A,#N/A,FALSE,"Bakersfield Notebooks"}</definedName>
    <definedName name="hhhh" localSheetId="30" hidden="1">{#N/A,#N/A,FALSE,"Bakersfield PCs";#N/A,#N/A,FALSE,"Bremer PCs";#N/A,#N/A,FALSE,"Bakersfield Notebooks"}</definedName>
    <definedName name="hhhh" hidden="1">{#N/A,#N/A,FALSE,"Bakersfield PCs";#N/A,#N/A,FALSE,"Bremer PCs";#N/A,#N/A,FALSE,"Bakersfield Notebooks"}</definedName>
    <definedName name="hhhhh" localSheetId="10" hidden="1">{#N/A,#N/A,FALSE,"Bakersfield PCs";#N/A,#N/A,FALSE,"Bremer PCs";#N/A,#N/A,FALSE,"Bakersfield Notebooks"}</definedName>
    <definedName name="hhhhh" localSheetId="46" hidden="1">{#N/A,#N/A,FALSE,"Bakersfield PCs";#N/A,#N/A,FALSE,"Bremer PCs";#N/A,#N/A,FALSE,"Bakersfield Notebooks"}</definedName>
    <definedName name="hhhhh" localSheetId="51" hidden="1">{#N/A,#N/A,FALSE,"Bakersfield PCs";#N/A,#N/A,FALSE,"Bremer PCs";#N/A,#N/A,FALSE,"Bakersfield Notebooks"}</definedName>
    <definedName name="hhhhh" localSheetId="47" hidden="1">{#N/A,#N/A,FALSE,"Bakersfield PCs";#N/A,#N/A,FALSE,"Bremer PCs";#N/A,#N/A,FALSE,"Bakersfield Notebooks"}</definedName>
    <definedName name="hhhhh" localSheetId="12" hidden="1">{#N/A,#N/A,FALSE,"Bakersfield PCs";#N/A,#N/A,FALSE,"Bremer PCs";#N/A,#N/A,FALSE,"Bakersfield Notebooks"}</definedName>
    <definedName name="hhhhh" localSheetId="25" hidden="1">{#N/A,#N/A,FALSE,"Bakersfield PCs";#N/A,#N/A,FALSE,"Bremer PCs";#N/A,#N/A,FALSE,"Bakersfield Notebooks"}</definedName>
    <definedName name="hhhhh" localSheetId="30" hidden="1">{#N/A,#N/A,FALSE,"Bakersfield PCs";#N/A,#N/A,FALSE,"Bremer PCs";#N/A,#N/A,FALSE,"Bakersfield Notebooks"}</definedName>
    <definedName name="hhhhh" hidden="1">{#N/A,#N/A,FALSE,"Bakersfield PCs";#N/A,#N/A,FALSE,"Bremer PCs";#N/A,#N/A,FALSE,"Bakersfield Notebooks"}</definedName>
    <definedName name="hhhw" localSheetId="10" hidden="1">{#N/A,#N/A,FALSE,"Bakersfield PCs";#N/A,#N/A,FALSE,"Bremer PCs";#N/A,#N/A,FALSE,"Bakersfield Notebooks"}</definedName>
    <definedName name="hhhw" localSheetId="46" hidden="1">{#N/A,#N/A,FALSE,"Bakersfield PCs";#N/A,#N/A,FALSE,"Bremer PCs";#N/A,#N/A,FALSE,"Bakersfield Notebooks"}</definedName>
    <definedName name="hhhw" localSheetId="51" hidden="1">{#N/A,#N/A,FALSE,"Bakersfield PCs";#N/A,#N/A,FALSE,"Bremer PCs";#N/A,#N/A,FALSE,"Bakersfield Notebooks"}</definedName>
    <definedName name="hhhw" localSheetId="47" hidden="1">{#N/A,#N/A,FALSE,"Bakersfield PCs";#N/A,#N/A,FALSE,"Bremer PCs";#N/A,#N/A,FALSE,"Bakersfield Notebooks"}</definedName>
    <definedName name="hhhw" localSheetId="12" hidden="1">{#N/A,#N/A,FALSE,"Bakersfield PCs";#N/A,#N/A,FALSE,"Bremer PCs";#N/A,#N/A,FALSE,"Bakersfield Notebooks"}</definedName>
    <definedName name="hhhw" localSheetId="25" hidden="1">{#N/A,#N/A,FALSE,"Bakersfield PCs";#N/A,#N/A,FALSE,"Bremer PCs";#N/A,#N/A,FALSE,"Bakersfield Notebooks"}</definedName>
    <definedName name="hhhw" localSheetId="30" hidden="1">{#N/A,#N/A,FALSE,"Bakersfield PCs";#N/A,#N/A,FALSE,"Bremer PCs";#N/A,#N/A,FALSE,"Bakersfield Notebooks"}</definedName>
    <definedName name="hhhw" hidden="1">{#N/A,#N/A,FALSE,"Bakersfield PCs";#N/A,#N/A,FALSE,"Bremer PCs";#N/A,#N/A,FALSE,"Bakersfield Notebooks"}</definedName>
    <definedName name="HKDUSD">[8]Cover!$G$20</definedName>
    <definedName name="hn.ExtDb" hidden="1">FALSE</definedName>
    <definedName name="hn.ModelType" hidden="1">"DEAL"</definedName>
    <definedName name="hn.ModelVersion" hidden="1">1</definedName>
    <definedName name="hn.NoUpload" hidden="1">0</definedName>
    <definedName name="HTML_CodePage" hidden="1">1252</definedName>
    <definedName name="HTML_Control" localSheetId="10" hidden="1">{"'Leverage'!$B$2:$M$418"}</definedName>
    <definedName name="HTML_Control" localSheetId="46" hidden="1">{"'Leverage'!$B$2:$M$418"}</definedName>
    <definedName name="HTML_Control" localSheetId="51" hidden="1">{"'Leverage'!$B$2:$M$418"}</definedName>
    <definedName name="HTML_Control" localSheetId="47" hidden="1">{"'Leverage'!$B$2:$M$418"}</definedName>
    <definedName name="HTML_Control" localSheetId="12" hidden="1">{"'Leverage'!$B$2:$M$418"}</definedName>
    <definedName name="HTML_Control" localSheetId="25" hidden="1">{"'Leverage'!$B$2:$M$418"}</definedName>
    <definedName name="HTML_Control" localSheetId="30" hidden="1">{"'Leverage'!$B$2:$M$418"}</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3" hidden="1">TRUE</definedName>
    <definedName name="HTML_OBDlg4" hidden="1">TRUE</definedName>
    <definedName name="HTML_OS" hidden="1">0</definedName>
    <definedName name="HTML_PathFile" hidden="1">"C:\my documents\lever.htm"</definedName>
    <definedName name="HTML_PathFileMac" hidden="1">"Macintosh HD:HomePageStuff:New_Home_Page:datafile:ctryprem.html"</definedName>
    <definedName name="HTML_PathTemplate" hidden="1">"C:\Mes documents\HTMLTemp.htm"</definedName>
    <definedName name="HTML_Title" hidden="1">"leverage"</definedName>
    <definedName name="HTML1_1" hidden="1">"[BC死亡者数.xls]BCpts!$A$2:$I$51"</definedName>
    <definedName name="HTML1_10" hidden="1">""</definedName>
    <definedName name="HTML1_11" hidden="1">1</definedName>
    <definedName name="HTML1_12" hidden="1">"O:\CTAT\Z-mate\厚生省\BC-death.htm"</definedName>
    <definedName name="HTML1_2" hidden="1">1</definedName>
    <definedName name="HTML1_3" hidden="1">"BC死亡者数.xls"</definedName>
    <definedName name="HTML1_4" hidden="1">"BCpts"</definedName>
    <definedName name="HTML1_5" hidden="1">""</definedName>
    <definedName name="HTML1_6" hidden="1">-4146</definedName>
    <definedName name="HTML1_7" hidden="1">-4146</definedName>
    <definedName name="HTML1_8" hidden="1">"98/06/04"</definedName>
    <definedName name="HTML1_9" hidden="1">"j631091"</definedName>
    <definedName name="HTMLCount" hidden="1">1</definedName>
    <definedName name="hvb" localSheetId="10" hidden="1">{"page1",#N/A,FALSE,"Model";"page2",#N/A,FALSE,"Model";"page3",#N/A,FALSE,"Model";"page4",#N/A,FALSE,"Model";"page5",#N/A,FALSE,"Model";"page6",#N/A,FALSE,"Model";"page7",#N/A,FALSE,"Model";"page8",#N/A,FALSE,"Model";"page9",#N/A,FALSE,"Model";"page10",#N/A,FALSE,"Model";"page11",#N/A,FALSE,"Model";"page12",#N/A,FALSE,"Model";"page13",#N/A,FALSE,"Model"}</definedName>
    <definedName name="hvb" hidden="1">{"page1",#N/A,FALSE,"Model";"page2",#N/A,FALSE,"Model";"page3",#N/A,FALSE,"Model";"page4",#N/A,FALSE,"Model";"page5",#N/A,FALSE,"Model";"page6",#N/A,FALSE,"Model";"page7",#N/A,FALSE,"Model";"page8",#N/A,FALSE,"Model";"page9",#N/A,FALSE,"Model";"page10",#N/A,FALSE,"Model";"page11",#N/A,FALSE,"Model";"page12",#N/A,FALSE,"Model";"page13",#N/A,FALSE,"Model"}</definedName>
    <definedName name="ick" localSheetId="10" hidden="1">{"UM Visits",#N/A,FALSE,"Unmanaged";"UM Dollars per Hour",#N/A,FALSE,"Unmanaged";"UM Hours per Visit",#N/A,FALSE,"Unmanaged";"UM Dollars per Visit",#N/A,FALSE,"Unmanaged";"UM Total Visits",#N/A,FALSE,"Unmanaged";"UM PMPM",#N/A,FALSE,"Unmanaged"}</definedName>
    <definedName name="ick" localSheetId="47" hidden="1">{"UM Visits",#N/A,FALSE,"Unmanaged";"UM Dollars per Hour",#N/A,FALSE,"Unmanaged";"UM Hours per Visit",#N/A,FALSE,"Unmanaged";"UM Dollars per Visit",#N/A,FALSE,"Unmanaged";"UM Total Visits",#N/A,FALSE,"Unmanaged";"UM PMPM",#N/A,FALSE,"Unmanaged"}</definedName>
    <definedName name="ick" hidden="1">{"UM Visits",#N/A,FALSE,"Unmanaged";"UM Dollars per Hour",#N/A,FALSE,"Unmanaged";"UM Hours per Visit",#N/A,FALSE,"Unmanaged";"UM Dollars per Visit",#N/A,FALSE,"Unmanaged";"UM Total Visits",#N/A,FALSE,"Unmanaged";"UM PMPM",#N/A,FALSE,"Unmanaged"}</definedName>
    <definedName name="iequwbg" localSheetId="10" hidden="1">{"page1",#N/A,FALSE,"Model";"page2",#N/A,FALSE,"Model";"page3",#N/A,FALSE,"Model";"page4",#N/A,FALSE,"Model";"page5",#N/A,FALSE,"Model";"page6",#N/A,FALSE,"Model";"page7",#N/A,FALSE,"Model";"page8",#N/A,FALSE,"Model";"page9",#N/A,FALSE,"Model";"page10",#N/A,FALSE,"Model";"page11",#N/A,FALSE,"Model";"page12",#N/A,FALSE,"Model";"page13",#N/A,FALSE,"Model"}</definedName>
    <definedName name="iequwbg" hidden="1">{"page1",#N/A,FALSE,"Model";"page2",#N/A,FALSE,"Model";"page3",#N/A,FALSE,"Model";"page4",#N/A,FALSE,"Model";"page5",#N/A,FALSE,"Model";"page6",#N/A,FALSE,"Model";"page7",#N/A,FALSE,"Model";"page8",#N/A,FALSE,"Model";"page9",#N/A,FALSE,"Model";"page10",#N/A,FALSE,"Model";"page11",#N/A,FALSE,"Model";"page12",#N/A,FALSE,"Model";"page13",#N/A,FALSE,"Model"}</definedName>
    <definedName name="iiii" localSheetId="10" hidden="1">{#N/A,#N/A,FALSE,"Bakersfield PCs";#N/A,#N/A,FALSE,"Bremer PCs";#N/A,#N/A,FALSE,"Bakersfield Notebooks"}</definedName>
    <definedName name="iiii" localSheetId="46" hidden="1">{#N/A,#N/A,FALSE,"Bakersfield PCs";#N/A,#N/A,FALSE,"Bremer PCs";#N/A,#N/A,FALSE,"Bakersfield Notebooks"}</definedName>
    <definedName name="iiii" localSheetId="51" hidden="1">{#N/A,#N/A,FALSE,"Bakersfield PCs";#N/A,#N/A,FALSE,"Bremer PCs";#N/A,#N/A,FALSE,"Bakersfield Notebooks"}</definedName>
    <definedName name="iiii" localSheetId="47" hidden="1">{#N/A,#N/A,FALSE,"Bakersfield PCs";#N/A,#N/A,FALSE,"Bremer PCs";#N/A,#N/A,FALSE,"Bakersfield Notebooks"}</definedName>
    <definedName name="iiii" localSheetId="12" hidden="1">{#N/A,#N/A,FALSE,"Bakersfield PCs";#N/A,#N/A,FALSE,"Bremer PCs";#N/A,#N/A,FALSE,"Bakersfield Notebooks"}</definedName>
    <definedName name="iiii" localSheetId="25" hidden="1">{#N/A,#N/A,FALSE,"Bakersfield PCs";#N/A,#N/A,FALSE,"Bremer PCs";#N/A,#N/A,FALSE,"Bakersfield Notebooks"}</definedName>
    <definedName name="iiii" localSheetId="30" hidden="1">{#N/A,#N/A,FALSE,"Bakersfield PCs";#N/A,#N/A,FALSE,"Bremer PCs";#N/A,#N/A,FALSE,"Bakersfield Notebooks"}</definedName>
    <definedName name="iiii" hidden="1">{#N/A,#N/A,FALSE,"Bakersfield PCs";#N/A,#N/A,FALSE,"Bremer PCs";#N/A,#N/A,FALSE,"Bakersfield Notebooks"}</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"c7"</definedName>
    <definedName name="IQ_ACCUMULATED_PENSION_OBLIGATION" hidden="1">"c2108"</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RATING_FITCH" hidden="1">"c223"</definedName>
    <definedName name="IQ_BONDRATING_FITCH_DATE" hidden="1">"c241"</definedName>
    <definedName name="IQ_BONDRATING_SP" hidden="1">"c224"</definedName>
    <definedName name="IQ_BONDRATING_SP_DATE" hidden="1">"c242"</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PRIMARY_GIC" hidden="1">"c15584"</definedName>
    <definedName name="IQ_BUS_SEG_PRIMARY_GIC_ABS" hidden="1">"c15572"</definedName>
    <definedName name="IQ_BUS_SEG_SECONDARY_GIC" hidden="1">"c15585"</definedName>
    <definedName name="IQ_BUS_SEG_SECONDARY_GIC_ABS" hidden="1">"c15573"</definedName>
    <definedName name="IQ_BUSINESS_DESCRIPTION" hidden="1">"c322"</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OVER_SHARES" hidden="1">"c100"</definedName>
    <definedName name="IQ_BV_SHARE" hidden="1">"c100"</definedName>
    <definedName name="IQ_BV_STDDEV_EST_REUT" hidden="1">"c5408"</definedName>
    <definedName name="IQ_BV_STDDEV_EST_THOM" hidden="1">"c5152"</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_REUT" hidden="1">"c6800"</definedName>
    <definedName name="IQ_CAL_Y" hidden="1">"c102"</definedName>
    <definedName name="IQ_CAL_Y_EST_REUT" hidden="1">"c6801"</definedName>
    <definedName name="IQ_CALC_TYPE_BS" hidden="1">"c3086"</definedName>
    <definedName name="IQ_CALC_TYPE_CF" hidden="1">"c3085"</definedName>
    <definedName name="IQ_CALC_TYPE_IS" hidden="1">"c3084"</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QUIV" hidden="1">"c118"</definedName>
    <definedName name="IQ_CASH_FINAN" hidden="1">"c119"</definedName>
    <definedName name="IQ_CASH_IN_PROCESS_FDIC" hidden="1">"c6386"</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DET_EST_REUT_CURRENCY_CURRENCY_REUT" hidden="1">"c12526"</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RATE" hidden="1">"c2192"</definedName>
    <definedName name="IQ_CONVERT" hidden="1">"c2536"</definedName>
    <definedName name="IQ_CONVERT_DEBT" hidden="1">"c224"</definedName>
    <definedName name="IQ_CONVERT_PCT" hidden="1">"c2537"</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PAYOUT" hidden="1">"c3005"</definedName>
    <definedName name="IQ_DISTRIBUTABLE_CASH_SHARE" hidden="1">"c3003"</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 hidden="1">"c2801"</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ROWTH_1" hidden="1">"c157"</definedName>
    <definedName name="IQ_EBIT_GROWTH_2" hidden="1">"c161"</definedName>
    <definedName name="IQ_EBIT_INT" hidden="1">"c360"</definedName>
    <definedName name="IQ_EBIT_MARGIN" hidden="1">"c359"</definedName>
    <definedName name="IQ_EBIT_OVER_IE" hidden="1">"c360"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"c368"</definedName>
    <definedName name="IQ_EBITDA_DET_EST_REUT_CURRENCY_CURRENCY_REUT" hidden="1">"c12529"</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GROWTH_1" hidden="1">"c156"</definedName>
    <definedName name="IQ_EBITDA_GROWTH_2" hidden="1">"c160"</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_REUT" hidden="1">"c3641"</definedName>
    <definedName name="IQ_EBITDA_NO_EST" hidden="1">"c267"</definedName>
    <definedName name="IQ_EBITDA_NUM_EST" hidden="1">"c374"</definedName>
    <definedName name="IQ_EBITDA_NUM_EST_REUT" hidden="1">"c3644"</definedName>
    <definedName name="IQ_EBITDA_OVER_TOTAL_IE" hidden="1">"c373"</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GW_DET_EST_REUT_CURRENCY_CURRENCY_REUT" hidden="1">"c12533"</definedName>
    <definedName name="IQ_EPS_GW_EST_REUT" hidden="1">"c5389"</definedName>
    <definedName name="IQ_EPS_GW_HIGH_EST_REUT" hidden="1">"c5391"</definedName>
    <definedName name="IQ_EPS_GW_LOW_EST_REUT" hidden="1">"c5392"</definedName>
    <definedName name="IQ_EPS_GW_MEDIAN_EST_REUT" hidden="1">"c5390"</definedName>
    <definedName name="IQ_EPS_GW_NUM_EST_REUT" hidden="1">"c5393"</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_EST" hidden="1">"c271"</definedName>
    <definedName name="IQ_EPS_NORM" hidden="1">"c1902"</definedName>
    <definedName name="IQ_EPS_NORM_EST_REUT" hidden="1">"c5326"</definedName>
    <definedName name="IQ_EPS_NORM_HIGH_EST_REUT" hidden="1">"c5328"</definedName>
    <definedName name="IQ_EPS_NORM_LOW_EST_REUT" hidden="1">"c5329"</definedName>
    <definedName name="IQ_EPS_NORM_MEDIAN_EST_REUT" hidden="1">"c5327"</definedName>
    <definedName name="IQ_EPS_NORM_NUM_EST_REUT" hidden="1">"c5330"</definedName>
    <definedName name="IQ_EPS_NORM_STDDEV_EST_REUT" hidden="1">"c5331"</definedName>
    <definedName name="IQ_EPS_NUM_EST" hidden="1">"c402"</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ED_EST_REUT" hidden="1">"c5396"</definedName>
    <definedName name="IQ_EPS_REPORTED_HIGH_EST_REUT" hidden="1">"c5398"</definedName>
    <definedName name="IQ_EPS_REPORTED_LOW_EST_REUT" hidden="1">"c5399"</definedName>
    <definedName name="IQ_EPS_REPORTED_MEDIAN_EST_REUT" hidden="1">"c5397"</definedName>
    <definedName name="IQ_EPS_REPORTED_NUM_EST_REUT" hidden="1">"c5400"</definedName>
    <definedName name="IQ_EPS_REPORTED_STDDEV_EST_REUT" hidden="1">"c5401"</definedName>
    <definedName name="IQ_EPS_STDDEV_EST" hidden="1">"c403"</definedName>
    <definedName name="IQ_EPS_STDDEV_EST_REUT" hidden="1">"c5452"</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THOM" hidden="1">"c5153"</definedName>
    <definedName name="IQ_EST_ACT_EPS" hidden="1">"c1648"</definedName>
    <definedName name="IQ_EST_ACT_EPS_GW_REUT" hidden="1">"c5395"</definedName>
    <definedName name="IQ_EST_ACT_EPS_NORM_REUT" hidden="1">"c5332"</definedName>
    <definedName name="IQ_EST_ACT_EPS_PRIMARY" hidden="1">"c2232"</definedName>
    <definedName name="IQ_EST_ACT_EPS_REPORTED_REUT" hidden="1">"c5402"</definedName>
    <definedName name="IQ_EST_ACT_FFO_REUT" hidden="1">"c3843"</definedName>
    <definedName name="IQ_EST_ACT_FFO_SHARE_SHARE_THOM" hidden="1">"c4005"</definedName>
    <definedName name="IQ_EST_ACT_FFO_THOM" hidden="1">"c4005"</definedName>
    <definedName name="IQ_EST_ACT_NI_GW_THOM" hidden="1">"c5139"</definedName>
    <definedName name="IQ_EST_BV_DIFF_CIQ" hidden="1">"c4765"</definedName>
    <definedName name="IQ_EST_BV_DIFF_REUT" hidden="1">"c5433"</definedName>
    <definedName name="IQ_EST_BV_DIFF_THOM" hidden="1">"c5204"</definedName>
    <definedName name="IQ_EST_BV_SURPRISE_PERCENT_CIQ" hidden="1">"c4766"</definedName>
    <definedName name="IQ_EST_BV_SURPRISE_PERCENT_REUT" hidden="1">"c5434"</definedName>
    <definedName name="IQ_EST_BV_SURPRISE_PERCENT_THOM" hidden="1">"c5205"</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_REUT" hidden="1">"c5429"</definedName>
    <definedName name="IQ_EST_EPS_GW_SURPRISE_PERCENT_REUT" hidden="1">"c5430"</definedName>
    <definedName name="IQ_EST_EPS_NORM_DIFF_REUT" hidden="1">"c5411"</definedName>
    <definedName name="IQ_EST_EPS_NORM_SURPRISE_PERCENT_REUT" hidden="1">"c5412"</definedName>
    <definedName name="IQ_EST_EPS_REPORT_DIFF_REUT" hidden="1">"c5431"</definedName>
    <definedName name="IQ_EST_EPS_REPORT_SURPRISE_PERCENT_REUT" hidden="1">"c5432"</definedName>
    <definedName name="IQ_EST_EPS_SURPRISE" hidden="1">"c1635"</definedName>
    <definedName name="IQ_EST_FFO_DIFF_REUT" hidden="1">"c3890"</definedName>
    <definedName name="IQ_EST_FFO_DIFF_THOM" hidden="1">"c5186"</definedName>
    <definedName name="IQ_EST_FFO_SHARE_SHARE_DIFF_THOM" hidden="1">"c5186"</definedName>
    <definedName name="IQ_EST_FFO_SHARE_SHARE_SURPRISE_PERCENT_THOM" hidden="1">"c5187"</definedName>
    <definedName name="IQ_EST_FFO_SURPRISE_PERCENT_REUT" hidden="1">"c3891"</definedName>
    <definedName name="IQ_EST_FFO_SURPRISE_PERCENT_THOM" hidden="1">"c5187"</definedName>
    <definedName name="IQ_EST_NI_GW_DIFF_THOM" hidden="1">"c5200"</definedName>
    <definedName name="IQ_EST_NI_GW_SURPRISE_PERCENT_THOM" hidden="1">"c5201"</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REUT_ACT_CAPEX" hidden="1">"c3975"</definedName>
    <definedName name="IQ_EST_REV_GROWTH_1YR" hidden="1">"c1638"</definedName>
    <definedName name="IQ_EST_REV_GROWTH_2YR" hidden="1">"c1639"</definedName>
    <definedName name="IQ_EST_REV_GROWTH_Q_1YR" hidden="1">"c1640"</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"c165"</definedName>
    <definedName name="IQ_EV_OVER_REVENUE_EST_1" hidden="1">"c166"</definedName>
    <definedName name="IQ_EXCHANGE" hidden="1">"c405"</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ENSE_CODE_" hidden="1">"ajsdasd"</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 hidden="1">"c418"</definedName>
    <definedName name="IQ_FFO_EST_CIQ" hidden="1">"c3668"</definedName>
    <definedName name="IQ_FFO_EST_DET_EST" hidden="1">"c12059"</definedName>
    <definedName name="IQ_FFO_EST_DET_EST_CIQ" hidden="1">"c12121"</definedName>
    <definedName name="IQ_FFO_EST_DET_EST_CURRENCY" hidden="1">"c12466"</definedName>
    <definedName name="IQ_FFO_EST_DET_EST_CURRENCY_CIQ" hidden="1">"c12512"</definedName>
    <definedName name="IQ_FFO_EST_DET_EST_CURRENCY_REUT" hidden="1">"c12536"</definedName>
    <definedName name="IQ_FFO_EST_DET_EST_CURRENCY_THOM" hidden="1">"c12487"</definedName>
    <definedName name="IQ_FFO_EST_DET_EST_DATE" hidden="1">"c12212"</definedName>
    <definedName name="IQ_FFO_EST_DET_EST_DATE_CIQ" hidden="1">"c12267"</definedName>
    <definedName name="IQ_FFO_EST_DET_EST_DATE_REUT" hidden="1">"c12295"</definedName>
    <definedName name="IQ_FFO_EST_DET_EST_DATE_THOM" hidden="1">"c12238"</definedName>
    <definedName name="IQ_FFO_EST_DET_EST_INCL" hidden="1">"c12349"</definedName>
    <definedName name="IQ_FFO_EST_DET_EST_INCL_CIQ" hidden="1">"c12395"</definedName>
    <definedName name="IQ_FFO_EST_DET_EST_INCL_REUT" hidden="1">"c12419"</definedName>
    <definedName name="IQ_FFO_EST_DET_EST_INCL_THOM" hidden="1">"c12370"</definedName>
    <definedName name="IQ_FFO_EST_DET_EST_ORIGIN" hidden="1">"c12722"</definedName>
    <definedName name="IQ_FFO_EST_DET_EST_ORIGIN_CIQ" hidden="1">"c12720"</definedName>
    <definedName name="IQ_FFO_EST_DET_EST_ORIGIN_REUT" hidden="1">"c12724"</definedName>
    <definedName name="IQ_FFO_EST_DET_EST_ORIGIN_THOM" hidden="1">"c12608"</definedName>
    <definedName name="IQ_FFO_EST_DET_EST_REUT" hidden="1">"c12153"</definedName>
    <definedName name="IQ_FFO_EST_DET_EST_THOM" hidden="1">"c12088"</definedName>
    <definedName name="IQ_FFO_EST_REUT" hidden="1">"c3837"</definedName>
    <definedName name="IQ_FFO_EST_THOM" hidden="1">"c3999"</definedName>
    <definedName name="IQ_FFO_HIGH_EST" hidden="1">"c419"</definedName>
    <definedName name="IQ_FFO_HIGH_EST_CIQ" hidden="1">"c3670"</definedName>
    <definedName name="IQ_FFO_HIGH_EST_REUT" hidden="1">"c3839"</definedName>
    <definedName name="IQ_FFO_HIGH_EST_THOM" hidden="1">"c4001"</definedName>
    <definedName name="IQ_FFO_LOW_EST" hidden="1">"c420"</definedName>
    <definedName name="IQ_FFO_LOW_EST_CIQ" hidden="1">"c3671"</definedName>
    <definedName name="IQ_FFO_LOW_EST_REUT" hidden="1">"c3840"</definedName>
    <definedName name="IQ_FFO_LOW_EST_THOM" hidden="1">"c4002"</definedName>
    <definedName name="IQ_FFO_MEDIAN_EST_CIQ" hidden="1">"c3669"</definedName>
    <definedName name="IQ_FFO_MEDIAN_EST_REUT" hidden="1">"c3838"</definedName>
    <definedName name="IQ_FFO_MEDIAN_EST_THOM" hidden="1">"c4000"</definedName>
    <definedName name="IQ_FFO_NO_EST" hidden="1">"c276"</definedName>
    <definedName name="IQ_FFO_NUM_EST" hidden="1">"c421"</definedName>
    <definedName name="IQ_FFO_NUM_EST_CIQ" hidden="1">"c3672"</definedName>
    <definedName name="IQ_FFO_NUM_EST_REUT" hidden="1">"c3841"</definedName>
    <definedName name="IQ_FFO_NUM_EST_THOM" hidden="1">"c4003"</definedName>
    <definedName name="IQ_FFO_PAYOUT_RATIO" hidden="1">"c3492"</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THOM" hidden="1">"c3999"</definedName>
    <definedName name="IQ_FFO_SHARE_SHARE_HIGH_EST_THOM" hidden="1">"c4001"</definedName>
    <definedName name="IQ_FFO_SHARE_SHARE_LOW_EST_THOM" hidden="1">"c4002"</definedName>
    <definedName name="IQ_FFO_SHARE_SHARE_MEDIAN_EST_THOM" hidden="1">"c4000"</definedName>
    <definedName name="IQ_FFO_SHARE_SHARE_NUM_EST_THOM" hidden="1">"c4003"</definedName>
    <definedName name="IQ_FFO_SHARE_SHARE_STDDEV_EST_THOM" hidden="1">"c4004"</definedName>
    <definedName name="IQ_FFO_STDDEV_EST" hidden="1">"c422"</definedName>
    <definedName name="IQ_FFO_STDDEV_EST_CIQ" hidden="1">"c3673"</definedName>
    <definedName name="IQ_FFO_STDDEV_EST_REUT" hidden="1">"c3842"</definedName>
    <definedName name="IQ_FFO_STDDEV_EST_THOM" hidden="1">"c4004"</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hidden="1">"c893"</definedName>
    <definedName name="IQ_FINANCING_CASH_SUPPL" hidden="1">"c899"</definedName>
    <definedName name="IQ_FINISHED_INV" hidden="1">"c438"</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_REUT" hidden="1">"c6798"</definedName>
    <definedName name="IQ_FISCAL_Y" hidden="1">"c441"</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"c511"</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_TARGET_PRICE_REUT" hidden="1">"c5317"</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PROVIDED_DIVIDEND" hidden="1">"c19252"</definedName>
    <definedName name="IQ_INDEXCONSTITUENT_CLOSEPRICE" hidden="1">"c19241"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D_GUARANTEED_US_FDIC" hidden="1">"c6404"</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ISTING_CURRENCY" hidden="1">"c2127"</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DATE" hidden="1">"IQ_LTM_DATE"</definedName>
    <definedName name="IQ_LTM_REVENUE_OVER_EMPLOYEES" hidden="1">"c1304"</definedName>
    <definedName name="IQ_LTMMONTH" hidden="1">120000</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REPAIR" hidden="1">"c2087"</definedName>
    <definedName name="IQ_MARKET_CAP_LFCF" hidden="1">"c2209"</definedName>
    <definedName name="IQ_MARKETCAP" hidden="1">"c712"</definedName>
    <definedName name="IQ_MARKETING" hidden="1">"c2239"</definedName>
    <definedName name="IQ_MARKTCAP" hidden="1">"c258"</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localSheetId="67" hidden="1">40785.9210648148</definedName>
    <definedName name="IQ_NAMES_REVISION_DATE_" localSheetId="46" hidden="1">43096.4881481481</definedName>
    <definedName name="IQ_NAMES_REVISION_DATE_" localSheetId="47" hidden="1">42616.3035069444</definedName>
    <definedName name="IQ_NAMES_REVISION_DATE_" localSheetId="53" hidden="1">43211.5221643519</definedName>
    <definedName name="IQ_NAMES_REVISION_DATE_" localSheetId="25" hidden="1">42418.5945138889</definedName>
    <definedName name="IQ_NAMES_REVISION_DATE_" localSheetId="30" hidden="1">42803.8286226852</definedName>
    <definedName name="IQ_NAMES_REVISION_DATE_" localSheetId="79" hidden="1">42571.2669444444</definedName>
    <definedName name="IQ_NAMES_REVISION_DATE_" hidden="1">43096.4881481481</definedName>
    <definedName name="IQ_NAMES_REVISION_DATE__1" hidden="1">41449.5435763889</definedName>
    <definedName name="IQ_NAV_ACT_OR_EST" hidden="1">"c2225"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"c158"</definedName>
    <definedName name="IQ_NET_INC_GROWTH_2" hidden="1">"c162"</definedName>
    <definedName name="IQ_NET_INC_MARGIN" hidden="1">"c794"</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GW_EST_THOM" hidden="1">"c5133"</definedName>
    <definedName name="IQ_NI_GW_HIGH_EST_THOM" hidden="1">"c5135"</definedName>
    <definedName name="IQ_NI_GW_LOW_EST_THOM" hidden="1">"c5136"</definedName>
    <definedName name="IQ_NI_GW_MEDIAN_EST_THOM" hidden="1">"c5134"</definedName>
    <definedName name="IQ_NI_GW_NUM_EST_THOM" hidden="1">"c5137"</definedName>
    <definedName name="IQ_NI_GW_STDDEV_EST_THOM" hidden="1">"c5138"</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MINING_REVENUE_COAL" hidden="1">"c15931"</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SHARE_SHARE_12MONTHS" hidden="1">"c1828"</definedName>
    <definedName name="IQ_PERCENT_CHANGE_EST_FFO_SHARE_SHARE_12MONTHS_THOM" hidden="1">"c5248"</definedName>
    <definedName name="IQ_PERCENT_CHANGE_EST_FFO_SHARE_SHARE_18MONTHS" hidden="1">"c1829"</definedName>
    <definedName name="IQ_PERCENT_CHANGE_EST_FFO_SHARE_SHARE_18MONTHS_THOM" hidden="1">"c5249"</definedName>
    <definedName name="IQ_PERCENT_CHANGE_EST_FFO_SHARE_SHARE_3MONTHS" hidden="1">"c1825"</definedName>
    <definedName name="IQ_PERCENT_CHANGE_EST_FFO_SHARE_SHARE_3MONTHS_THOM" hidden="1">"c5245"</definedName>
    <definedName name="IQ_PERCENT_CHANGE_EST_FFO_SHARE_SHARE_6MONTHS" hidden="1">"c1826"</definedName>
    <definedName name="IQ_PERCENT_CHANGE_EST_FFO_SHARE_SHARE_6MONTHS_THOM" hidden="1">"c5246"</definedName>
    <definedName name="IQ_PERCENT_CHANGE_EST_FFO_SHARE_SHARE_9MONTHS" hidden="1">"c1827"</definedName>
    <definedName name="IQ_PERCENT_CHANGE_EST_FFO_SHARE_SHARE_9MONTHS_THOM" hidden="1">"c5247"</definedName>
    <definedName name="IQ_PERCENT_CHANGE_EST_FFO_SHARE_SHARE_DAY" hidden="1">"c1822"</definedName>
    <definedName name="IQ_PERCENT_CHANGE_EST_FFO_SHARE_SHARE_DAY_THOM" hidden="1">"c5243"</definedName>
    <definedName name="IQ_PERCENT_CHANGE_EST_FFO_SHARE_SHARE_MONTH" hidden="1">"c1824"</definedName>
    <definedName name="IQ_PERCENT_CHANGE_EST_FFO_SHARE_SHARE_MONTH_THOM" hidden="1">"c5244"</definedName>
    <definedName name="IQ_PERCENT_CHANGE_EST_FFO_SHARE_SHARE_WEEK" hidden="1">"c1823"</definedName>
    <definedName name="IQ_PERCENT_CHANGE_EST_FFO_SHARE_SHARE_WEEK_THOM" hidden="1">"c5274"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INSURED_FDIC" hidden="1">"c6374"</definedName>
    <definedName name="IQ_PERIODDATE" hidden="1">"c1034"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INC_10K" hidden="1">"IQ_PRETAX_INC_10K"</definedName>
    <definedName name="IQ_PRETAX_INC_10Q" hidden="1">"IQ_PRETAX_INC_10Q"</definedName>
    <definedName name="IQ_PRETAX_INC_10Q1" hidden="1">"IQ_PRETAX_INC_10Q1"</definedName>
    <definedName name="IQ_PRETAX_RETURN_ASSETS_FDIC" hidden="1">"c6731"</definedName>
    <definedName name="IQ_PRICE_OVER_BVPS" hidden="1">"c1026"</definedName>
    <definedName name="IQ_PRICE_OVER_EPS_EST" hidden="1">"c174"</definedName>
    <definedName name="IQ_PRICE_OVER_EPS_EST_1" hidden="1">"c175"</definedName>
    <definedName name="IQ_PRICE_OVER_LTM_EPS" hidden="1">"c1029"</definedName>
    <definedName name="IQ_PRICE_TARGET" hidden="1">"c82"</definedName>
    <definedName name="IQ_PRICE_TARGET_REUT" hidden="1">"c3631"</definedName>
    <definedName name="IQ_PRICEDATE" hidden="1">"c1069"</definedName>
    <definedName name="IQ_PRICEDATETIME" hidden="1">"IQ_PRICEDATETIME"</definedName>
    <definedName name="IQ_PRICING_DATE" hidden="1">"c1613"</definedName>
    <definedName name="IQ_PRIMARY_EPS_TYPE_THOM" hidden="1">"c5297"</definedName>
    <definedName name="IQ_PRIMARY_INDUSTRY" hidden="1">"c1070"</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EST" hidden="1">"c1126"</definedName>
    <definedName name="IQ_REVENUE_EST_REUT" hidden="1">"c3634"</definedName>
    <definedName name="IQ_REVENUE_GROWTH_1" hidden="1">"c155"</definedName>
    <definedName name="IQ_REVENUE_GROWTH_2" hidden="1">"c159"</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_REUT" hidden="1">"c3635"</definedName>
    <definedName name="IQ_REVENUE_NO_EST" hidden="1">"c263"</definedName>
    <definedName name="IQ_REVENUE_NUM_EST" hidden="1">"c1129"</definedName>
    <definedName name="IQ_REVENUE_NUM_EST_REUT" hidden="1">"c3638"</definedName>
    <definedName name="IQ_REVISION_DATE__1" hidden="1">39244.4696180556</definedName>
    <definedName name="IQ_Revision_date_2" hidden="1">38784.4474652778</definedName>
    <definedName name="IQ_REVOLVING_SECURED_1_–4_NON_ACCRUAL_FFIEC" hidden="1">"c15565"</definedName>
    <definedName name="IQ_RISK_ADJ_BANK_ASSETS" hidden="1">"c2670"</definedName>
    <definedName name="IQ_RISK_WEIGHTED_ASSETS_FDIC" hidden="1">"c6370"</definedName>
    <definedName name="IQ_ROYALTY_REVENUE_COAL" hidden="1">"c15932"</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_ISSUE_LC_ACTION" hidden="1">"c2644"</definedName>
    <definedName name="IQ_SP_ISSUE_LC_DATE" hidden="1">"c2643"</definedName>
    <definedName name="IQ_SP_ISSUE_LC_LT" hidden="1">"c2645"</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GS_FIN" hidden="1">"c2998"</definedName>
    <definedName name="IQ_STOCK_BASED_COGS_UTIL" hidden="1">"c2997"</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_REUT" hidden="1">"c5319"</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DUE" hidden="1">"c2509"</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ADVISORS" hidden="1">"c2387"</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ADVISORS" hidden="1">"c2388"</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BDEBT" hidden="1">"c2370"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ADVISORS" hidden="1">"c2386"</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 hidden="1">"c2930"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 hidden="1">"c2932"</definedName>
    <definedName name="IQ_US_GAAP_CL_ADJ" hidden="1">"c2927"</definedName>
    <definedName name="IQ_US_GAAP_COST_REV" hidden="1">"c2965"</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 hidden="1">"c2973"</definedName>
    <definedName name="IQ_US_GAAP_DO_ADJ" hidden="1">"c2959"</definedName>
    <definedName name="IQ_US_GAAP_EXTRA_ACC_ITEMS" hidden="1">"c2972"</definedName>
    <definedName name="IQ_US_GAAP_EXTRA_ACC_ITEMS_ADJ" hidden="1">"c2958"</definedName>
    <definedName name="IQ_US_GAAP_INC_TAX" hidden="1">"c2975"</definedName>
    <definedName name="IQ_US_GAAP_INC_TAX_ADJ" hidden="1">"c2961"</definedName>
    <definedName name="IQ_US_GAAP_INTEREST_EXP" hidden="1">"c2971"</definedName>
    <definedName name="IQ_US_GAAP_INTEREST_EXP_ADJ" hidden="1">"c2957"</definedName>
    <definedName name="IQ_US_GAAP_LIAB_LT" hidden="1">"c2933"</definedName>
    <definedName name="IQ_US_GAAP_LIAB_LT_ADJ" hidden="1">"c2928"</definedName>
    <definedName name="IQ_US_GAAP_LIAB_TOTAL_LIAB" hidden="1">"c2933"</definedName>
    <definedName name="IQ_US_GAAP_MINORITY_INTEREST_IS" hidden="1">"c2974"</definedName>
    <definedName name="IQ_US_GAAP_MINORITY_INTEREST_IS_ADJ" hidden="1">"c2960"</definedName>
    <definedName name="IQ_US_GAAP_NCA" hidden="1">"c2931"</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EXCL" hidden="1">"c2977"</definedName>
    <definedName name="IQ_US_GAAP_NI_AVAIL_INCL" hidden="1">"c2978"</definedName>
    <definedName name="IQ_US_GAAP_OTHER_ADJ_ADJ" hidden="1">"c2962"</definedName>
    <definedName name="IQ_US_GAAP_OTHER_NON_OPER" hidden="1">"c2969"</definedName>
    <definedName name="IQ_US_GAAP_OTHER_NON_OPER_ADJ" hidden="1">"c2955"</definedName>
    <definedName name="IQ_US_GAAP_OTHER_OPER" hidden="1">"c2968"</definedName>
    <definedName name="IQ_US_GAAP_OTHER_OPER_ADJ" hidden="1">"c2954"</definedName>
    <definedName name="IQ_US_GAAP_RD" hidden="1">"c2967"</definedName>
    <definedName name="IQ_US_GAAP_RD_ADJ" hidden="1">"c2953"</definedName>
    <definedName name="IQ_US_GAAP_SGA" hidden="1">"c2966"</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 hidden="1">"c2964"</definedName>
    <definedName name="IQ_US_GAAP_TOTAL_REV_ADJ" hidden="1">"c2950"</definedName>
    <definedName name="IQ_US_GAAP_TOTAL_UNUSUAL" hidden="1">"c2970"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Z_SCORE" hidden="1">"c1339"</definedName>
    <definedName name="IQRA1" hidden="1">"$A$2:$A$368"</definedName>
    <definedName name="IQRA10" hidden="1">"$A$11:$A$2912"</definedName>
    <definedName name="IQRA11" hidden="1">"$A$12:$A$73"</definedName>
    <definedName name="IQRA20" hidden="1">"$A$21:$A$31"</definedName>
    <definedName name="IQRA22" hidden="1">"$A$23:$A$42"</definedName>
    <definedName name="IQRA4" hidden="1">"$A$5:$A$15"</definedName>
    <definedName name="IQRA5" hidden="1">"$A$6"</definedName>
    <definedName name="IQRA6" hidden="1">"$A$7:$A$36"</definedName>
    <definedName name="IQRA7" hidden="1">"$A$8:$A$82"</definedName>
    <definedName name="IQRA8" hidden="1">"$A$9:$A$260"</definedName>
    <definedName name="IQRAB22" hidden="1">"$AB$23:$AB$42"</definedName>
    <definedName name="IQRAD53" hidden="1">"$AD$54:$AD$63"</definedName>
    <definedName name="IQRAD54" hidden="1">"$AE$54:$AG$54"</definedName>
    <definedName name="IQRAD55" hidden="1">"$AE$55:$AH$55"</definedName>
    <definedName name="IQRAD56" hidden="1">"$AE$56:$AO$56"</definedName>
    <definedName name="IQRAD57" hidden="1">"$AE$57:$AH$57"</definedName>
    <definedName name="IQRAE22" hidden="1">"$AE$23:$AE$42"</definedName>
    <definedName name="IQRAE53" hidden="1">"$AE$54:$AE$56"</definedName>
    <definedName name="IQRAF16" hidden="1">"$AF$17:$AF$268"</definedName>
    <definedName name="IQRAF17" hidden="1">"$AF$18:$AF$269"</definedName>
    <definedName name="IQRAF53" hidden="1">"$AF$54:$AF$57"</definedName>
    <definedName name="IQRAG53" hidden="1">"$AG$54:$AG$64"</definedName>
    <definedName name="IQRAH22" hidden="1">"$AH$23:$AH$42"</definedName>
    <definedName name="IQRAH53" hidden="1">"$AH$54:$AH$56"</definedName>
    <definedName name="IQRAJ53" hidden="1">"$AJ$54:$AJ$61"</definedName>
    <definedName name="IQRAK22" hidden="1">"$AK$23:$AK$42"</definedName>
    <definedName name="IQRAK53" hidden="1">"$AK$54:$AK$57"</definedName>
    <definedName name="IQRAL53" hidden="1">"$AL$54:$AL$64"</definedName>
    <definedName name="IQRAM53" hidden="1">"$AM$54:$AM$61"</definedName>
    <definedName name="IQRAN22" hidden="1">"$AN$23:$AN$42"</definedName>
    <definedName name="IQRAN53" hidden="1">"$AN$54:$AN$64"</definedName>
    <definedName name="IQRAP53" hidden="1">"$AP$54:$AP$61"</definedName>
    <definedName name="IQRAQ22" hidden="1">"$AQ$23:$AQ$42"</definedName>
    <definedName name="IQRAQ53" hidden="1">"$AQ$54:$AQ$57"</definedName>
    <definedName name="IQRAS53" hidden="1">"$AS$54:$AS$61"</definedName>
    <definedName name="IQRAV53" hidden="1">"$AV$54:$AV$118"</definedName>
    <definedName name="IQRAW53" hidden="1">"$AW$54:$AW$66"</definedName>
    <definedName name="IQRAX53" hidden="1">"$AX$54:$AX$182"</definedName>
    <definedName name="IQRB14" hidden="1">"$B$15:$B$518"</definedName>
    <definedName name="IQRB16" hidden="1">"$B$17:$B$520"</definedName>
    <definedName name="IQRB17" hidden="1">"$B$18:$B$78"</definedName>
    <definedName name="IQRB18" hidden="1">"$B$19:$B$522"</definedName>
    <definedName name="IQRB5" hidden="1">"$B$6:$B$2020"</definedName>
    <definedName name="IQRB6" hidden="1">"$B$7:$B$1730"</definedName>
    <definedName name="IQRB7" hidden="1">"$B$8:$B$385"</definedName>
    <definedName name="IQRB8" hidden="1">"$B$9:$B$260"</definedName>
    <definedName name="IQRBB17" hidden="1">"$BB$18:$BB$1299"</definedName>
    <definedName name="IQRC100" hidden="1">"$C$101:$C$102"</definedName>
    <definedName name="IQRC104" hidden="1">"$C$105:$C$107"</definedName>
    <definedName name="IQRC109" hidden="1">"$C$110:$C$113"</definedName>
    <definedName name="IQRC115" hidden="1">"$C$116:$C$117"</definedName>
    <definedName name="IQRC14" hidden="1">"$C$15:$C$119"</definedName>
    <definedName name="IQRC16" hidden="1">"$C$17:$C$19"</definedName>
    <definedName name="IQRC2" hidden="1">"$C$3:$C$13"</definedName>
    <definedName name="IQRC21" hidden="1">"$C$22:$C$26"</definedName>
    <definedName name="IQRC27" hidden="1">"$C$28:$C$32"</definedName>
    <definedName name="IQRC33" hidden="1">"$C$34:$C$36"</definedName>
    <definedName name="IQRC37" hidden="1">"$C$38:$C$40"</definedName>
    <definedName name="IQRC42" hidden="1">"$C$43:$C$47"</definedName>
    <definedName name="IQRC49" hidden="1">"$C$50:$C$54"</definedName>
    <definedName name="IQRC5" hidden="1">"$C$6:$C$70"</definedName>
    <definedName name="IQRC56" hidden="1">"$C$57:$C$59"</definedName>
    <definedName name="IQRC67" hidden="1">"$C$68:$C$72"</definedName>
    <definedName name="IQRC74" hidden="1">"$C$75:$C$77"</definedName>
    <definedName name="IQRC8" hidden="1">"$C$9:$C$260"</definedName>
    <definedName name="IQRC82" hidden="1">"$C$83:$C$87"</definedName>
    <definedName name="IQRC89" hidden="1">"$C$90:$C$94"</definedName>
    <definedName name="IQRC9" hidden="1">"$C$10:$C$14"</definedName>
    <definedName name="IQRCapitalIQDATAJ8" localSheetId="47" hidden="1">#REF!</definedName>
    <definedName name="IQRCapitalIQDATAJ8" localSheetId="50" hidden="1">#REF!</definedName>
    <definedName name="IQRCapitalIQDATAJ8" hidden="1">'Capital IQ DATA'!$N$10</definedName>
    <definedName name="IQRCapitalIQDATAK8" localSheetId="50" hidden="1">#REF!</definedName>
    <definedName name="IQRCapitalIQDATAK8" hidden="1">'Capital IQ DATA'!$O$10</definedName>
    <definedName name="IQRCapitalIQDATAL8" localSheetId="50" hidden="1">#REF!</definedName>
    <definedName name="IQRCapitalIQDATAL8" hidden="1">'Capital IQ DATA'!$P$10</definedName>
    <definedName name="IQRCapitalIQDATAM8" localSheetId="50" hidden="1">#REF!</definedName>
    <definedName name="IQRCapitalIQDATAM8" hidden="1">'Capital IQ DATA'!$Q$10</definedName>
    <definedName name="IQRComp11F44" localSheetId="10" hidden="1">#REF!</definedName>
    <definedName name="IQRComp11F44" localSheetId="42" hidden="1">#REF!</definedName>
    <definedName name="IQRComp11F44" hidden="1">#REF!</definedName>
    <definedName name="IQRComp13G98" localSheetId="42" hidden="1">#REF!</definedName>
    <definedName name="IQRComp13G98" hidden="1">#REF!</definedName>
    <definedName name="IQRComp13R109" localSheetId="42" hidden="1">#REF!</definedName>
    <definedName name="IQRComp13R109" hidden="1">#REF!</definedName>
    <definedName name="IQRComp8I85" localSheetId="42" hidden="1">#REF!</definedName>
    <definedName name="IQRComp8I85" hidden="1">#REF!</definedName>
    <definedName name="IQRD100" hidden="1">"$D$101:$D$102"</definedName>
    <definedName name="IQRD101" hidden="1">"$D$102:$D$103"</definedName>
    <definedName name="IQRD102" hidden="1">"$D$103:$D$104"</definedName>
    <definedName name="IQRD103" hidden="1">"$D$104:$D$108"</definedName>
    <definedName name="IQRD104" hidden="1">"$D$105:$D$109"</definedName>
    <definedName name="IQRD105" hidden="1">"$D$106:$D$108"</definedName>
    <definedName name="IQRD106" hidden="1">"$D$107:$D$109"</definedName>
    <definedName name="IQRD107" hidden="1">"$D$108:$D$110"</definedName>
    <definedName name="IQRD108" hidden="1">"$D$109:$D$111"</definedName>
    <definedName name="IQRD109" hidden="1">"$D$110:$D$112"</definedName>
    <definedName name="IQRD110" hidden="1">"$D$111:$D$114"</definedName>
    <definedName name="IQRD111" hidden="1">"$D$112:$D$115"</definedName>
    <definedName name="IQRD112" hidden="1">"$D$113:$D$116"</definedName>
    <definedName name="IQRD113" hidden="1">"$D$114:$D$117"</definedName>
    <definedName name="IQRD114" hidden="1">"$D$115:$D$118"</definedName>
    <definedName name="IQRD115" hidden="1">"$D$116:$D$119"</definedName>
    <definedName name="IQRD116" hidden="1">"$D$117:$D$118"</definedName>
    <definedName name="IQRD117" hidden="1">"$D$118:$D$119"</definedName>
    <definedName name="IQRD118" hidden="1">"$D$119:$D$120"</definedName>
    <definedName name="IQRD119" hidden="1">"$D$120:$D$121"</definedName>
    <definedName name="IQRD120" hidden="1">"$D$121:$D$123"</definedName>
    <definedName name="IQRD121" hidden="1">"$D$122:$D$123"</definedName>
    <definedName name="IQRD122" hidden="1">"$D$123:$D$125"</definedName>
    <definedName name="IQRD123" hidden="1">"$D$124:$D$125"</definedName>
    <definedName name="IQRD124" hidden="1">"$D$125:$D$128"</definedName>
    <definedName name="IQRD125" hidden="1">"$D$126:$D$127"</definedName>
    <definedName name="IQRD126" hidden="1">"$D$127:$D$130"</definedName>
    <definedName name="IQRD127" hidden="1">"$D$128:$D$129"</definedName>
    <definedName name="IQRD128" hidden="1">"$D$129:$D$130"</definedName>
    <definedName name="IQRD129" hidden="1">"$D$130"</definedName>
    <definedName name="IQRD130" hidden="1">"$D$131:$D$132"</definedName>
    <definedName name="IQRD131" hidden="1">"$D$132:$D$133"</definedName>
    <definedName name="IQRD132" hidden="1">"$D$133"</definedName>
    <definedName name="IQRD133" hidden="1">"$D$134:$D$135"</definedName>
    <definedName name="IQRD134" hidden="1">"$D$135"</definedName>
    <definedName name="IQRD135" hidden="1">"$D$136:$D$140"</definedName>
    <definedName name="IQRD136" hidden="1">"$D$137"</definedName>
    <definedName name="IQRD137" hidden="1">"$D$138:$D$141"</definedName>
    <definedName name="IQRD138" hidden="1">"$D$139"</definedName>
    <definedName name="IQRD139" hidden="1">"$D$140:$D$144"</definedName>
    <definedName name="IQRD14" hidden="1">"$D$15:$D$38"</definedName>
    <definedName name="IQRD140" hidden="1">"$D$141:$D$143"</definedName>
    <definedName name="IQRD141" hidden="1">"$D$142:$D$143"</definedName>
    <definedName name="IQRD142" hidden="1">"$D$143:$D$147"</definedName>
    <definedName name="IQRD143" hidden="1">"$D$144:$D$148"</definedName>
    <definedName name="IQRD144" hidden="1">"$D$145"</definedName>
    <definedName name="IQRD145" hidden="1">"$D$146"</definedName>
    <definedName name="IQRD146" hidden="1">"$D$147:$D$149"</definedName>
    <definedName name="IQRD147" hidden="1">"$D$148:$D$149"</definedName>
    <definedName name="IQRD148" hidden="1">"$D$149"</definedName>
    <definedName name="IQRD149" hidden="1">"$D$150:$D$154"</definedName>
    <definedName name="IQRD151" hidden="1">"$D$152:$D$156"</definedName>
    <definedName name="IQRD152" hidden="1">"$D$153:$D$154"</definedName>
    <definedName name="IQRD153" hidden="1">"$D$154"</definedName>
    <definedName name="IQRD154" hidden="1">"$D$155:$D$159"</definedName>
    <definedName name="IQRD155" hidden="1">"$D$156:$D$160"</definedName>
    <definedName name="IQRD156" hidden="1">"$D$157:$D$159"</definedName>
    <definedName name="IQRD157" hidden="1">"$D$158:$D$159"</definedName>
    <definedName name="IQRD158" hidden="1">"$D$159:$D$161"</definedName>
    <definedName name="IQRD16" hidden="1">"$D$17:$D$19"</definedName>
    <definedName name="IQRD160" hidden="1">"$D$161"</definedName>
    <definedName name="IQRD161" hidden="1">"$D$162:$D$163"</definedName>
    <definedName name="IQRD162" hidden="1">"$D$163:$D$167"</definedName>
    <definedName name="IQRD163" hidden="1">"$D$164:$D$168"</definedName>
    <definedName name="IQRD164" hidden="1">"$D$165:$D$166"</definedName>
    <definedName name="IQRD165" hidden="1">"$D$166:$D$167"</definedName>
    <definedName name="IQRD166" hidden="1">"$D$167"</definedName>
    <definedName name="IQRD167" hidden="1">"$D$168:$D$169"</definedName>
    <definedName name="IQRD168" hidden="1">"$D$169:$D$172"</definedName>
    <definedName name="IQRD169" hidden="1">"$D$170"</definedName>
    <definedName name="IQRD170" hidden="1">"$D$171:$D$173"</definedName>
    <definedName name="IQRD171" hidden="1">"$D$172:$D$173"</definedName>
    <definedName name="IQRD172" hidden="1">"$D$173:$D$177"</definedName>
    <definedName name="IQRD175" hidden="1">"$D$176"</definedName>
    <definedName name="IQRD176" hidden="1">"$D$177:$D$178"</definedName>
    <definedName name="IQRD177" hidden="1">"$D$178:$D$179"</definedName>
    <definedName name="IQRD178" hidden="1">"$D$179:$D$180"</definedName>
    <definedName name="IQRD180" hidden="1">"$D$181:$D$182"</definedName>
    <definedName name="IQRD181" hidden="1">"$D$182:$D$183"</definedName>
    <definedName name="IQRD185" hidden="1">"$D$186:$D$190"</definedName>
    <definedName name="IQRD186" hidden="1">"$D$187:$D$188"</definedName>
    <definedName name="IQRD189" hidden="1">"$D$190"</definedName>
    <definedName name="IQRD190" hidden="1">"$D$191:$D$195"</definedName>
    <definedName name="IQRD191" hidden="1">"$D$192:$D$196"</definedName>
    <definedName name="IQRD192" hidden="1">"$D$193:$D$194"</definedName>
    <definedName name="IQRD194" hidden="1">"$D$195:$D$199"</definedName>
    <definedName name="IQRD2" hidden="1">"$D$3"</definedName>
    <definedName name="IQRD200" hidden="1">"$D$201:$D$205"</definedName>
    <definedName name="IQRD206" hidden="1">"$D$207:$D$211"</definedName>
    <definedName name="IQRD21" hidden="1">"$D$22:$D$26"</definedName>
    <definedName name="IQRD214" hidden="1">"$D$215:$D$219"</definedName>
    <definedName name="IQRD22" hidden="1">"$D$23:$D$42"</definedName>
    <definedName name="IQRD24" hidden="1">"$D$25:$D$29"</definedName>
    <definedName name="IQRD27" hidden="1">"$D$28:$D$32"</definedName>
    <definedName name="IQRD28" hidden="1">"$D$29:$D$33"</definedName>
    <definedName name="IQRD29" hidden="1">"$D$30:$D$34"</definedName>
    <definedName name="IQRD30" hidden="1">"$D$31:$D$35"</definedName>
    <definedName name="IQRD33" hidden="1">"$D$34:$D$36"</definedName>
    <definedName name="IQRD35" hidden="1">"$D$36:$D$38"</definedName>
    <definedName name="IQRD36" hidden="1">"$D$37:$D$39"</definedName>
    <definedName name="IQRD37" hidden="1">"$D$38:$D$40"</definedName>
    <definedName name="IQRD39" hidden="1">"$D$40:$D$42"</definedName>
    <definedName name="IQRD40" hidden="1">"$D$41:$D$43"</definedName>
    <definedName name="IQRD42" hidden="1">"$D$43:$D$47"</definedName>
    <definedName name="IQRD44" hidden="1">"$D$45:$D$49"</definedName>
    <definedName name="IQRD45" hidden="1">"$D$46:$D$50"</definedName>
    <definedName name="IQRD48" hidden="1">"$D$49:$D$51"</definedName>
    <definedName name="IQRD49" hidden="1">"$D$50:$D$54"</definedName>
    <definedName name="IQRD5" hidden="1">"$D$6:$D$70"</definedName>
    <definedName name="IQRD50" hidden="1">"$D$51:$D$55"</definedName>
    <definedName name="IQRD51" hidden="1">"$D$52:$D$56"</definedName>
    <definedName name="IQRD52" hidden="1">"$D$53:$D$57"</definedName>
    <definedName name="IQRD53" hidden="1">"$D$54:$D$58"</definedName>
    <definedName name="IQRD55" hidden="1">"$D$56:$D$60"</definedName>
    <definedName name="IQRD56" hidden="1">"$D$57:$D$59"</definedName>
    <definedName name="IQRD57" hidden="1">"$D$58:$D$60"</definedName>
    <definedName name="IQRD58" hidden="1">"$D$59:$D$61"</definedName>
    <definedName name="IQRD59" hidden="1">"$D$60:$D$62"</definedName>
    <definedName name="IQRD60" hidden="1">"$D$61:$D$63"</definedName>
    <definedName name="IQRD61" hidden="1">"$D$62:$D$64"</definedName>
    <definedName name="IQRD62" hidden="1">"$D$63:$D$67"</definedName>
    <definedName name="IQRD64" hidden="1">"$D$65:$D$68"</definedName>
    <definedName name="IQRD65" hidden="1">"$D$66:$D$69"</definedName>
    <definedName name="IQRD66" hidden="1">"$D$67:$D$70"</definedName>
    <definedName name="IQRD67" hidden="1">"$D$68:$D$71"</definedName>
    <definedName name="IQRD69" hidden="1">"$D$70:$D$74"</definedName>
    <definedName name="IQRD70" hidden="1">"$D$71:$D$75"</definedName>
    <definedName name="IQRD71" hidden="1">"$D$72:$D$76"</definedName>
    <definedName name="IQRD72" hidden="1">"$D$73:$D$77"</definedName>
    <definedName name="IQRD73" hidden="1">"$D$74:$D$78"</definedName>
    <definedName name="IQRD74" hidden="1">"$D$75:$D$79"</definedName>
    <definedName name="IQRD75" hidden="1">"$D$76:$D$80"</definedName>
    <definedName name="IQRD76" hidden="1">"$D$77:$D$79"</definedName>
    <definedName name="IQRD77" hidden="1">"$D$78:$D$80"</definedName>
    <definedName name="IQRD78" hidden="1">"$D$79"</definedName>
    <definedName name="IQRD79" hidden="1">"$D$80:$D$82"</definedName>
    <definedName name="IQRD80" hidden="1">"$D$81"</definedName>
    <definedName name="IQRD81" hidden="1">"$D$82:$D$84"</definedName>
    <definedName name="IQRD82" hidden="1">"$D$83"</definedName>
    <definedName name="IQRD83" hidden="1">"$D$84:$D$86"</definedName>
    <definedName name="IQRD84" hidden="1">"$D$85"</definedName>
    <definedName name="IQRD85" hidden="1">"$D$86:$D$90"</definedName>
    <definedName name="IQRD86" hidden="1">"$D$87"</definedName>
    <definedName name="IQRD87" hidden="1">"$D$88:$D$92"</definedName>
    <definedName name="IQRD88" hidden="1">"$D$89"</definedName>
    <definedName name="IQRD89" hidden="1">"$D$90"</definedName>
    <definedName name="IQRD9" hidden="1">"$D$10:$D$14"</definedName>
    <definedName name="IQRD90" hidden="1">"$D$91"</definedName>
    <definedName name="IQRD91" hidden="1">"$D$92"</definedName>
    <definedName name="IQRD92" hidden="1">"$D$93:$D$97"</definedName>
    <definedName name="IQRD93" hidden="1">"$D$94:$D$98"</definedName>
    <definedName name="IQRD94" hidden="1">"$D$95"</definedName>
    <definedName name="IQRD95" hidden="1">"$D$96:$D$100"</definedName>
    <definedName name="IQRD96" hidden="1">"$D$97:$D$101"</definedName>
    <definedName name="IQRD97" hidden="1">"$D$98:$D$102"</definedName>
    <definedName name="IQRD98" hidden="1">"$D$99:$D$103"</definedName>
    <definedName name="IQRD99" hidden="1">"$D$100:$D$104"</definedName>
    <definedName name="IQRE27" hidden="1">"$E$28"</definedName>
    <definedName name="IQRE5" hidden="1">"$E$6:$E$70"</definedName>
    <definedName name="IQRF3" hidden="1">"$F$4:$F$68"</definedName>
    <definedName name="IQRF5" hidden="1">"$F$6:$F$70"</definedName>
    <definedName name="IQRF7" hidden="1">"$F$8:$F$1832"</definedName>
    <definedName name="IQRF8" hidden="1">"$F$9:$F$269"</definedName>
    <definedName name="IQRG22" hidden="1">"$G$23:$G$42"</definedName>
    <definedName name="IQRG3" hidden="1">"$G$4:$G$68"</definedName>
    <definedName name="IQRG41" hidden="1">"$G$42:$G$1300"</definedName>
    <definedName name="IQRG5" hidden="1">"$G$6:$G$70"</definedName>
    <definedName name="IQRG7" hidden="1">"$G$8:$G$1832"</definedName>
    <definedName name="IQRGG11" hidden="1">"$GG$12:$GG$17"</definedName>
    <definedName name="IQRGH11" hidden="1">"$GH$12"</definedName>
    <definedName name="IQRGI11" hidden="1">"$GI$12"</definedName>
    <definedName name="IQRH13" hidden="1">"$H$14"</definedName>
    <definedName name="IQRHistoricMultiplesAR9" localSheetId="37" hidden="1">#REF!</definedName>
    <definedName name="IQRHistoricMultiplesAR9" localSheetId="38" hidden="1">#REF!</definedName>
    <definedName name="IQRHistoricMultiplesAR9" localSheetId="4" hidden="1">#REF!</definedName>
    <definedName name="IQRHistoricMultiplesAR9" localSheetId="46" hidden="1">#REF!</definedName>
    <definedName name="IQRHistoricMultiplesAR9" localSheetId="47" hidden="1">#REF!</definedName>
    <definedName name="IQRHistoricMultiplesAR9" localSheetId="50" hidden="1">#REF!</definedName>
    <definedName name="IQRHistoricMultiplesAR9" localSheetId="41" hidden="1">#REF!</definedName>
    <definedName name="IQRHistoricMultiplesAR9" localSheetId="15" hidden="1">#REF!</definedName>
    <definedName name="IQRHistoricMultiplesAR9" localSheetId="17" hidden="1">#REF!</definedName>
    <definedName name="IQRHistoricMultiplesAR9" localSheetId="30" hidden="1">#REF!</definedName>
    <definedName name="IQRHistoricMultiplesAR9" localSheetId="42" hidden="1">#REF!</definedName>
    <definedName name="IQRHistoricMultiplesAR9" hidden="1">#REF!</definedName>
    <definedName name="IQRHistoricMultiplesAW9" localSheetId="37" hidden="1">#REF!</definedName>
    <definedName name="IQRHistoricMultiplesAW9" localSheetId="38" hidden="1">#REF!</definedName>
    <definedName name="IQRHistoricMultiplesAW9" localSheetId="4" hidden="1">#REF!</definedName>
    <definedName name="IQRHistoricMultiplesAW9" localSheetId="46" hidden="1">#REF!</definedName>
    <definedName name="IQRHistoricMultiplesAW9" localSheetId="47" hidden="1">#REF!</definedName>
    <definedName name="IQRHistoricMultiplesAW9" localSheetId="50" hidden="1">#REF!</definedName>
    <definedName name="IQRHistoricMultiplesAW9" localSheetId="41" hidden="1">#REF!</definedName>
    <definedName name="IQRHistoricMultiplesAW9" localSheetId="15" hidden="1">#REF!</definedName>
    <definedName name="IQRHistoricMultiplesAW9" localSheetId="17" hidden="1">#REF!</definedName>
    <definedName name="IQRHistoricMultiplesAW9" localSheetId="30" hidden="1">#REF!</definedName>
    <definedName name="IQRHistoricMultiplesAW9" localSheetId="42" hidden="1">#REF!</definedName>
    <definedName name="IQRHistoricMultiplesAW9" hidden="1">#REF!</definedName>
    <definedName name="IQRHistoricMultiplesBB9" localSheetId="37" hidden="1">#REF!</definedName>
    <definedName name="IQRHistoricMultiplesBB9" localSheetId="38" hidden="1">#REF!</definedName>
    <definedName name="IQRHistoricMultiplesBB9" localSheetId="4" hidden="1">#REF!</definedName>
    <definedName name="IQRHistoricMultiplesBB9" localSheetId="46" hidden="1">#REF!</definedName>
    <definedName name="IQRHistoricMultiplesBB9" localSheetId="47" hidden="1">#REF!</definedName>
    <definedName name="IQRHistoricMultiplesBB9" localSheetId="50" hidden="1">#REF!</definedName>
    <definedName name="IQRHistoricMultiplesBB9" localSheetId="41" hidden="1">#REF!</definedName>
    <definedName name="IQRHistoricMultiplesBB9" localSheetId="15" hidden="1">#REF!</definedName>
    <definedName name="IQRHistoricMultiplesBB9" localSheetId="17" hidden="1">#REF!</definedName>
    <definedName name="IQRHistoricMultiplesBB9" localSheetId="30" hidden="1">#REF!</definedName>
    <definedName name="IQRHistoricMultiplesBB9" localSheetId="42" hidden="1">#REF!</definedName>
    <definedName name="IQRHistoricMultiplesBB9" hidden="1">#REF!</definedName>
    <definedName name="IQRHistoricMultiplesBG9" localSheetId="37" hidden="1">#REF!</definedName>
    <definedName name="IQRHistoricMultiplesBG9" localSheetId="38" hidden="1">#REF!</definedName>
    <definedName name="IQRHistoricMultiplesBG9" localSheetId="4" hidden="1">#REF!</definedName>
    <definedName name="IQRHistoricMultiplesBG9" localSheetId="46" hidden="1">#REF!</definedName>
    <definedName name="IQRHistoricMultiplesBG9" localSheetId="47" hidden="1">#REF!</definedName>
    <definedName name="IQRHistoricMultiplesBG9" localSheetId="50" hidden="1">#REF!</definedName>
    <definedName name="IQRHistoricMultiplesBG9" localSheetId="41" hidden="1">#REF!</definedName>
    <definedName name="IQRHistoricMultiplesBG9" localSheetId="15" hidden="1">#REF!</definedName>
    <definedName name="IQRHistoricMultiplesBG9" localSheetId="17" hidden="1">#REF!</definedName>
    <definedName name="IQRHistoricMultiplesBG9" localSheetId="30" hidden="1">#REF!</definedName>
    <definedName name="IQRHistoricMultiplesBG9" localSheetId="42" hidden="1">#REF!</definedName>
    <definedName name="IQRHistoricMultiplesBG9" hidden="1">#REF!</definedName>
    <definedName name="IQRHistoricMultiplesBL9" localSheetId="37" hidden="1">#REF!</definedName>
    <definedName name="IQRHistoricMultiplesBL9" localSheetId="38" hidden="1">#REF!</definedName>
    <definedName name="IQRHistoricMultiplesBL9" localSheetId="4" hidden="1">#REF!</definedName>
    <definedName name="IQRHistoricMultiplesBL9" localSheetId="46" hidden="1">#REF!</definedName>
    <definedName name="IQRHistoricMultiplesBL9" localSheetId="47" hidden="1">#REF!</definedName>
    <definedName name="IQRHistoricMultiplesBL9" localSheetId="50" hidden="1">#REF!</definedName>
    <definedName name="IQRHistoricMultiplesBL9" localSheetId="41" hidden="1">#REF!</definedName>
    <definedName name="IQRHistoricMultiplesBL9" localSheetId="15" hidden="1">#REF!</definedName>
    <definedName name="IQRHistoricMultiplesBL9" localSheetId="17" hidden="1">#REF!</definedName>
    <definedName name="IQRHistoricMultiplesBL9" localSheetId="30" hidden="1">#REF!</definedName>
    <definedName name="IQRHistoricMultiplesBL9" localSheetId="42" hidden="1">#REF!</definedName>
    <definedName name="IQRHistoricMultiplesBL9" hidden="1">#REF!</definedName>
    <definedName name="IQRHistoricMultiplesBQ9" localSheetId="37" hidden="1">#REF!</definedName>
    <definedName name="IQRHistoricMultiplesBQ9" localSheetId="38" hidden="1">#REF!</definedName>
    <definedName name="IQRHistoricMultiplesBQ9" localSheetId="4" hidden="1">#REF!</definedName>
    <definedName name="IQRHistoricMultiplesBQ9" localSheetId="46" hidden="1">#REF!</definedName>
    <definedName name="IQRHistoricMultiplesBQ9" localSheetId="47" hidden="1">#REF!</definedName>
    <definedName name="IQRHistoricMultiplesBQ9" localSheetId="50" hidden="1">#REF!</definedName>
    <definedName name="IQRHistoricMultiplesBQ9" localSheetId="41" hidden="1">#REF!</definedName>
    <definedName name="IQRHistoricMultiplesBQ9" localSheetId="15" hidden="1">#REF!</definedName>
    <definedName name="IQRHistoricMultiplesBQ9" localSheetId="17" hidden="1">#REF!</definedName>
    <definedName name="IQRHistoricMultiplesBQ9" localSheetId="30" hidden="1">#REF!</definedName>
    <definedName name="IQRHistoricMultiplesBQ9" localSheetId="42" hidden="1">#REF!</definedName>
    <definedName name="IQRHistoricMultiplesBQ9" hidden="1">#REF!</definedName>
    <definedName name="IQRHistoricMultiplesBV9" localSheetId="37" hidden="1">#REF!</definedName>
    <definedName name="IQRHistoricMultiplesBV9" localSheetId="38" hidden="1">#REF!</definedName>
    <definedName name="IQRHistoricMultiplesBV9" localSheetId="4" hidden="1">#REF!</definedName>
    <definedName name="IQRHistoricMultiplesBV9" localSheetId="46" hidden="1">#REF!</definedName>
    <definedName name="IQRHistoricMultiplesBV9" localSheetId="47" hidden="1">#REF!</definedName>
    <definedName name="IQRHistoricMultiplesBV9" localSheetId="50" hidden="1">#REF!</definedName>
    <definedName name="IQRHistoricMultiplesBV9" localSheetId="41" hidden="1">#REF!</definedName>
    <definedName name="IQRHistoricMultiplesBV9" localSheetId="15" hidden="1">#REF!</definedName>
    <definedName name="IQRHistoricMultiplesBV9" localSheetId="17" hidden="1">#REF!</definedName>
    <definedName name="IQRHistoricMultiplesBV9" localSheetId="30" hidden="1">#REF!</definedName>
    <definedName name="IQRHistoricMultiplesBV9" localSheetId="42" hidden="1">#REF!</definedName>
    <definedName name="IQRHistoricMultiplesBV9" hidden="1">#REF!</definedName>
    <definedName name="IQRHistoricMultiplesCA9" localSheetId="37" hidden="1">#REF!</definedName>
    <definedName name="IQRHistoricMultiplesCA9" localSheetId="38" hidden="1">#REF!</definedName>
    <definedName name="IQRHistoricMultiplesCA9" localSheetId="4" hidden="1">#REF!</definedName>
    <definedName name="IQRHistoricMultiplesCA9" localSheetId="46" hidden="1">#REF!</definedName>
    <definedName name="IQRHistoricMultiplesCA9" localSheetId="47" hidden="1">#REF!</definedName>
    <definedName name="IQRHistoricMultiplesCA9" localSheetId="50" hidden="1">#REF!</definedName>
    <definedName name="IQRHistoricMultiplesCA9" localSheetId="41" hidden="1">#REF!</definedName>
    <definedName name="IQRHistoricMultiplesCA9" localSheetId="15" hidden="1">#REF!</definedName>
    <definedName name="IQRHistoricMultiplesCA9" localSheetId="17" hidden="1">#REF!</definedName>
    <definedName name="IQRHistoricMultiplesCA9" localSheetId="30" hidden="1">#REF!</definedName>
    <definedName name="IQRHistoricMultiplesCA9" localSheetId="42" hidden="1">#REF!</definedName>
    <definedName name="IQRHistoricMultiplesCA9" hidden="1">#REF!</definedName>
    <definedName name="IQRHistoricMultiplesCF9" localSheetId="37" hidden="1">#REF!</definedName>
    <definedName name="IQRHistoricMultiplesCF9" localSheetId="38" hidden="1">#REF!</definedName>
    <definedName name="IQRHistoricMultiplesCF9" localSheetId="4" hidden="1">#REF!</definedName>
    <definedName name="IQRHistoricMultiplesCF9" localSheetId="46" hidden="1">#REF!</definedName>
    <definedName name="IQRHistoricMultiplesCF9" localSheetId="47" hidden="1">#REF!</definedName>
    <definedName name="IQRHistoricMultiplesCF9" localSheetId="50" hidden="1">#REF!</definedName>
    <definedName name="IQRHistoricMultiplesCF9" localSheetId="41" hidden="1">#REF!</definedName>
    <definedName name="IQRHistoricMultiplesCF9" localSheetId="15" hidden="1">#REF!</definedName>
    <definedName name="IQRHistoricMultiplesCF9" localSheetId="17" hidden="1">#REF!</definedName>
    <definedName name="IQRHistoricMultiplesCF9" localSheetId="30" hidden="1">#REF!</definedName>
    <definedName name="IQRHistoricMultiplesCF9" localSheetId="42" hidden="1">#REF!</definedName>
    <definedName name="IQRHistoricMultiplesCF9" hidden="1">#REF!</definedName>
    <definedName name="IQRHistoricMultiplesCK9" localSheetId="37" hidden="1">#REF!</definedName>
    <definedName name="IQRHistoricMultiplesCK9" localSheetId="38" hidden="1">#REF!</definedName>
    <definedName name="IQRHistoricMultiplesCK9" localSheetId="4" hidden="1">#REF!</definedName>
    <definedName name="IQRHistoricMultiplesCK9" localSheetId="46" hidden="1">#REF!</definedName>
    <definedName name="IQRHistoricMultiplesCK9" localSheetId="47" hidden="1">#REF!</definedName>
    <definedName name="IQRHistoricMultiplesCK9" localSheetId="50" hidden="1">#REF!</definedName>
    <definedName name="IQRHistoricMultiplesCK9" localSheetId="41" hidden="1">#REF!</definedName>
    <definedName name="IQRHistoricMultiplesCK9" localSheetId="15" hidden="1">#REF!</definedName>
    <definedName name="IQRHistoricMultiplesCK9" localSheetId="17" hidden="1">#REF!</definedName>
    <definedName name="IQRHistoricMultiplesCK9" localSheetId="30" hidden="1">#REF!</definedName>
    <definedName name="IQRHistoricMultiplesCK9" localSheetId="42" hidden="1">#REF!</definedName>
    <definedName name="IQRHistoricMultiplesCK9" hidden="1">#REF!</definedName>
    <definedName name="IQRIPOAF12" localSheetId="37" hidden="1">#REF!</definedName>
    <definedName name="IQRIPOAF12" localSheetId="38" hidden="1">#REF!</definedName>
    <definedName name="IQRIPOAF12" localSheetId="4" hidden="1">#REF!</definedName>
    <definedName name="IQRIPOAF12" localSheetId="46" hidden="1">#REF!</definedName>
    <definedName name="IQRIPOAF12" localSheetId="47" hidden="1">#REF!</definedName>
    <definedName name="IQRIPOAF12" localSheetId="50" hidden="1">#REF!</definedName>
    <definedName name="IQRIPOAF12" localSheetId="41" hidden="1">#REF!</definedName>
    <definedName name="IQRIPOAF12" localSheetId="15" hidden="1">#REF!</definedName>
    <definedName name="IQRIPOAF12" localSheetId="17" hidden="1">#REF!</definedName>
    <definedName name="IQRIPOAF12" localSheetId="30" hidden="1">#REF!</definedName>
    <definedName name="IQRIPOAF12" localSheetId="42" hidden="1">#REF!</definedName>
    <definedName name="IQRIPOAF12" hidden="1">#REF!</definedName>
    <definedName name="IQRIPOAF13" localSheetId="37" hidden="1">#REF!</definedName>
    <definedName name="IQRIPOAF13" localSheetId="38" hidden="1">#REF!</definedName>
    <definedName name="IQRIPOAF13" localSheetId="4" hidden="1">#REF!</definedName>
    <definedName name="IQRIPOAF13" localSheetId="46" hidden="1">#REF!</definedName>
    <definedName name="IQRIPOAF13" localSheetId="47" hidden="1">#REF!</definedName>
    <definedName name="IQRIPOAF13" localSheetId="50" hidden="1">#REF!</definedName>
    <definedName name="IQRIPOAF13" localSheetId="41" hidden="1">#REF!</definedName>
    <definedName name="IQRIPOAF13" localSheetId="15" hidden="1">#REF!</definedName>
    <definedName name="IQRIPOAF13" localSheetId="17" hidden="1">#REF!</definedName>
    <definedName name="IQRIPOAF13" localSheetId="30" hidden="1">#REF!</definedName>
    <definedName name="IQRIPOAF13" localSheetId="42" hidden="1">#REF!</definedName>
    <definedName name="IQRIPOAF13" hidden="1">#REF!</definedName>
    <definedName name="IQRIPOAF14" localSheetId="37" hidden="1">[14]IPO!#REF!</definedName>
    <definedName name="IQRIPOAF14" localSheetId="38" hidden="1">[14]IPO!#REF!</definedName>
    <definedName name="IQRIPOAF14" localSheetId="4" hidden="1">[14]IPO!#REF!</definedName>
    <definedName name="IQRIPOAF14" localSheetId="46" hidden="1">[15]IPO!#REF!</definedName>
    <definedName name="IQRIPOAF14" localSheetId="51" hidden="1">[15]IPO!#REF!</definedName>
    <definedName name="IQRIPOAF14" localSheetId="50" hidden="1">[15]IPO!#REF!</definedName>
    <definedName name="IQRIPOAF14" localSheetId="12" hidden="1">[14]IPO!#REF!</definedName>
    <definedName name="IQRIPOAF14" localSheetId="41" hidden="1">[14]IPO!#REF!</definedName>
    <definedName name="IQRIPOAF14" localSheetId="25" hidden="1">[15]IPO!#REF!</definedName>
    <definedName name="IQRIPOAF14" localSheetId="15" hidden="1">[14]IPO!#REF!</definedName>
    <definedName name="IQRIPOAF14" localSheetId="17" hidden="1">[14]IPO!#REF!</definedName>
    <definedName name="IQRIPOAF14" localSheetId="30" hidden="1">[14]IPO!#REF!</definedName>
    <definedName name="IQRIPOAF14" localSheetId="42" hidden="1">[14]IPO!#REF!</definedName>
    <definedName name="IQRIPOAF14" hidden="1">[14]IPO!#REF!</definedName>
    <definedName name="IQRIPOAF15" localSheetId="37" hidden="1">#REF!</definedName>
    <definedName name="IQRIPOAF15" localSheetId="38" hidden="1">#REF!</definedName>
    <definedName name="IQRIPOAF15" localSheetId="4" hidden="1">#REF!</definedName>
    <definedName name="IQRIPOAF15" localSheetId="46" hidden="1">#REF!</definedName>
    <definedName name="IQRIPOAF15" localSheetId="47" hidden="1">#REF!</definedName>
    <definedName name="IQRIPOAF15" localSheetId="50" hidden="1">#REF!</definedName>
    <definedName name="IQRIPOAF15" localSheetId="41" hidden="1">#REF!</definedName>
    <definedName name="IQRIPOAF15" localSheetId="15" hidden="1">#REF!</definedName>
    <definedName name="IQRIPOAF15" localSheetId="17" hidden="1">#REF!</definedName>
    <definedName name="IQRIPOAF15" localSheetId="30" hidden="1">#REF!</definedName>
    <definedName name="IQRIPOAF15" localSheetId="42" hidden="1">#REF!</definedName>
    <definedName name="IQRIPOAF15" hidden="1">#REF!</definedName>
    <definedName name="IQRIPOAF16" localSheetId="37" hidden="1">#REF!</definedName>
    <definedName name="IQRIPOAF16" localSheetId="38" hidden="1">#REF!</definedName>
    <definedName name="IQRIPOAF16" localSheetId="4" hidden="1">#REF!</definedName>
    <definedName name="IQRIPOAF16" localSheetId="46" hidden="1">#REF!</definedName>
    <definedName name="IQRIPOAF16" localSheetId="47" hidden="1">#REF!</definedName>
    <definedName name="IQRIPOAF16" localSheetId="50" hidden="1">#REF!</definedName>
    <definedName name="IQRIPOAF16" localSheetId="41" hidden="1">#REF!</definedName>
    <definedName name="IQRIPOAF16" localSheetId="15" hidden="1">#REF!</definedName>
    <definedName name="IQRIPOAF16" localSheetId="17" hidden="1">#REF!</definedName>
    <definedName name="IQRIPOAF16" localSheetId="30" hidden="1">#REF!</definedName>
    <definedName name="IQRIPOAF16" localSheetId="42" hidden="1">#REF!</definedName>
    <definedName name="IQRIPOAF16" hidden="1">#REF!</definedName>
    <definedName name="IQRIPOAF17" localSheetId="37" hidden="1">#REF!</definedName>
    <definedName name="IQRIPOAF17" localSheetId="38" hidden="1">#REF!</definedName>
    <definedName name="IQRIPOAF17" localSheetId="4" hidden="1">#REF!</definedName>
    <definedName name="IQRIPOAF17" localSheetId="46" hidden="1">#REF!</definedName>
    <definedName name="IQRIPOAF17" localSheetId="47" hidden="1">#REF!</definedName>
    <definedName name="IQRIPOAF17" localSheetId="50" hidden="1">#REF!</definedName>
    <definedName name="IQRIPOAF17" localSheetId="41" hidden="1">#REF!</definedName>
    <definedName name="IQRIPOAF17" localSheetId="15" hidden="1">#REF!</definedName>
    <definedName name="IQRIPOAF17" localSheetId="17" hidden="1">#REF!</definedName>
    <definedName name="IQRIPOAF17" localSheetId="30" hidden="1">#REF!</definedName>
    <definedName name="IQRIPOAF17" localSheetId="42" hidden="1">#REF!</definedName>
    <definedName name="IQRIPOAF17" hidden="1">#REF!</definedName>
    <definedName name="IQRIPOAF18" localSheetId="37" hidden="1">#REF!</definedName>
    <definedName name="IQRIPOAF18" localSheetId="38" hidden="1">#REF!</definedName>
    <definedName name="IQRIPOAF18" localSheetId="4" hidden="1">#REF!</definedName>
    <definedName name="IQRIPOAF18" localSheetId="46" hidden="1">#REF!</definedName>
    <definedName name="IQRIPOAF18" localSheetId="47" hidden="1">#REF!</definedName>
    <definedName name="IQRIPOAF18" localSheetId="50" hidden="1">#REF!</definedName>
    <definedName name="IQRIPOAF18" localSheetId="41" hidden="1">#REF!</definedName>
    <definedName name="IQRIPOAF18" localSheetId="15" hidden="1">#REF!</definedName>
    <definedName name="IQRIPOAF18" localSheetId="17" hidden="1">#REF!</definedName>
    <definedName name="IQRIPOAF18" localSheetId="30" hidden="1">#REF!</definedName>
    <definedName name="IQRIPOAF18" localSheetId="42" hidden="1">#REF!</definedName>
    <definedName name="IQRIPOAF18" hidden="1">#REF!</definedName>
    <definedName name="IQRIPOAF19" localSheetId="37" hidden="1">#REF!</definedName>
    <definedName name="IQRIPOAF19" localSheetId="38" hidden="1">#REF!</definedName>
    <definedName name="IQRIPOAF19" localSheetId="4" hidden="1">#REF!</definedName>
    <definedName name="IQRIPOAF19" localSheetId="46" hidden="1">#REF!</definedName>
    <definedName name="IQRIPOAF19" localSheetId="47" hidden="1">#REF!</definedName>
    <definedName name="IQRIPOAF19" localSheetId="50" hidden="1">#REF!</definedName>
    <definedName name="IQRIPOAF19" localSheetId="41" hidden="1">#REF!</definedName>
    <definedName name="IQRIPOAF19" localSheetId="15" hidden="1">#REF!</definedName>
    <definedName name="IQRIPOAF19" localSheetId="17" hidden="1">#REF!</definedName>
    <definedName name="IQRIPOAF19" localSheetId="30" hidden="1">#REF!</definedName>
    <definedName name="IQRIPOAF19" localSheetId="42" hidden="1">#REF!</definedName>
    <definedName name="IQRIPOAF19" hidden="1">#REF!</definedName>
    <definedName name="IQRIPOAF20" localSheetId="37" hidden="1">#REF!</definedName>
    <definedName name="IQRIPOAF20" localSheetId="38" hidden="1">#REF!</definedName>
    <definedName name="IQRIPOAF20" localSheetId="4" hidden="1">#REF!</definedName>
    <definedName name="IQRIPOAF20" localSheetId="46" hidden="1">#REF!</definedName>
    <definedName name="IQRIPOAF20" localSheetId="47" hidden="1">#REF!</definedName>
    <definedName name="IQRIPOAF20" localSheetId="50" hidden="1">#REF!</definedName>
    <definedName name="IQRIPOAF20" localSheetId="41" hidden="1">#REF!</definedName>
    <definedName name="IQRIPOAF20" localSheetId="15" hidden="1">#REF!</definedName>
    <definedName name="IQRIPOAF20" localSheetId="17" hidden="1">#REF!</definedName>
    <definedName name="IQRIPOAF20" localSheetId="30" hidden="1">#REF!</definedName>
    <definedName name="IQRIPOAF20" localSheetId="42" hidden="1">#REF!</definedName>
    <definedName name="IQRIPOAF20" hidden="1">#REF!</definedName>
    <definedName name="IQRIPOAF21" localSheetId="37" hidden="1">#REF!</definedName>
    <definedName name="IQRIPOAF21" localSheetId="38" hidden="1">#REF!</definedName>
    <definedName name="IQRIPOAF21" localSheetId="4" hidden="1">#REF!</definedName>
    <definedName name="IQRIPOAF21" localSheetId="46" hidden="1">#REF!</definedName>
    <definedName name="IQRIPOAF21" localSheetId="47" hidden="1">#REF!</definedName>
    <definedName name="IQRIPOAF21" localSheetId="50" hidden="1">#REF!</definedName>
    <definedName name="IQRIPOAF21" localSheetId="41" hidden="1">#REF!</definedName>
    <definedName name="IQRIPOAF21" localSheetId="15" hidden="1">#REF!</definedName>
    <definedName name="IQRIPOAF21" localSheetId="17" hidden="1">#REF!</definedName>
    <definedName name="IQRIPOAF21" localSheetId="30" hidden="1">#REF!</definedName>
    <definedName name="IQRIPOAF21" localSheetId="42" hidden="1">#REF!</definedName>
    <definedName name="IQRIPOAF21" hidden="1">#REF!</definedName>
    <definedName name="IQRIPOAF22" localSheetId="37" hidden="1">#REF!</definedName>
    <definedName name="IQRIPOAF22" localSheetId="38" hidden="1">#REF!</definedName>
    <definedName name="IQRIPOAF22" localSheetId="4" hidden="1">#REF!</definedName>
    <definedName name="IQRIPOAF22" localSheetId="46" hidden="1">#REF!</definedName>
    <definedName name="IQRIPOAF22" localSheetId="47" hidden="1">#REF!</definedName>
    <definedName name="IQRIPOAF22" localSheetId="50" hidden="1">#REF!</definedName>
    <definedName name="IQRIPOAF22" localSheetId="41" hidden="1">#REF!</definedName>
    <definedName name="IQRIPOAF22" localSheetId="15" hidden="1">#REF!</definedName>
    <definedName name="IQRIPOAF22" localSheetId="17" hidden="1">#REF!</definedName>
    <definedName name="IQRIPOAF22" localSheetId="30" hidden="1">#REF!</definedName>
    <definedName name="IQRIPOAF22" localSheetId="42" hidden="1">#REF!</definedName>
    <definedName name="IQRIPOAF22" hidden="1">#REF!</definedName>
    <definedName name="IQRIPOAF23" localSheetId="37" hidden="1">#REF!</definedName>
    <definedName name="IQRIPOAF23" localSheetId="38" hidden="1">#REF!</definedName>
    <definedName name="IQRIPOAF23" localSheetId="4" hidden="1">#REF!</definedName>
    <definedName name="IQRIPOAF23" localSheetId="46" hidden="1">#REF!</definedName>
    <definedName name="IQRIPOAF23" localSheetId="47" hidden="1">#REF!</definedName>
    <definedName name="IQRIPOAF23" localSheetId="50" hidden="1">#REF!</definedName>
    <definedName name="IQRIPOAF23" localSheetId="41" hidden="1">#REF!</definedName>
    <definedName name="IQRIPOAF23" localSheetId="15" hidden="1">#REF!</definedName>
    <definedName name="IQRIPOAF23" localSheetId="17" hidden="1">#REF!</definedName>
    <definedName name="IQRIPOAF23" localSheetId="30" hidden="1">#REF!</definedName>
    <definedName name="IQRIPOAF23" localSheetId="42" hidden="1">#REF!</definedName>
    <definedName name="IQRIPOAF23" hidden="1">#REF!</definedName>
    <definedName name="IQRIPOAF24" localSheetId="37" hidden="1">#REF!</definedName>
    <definedName name="IQRIPOAF24" localSheetId="38" hidden="1">#REF!</definedName>
    <definedName name="IQRIPOAF24" localSheetId="4" hidden="1">#REF!</definedName>
    <definedName name="IQRIPOAF24" localSheetId="46" hidden="1">#REF!</definedName>
    <definedName name="IQRIPOAF24" localSheetId="47" hidden="1">#REF!</definedName>
    <definedName name="IQRIPOAF24" localSheetId="50" hidden="1">#REF!</definedName>
    <definedName name="IQRIPOAF24" localSheetId="41" hidden="1">#REF!</definedName>
    <definedName name="IQRIPOAF24" localSheetId="15" hidden="1">#REF!</definedName>
    <definedName name="IQRIPOAF24" localSheetId="17" hidden="1">#REF!</definedName>
    <definedName name="IQRIPOAF24" localSheetId="30" hidden="1">#REF!</definedName>
    <definedName name="IQRIPOAF24" localSheetId="42" hidden="1">#REF!</definedName>
    <definedName name="IQRIPOAF24" hidden="1">#REF!</definedName>
    <definedName name="IQRIPOAF25" localSheetId="37" hidden="1">[14]IPO!#REF!</definedName>
    <definedName name="IQRIPOAF25" localSheetId="38" hidden="1">[14]IPO!#REF!</definedName>
    <definedName name="IQRIPOAF25" localSheetId="4" hidden="1">[14]IPO!#REF!</definedName>
    <definedName name="IQRIPOAF25" localSheetId="46" hidden="1">[15]IPO!#REF!</definedName>
    <definedName name="IQRIPOAF25" localSheetId="51" hidden="1">[15]IPO!#REF!</definedName>
    <definedName name="IQRIPOAF25" localSheetId="50" hidden="1">[15]IPO!#REF!</definedName>
    <definedName name="IQRIPOAF25" localSheetId="12" hidden="1">[14]IPO!#REF!</definedName>
    <definedName name="IQRIPOAF25" localSheetId="41" hidden="1">[14]IPO!#REF!</definedName>
    <definedName name="IQRIPOAF25" localSheetId="25" hidden="1">[15]IPO!#REF!</definedName>
    <definedName name="IQRIPOAF25" localSheetId="15" hidden="1">[14]IPO!#REF!</definedName>
    <definedName name="IQRIPOAF25" localSheetId="17" hidden="1">[14]IPO!#REF!</definedName>
    <definedName name="IQRIPOAF25" localSheetId="30" hidden="1">[14]IPO!#REF!</definedName>
    <definedName name="IQRIPOAF25" localSheetId="42" hidden="1">[14]IPO!#REF!</definedName>
    <definedName name="IQRIPOAF25" hidden="1">[14]IPO!#REF!</definedName>
    <definedName name="IQRIPOAF26" localSheetId="37" hidden="1">#REF!</definedName>
    <definedName name="IQRIPOAF26" localSheetId="38" hidden="1">#REF!</definedName>
    <definedName name="IQRIPOAF26" localSheetId="4" hidden="1">#REF!</definedName>
    <definedName name="IQRIPOAF26" localSheetId="46" hidden="1">#REF!</definedName>
    <definedName name="IQRIPOAF26" localSheetId="47" hidden="1">#REF!</definedName>
    <definedName name="IQRIPOAF26" localSheetId="50" hidden="1">#REF!</definedName>
    <definedName name="IQRIPOAF26" localSheetId="41" hidden="1">#REF!</definedName>
    <definedName name="IQRIPOAF26" localSheetId="15" hidden="1">#REF!</definedName>
    <definedName name="IQRIPOAF26" localSheetId="17" hidden="1">#REF!</definedName>
    <definedName name="IQRIPOAF26" localSheetId="30" hidden="1">#REF!</definedName>
    <definedName name="IQRIPOAF26" localSheetId="42" hidden="1">#REF!</definedName>
    <definedName name="IQRIPOAF26" hidden="1">#REF!</definedName>
    <definedName name="IQRIPOAF27" localSheetId="37" hidden="1">#REF!</definedName>
    <definedName name="IQRIPOAF27" localSheetId="38" hidden="1">#REF!</definedName>
    <definedName name="IQRIPOAF27" localSheetId="4" hidden="1">#REF!</definedName>
    <definedName name="IQRIPOAF27" localSheetId="46" hidden="1">#REF!</definedName>
    <definedName name="IQRIPOAF27" localSheetId="47" hidden="1">#REF!</definedName>
    <definedName name="IQRIPOAF27" localSheetId="50" hidden="1">#REF!</definedName>
    <definedName name="IQRIPOAF27" localSheetId="41" hidden="1">#REF!</definedName>
    <definedName name="IQRIPOAF27" localSheetId="15" hidden="1">#REF!</definedName>
    <definedName name="IQRIPOAF27" localSheetId="17" hidden="1">#REF!</definedName>
    <definedName name="IQRIPOAF27" localSheetId="30" hidden="1">#REF!</definedName>
    <definedName name="IQRIPOAF27" localSheetId="42" hidden="1">#REF!</definedName>
    <definedName name="IQRIPOAF27" hidden="1">#REF!</definedName>
    <definedName name="IQRIPOAF28" localSheetId="37" hidden="1">#REF!</definedName>
    <definedName name="IQRIPOAF28" localSheetId="38" hidden="1">#REF!</definedName>
    <definedName name="IQRIPOAF28" localSheetId="4" hidden="1">#REF!</definedName>
    <definedName name="IQRIPOAF28" localSheetId="46" hidden="1">#REF!</definedName>
    <definedName name="IQRIPOAF28" localSheetId="47" hidden="1">#REF!</definedName>
    <definedName name="IQRIPOAF28" localSheetId="50" hidden="1">#REF!</definedName>
    <definedName name="IQRIPOAF28" localSheetId="41" hidden="1">#REF!</definedName>
    <definedName name="IQRIPOAF28" localSheetId="15" hidden="1">#REF!</definedName>
    <definedName name="IQRIPOAF28" localSheetId="17" hidden="1">#REF!</definedName>
    <definedName name="IQRIPOAF28" localSheetId="30" hidden="1">#REF!</definedName>
    <definedName name="IQRIPOAF28" localSheetId="42" hidden="1">#REF!</definedName>
    <definedName name="IQRIPOAF28" hidden="1">#REF!</definedName>
    <definedName name="IQRIPOAF29" localSheetId="37" hidden="1">[14]IPO!#REF!</definedName>
    <definedName name="IQRIPOAF29" localSheetId="38" hidden="1">[14]IPO!#REF!</definedName>
    <definedName name="IQRIPOAF29" localSheetId="4" hidden="1">[14]IPO!#REF!</definedName>
    <definedName name="IQRIPOAF29" localSheetId="46" hidden="1">[15]IPO!#REF!</definedName>
    <definedName name="IQRIPOAF29" localSheetId="51" hidden="1">[15]IPO!#REF!</definedName>
    <definedName name="IQRIPOAF29" localSheetId="50" hidden="1">[15]IPO!#REF!</definedName>
    <definedName name="IQRIPOAF29" localSheetId="12" hidden="1">[14]IPO!#REF!</definedName>
    <definedName name="IQRIPOAF29" localSheetId="41" hidden="1">[14]IPO!#REF!</definedName>
    <definedName name="IQRIPOAF29" localSheetId="25" hidden="1">[15]IPO!#REF!</definedName>
    <definedName name="IQRIPOAF29" localSheetId="15" hidden="1">[14]IPO!#REF!</definedName>
    <definedName name="IQRIPOAF29" localSheetId="17" hidden="1">[14]IPO!#REF!</definedName>
    <definedName name="IQRIPOAF29" localSheetId="30" hidden="1">[14]IPO!#REF!</definedName>
    <definedName name="IQRIPOAF29" localSheetId="42" hidden="1">[14]IPO!#REF!</definedName>
    <definedName name="IQRIPOAF29" hidden="1">[14]IPO!#REF!</definedName>
    <definedName name="IQRJ22" hidden="1">"$J$23:$J$42"</definedName>
    <definedName name="IQRK7" hidden="1">"$K$8:$K$1832"</definedName>
    <definedName name="IQRK9" hidden="1">"$K$10:$K$1268"</definedName>
    <definedName name="IQRL3" hidden="1">"$L$4:$L$55"</definedName>
    <definedName name="IQRM22" hidden="1">"$M$23:$M$42"</definedName>
    <definedName name="IQRM3" hidden="1">"$M$4:$M$55"</definedName>
    <definedName name="IQRN3" hidden="1">"$N$4:$N$67"</definedName>
    <definedName name="IQROptionValI16" localSheetId="37" hidden="1">'[16]Option Val.'!#REF!</definedName>
    <definedName name="IQROptionValI16" localSheetId="38" hidden="1">'[16]Option Val.'!#REF!</definedName>
    <definedName name="IQROptionValI16" localSheetId="4" hidden="1">'[16]Option Val.'!#REF!</definedName>
    <definedName name="IQROptionValI16" localSheetId="46" hidden="1">'[16]Option Val.'!#REF!</definedName>
    <definedName name="IQROptionValI16" localSheetId="12" hidden="1">'[16]Option Val.'!#REF!</definedName>
    <definedName name="IQROptionValI16" localSheetId="25" hidden="1">'[17]Option Val.'!#REF!</definedName>
    <definedName name="IQROptionValI16" localSheetId="15" hidden="1">'[16]Option Val.'!#REF!</definedName>
    <definedName name="IQROptionValI16" localSheetId="17" hidden="1">'[16]Option Val.'!#REF!</definedName>
    <definedName name="IQROptionValI16" localSheetId="30" hidden="1">'[17]Option Val.'!#REF!</definedName>
    <definedName name="IQROptionValI16" localSheetId="42" hidden="1">'[16]Option Val.'!#REF!</definedName>
    <definedName name="IQROptionValI16" hidden="1">'[16]Option Val.'!#REF!</definedName>
    <definedName name="IQRP22" hidden="1">"$P$23:$P$42"</definedName>
    <definedName name="IQRQ27" hidden="1">"$Q$28"</definedName>
    <definedName name="IQRS115" hidden="1">"$S$116:$S$119"</definedName>
    <definedName name="IQRS22" hidden="1">"$S$23:$S$42"</definedName>
    <definedName name="IQRT115" hidden="1">"$T$116"</definedName>
    <definedName name="IQRT117" hidden="1">"$T$118:$T$121"</definedName>
    <definedName name="IQRT120" hidden="1">"$T$121:$T$124"</definedName>
    <definedName name="IQRT124" hidden="1">"$T$125:$T$128"</definedName>
    <definedName name="IQRT125" hidden="1">"$T$126:$T$129"</definedName>
    <definedName name="IQRT128" hidden="1">"$T$129:$T$132"</definedName>
    <definedName name="IQRT130" hidden="1">"$T$131:$T$132"</definedName>
    <definedName name="IQRT131" hidden="1">"$T$132:$T$135"</definedName>
    <definedName name="IQRT132" hidden="1">"$T$133:$T$134"</definedName>
    <definedName name="IQRT133" hidden="1">"$T$134:$T$137"</definedName>
    <definedName name="IQRT135" hidden="1">"$T$136:$T$137"</definedName>
    <definedName name="IQRT139" hidden="1">"$T$140:$T$141"</definedName>
    <definedName name="IQRT140" hidden="1">"$T$141:$T$142"</definedName>
    <definedName name="IQRT142" hidden="1">"$T$143:$T$146"</definedName>
    <definedName name="IQRT143" hidden="1">"$T$144:$T$145"</definedName>
    <definedName name="IQRT144" hidden="1">"$T$145:$T$148"</definedName>
    <definedName name="IQRT146" hidden="1">"$T$147:$T$148"</definedName>
    <definedName name="IQRT147" hidden="1">"$T$148:$T$151"</definedName>
    <definedName name="IQRT148" hidden="1">"$T$149:$T$150"</definedName>
    <definedName name="IQRT157" hidden="1">"$T$158:$T$159"</definedName>
    <definedName name="IQRT159" hidden="1">"$T$160:$T$161"</definedName>
    <definedName name="IQRT161" hidden="1">"$T$162:$T$165"</definedName>
    <definedName name="IQRT162" hidden="1">"$T$163:$T$164"</definedName>
    <definedName name="IQRT163" hidden="1">"$T$164:$T$167"</definedName>
    <definedName name="IQRT166" hidden="1">"$T$167:$T$170"</definedName>
    <definedName name="IQRT168" hidden="1">"$T$169:$T$172"</definedName>
    <definedName name="IQRT170" hidden="1">"$T$171:$T$172"</definedName>
    <definedName name="IQRT172" hidden="1">"$T$173:$T$174"</definedName>
    <definedName name="IQRT175" hidden="1">"$T$176:$T$177"</definedName>
    <definedName name="IQRT176" hidden="1">"$T$177:$T$178"</definedName>
    <definedName name="IQRT181" hidden="1">"$T$182:$T$183"</definedName>
    <definedName name="IQRT187" hidden="1">"$T$188:$T$189"</definedName>
    <definedName name="IQRT22" hidden="1">"$T$23:$T$32"</definedName>
    <definedName name="IQRU105" hidden="1">"$U$106:$U$109"</definedName>
    <definedName name="IQRU112" hidden="1">"$U$113:$U$114"</definedName>
    <definedName name="IQRU14" hidden="1">"$U$15:$U$266"</definedName>
    <definedName name="IQRU27" hidden="1">"$U$28:$U$31"</definedName>
    <definedName name="IQRU34" hidden="1">"$U$35:$U$36"</definedName>
    <definedName name="IQRU39" hidden="1">"$U$40:$U$44"</definedName>
    <definedName name="IQRU52" hidden="1">"$U$53:$U$56"</definedName>
    <definedName name="IQRU53" hidden="1">"$U$54:$U$58"</definedName>
    <definedName name="IQRU59" hidden="1">"$U$60:$U$61"</definedName>
    <definedName name="IQRU75" hidden="1">"$U$76:$U$79"</definedName>
    <definedName name="IQRU82" hidden="1">"$U$83:$U$84"</definedName>
    <definedName name="IQRV22" hidden="1">"$V$23:$V$42"</definedName>
    <definedName name="IQRV41" hidden="1">"$V$42:$V$45"</definedName>
    <definedName name="IQRV48" hidden="1">"$V$49:$V$50"</definedName>
    <definedName name="IQRWACCCapIQBV10" localSheetId="37" hidden="1">#REF!</definedName>
    <definedName name="IQRWACCCapIQBV10" localSheetId="38" hidden="1">#REF!</definedName>
    <definedName name="IQRWACCCapIQBV10" localSheetId="4" hidden="1">#REF!</definedName>
    <definedName name="IQRWACCCapIQBV10" localSheetId="46" hidden="1">#REF!</definedName>
    <definedName name="IQRWACCCapIQBV10" localSheetId="15" hidden="1">#REF!</definedName>
    <definedName name="IQRWACCCapIQBV10" localSheetId="17" hidden="1">#REF!</definedName>
    <definedName name="IQRWACCCapIQBV10" localSheetId="42" hidden="1">#REF!</definedName>
    <definedName name="IQRWACCCapIQBV10" hidden="1">#REF!</definedName>
    <definedName name="IQRWACCCapIQCD10" localSheetId="37" hidden="1">#REF!</definedName>
    <definedName name="IQRWACCCapIQCD10" localSheetId="38" hidden="1">#REF!</definedName>
    <definedName name="IQRWACCCapIQCD10" localSheetId="4" hidden="1">#REF!</definedName>
    <definedName name="IQRWACCCapIQCD10" localSheetId="46" hidden="1">#REF!</definedName>
    <definedName name="IQRWACCCapIQCD10" localSheetId="15" hidden="1">#REF!</definedName>
    <definedName name="IQRWACCCapIQCD10" localSheetId="17" hidden="1">#REF!</definedName>
    <definedName name="IQRWACCCapIQCD10" localSheetId="42" hidden="1">#REF!</definedName>
    <definedName name="IQRWACCCapIQCD10" hidden="1">#REF!</definedName>
    <definedName name="IQRY22" hidden="1">"$Y$23:$Y$42"</definedName>
    <definedName name="IsColHidden" hidden="1">FALSE</definedName>
    <definedName name="IsLTMColHidden" hidden="1">FALSE</definedName>
    <definedName name="j" localSheetId="10" hidden="1">{#N/A,#N/A,FALSE,"Allocation"}</definedName>
    <definedName name="j" localSheetId="47" hidden="1">{#N/A,#N/A,FALSE,"Allocation"}</definedName>
    <definedName name="j" hidden="1">{#N/A,#N/A,FALSE,"Allocation"}</definedName>
    <definedName name="jbdf" localSheetId="10" hidden="1">{"page1",#N/A,FALSE,"Model";"page2",#N/A,FALSE,"Model";"page3",#N/A,FALSE,"Model";"page4",#N/A,FALSE,"Model";"page5",#N/A,FALSE,"Model";"page6",#N/A,FALSE,"Model";"page7",#N/A,FALSE,"Model";"page8",#N/A,FALSE,"Model";"page9",#N/A,FALSE,"Model";"page10",#N/A,FALSE,"Model";"page11",#N/A,FALSE,"Model";"page12",#N/A,FALSE,"Model";"page13",#N/A,FALSE,"Model"}</definedName>
    <definedName name="jbdf" hidden="1">{"page1",#N/A,FALSE,"Model";"page2",#N/A,FALSE,"Model";"page3",#N/A,FALSE,"Model";"page4",#N/A,FALSE,"Model";"page5",#N/A,FALSE,"Model";"page6",#N/A,FALSE,"Model";"page7",#N/A,FALSE,"Model";"page8",#N/A,FALSE,"Model";"page9",#N/A,FALSE,"Model";"page10",#N/A,FALSE,"Model";"page11",#N/A,FALSE,"Model";"page12",#N/A,FALSE,"Model";"page13",#N/A,FALSE,"Model"}</definedName>
    <definedName name="jdabn" localSheetId="10" hidden="1">{"page1",#N/A,FALSE,"Model";"page2",#N/A,FALSE,"Model";"page3",#N/A,FALSE,"Model";"page4",#N/A,FALSE,"Model";"page5",#N/A,FALSE,"Model";"page6",#N/A,FALSE,"Model";"page7",#N/A,FALSE,"Model";"page8",#N/A,FALSE,"Model";"page9",#N/A,FALSE,"Model";"page10",#N/A,FALSE,"Model";"page11",#N/A,FALSE,"Model";"page12",#N/A,FALSE,"Model";"page13",#N/A,FALSE,"Model"}</definedName>
    <definedName name="jdabn" hidden="1">{"page1",#N/A,FALSE,"Model";"page2",#N/A,FALSE,"Model";"page3",#N/A,FALSE,"Model";"page4",#N/A,FALSE,"Model";"page5",#N/A,FALSE,"Model";"page6",#N/A,FALSE,"Model";"page7",#N/A,FALSE,"Model";"page8",#N/A,FALSE,"Model";"page9",#N/A,FALSE,"Model";"page10",#N/A,FALSE,"Model";"page11",#N/A,FALSE,"Model";"page12",#N/A,FALSE,"Model";"page13",#N/A,FALSE,"Model"}</definedName>
    <definedName name="jdfnhb" localSheetId="10" hidden="1">{"page1",#N/A,FALSE,"Model";"page2",#N/A,FALSE,"Model";"page3",#N/A,FALSE,"Model";"page4",#N/A,FALSE,"Model";"page5",#N/A,FALSE,"Model";"page6",#N/A,FALSE,"Model";"page7",#N/A,FALSE,"Model";"page8",#N/A,FALSE,"Model";"page9",#N/A,FALSE,"Model";"page10",#N/A,FALSE,"Model";"page11",#N/A,FALSE,"Model";"page12",#N/A,FALSE,"Model";"page13",#N/A,FALSE,"Model"}</definedName>
    <definedName name="jdfnhb" hidden="1">{"page1",#N/A,FALSE,"Model";"page2",#N/A,FALSE,"Model";"page3",#N/A,FALSE,"Model";"page4",#N/A,FALSE,"Model";"page5",#N/A,FALSE,"Model";"page6",#N/A,FALSE,"Model";"page7",#N/A,FALSE,"Model";"page8",#N/A,FALSE,"Model";"page9",#N/A,FALSE,"Model";"page10",#N/A,FALSE,"Model";"page11",#N/A,FALSE,"Model";"page12",#N/A,FALSE,"Model";"page13",#N/A,FALSE,"Model"}</definedName>
    <definedName name="jdvb" localSheetId="10" hidden="1">{"page1",#N/A,FALSE,"Model";"page2",#N/A,FALSE,"Model";"page3",#N/A,FALSE,"Model";"page4",#N/A,FALSE,"Model";"page5",#N/A,FALSE,"Model";"page6",#N/A,FALSE,"Model";"page7",#N/A,FALSE,"Model";"page8",#N/A,FALSE,"Model";"page9",#N/A,FALSE,"Model";"page10",#N/A,FALSE,"Model";"page11",#N/A,FALSE,"Model";"page12",#N/A,FALSE,"Model";"page13",#N/A,FALSE,"Model"}</definedName>
    <definedName name="jdvb" hidden="1">{"page1",#N/A,FALSE,"Model";"page2",#N/A,FALSE,"Model";"page3",#N/A,FALSE,"Model";"page4",#N/A,FALSE,"Model";"page5",#N/A,FALSE,"Model";"page6",#N/A,FALSE,"Model";"page7",#N/A,FALSE,"Model";"page8",#N/A,FALSE,"Model";"page9",#N/A,FALSE,"Model";"page10",#N/A,FALSE,"Model";"page11",#N/A,FALSE,"Model";"page12",#N/A,FALSE,"Model";"page13",#N/A,FALSE,"Model"}</definedName>
    <definedName name="jfdnb" localSheetId="10" hidden="1">{"page1",#N/A,FALSE,"Model";"page2",#N/A,FALSE,"Model";"page3",#N/A,FALSE,"Model";"page4",#N/A,FALSE,"Model";"page5",#N/A,FALSE,"Model";"page6",#N/A,FALSE,"Model";"page7",#N/A,FALSE,"Model";"page8",#N/A,FALSE,"Model";"page9",#N/A,FALSE,"Model";"page10",#N/A,FALSE,"Model";"page11",#N/A,FALSE,"Model";"page12",#N/A,FALSE,"Model";"page13",#N/A,FALSE,"Model"}</definedName>
    <definedName name="jfdnb" hidden="1">{"page1",#N/A,FALSE,"Model";"page2",#N/A,FALSE,"Model";"page3",#N/A,FALSE,"Model";"page4",#N/A,FALSE,"Model";"page5",#N/A,FALSE,"Model";"page6",#N/A,FALSE,"Model";"page7",#N/A,FALSE,"Model";"page8",#N/A,FALSE,"Model";"page9",#N/A,FALSE,"Model";"page10",#N/A,FALSE,"Model";"page11",#N/A,FALSE,"Model";"page12",#N/A,FALSE,"Model";"page13",#N/A,FALSE,"Model"}</definedName>
    <definedName name="jfvb" localSheetId="10" hidden="1">{"page1",#N/A,FALSE,"Model";"page2",#N/A,FALSE,"Model";"page3",#N/A,FALSE,"Model";"page4",#N/A,FALSE,"Model";"page5",#N/A,FALSE,"Model";"page6",#N/A,FALSE,"Model";"page7",#N/A,FALSE,"Model";"page8",#N/A,FALSE,"Model";"page9",#N/A,FALSE,"Model";"page10",#N/A,FALSE,"Model";"page11",#N/A,FALSE,"Model";"page12",#N/A,FALSE,"Model";"page13",#N/A,FALSE,"Model"}</definedName>
    <definedName name="jfvb" hidden="1">{"page1",#N/A,FALSE,"Model";"page2",#N/A,FALSE,"Model";"page3",#N/A,FALSE,"Model";"page4",#N/A,FALSE,"Model";"page5",#N/A,FALSE,"Model";"page6",#N/A,FALSE,"Model";"page7",#N/A,FALSE,"Model";"page8",#N/A,FALSE,"Model";"page9",#N/A,FALSE,"Model";"page10",#N/A,FALSE,"Model";"page11",#N/A,FALSE,"Model";"page12",#N/A,FALSE,"Model";"page13",#N/A,FALSE,"Model"}</definedName>
    <definedName name="jjj" localSheetId="10" hidden="1">{#N/A,#N/A,FALSE,"Bakersfield PCs";#N/A,#N/A,FALSE,"Bremer PCs";#N/A,#N/A,FALSE,"Bakersfield Notebooks"}</definedName>
    <definedName name="jjj" localSheetId="46" hidden="1">{#N/A,#N/A,FALSE,"Bakersfield PCs";#N/A,#N/A,FALSE,"Bremer PCs";#N/A,#N/A,FALSE,"Bakersfield Notebooks"}</definedName>
    <definedName name="jjj" localSheetId="51" hidden="1">{#N/A,#N/A,FALSE,"Bakersfield PCs";#N/A,#N/A,FALSE,"Bremer PCs";#N/A,#N/A,FALSE,"Bakersfield Notebooks"}</definedName>
    <definedName name="jjj" localSheetId="47" hidden="1">{#N/A,#N/A,FALSE,"Bakersfield PCs";#N/A,#N/A,FALSE,"Bremer PCs";#N/A,#N/A,FALSE,"Bakersfield Notebooks"}</definedName>
    <definedName name="jjj" localSheetId="12" hidden="1">{#N/A,#N/A,FALSE,"Bakersfield PCs";#N/A,#N/A,FALSE,"Bremer PCs";#N/A,#N/A,FALSE,"Bakersfield Notebooks"}</definedName>
    <definedName name="jjj" localSheetId="25" hidden="1">{#N/A,#N/A,FALSE,"Bakersfield PCs";#N/A,#N/A,FALSE,"Bremer PCs";#N/A,#N/A,FALSE,"Bakersfield Notebooks"}</definedName>
    <definedName name="jjj" localSheetId="30" hidden="1">{#N/A,#N/A,FALSE,"Bakersfield PCs";#N/A,#N/A,FALSE,"Bremer PCs";#N/A,#N/A,FALSE,"Bakersfield Notebooks"}</definedName>
    <definedName name="jjj" hidden="1">{#N/A,#N/A,FALSE,"Bakersfield PCs";#N/A,#N/A,FALSE,"Bremer PCs";#N/A,#N/A,FALSE,"Bakersfield Notebooks"}</definedName>
    <definedName name="jlklkjlk" localSheetId="10" hidden="1">{#N/A,#N/A,FALSE,"Bakersfield PCs";#N/A,#N/A,FALSE,"Bremer PCs";#N/A,#N/A,FALSE,"Bakersfield Notebooks"}</definedName>
    <definedName name="jlklkjlk" localSheetId="46" hidden="1">{#N/A,#N/A,FALSE,"Bakersfield PCs";#N/A,#N/A,FALSE,"Bremer PCs";#N/A,#N/A,FALSE,"Bakersfield Notebooks"}</definedName>
    <definedName name="jlklkjlk" localSheetId="51" hidden="1">{#N/A,#N/A,FALSE,"Bakersfield PCs";#N/A,#N/A,FALSE,"Bremer PCs";#N/A,#N/A,FALSE,"Bakersfield Notebooks"}</definedName>
    <definedName name="jlklkjlk" localSheetId="47" hidden="1">{#N/A,#N/A,FALSE,"Bakersfield PCs";#N/A,#N/A,FALSE,"Bremer PCs";#N/A,#N/A,FALSE,"Bakersfield Notebooks"}</definedName>
    <definedName name="jlklkjlk" localSheetId="12" hidden="1">{#N/A,#N/A,FALSE,"Bakersfield PCs";#N/A,#N/A,FALSE,"Bremer PCs";#N/A,#N/A,FALSE,"Bakersfield Notebooks"}</definedName>
    <definedName name="jlklkjlk" localSheetId="25" hidden="1">{#N/A,#N/A,FALSE,"Bakersfield PCs";#N/A,#N/A,FALSE,"Bremer PCs";#N/A,#N/A,FALSE,"Bakersfield Notebooks"}</definedName>
    <definedName name="jlklkjlk" localSheetId="30" hidden="1">{#N/A,#N/A,FALSE,"Bakersfield PCs";#N/A,#N/A,FALSE,"Bremer PCs";#N/A,#N/A,FALSE,"Bakersfield Notebooks"}</definedName>
    <definedName name="jlklkjlk" hidden="1">{#N/A,#N/A,FALSE,"Bakersfield PCs";#N/A,#N/A,FALSE,"Bremer PCs";#N/A,#N/A,FALSE,"Bakersfield Notebooks"}</definedName>
    <definedName name="jsnb" localSheetId="10" hidden="1">{"page1",#N/A,FALSE,"Model";"page2",#N/A,FALSE,"Model";"page3",#N/A,FALSE,"Model";"page4",#N/A,FALSE,"Model";"page5",#N/A,FALSE,"Model";"page6",#N/A,FALSE,"Model";"page7",#N/A,FALSE,"Model";"page8",#N/A,FALSE,"Model";"page9",#N/A,FALSE,"Model";"page10",#N/A,FALSE,"Model";"page11",#N/A,FALSE,"Model";"page12",#N/A,FALSE,"Model";"page13",#N/A,FALSE,"Model"}</definedName>
    <definedName name="jsnb" hidden="1">{"page1",#N/A,FALSE,"Model";"page2",#N/A,FALSE,"Model";"page3",#N/A,FALSE,"Model";"page4",#N/A,FALSE,"Model";"page5",#N/A,FALSE,"Model";"page6",#N/A,FALSE,"Model";"page7",#N/A,FALSE,"Model";"page8",#N/A,FALSE,"Model";"page9",#N/A,FALSE,"Model";"page10",#N/A,FALSE,"Model";"page11",#N/A,FALSE,"Model";"page12",#N/A,FALSE,"Model";"page13",#N/A,FALSE,"Model"}</definedName>
    <definedName name="k" localSheetId="10" hidden="1">#REF!</definedName>
    <definedName name="k" localSheetId="42" hidden="1">#REF!</definedName>
    <definedName name="k" hidden="1">#REF!</definedName>
    <definedName name="K2_WBEVMODE" hidden="1">-1</definedName>
    <definedName name="kajdbv" localSheetId="10" hidden="1">{"page1",#N/A,FALSE,"Model";"page2",#N/A,FALSE,"Model";"page3",#N/A,FALSE,"Model";"page4",#N/A,FALSE,"Model";"page5",#N/A,FALSE,"Model";"page6",#N/A,FALSE,"Model";"page7",#N/A,FALSE,"Model";"page8",#N/A,FALSE,"Model";"page9",#N/A,FALSE,"Model";"page10",#N/A,FALSE,"Model";"page11",#N/A,FALSE,"Model";"page12",#N/A,FALSE,"Model";"page13",#N/A,FALSE,"Model"}</definedName>
    <definedName name="kajdbv" hidden="1">{"page1",#N/A,FALSE,"Model";"page2",#N/A,FALSE,"Model";"page3",#N/A,FALSE,"Model";"page4",#N/A,FALSE,"Model";"page5",#N/A,FALSE,"Model";"page6",#N/A,FALSE,"Model";"page7",#N/A,FALSE,"Model";"page8",#N/A,FALSE,"Model";"page9",#N/A,FALSE,"Model";"page10",#N/A,FALSE,"Model";"page11",#N/A,FALSE,"Model";"page12",#N/A,FALSE,"Model";"page13",#N/A,FALSE,"Model"}</definedName>
    <definedName name="kdsjnb" localSheetId="10" hidden="1">{"page1",#N/A,FALSE,"Model";"page2",#N/A,FALSE,"Model";"page3",#N/A,FALSE,"Model";"page4",#N/A,FALSE,"Model";"page5",#N/A,FALSE,"Model";"page6",#N/A,FALSE,"Model";"page7",#N/A,FALSE,"Model";"page8",#N/A,FALSE,"Model";"page9",#N/A,FALSE,"Model";"page10",#N/A,FALSE,"Model";"page11",#N/A,FALSE,"Model";"page12",#N/A,FALSE,"Model";"page13",#N/A,FALSE,"Model"}</definedName>
    <definedName name="kdsjnb" hidden="1">{"page1",#N/A,FALSE,"Model";"page2",#N/A,FALSE,"Model";"page3",#N/A,FALSE,"Model";"page4",#N/A,FALSE,"Model";"page5",#N/A,FALSE,"Model";"page6",#N/A,FALSE,"Model";"page7",#N/A,FALSE,"Model";"page8",#N/A,FALSE,"Model";"page9",#N/A,FALSE,"Model";"page10",#N/A,FALSE,"Model";"page11",#N/A,FALSE,"Model";"page12",#N/A,FALSE,"Model";"page13",#N/A,FALSE,"Model"}</definedName>
    <definedName name="keajhvbr" localSheetId="10" hidden="1">{"page1",#N/A,FALSE,"Model";"page2",#N/A,FALSE,"Model";"page3",#N/A,FALSE,"Model";"page4",#N/A,FALSE,"Model";"page5",#N/A,FALSE,"Model";"page6",#N/A,FALSE,"Model";"page7",#N/A,FALSE,"Model";"page8",#N/A,FALSE,"Model";"page9",#N/A,FALSE,"Model";"page10",#N/A,FALSE,"Model";"page11",#N/A,FALSE,"Model";"page12",#N/A,FALSE,"Model";"page13",#N/A,FALSE,"Model"}</definedName>
    <definedName name="keajhvbr" hidden="1">{"page1",#N/A,FALSE,"Model";"page2",#N/A,FALSE,"Model";"page3",#N/A,FALSE,"Model";"page4",#N/A,FALSE,"Model";"page5",#N/A,FALSE,"Model";"page6",#N/A,FALSE,"Model";"page7",#N/A,FALSE,"Model";"page8",#N/A,FALSE,"Model";"page9",#N/A,FALSE,"Model";"page10",#N/A,FALSE,"Model";"page11",#N/A,FALSE,"Model";"page12",#N/A,FALSE,"Model";"page13",#N/A,FALSE,"Model"}</definedName>
    <definedName name="keyrbf" localSheetId="10" hidden="1">{"page1",#N/A,FALSE,"Model";"page2",#N/A,FALSE,"Model";"page3",#N/A,FALSE,"Model";"page4",#N/A,FALSE,"Model";"page5",#N/A,FALSE,"Model";"page6",#N/A,FALSE,"Model";"page7",#N/A,FALSE,"Model";"page8",#N/A,FALSE,"Model";"page9",#N/A,FALSE,"Model";"page10",#N/A,FALSE,"Model";"page11",#N/A,FALSE,"Model";"page12",#N/A,FALSE,"Model";"page13",#N/A,FALSE,"Model"}</definedName>
    <definedName name="keyrbf" hidden="1">{"page1",#N/A,FALSE,"Model";"page2",#N/A,FALSE,"Model";"page3",#N/A,FALSE,"Model";"page4",#N/A,FALSE,"Model";"page5",#N/A,FALSE,"Model";"page6",#N/A,FALSE,"Model";"page7",#N/A,FALSE,"Model";"page8",#N/A,FALSE,"Model";"page9",#N/A,FALSE,"Model";"page10",#N/A,FALSE,"Model";"page11",#N/A,FALSE,"Model";"page12",#N/A,FALSE,"Model";"page13",#N/A,FALSE,"Model"}</definedName>
    <definedName name="kin" localSheetId="37" hidden="1">#REF!</definedName>
    <definedName name="kin" localSheetId="38" hidden="1">#REF!</definedName>
    <definedName name="kin" localSheetId="4" hidden="1">#REF!</definedName>
    <definedName name="kin" localSheetId="46" hidden="1">#REF!</definedName>
    <definedName name="kin" localSheetId="47" hidden="1">#REF!</definedName>
    <definedName name="kin" localSheetId="50" hidden="1">#REF!</definedName>
    <definedName name="kin" localSheetId="41" hidden="1">#REF!</definedName>
    <definedName name="kin" localSheetId="15" hidden="1">#REF!</definedName>
    <definedName name="kin" localSheetId="17" hidden="1">#REF!</definedName>
    <definedName name="kin" localSheetId="30" hidden="1">#REF!</definedName>
    <definedName name="kin" localSheetId="42" hidden="1">#REF!</definedName>
    <definedName name="kin" hidden="1">#REF!</definedName>
    <definedName name="kjadbv" localSheetId="10" hidden="1">{"page1",#N/A,FALSE,"Model";"page2",#N/A,FALSE,"Model";"page3",#N/A,FALSE,"Model";"page4",#N/A,FALSE,"Model";"page5",#N/A,FALSE,"Model";"page6",#N/A,FALSE,"Model";"page7",#N/A,FALSE,"Model";"page8",#N/A,FALSE,"Model";"page9",#N/A,FALSE,"Model";"page10",#N/A,FALSE,"Model";"page11",#N/A,FALSE,"Model";"page12",#N/A,FALSE,"Model";"page13",#N/A,FALSE,"Model"}</definedName>
    <definedName name="kjadbv" hidden="1">{"page1",#N/A,FALSE,"Model";"page2",#N/A,FALSE,"Model";"page3",#N/A,FALSE,"Model";"page4",#N/A,FALSE,"Model";"page5",#N/A,FALSE,"Model";"page6",#N/A,FALSE,"Model";"page7",#N/A,FALSE,"Model";"page8",#N/A,FALSE,"Model";"page9",#N/A,FALSE,"Model";"page10",#N/A,FALSE,"Model";"page11",#N/A,FALSE,"Model";"page12",#N/A,FALSE,"Model";"page13",#N/A,FALSE,"Model"}</definedName>
    <definedName name="kjdafnb" localSheetId="10" hidden="1">{"page1",#N/A,FALSE,"Model";"page2",#N/A,FALSE,"Model";"page3",#N/A,FALSE,"Model";"page4",#N/A,FALSE,"Model";"page5",#N/A,FALSE,"Model";"page6",#N/A,FALSE,"Model";"page7",#N/A,FALSE,"Model";"page8",#N/A,FALSE,"Model";"page9",#N/A,FALSE,"Model";"page10",#N/A,FALSE,"Model";"page11",#N/A,FALSE,"Model";"page12",#N/A,FALSE,"Model";"page13",#N/A,FALSE,"Model"}</definedName>
    <definedName name="kjdafnb" hidden="1">{"page1",#N/A,FALSE,"Model";"page2",#N/A,FALSE,"Model";"page3",#N/A,FALSE,"Model";"page4",#N/A,FALSE,"Model";"page5",#N/A,FALSE,"Model";"page6",#N/A,FALSE,"Model";"page7",#N/A,FALSE,"Model";"page8",#N/A,FALSE,"Model";"page9",#N/A,FALSE,"Model";"page10",#N/A,FALSE,"Model";"page11",#N/A,FALSE,"Model";"page12",#N/A,FALSE,"Model";"page13",#N/A,FALSE,"Model"}</definedName>
    <definedName name="kjdnb" localSheetId="10" hidden="1">{"page1",#N/A,FALSE,"Model";"page2",#N/A,FALSE,"Model";"page3",#N/A,FALSE,"Model";"page4",#N/A,FALSE,"Model";"page5",#N/A,FALSE,"Model";"page6",#N/A,FALSE,"Model";"page7",#N/A,FALSE,"Model";"page8",#N/A,FALSE,"Model";"page9",#N/A,FALSE,"Model";"page10",#N/A,FALSE,"Model";"page11",#N/A,FALSE,"Model";"page12",#N/A,FALSE,"Model";"page13",#N/A,FALSE,"Model"}</definedName>
    <definedName name="kjdnb" hidden="1">{"page1",#N/A,FALSE,"Model";"page2",#N/A,FALSE,"Model";"page3",#N/A,FALSE,"Model";"page4",#N/A,FALSE,"Model";"page5",#N/A,FALSE,"Model";"page6",#N/A,FALSE,"Model";"page7",#N/A,FALSE,"Model";"page8",#N/A,FALSE,"Model";"page9",#N/A,FALSE,"Model";"page10",#N/A,FALSE,"Model";"page11",#N/A,FALSE,"Model";"page12",#N/A,FALSE,"Model";"page13",#N/A,FALSE,"Model"}</definedName>
    <definedName name="kjfd" localSheetId="10" hidden="1">{"page1",#N/A,FALSE,"Model";"page2",#N/A,FALSE,"Model";"page3",#N/A,FALSE,"Model";"page4",#N/A,FALSE,"Model";"page5",#N/A,FALSE,"Model";"page6",#N/A,FALSE,"Model";"page7",#N/A,FALSE,"Model";"page8",#N/A,FALSE,"Model";"page9",#N/A,FALSE,"Model";"page10",#N/A,FALSE,"Model";"page11",#N/A,FALSE,"Model";"page12",#N/A,FALSE,"Model";"page13",#N/A,FALSE,"Model"}</definedName>
    <definedName name="kjfd" hidden="1">{"page1",#N/A,FALSE,"Model";"page2",#N/A,FALSE,"Model";"page3",#N/A,FALSE,"Model";"page4",#N/A,FALSE,"Model";"page5",#N/A,FALSE,"Model";"page6",#N/A,FALSE,"Model";"page7",#N/A,FALSE,"Model";"page8",#N/A,FALSE,"Model";"page9",#N/A,FALSE,"Model";"page10",#N/A,FALSE,"Model";"page11",#N/A,FALSE,"Model";"page12",#N/A,FALSE,"Model";"page13",#N/A,FALSE,"Model"}</definedName>
    <definedName name="kl" localSheetId="67" hidden="1">{"page1",#N/A,FALSE,"Model";"page2",#N/A,FALSE,"Model";"page3",#N/A,FALSE,"Model";"page4",#N/A,FALSE,"Model";"page5",#N/A,FALSE,"Model";"page6",#N/A,FALSE,"Model";"page7",#N/A,FALSE,"Model";"page8",#N/A,FALSE,"Model";"page9",#N/A,FALSE,"Model";"page10",#N/A,FALSE,"Model";"page11",#N/A,FALSE,"Model";"page12",#N/A,FALSE,"Model";"page13",#N/A,FALSE,"Model"}</definedName>
    <definedName name="krenb" localSheetId="10" hidden="1">{"page1",#N/A,FALSE,"Model";"page2",#N/A,FALSE,"Model";"page3",#N/A,FALSE,"Model";"page4",#N/A,FALSE,"Model";"page5",#N/A,FALSE,"Model";"page6",#N/A,FALSE,"Model";"page7",#N/A,FALSE,"Model";"page8",#N/A,FALSE,"Model";"page9",#N/A,FALSE,"Model";"page10",#N/A,FALSE,"Model";"page11",#N/A,FALSE,"Model";"page12",#N/A,FALSE,"Model";"page13",#N/A,FALSE,"Model"}</definedName>
    <definedName name="krenb" hidden="1">{"page1",#N/A,FALSE,"Model";"page2",#N/A,FALSE,"Model";"page3",#N/A,FALSE,"Model";"page4",#N/A,FALSE,"Model";"page5",#N/A,FALSE,"Model";"page6",#N/A,FALSE,"Model";"page7",#N/A,FALSE,"Model";"page8",#N/A,FALSE,"Model";"page9",#N/A,FALSE,"Model";"page10",#N/A,FALSE,"Model";"page11",#N/A,FALSE,"Model";"page12",#N/A,FALSE,"Model";"page13",#N/A,FALSE,"Model"}</definedName>
    <definedName name="laebgr" localSheetId="10" hidden="1">{"page1",#N/A,FALSE,"Model";"page2",#N/A,FALSE,"Model";"page3",#N/A,FALSE,"Model";"page4",#N/A,FALSE,"Model";"page5",#N/A,FALSE,"Model";"page6",#N/A,FALSE,"Model";"page7",#N/A,FALSE,"Model";"page8",#N/A,FALSE,"Model";"page9",#N/A,FALSE,"Model";"page10",#N/A,FALSE,"Model";"page11",#N/A,FALSE,"Model";"page12",#N/A,FALSE,"Model";"page13",#N/A,FALSE,"Model"}</definedName>
    <definedName name="laebgr" hidden="1">{"page1",#N/A,FALSE,"Model";"page2",#N/A,FALSE,"Model";"page3",#N/A,FALSE,"Model";"page4",#N/A,FALSE,"Model";"page5",#N/A,FALSE,"Model";"page6",#N/A,FALSE,"Model";"page7",#N/A,FALSE,"Model";"page8",#N/A,FALSE,"Model";"page9",#N/A,FALSE,"Model";"page10",#N/A,FALSE,"Model";"page11",#N/A,FALSE,"Model";"page12",#N/A,FALSE,"Model";"page13",#N/A,FALSE,"Model"}</definedName>
    <definedName name="laevb" localSheetId="10" hidden="1">{"page1",#N/A,FALSE,"Model";"page2",#N/A,FALSE,"Model";"page3",#N/A,FALSE,"Model";"page4",#N/A,FALSE,"Model";"page5",#N/A,FALSE,"Model";"page6",#N/A,FALSE,"Model";"page7",#N/A,FALSE,"Model";"page8",#N/A,FALSE,"Model";"page9",#N/A,FALSE,"Model";"page10",#N/A,FALSE,"Model";"page11",#N/A,FALSE,"Model";"page12",#N/A,FALSE,"Model";"page13",#N/A,FALSE,"Model"}</definedName>
    <definedName name="laevb" hidden="1">{"page1",#N/A,FALSE,"Model";"page2",#N/A,FALSE,"Model";"page3",#N/A,FALSE,"Model";"page4",#N/A,FALSE,"Model";"page5",#N/A,FALSE,"Model";"page6",#N/A,FALSE,"Model";"page7",#N/A,FALSE,"Model";"page8",#N/A,FALSE,"Model";"page9",#N/A,FALSE,"Model";"page10",#N/A,FALSE,"Model";"page11",#N/A,FALSE,"Model";"page12",#N/A,FALSE,"Model";"page13",#N/A,FALSE,"Model"}</definedName>
    <definedName name="lakdbjrvhe" localSheetId="10" hidden="1">{"page1",#N/A,FALSE,"Model";"page2",#N/A,FALSE,"Model";"page3",#N/A,FALSE,"Model";"page4",#N/A,FALSE,"Model";"page5",#N/A,FALSE,"Model";"page6",#N/A,FALSE,"Model";"page7",#N/A,FALSE,"Model";"page8",#N/A,FALSE,"Model";"page9",#N/A,FALSE,"Model";"page10",#N/A,FALSE,"Model";"page11",#N/A,FALSE,"Model";"page12",#N/A,FALSE,"Model";"page13",#N/A,FALSE,"Model"}</definedName>
    <definedName name="lakdbjrvhe" hidden="1">{"page1",#N/A,FALSE,"Model";"page2",#N/A,FALSE,"Model";"page3",#N/A,FALSE,"Model";"page4",#N/A,FALSE,"Model";"page5",#N/A,FALSE,"Model";"page6",#N/A,FALSE,"Model";"page7",#N/A,FALSE,"Model";"page8",#N/A,FALSE,"Model";"page9",#N/A,FALSE,"Model";"page10",#N/A,FALSE,"Model";"page11",#N/A,FALSE,"Model";"page12",#N/A,FALSE,"Model";"page13",#N/A,FALSE,"Model"}</definedName>
    <definedName name="ldarhgeahg" localSheetId="10" hidden="1">{"page1",#N/A,FALSE,"Model";"page2",#N/A,FALSE,"Model";"page3",#N/A,FALSE,"Model";"page4",#N/A,FALSE,"Model";"page5",#N/A,FALSE,"Model";"page6",#N/A,FALSE,"Model";"page7",#N/A,FALSE,"Model";"page8",#N/A,FALSE,"Model";"page9",#N/A,FALSE,"Model";"page10",#N/A,FALSE,"Model";"page11",#N/A,FALSE,"Model";"page12",#N/A,FALSE,"Model";"page13",#N/A,FALSE,"Model"}</definedName>
    <definedName name="ldarhgeahg" hidden="1">{"page1",#N/A,FALSE,"Model";"page2",#N/A,FALSE,"Model";"page3",#N/A,FALSE,"Model";"page4",#N/A,FALSE,"Model";"page5",#N/A,FALSE,"Model";"page6",#N/A,FALSE,"Model";"page7",#N/A,FALSE,"Model";"page8",#N/A,FALSE,"Model";"page9",#N/A,FALSE,"Model";"page10",#N/A,FALSE,"Model";"page11",#N/A,FALSE,"Model";"page12",#N/A,FALSE,"Model";"page13",#N/A,FALSE,"Model"}</definedName>
    <definedName name="ldkjnb" localSheetId="10" hidden="1">{"page1",#N/A,FALSE,"Model";"page2",#N/A,FALSE,"Model";"page3",#N/A,FALSE,"Model";"page4",#N/A,FALSE,"Model";"page5",#N/A,FALSE,"Model";"page6",#N/A,FALSE,"Model";"page7",#N/A,FALSE,"Model";"page8",#N/A,FALSE,"Model";"page9",#N/A,FALSE,"Model";"page10",#N/A,FALSE,"Model";"page11",#N/A,FALSE,"Model";"page12",#N/A,FALSE,"Model";"page13",#N/A,FALSE,"Model"}</definedName>
    <definedName name="ldkjnb" hidden="1">{"page1",#N/A,FALSE,"Model";"page2",#N/A,FALSE,"Model";"page3",#N/A,FALSE,"Model";"page4",#N/A,FALSE,"Model";"page5",#N/A,FALSE,"Model";"page6",#N/A,FALSE,"Model";"page7",#N/A,FALSE,"Model";"page8",#N/A,FALSE,"Model";"page9",#N/A,FALSE,"Model";"page10",#N/A,FALSE,"Model";"page11",#N/A,FALSE,"Model";"page12",#N/A,FALSE,"Model";"page13",#N/A,FALSE,"Model"}</definedName>
    <definedName name="learvb" localSheetId="10" hidden="1">{"page1",#N/A,FALSE,"Model";"page2",#N/A,FALSE,"Model";"page3",#N/A,FALSE,"Model";"page4",#N/A,FALSE,"Model";"page5",#N/A,FALSE,"Model";"page6",#N/A,FALSE,"Model";"page7",#N/A,FALSE,"Model";"page8",#N/A,FALSE,"Model";"page9",#N/A,FALSE,"Model";"page10",#N/A,FALSE,"Model";"page11",#N/A,FALSE,"Model";"page12",#N/A,FALSE,"Model";"page13",#N/A,FALSE,"Model"}</definedName>
    <definedName name="learvb" hidden="1">{"page1",#N/A,FALSE,"Model";"page2",#N/A,FALSE,"Model";"page3",#N/A,FALSE,"Model";"page4",#N/A,FALSE,"Model";"page5",#N/A,FALSE,"Model";"page6",#N/A,FALSE,"Model";"page7",#N/A,FALSE,"Model";"page8",#N/A,FALSE,"Model";"page9",#N/A,FALSE,"Model";"page10",#N/A,FALSE,"Model";"page11",#N/A,FALSE,"Model";"page12",#N/A,FALSE,"Model";"page13",#N/A,FALSE,"Model"}</definedName>
    <definedName name="leauir" localSheetId="10" hidden="1">{"page1",#N/A,FALSE,"Model";"page2",#N/A,FALSE,"Model";"page3",#N/A,FALSE,"Model";"page4",#N/A,FALSE,"Model";"page5",#N/A,FALSE,"Model";"page6",#N/A,FALSE,"Model";"page7",#N/A,FALSE,"Model";"page8",#N/A,FALSE,"Model";"page9",#N/A,FALSE,"Model";"page10",#N/A,FALSE,"Model";"page11",#N/A,FALSE,"Model";"page12",#N/A,FALSE,"Model";"page13",#N/A,FALSE,"Model"}</definedName>
    <definedName name="leauir" hidden="1">{"page1",#N/A,FALSE,"Model";"page2",#N/A,FALSE,"Model";"page3",#N/A,FALSE,"Model";"page4",#N/A,FALSE,"Model";"page5",#N/A,FALSE,"Model";"page6",#N/A,FALSE,"Model";"page7",#N/A,FALSE,"Model";"page8",#N/A,FALSE,"Model";"page9",#N/A,FALSE,"Model";"page10",#N/A,FALSE,"Model";"page11",#N/A,FALSE,"Model";"page12",#N/A,FALSE,"Model";"page13",#N/A,FALSE,"Model"}</definedName>
    <definedName name="Ledger_Code" hidden="1">" "</definedName>
    <definedName name="Ledger_Selection" hidden="1">" "</definedName>
    <definedName name="limcount" hidden="1">2</definedName>
    <definedName name="lin" localSheetId="37" hidden="1">#REF!</definedName>
    <definedName name="lin" localSheetId="38" hidden="1">#REF!</definedName>
    <definedName name="lin" localSheetId="4" hidden="1">#REF!</definedName>
    <definedName name="lin" localSheetId="46" hidden="1">#REF!</definedName>
    <definedName name="lin" localSheetId="47" hidden="1">#REF!</definedName>
    <definedName name="lin" localSheetId="50" hidden="1">#REF!</definedName>
    <definedName name="lin" localSheetId="41" hidden="1">#REF!</definedName>
    <definedName name="lin" localSheetId="15" hidden="1">#REF!</definedName>
    <definedName name="lin" localSheetId="17" hidden="1">#REF!</definedName>
    <definedName name="lin" localSheetId="30" hidden="1">#REF!</definedName>
    <definedName name="lin" localSheetId="42" hidden="1">#REF!</definedName>
    <definedName name="lin" hidden="1">#REF!</definedName>
    <definedName name="ListOffset" hidden="1">1</definedName>
    <definedName name="liureag" localSheetId="10" hidden="1">{"page1",#N/A,FALSE,"Model";"page2",#N/A,FALSE,"Model";"page3",#N/A,FALSE,"Model";"page4",#N/A,FALSE,"Model";"page5",#N/A,FALSE,"Model";"page6",#N/A,FALSE,"Model";"page7",#N/A,FALSE,"Model";"page8",#N/A,FALSE,"Model";"page9",#N/A,FALSE,"Model";"page10",#N/A,FALSE,"Model";"page11",#N/A,FALSE,"Model";"page12",#N/A,FALSE,"Model";"page13",#N/A,FALSE,"Model"}</definedName>
    <definedName name="liureag" hidden="1">{"page1",#N/A,FALSE,"Model";"page2",#N/A,FALSE,"Model";"page3",#N/A,FALSE,"Model";"page4",#N/A,FALSE,"Model";"page5",#N/A,FALSE,"Model";"page6",#N/A,FALSE,"Model";"page7",#N/A,FALSE,"Model";"page8",#N/A,FALSE,"Model";"page9",#N/A,FALSE,"Model";"page10",#N/A,FALSE,"Model";"page11",#N/A,FALSE,"Model";"page12",#N/A,FALSE,"Model";"page13",#N/A,FALSE,"Model"}</definedName>
    <definedName name="ljnbd" localSheetId="10" hidden="1">{"page1",#N/A,FALSE,"Model";"page2",#N/A,FALSE,"Model";"page3",#N/A,FALSE,"Model";"page4",#N/A,FALSE,"Model";"page5",#N/A,FALSE,"Model";"page6",#N/A,FALSE,"Model";"page7",#N/A,FALSE,"Model";"page8",#N/A,FALSE,"Model";"page9",#N/A,FALSE,"Model";"page10",#N/A,FALSE,"Model";"page11",#N/A,FALSE,"Model";"page12",#N/A,FALSE,"Model";"page13",#N/A,FALSE,"Model"}</definedName>
    <definedName name="ljnbd" hidden="1">{"page1",#N/A,FALSE,"Model";"page2",#N/A,FALSE,"Model";"page3",#N/A,FALSE,"Model";"page4",#N/A,FALSE,"Model";"page5",#N/A,FALSE,"Model";"page6",#N/A,FALSE,"Model";"page7",#N/A,FALSE,"Model";"page8",#N/A,FALSE,"Model";"page9",#N/A,FALSE,"Model";"page10",#N/A,FALSE,"Model";"page11",#N/A,FALSE,"Model";"page12",#N/A,FALSE,"Model";"page13",#N/A,FALSE,"Model"}</definedName>
    <definedName name="lkafvb" localSheetId="10" hidden="1">{"page1",#N/A,FALSE,"Model";"page2",#N/A,FALSE,"Model";"page3",#N/A,FALSE,"Model";"page4",#N/A,FALSE,"Model";"page5",#N/A,FALSE,"Model";"page6",#N/A,FALSE,"Model";"page7",#N/A,FALSE,"Model";"page8",#N/A,FALSE,"Model";"page9",#N/A,FALSE,"Model";"page10",#N/A,FALSE,"Model";"page11",#N/A,FALSE,"Model";"page12",#N/A,FALSE,"Model";"page13",#N/A,FALSE,"Model"}</definedName>
    <definedName name="lkafvb" hidden="1">{"page1",#N/A,FALSE,"Model";"page2",#N/A,FALSE,"Model";"page3",#N/A,FALSE,"Model";"page4",#N/A,FALSE,"Model";"page5",#N/A,FALSE,"Model";"page6",#N/A,FALSE,"Model";"page7",#N/A,FALSE,"Model";"page8",#N/A,FALSE,"Model";"page9",#N/A,FALSE,"Model";"page10",#N/A,FALSE,"Model";"page11",#N/A,FALSE,"Model";"page12",#N/A,FALSE,"Model";"page13",#N/A,FALSE,"Model"}</definedName>
    <definedName name="lkdajfb" localSheetId="10" hidden="1">{"page1",#N/A,FALSE,"Model";"page2",#N/A,FALSE,"Model";"page3",#N/A,FALSE,"Model";"page4",#N/A,FALSE,"Model";"page5",#N/A,FALSE,"Model";"page6",#N/A,FALSE,"Model";"page7",#N/A,FALSE,"Model";"page8",#N/A,FALSE,"Model";"page9",#N/A,FALSE,"Model";"page10",#N/A,FALSE,"Model";"page11",#N/A,FALSE,"Model";"page12",#N/A,FALSE,"Model";"page13",#N/A,FALSE,"Model"}</definedName>
    <definedName name="lkdajfb" hidden="1">{"page1",#N/A,FALSE,"Model";"page2",#N/A,FALSE,"Model";"page3",#N/A,FALSE,"Model";"page4",#N/A,FALSE,"Model";"page5",#N/A,FALSE,"Model";"page6",#N/A,FALSE,"Model";"page7",#N/A,FALSE,"Model";"page8",#N/A,FALSE,"Model";"page9",#N/A,FALSE,"Model";"page10",#N/A,FALSE,"Model";"page11",#N/A,FALSE,"Model";"page12",#N/A,FALSE,"Model";"page13",#N/A,FALSE,"Model"}</definedName>
    <definedName name="loinbv" localSheetId="10" hidden="1">{"page1",#N/A,FALSE,"Model";"page2",#N/A,FALSE,"Model";"page3",#N/A,FALSE,"Model";"page4",#N/A,FALSE,"Model";"page5",#N/A,FALSE,"Model";"page6",#N/A,FALSE,"Model";"page7",#N/A,FALSE,"Model";"page8",#N/A,FALSE,"Model";"page9",#N/A,FALSE,"Model";"page10",#N/A,FALSE,"Model";"page11",#N/A,FALSE,"Model";"page12",#N/A,FALSE,"Model";"page13",#N/A,FALSE,"Model"}</definedName>
    <definedName name="loinbv" hidden="1">{"page1",#N/A,FALSE,"Model";"page2",#N/A,FALSE,"Model";"page3",#N/A,FALSE,"Model";"page4",#N/A,FALSE,"Model";"page5",#N/A,FALSE,"Model";"page6",#N/A,FALSE,"Model";"page7",#N/A,FALSE,"Model";"page8",#N/A,FALSE,"Model";"page9",#N/A,FALSE,"Model";"page10",#N/A,FALSE,"Model";"page11",#N/A,FALSE,"Model";"page12",#N/A,FALSE,"Model";"page13",#N/A,FALSE,"Model"}</definedName>
    <definedName name="mb_inputLocation" localSheetId="37" hidden="1">#REF!</definedName>
    <definedName name="mb_inputLocation" localSheetId="38" hidden="1">#REF!</definedName>
    <definedName name="mb_inputLocation" localSheetId="4" hidden="1">#REF!</definedName>
    <definedName name="mb_inputLocation" localSheetId="46" hidden="1">#REF!</definedName>
    <definedName name="mb_inputLocation" localSheetId="47" hidden="1">#REF!</definedName>
    <definedName name="mb_inputLocation" localSheetId="50" hidden="1">#REF!</definedName>
    <definedName name="mb_inputLocation" localSheetId="41" hidden="1">#REF!</definedName>
    <definedName name="mb_inputLocation" localSheetId="15" hidden="1">#REF!</definedName>
    <definedName name="mb_inputLocation" localSheetId="17" hidden="1">#REF!</definedName>
    <definedName name="mb_inputLocation" localSheetId="30" hidden="1">#REF!</definedName>
    <definedName name="mb_inputLocation" localSheetId="42" hidden="1">#REF!</definedName>
    <definedName name="mb_inputLocation" hidden="1">#REF!</definedName>
    <definedName name="medmult" localSheetId="37" hidden="1">#REF!</definedName>
    <definedName name="medmult" localSheetId="38" hidden="1">#REF!</definedName>
    <definedName name="medmult" localSheetId="4" hidden="1">#REF!</definedName>
    <definedName name="medmult" localSheetId="46" hidden="1">#REF!</definedName>
    <definedName name="medmult" localSheetId="47" hidden="1">#REF!</definedName>
    <definedName name="medmult" localSheetId="50" hidden="1">#REF!</definedName>
    <definedName name="medmult" localSheetId="41" hidden="1">#REF!</definedName>
    <definedName name="medmult" localSheetId="15" hidden="1">#REF!</definedName>
    <definedName name="medmult" localSheetId="17" hidden="1">#REF!</definedName>
    <definedName name="medmult" localSheetId="30" hidden="1">#REF!</definedName>
    <definedName name="medmult" localSheetId="42" hidden="1">#REF!</definedName>
    <definedName name="medmult" hidden="1">#REF!</definedName>
    <definedName name="mingming" localSheetId="10" hidden="1">{"UM Visits",#N/A,FALSE,"Unmanaged";"UM Dollars per Hour",#N/A,FALSE,"Unmanaged";"UM Hours per Visit",#N/A,FALSE,"Unmanaged";"UM Dollars per Visit",#N/A,FALSE,"Unmanaged";"UM Total Visits",#N/A,FALSE,"Unmanaged";"UM PMPM",#N/A,FALSE,"Unmanaged"}</definedName>
    <definedName name="mingming" localSheetId="47" hidden="1">{"UM Visits",#N/A,FALSE,"Unmanaged";"UM Dollars per Hour",#N/A,FALSE,"Unmanaged";"UM Hours per Visit",#N/A,FALSE,"Unmanaged";"UM Dollars per Visit",#N/A,FALSE,"Unmanaged";"UM Total Visits",#N/A,FALSE,"Unmanaged";"UM PMPM",#N/A,FALSE,"Unmanaged"}</definedName>
    <definedName name="mingming" hidden="1">{"UM Visits",#N/A,FALSE,"Unmanaged";"UM Dollars per Hour",#N/A,FALSE,"Unmanaged";"UM Hours per Visit",#N/A,FALSE,"Unmanaged";"UM Dollars per Visit",#N/A,FALSE,"Unmanaged";"UM Total Visits",#N/A,FALSE,"Unmanaged";"UM PMPM",#N/A,FALSE,"Unmanaged"}</definedName>
    <definedName name="model" localSheetId="10" hidden="1">{#N/A,#N/A,FALSE,"Model"}</definedName>
    <definedName name="model" localSheetId="47" hidden="1">{#N/A,#N/A,FALSE,"Model"}</definedName>
    <definedName name="model" hidden="1">{#N/A,#N/A,FALSE,"Model"}</definedName>
    <definedName name="Month_ID" hidden="1">" "</definedName>
    <definedName name="MR" localSheetId="10" hidden="1">{#N/A,#N/A,FALSE,"sales ytd";#N/A,#N/A,FALSE,"investments";#N/A,#N/A,FALSE,"bus. synergies 1997";#N/A,#N/A,FALSE,"synergies outlook"}</definedName>
    <definedName name="MR" hidden="1">{#N/A,#N/A,FALSE,"sales ytd";#N/A,#N/A,FALSE,"investments";#N/A,#N/A,FALSE,"bus. synergies 1997";#N/A,#N/A,FALSE,"synergies outlook"}</definedName>
    <definedName name="New" localSheetId="10" hidden="1">{#N/A,#N/A,FALSE,"Title Page";#N/A,#N/A,FALSE,"Conclusions";#N/A,#N/A,FALSE,"Assum.";#N/A,#N/A,FALSE,"Sun  DCF-WC-Dep";#N/A,#N/A,FALSE,"MarketValue";#N/A,#N/A,FALSE,"BalSheet";#N/A,#N/A,FALSE,"WACC";#N/A,#N/A,FALSE,"PC+ Info.";#N/A,#N/A,FALSE,"PC+Info_2"}</definedName>
    <definedName name="New" localSheetId="46" hidden="1">{#N/A,#N/A,FALSE,"Title Page";#N/A,#N/A,FALSE,"Conclusions";#N/A,#N/A,FALSE,"Assum.";#N/A,#N/A,FALSE,"Sun  DCF-WC-Dep";#N/A,#N/A,FALSE,"MarketValue";#N/A,#N/A,FALSE,"BalSheet";#N/A,#N/A,FALSE,"WACC";#N/A,#N/A,FALSE,"PC+ Info.";#N/A,#N/A,FALSE,"PC+Info_2"}</definedName>
    <definedName name="New" localSheetId="51" hidden="1">{#N/A,#N/A,FALSE,"Title Page";#N/A,#N/A,FALSE,"Conclusions";#N/A,#N/A,FALSE,"Assum.";#N/A,#N/A,FALSE,"Sun  DCF-WC-Dep";#N/A,#N/A,FALSE,"MarketValue";#N/A,#N/A,FALSE,"BalSheet";#N/A,#N/A,FALSE,"WACC";#N/A,#N/A,FALSE,"PC+ Info.";#N/A,#N/A,FALSE,"PC+Info_2"}</definedName>
    <definedName name="New" localSheetId="47" hidden="1">{#N/A,#N/A,FALSE,"Title Page";#N/A,#N/A,FALSE,"Conclusions";#N/A,#N/A,FALSE,"Assum.";#N/A,#N/A,FALSE,"Sun  DCF-WC-Dep";#N/A,#N/A,FALSE,"MarketValue";#N/A,#N/A,FALSE,"BalSheet";#N/A,#N/A,FALSE,"WACC";#N/A,#N/A,FALSE,"PC+ Info.";#N/A,#N/A,FALSE,"PC+Info_2"}</definedName>
    <definedName name="New" localSheetId="12" hidden="1">{#N/A,#N/A,FALSE,"Title Page";#N/A,#N/A,FALSE,"Conclusions";#N/A,#N/A,FALSE,"Assum.";#N/A,#N/A,FALSE,"Sun  DCF-WC-Dep";#N/A,#N/A,FALSE,"MarketValue";#N/A,#N/A,FALSE,"BalSheet";#N/A,#N/A,FALSE,"WACC";#N/A,#N/A,FALSE,"PC+ Info.";#N/A,#N/A,FALSE,"PC+Info_2"}</definedName>
    <definedName name="new" localSheetId="53">{"BU Name or Client/Project Name"}</definedName>
    <definedName name="New" localSheetId="25" hidden="1">{#N/A,#N/A,FALSE,"Title Page";#N/A,#N/A,FALSE,"Conclusions";#N/A,#N/A,FALSE,"Assum.";#N/A,#N/A,FALSE,"Sun  DCF-WC-Dep";#N/A,#N/A,FALSE,"MarketValue";#N/A,#N/A,FALSE,"BalSheet";#N/A,#N/A,FALSE,"WACC";#N/A,#N/A,FALSE,"PC+ Info.";#N/A,#N/A,FALSE,"PC+Info_2"}</definedName>
    <definedName name="New" localSheetId="30" hidden="1">{#N/A,#N/A,FALSE,"Title Page";#N/A,#N/A,FALSE,"Conclusions";#N/A,#N/A,FALSE,"Assum.";#N/A,#N/A,FALSE,"Sun  DCF-WC-Dep";#N/A,#N/A,FALSE,"MarketValue";#N/A,#N/A,FALSE,"BalSheet";#N/A,#N/A,FALSE,"WACC";#N/A,#N/A,FALSE,"PC+ Info.";#N/A,#N/A,FALSE,"PC+Info_2"}</definedName>
    <definedName name="New" hidden="1">{#N/A,#N/A,FALSE,"Title Page";#N/A,#N/A,FALSE,"Conclusions";#N/A,#N/A,FALSE,"Assum.";#N/A,#N/A,FALSE,"Sun  DCF-WC-Dep";#N/A,#N/A,FALSE,"MarketValue";#N/A,#N/A,FALSE,"BalSheet";#N/A,#N/A,FALSE,"WACC";#N/A,#N/A,FALSE,"PC+ Info.";#N/A,#N/A,FALSE,"PC+Info_2"}</definedName>
    <definedName name="newJSECcustomer" localSheetId="10" hidden="1">{#N/A,#N/A,FALSE,"Title Page";#N/A,#N/A,FALSE,"Conclusions";#N/A,#N/A,FALSE,"Assum.";#N/A,#N/A,FALSE,"Sun  DCF-WC-Dep";#N/A,#N/A,FALSE,"MarketValue";#N/A,#N/A,FALSE,"BalSheet";#N/A,#N/A,FALSE,"WACC";#N/A,#N/A,FALSE,"PC+ Info.";#N/A,#N/A,FALSE,"PC+Info_2"}</definedName>
    <definedName name="newJSECcustomer" localSheetId="46" hidden="1">{#N/A,#N/A,FALSE,"Title Page";#N/A,#N/A,FALSE,"Conclusions";#N/A,#N/A,FALSE,"Assum.";#N/A,#N/A,FALSE,"Sun  DCF-WC-Dep";#N/A,#N/A,FALSE,"MarketValue";#N/A,#N/A,FALSE,"BalSheet";#N/A,#N/A,FALSE,"WACC";#N/A,#N/A,FALSE,"PC+ Info.";#N/A,#N/A,FALSE,"PC+Info_2"}</definedName>
    <definedName name="newJSECcustomer" localSheetId="51" hidden="1">{#N/A,#N/A,FALSE,"Title Page";#N/A,#N/A,FALSE,"Conclusions";#N/A,#N/A,FALSE,"Assum.";#N/A,#N/A,FALSE,"Sun  DCF-WC-Dep";#N/A,#N/A,FALSE,"MarketValue";#N/A,#N/A,FALSE,"BalSheet";#N/A,#N/A,FALSE,"WACC";#N/A,#N/A,FALSE,"PC+ Info.";#N/A,#N/A,FALSE,"PC+Info_2"}</definedName>
    <definedName name="newJSECcustomer" localSheetId="47" hidden="1">{#N/A,#N/A,FALSE,"Title Page";#N/A,#N/A,FALSE,"Conclusions";#N/A,#N/A,FALSE,"Assum.";#N/A,#N/A,FALSE,"Sun  DCF-WC-Dep";#N/A,#N/A,FALSE,"MarketValue";#N/A,#N/A,FALSE,"BalSheet";#N/A,#N/A,FALSE,"WACC";#N/A,#N/A,FALSE,"PC+ Info.";#N/A,#N/A,FALSE,"PC+Info_2"}</definedName>
    <definedName name="newJSECcustomer" localSheetId="12" hidden="1">{#N/A,#N/A,FALSE,"Title Page";#N/A,#N/A,FALSE,"Conclusions";#N/A,#N/A,FALSE,"Assum.";#N/A,#N/A,FALSE,"Sun  DCF-WC-Dep";#N/A,#N/A,FALSE,"MarketValue";#N/A,#N/A,FALSE,"BalSheet";#N/A,#N/A,FALSE,"WACC";#N/A,#N/A,FALSE,"PC+ Info.";#N/A,#N/A,FALSE,"PC+Info_2"}</definedName>
    <definedName name="newJSECcustomer" localSheetId="25" hidden="1">{#N/A,#N/A,FALSE,"Title Page";#N/A,#N/A,FALSE,"Conclusions";#N/A,#N/A,FALSE,"Assum.";#N/A,#N/A,FALSE,"Sun  DCF-WC-Dep";#N/A,#N/A,FALSE,"MarketValue";#N/A,#N/A,FALSE,"BalSheet";#N/A,#N/A,FALSE,"WACC";#N/A,#N/A,FALSE,"PC+ Info.";#N/A,#N/A,FALSE,"PC+Info_2"}</definedName>
    <definedName name="newJSECcustomer" localSheetId="30" hidden="1">{#N/A,#N/A,FALSE,"Title Page";#N/A,#N/A,FALSE,"Conclusions";#N/A,#N/A,FALSE,"Assum.";#N/A,#N/A,FALSE,"Sun  DCF-WC-Dep";#N/A,#N/A,FALSE,"MarketValue";#N/A,#N/A,FALSE,"BalSheet";#N/A,#N/A,FALSE,"WACC";#N/A,#N/A,FALSE,"PC+ Info.";#N/A,#N/A,FALSE,"PC+Info_2"}</definedName>
    <definedName name="newJSECcustomer" hidden="1">{#N/A,#N/A,FALSE,"Title Page";#N/A,#N/A,FALSE,"Conclusions";#N/A,#N/A,FALSE,"Assum.";#N/A,#N/A,FALSE,"Sun  DCF-WC-Dep";#N/A,#N/A,FALSE,"MarketValue";#N/A,#N/A,FALSE,"BalSheet";#N/A,#N/A,FALSE,"WACC";#N/A,#N/A,FALSE,"PC+ Info.";#N/A,#N/A,FALSE,"PC+Info_2"}</definedName>
    <definedName name="nn" localSheetId="10" hidden="1">{#N/A,#N/A,FALSE,"Bakersfield PCs";#N/A,#N/A,FALSE,"Bremer PCs";#N/A,#N/A,FALSE,"Bakersfield Notebooks"}</definedName>
    <definedName name="nn" localSheetId="46" hidden="1">{#N/A,#N/A,FALSE,"Bakersfield PCs";#N/A,#N/A,FALSE,"Bremer PCs";#N/A,#N/A,FALSE,"Bakersfield Notebooks"}</definedName>
    <definedName name="nn" localSheetId="51" hidden="1">{#N/A,#N/A,FALSE,"Bakersfield PCs";#N/A,#N/A,FALSE,"Bremer PCs";#N/A,#N/A,FALSE,"Bakersfield Notebooks"}</definedName>
    <definedName name="nn" localSheetId="47" hidden="1">{#N/A,#N/A,FALSE,"Bakersfield PCs";#N/A,#N/A,FALSE,"Bremer PCs";#N/A,#N/A,FALSE,"Bakersfield Notebooks"}</definedName>
    <definedName name="nn" localSheetId="12" hidden="1">{#N/A,#N/A,FALSE,"Bakersfield PCs";#N/A,#N/A,FALSE,"Bremer PCs";#N/A,#N/A,FALSE,"Bakersfield Notebooks"}</definedName>
    <definedName name="nn" localSheetId="25" hidden="1">{#N/A,#N/A,FALSE,"Bakersfield PCs";#N/A,#N/A,FALSE,"Bremer PCs";#N/A,#N/A,FALSE,"Bakersfield Notebooks"}</definedName>
    <definedName name="nn" localSheetId="30" hidden="1">{#N/A,#N/A,FALSE,"Bakersfield PCs";#N/A,#N/A,FALSE,"Bremer PCs";#N/A,#N/A,FALSE,"Bakersfield Notebooks"}</definedName>
    <definedName name="nn" hidden="1">{#N/A,#N/A,FALSE,"Bakersfield PCs";#N/A,#N/A,FALSE,"Bremer PCs";#N/A,#N/A,FALSE,"Bakersfield Notebooks"}</definedName>
    <definedName name="nnn" localSheetId="10" hidden="1">{#N/A,#N/A,TRUE,"Assumptions";#N/A,#N/A,TRUE,"Sources of Revenue";#N/A,#N/A,TRUE,"P&amp;L";#N/A,#N/A,TRUE,"Bal. Sheet";#N/A,#N/A,TRUE,"Rights Issue &amp; X Adjustment";#N/A,#N/A,TRUE,"Transaction Model"}</definedName>
    <definedName name="nnn" hidden="1">{#N/A,#N/A,TRUE,"Assumptions";#N/A,#N/A,TRUE,"Sources of Revenue";#N/A,#N/A,TRUE,"P&amp;L";#N/A,#N/A,TRUE,"Bal. Sheet";#N/A,#N/A,TRUE,"Rights Issue &amp; X Adjustment";#N/A,#N/A,TRUE,"Transaction Model"}</definedName>
    <definedName name="noobaH" localSheetId="10" hidden="1">{"MM Visits",#N/A,TRUE,"Moderately Managed";"MM Dollars per Hour",#N/A,TRUE,"Moderately Managed";"MM Hours per Visit",#N/A,TRUE,"Moderately Managed";"MM Dollars per Visit",#N/A,TRUE,"Moderately Managed";"MM Total Visits",#N/A,TRUE,"Moderately Managed";"MM PMPM",#N/A,TRUE,"Moderately Managed"}</definedName>
    <definedName name="noobaH" localSheetId="47" hidden="1">{"MM Visits",#N/A,TRUE,"Moderately Managed";"MM Dollars per Hour",#N/A,TRUE,"Moderately Managed";"MM Hours per Visit",#N/A,TRUE,"Moderately Managed";"MM Dollars per Visit",#N/A,TRUE,"Moderately Managed";"MM Total Visits",#N/A,TRUE,"Moderately Managed";"MM PMPM",#N/A,TRUE,"Moderately Managed"}</definedName>
    <definedName name="noobaH" hidden="1">{"MM Visits",#N/A,TRUE,"Moderately Managed";"MM Dollars per Hour",#N/A,TRUE,"Moderately Managed";"MM Hours per Visit",#N/A,TRUE,"Moderately Managed";"MM Dollars per Visit",#N/A,TRUE,"Moderately Managed";"MM Total Visits",#N/A,TRUE,"Moderately Managed";"MM PMPM",#N/A,TRUE,"Moderately Managed"}</definedName>
    <definedName name="o" localSheetId="10" hidden="1">{#N/A,#N/A,FALSE,"New Depr Sch-150% DB";#N/A,#N/A,FALSE,"Cash Flows RLP";#N/A,#N/A,FALSE,"IRR";#N/A,#N/A,FALSE,"Proforma IS";#N/A,#N/A,FALSE,"Assumptions"}</definedName>
    <definedName name="o" localSheetId="46" hidden="1">{#N/A,#N/A,FALSE,"New Depr Sch-150% DB";#N/A,#N/A,FALSE,"Cash Flows RLP";#N/A,#N/A,FALSE,"IRR";#N/A,#N/A,FALSE,"Proforma IS";#N/A,#N/A,FALSE,"Assumptions"}</definedName>
    <definedName name="o" localSheetId="51" hidden="1">{#N/A,#N/A,FALSE,"New Depr Sch-150% DB";#N/A,#N/A,FALSE,"Cash Flows RLP";#N/A,#N/A,FALSE,"IRR";#N/A,#N/A,FALSE,"Proforma IS";#N/A,#N/A,FALSE,"Assumptions"}</definedName>
    <definedName name="o" localSheetId="47" hidden="1">{#N/A,#N/A,FALSE,"New Depr Sch-150% DB";#N/A,#N/A,FALSE,"Cash Flows RLP";#N/A,#N/A,FALSE,"IRR";#N/A,#N/A,FALSE,"Proforma IS";#N/A,#N/A,FALSE,"Assumptions"}</definedName>
    <definedName name="o" localSheetId="12" hidden="1">{#N/A,#N/A,FALSE,"New Depr Sch-150% DB";#N/A,#N/A,FALSE,"Cash Flows RLP";#N/A,#N/A,FALSE,"IRR";#N/A,#N/A,FALSE,"Proforma IS";#N/A,#N/A,FALSE,"Assumptions"}</definedName>
    <definedName name="o" localSheetId="25" hidden="1">{#N/A,#N/A,FALSE,"New Depr Sch-150% DB";#N/A,#N/A,FALSE,"Cash Flows RLP";#N/A,#N/A,FALSE,"IRR";#N/A,#N/A,FALSE,"Proforma IS";#N/A,#N/A,FALSE,"Assumptions"}</definedName>
    <definedName name="o" localSheetId="30" hidden="1">{#N/A,#N/A,FALSE,"New Depr Sch-150% DB";#N/A,#N/A,FALSE,"Cash Flows RLP";#N/A,#N/A,FALSE,"IRR";#N/A,#N/A,FALSE,"Proforma IS";#N/A,#N/A,FALSE,"Assumptions"}</definedName>
    <definedName name="o" localSheetId="79" hidden="1">{#N/A,#N/A,FALSE,"New Depr Sch-150% DB";#N/A,#N/A,FALSE,"Cash Flows RLP";#N/A,#N/A,FALSE,"IRR";#N/A,#N/A,FALSE,"Proforma IS";#N/A,#N/A,FALSE,"Assumptions"}</definedName>
    <definedName name="o" hidden="1">{#N/A,#N/A,FALSE,"New Depr Sch-150% DB";#N/A,#N/A,FALSE,"Cash Flows RLP";#N/A,#N/A,FALSE,"IRR";#N/A,#N/A,FALSE,"Proforma IS";#N/A,#N/A,FALSE,"Assumptions"}</definedName>
    <definedName name="oeahrvb" localSheetId="10" hidden="1">{"page1",#N/A,FALSE,"Model";"page2",#N/A,FALSE,"Model";"page3",#N/A,FALSE,"Model";"page4",#N/A,FALSE,"Model";"page5",#N/A,FALSE,"Model";"page6",#N/A,FALSE,"Model";"page7",#N/A,FALSE,"Model";"page8",#N/A,FALSE,"Model";"page9",#N/A,FALSE,"Model";"page10",#N/A,FALSE,"Model";"page11",#N/A,FALSE,"Model";"page12",#N/A,FALSE,"Model";"page13",#N/A,FALSE,"Model"}</definedName>
    <definedName name="oeahrvb" hidden="1">{"page1",#N/A,FALSE,"Model";"page2",#N/A,FALSE,"Model";"page3",#N/A,FALSE,"Model";"page4",#N/A,FALSE,"Model";"page5",#N/A,FALSE,"Model";"page6",#N/A,FALSE,"Model";"page7",#N/A,FALSE,"Model";"page8",#N/A,FALSE,"Model";"page9",#N/A,FALSE,"Model";"page10",#N/A,FALSE,"Model";"page11",#N/A,FALSE,"Model";"page12",#N/A,FALSE,"Model";"page13",#N/A,FALSE,"Model"}</definedName>
    <definedName name="oehg" localSheetId="10" hidden="1">{"page1",#N/A,FALSE,"Model";"page2",#N/A,FALSE,"Model";"page3",#N/A,FALSE,"Model";"page4",#N/A,FALSE,"Model";"page5",#N/A,FALSE,"Model";"page6",#N/A,FALSE,"Model";"page7",#N/A,FALSE,"Model";"page8",#N/A,FALSE,"Model";"page9",#N/A,FALSE,"Model";"page10",#N/A,FALSE,"Model";"page11",#N/A,FALSE,"Model";"page12",#N/A,FALSE,"Model";"page13",#N/A,FALSE,"Model"}</definedName>
    <definedName name="oehg" hidden="1">{"page1",#N/A,FALSE,"Model";"page2",#N/A,FALSE,"Model";"page3",#N/A,FALSE,"Model";"page4",#N/A,FALSE,"Model";"page5",#N/A,FALSE,"Model";"page6",#N/A,FALSE,"Model";"page7",#N/A,FALSE,"Model";"page8",#N/A,FALSE,"Model";"page9",#N/A,FALSE,"Model";"page10",#N/A,FALSE,"Model";"page11",#N/A,FALSE,"Model";"page12",#N/A,FALSE,"Model";"page13",#N/A,FALSE,"Model"}</definedName>
    <definedName name="oeiurg" localSheetId="10" hidden="1">{"page1",#N/A,FALSE,"Model";"page2",#N/A,FALSE,"Model";"page3",#N/A,FALSE,"Model";"page4",#N/A,FALSE,"Model";"page5",#N/A,FALSE,"Model";"page6",#N/A,FALSE,"Model";"page7",#N/A,FALSE,"Model";"page8",#N/A,FALSE,"Model";"page9",#N/A,FALSE,"Model";"page10",#N/A,FALSE,"Model";"page11",#N/A,FALSE,"Model";"page12",#N/A,FALSE,"Model";"page13",#N/A,FALSE,"Model"}</definedName>
    <definedName name="oeiurg" hidden="1">{"page1",#N/A,FALSE,"Model";"page2",#N/A,FALSE,"Model";"page3",#N/A,FALSE,"Model";"page4",#N/A,FALSE,"Model";"page5",#N/A,FALSE,"Model";"page6",#N/A,FALSE,"Model";"page7",#N/A,FALSE,"Model";"page8",#N/A,FALSE,"Model";"page9",#N/A,FALSE,"Model";"page10",#N/A,FALSE,"Model";"page11",#N/A,FALSE,"Model";"page12",#N/A,FALSE,"Model";"page13",#N/A,FALSE,"Model"}</definedName>
    <definedName name="oerv" localSheetId="10" hidden="1">{"page1",#N/A,FALSE,"Model";"page2",#N/A,FALSE,"Model";"page3",#N/A,FALSE,"Model";"page4",#N/A,FALSE,"Model";"page5",#N/A,FALSE,"Model";"page6",#N/A,FALSE,"Model";"page7",#N/A,FALSE,"Model";"page8",#N/A,FALSE,"Model";"page9",#N/A,FALSE,"Model";"page10",#N/A,FALSE,"Model";"page11",#N/A,FALSE,"Model";"page12",#N/A,FALSE,"Model";"page13",#N/A,FALSE,"Model"}</definedName>
    <definedName name="oerv" hidden="1">{"page1",#N/A,FALSE,"Model";"page2",#N/A,FALSE,"Model";"page3",#N/A,FALSE,"Model";"page4",#N/A,FALSE,"Model";"page5",#N/A,FALSE,"Model";"page6",#N/A,FALSE,"Model";"page7",#N/A,FALSE,"Model";"page8",#N/A,FALSE,"Model";"page9",#N/A,FALSE,"Model";"page10",#N/A,FALSE,"Model";"page11",#N/A,FALSE,"Model";"page12",#N/A,FALSE,"Model";"page13",#N/A,FALSE,"Model"}</definedName>
    <definedName name="oiehgrcue" localSheetId="10" hidden="1">{"page1",#N/A,FALSE,"Model";"page2",#N/A,FALSE,"Model";"page3",#N/A,FALSE,"Model";"page4",#N/A,FALSE,"Model";"page5",#N/A,FALSE,"Model";"page6",#N/A,FALSE,"Model";"page7",#N/A,FALSE,"Model";"page8",#N/A,FALSE,"Model";"page9",#N/A,FALSE,"Model";"page10",#N/A,FALSE,"Model";"page11",#N/A,FALSE,"Model";"page12",#N/A,FALSE,"Model";"page13",#N/A,FALSE,"Model"}</definedName>
    <definedName name="oiehgrcue" hidden="1">{"page1",#N/A,FALSE,"Model";"page2",#N/A,FALSE,"Model";"page3",#N/A,FALSE,"Model";"page4",#N/A,FALSE,"Model";"page5",#N/A,FALSE,"Model";"page6",#N/A,FALSE,"Model";"page7",#N/A,FALSE,"Model";"page8",#N/A,FALSE,"Model";"page9",#N/A,FALSE,"Model";"page10",#N/A,FALSE,"Model";"page11",#N/A,FALSE,"Model";"page12",#N/A,FALSE,"Model";"page13",#N/A,FALSE,"Model"}</definedName>
    <definedName name="oieqwurbg" localSheetId="10" hidden="1">{"page1",#N/A,FALSE,"Model";"page2",#N/A,FALSE,"Model";"page3",#N/A,FALSE,"Model";"page4",#N/A,FALSE,"Model";"page5",#N/A,FALSE,"Model";"page6",#N/A,FALSE,"Model";"page7",#N/A,FALSE,"Model";"page8",#N/A,FALSE,"Model";"page9",#N/A,FALSE,"Model";"page10",#N/A,FALSE,"Model";"page11",#N/A,FALSE,"Model";"page12",#N/A,FALSE,"Model";"page13",#N/A,FALSE,"Model"}</definedName>
    <definedName name="oieqwurbg" hidden="1">{"page1",#N/A,FALSE,"Model";"page2",#N/A,FALSE,"Model";"page3",#N/A,FALSE,"Model";"page4",#N/A,FALSE,"Model";"page5",#N/A,FALSE,"Model";"page6",#N/A,FALSE,"Model";"page7",#N/A,FALSE,"Model";"page8",#N/A,FALSE,"Model";"page9",#N/A,FALSE,"Model";"page10",#N/A,FALSE,"Model";"page11",#N/A,FALSE,"Model";"page12",#N/A,FALSE,"Model";"page13",#N/A,FALSE,"Model"}</definedName>
    <definedName name="oiurhg" localSheetId="10" hidden="1">{"page1",#N/A,FALSE,"Model";"page2",#N/A,FALSE,"Model";"page3",#N/A,FALSE,"Model";"page4",#N/A,FALSE,"Model";"page5",#N/A,FALSE,"Model";"page6",#N/A,FALSE,"Model";"page7",#N/A,FALSE,"Model";"page8",#N/A,FALSE,"Model";"page9",#N/A,FALSE,"Model";"page10",#N/A,FALSE,"Model";"page11",#N/A,FALSE,"Model";"page12",#N/A,FALSE,"Model";"page13",#N/A,FALSE,"Model"}</definedName>
    <definedName name="oiurhg" hidden="1">{"page1",#N/A,FALSE,"Model";"page2",#N/A,FALSE,"Model";"page3",#N/A,FALSE,"Model";"page4",#N/A,FALSE,"Model";"page5",#N/A,FALSE,"Model";"page6",#N/A,FALSE,"Model";"page7",#N/A,FALSE,"Model";"page8",#N/A,FALSE,"Model";"page9",#N/A,FALSE,"Model";"page10",#N/A,FALSE,"Model";"page11",#N/A,FALSE,"Model";"page12",#N/A,FALSE,"Model";"page13",#N/A,FALSE,"Model"}</definedName>
    <definedName name="ok" localSheetId="10" hidden="1">{"Opsys",#N/A,FALSE,"NPV_OPsys";"NT",#N/A,FALSE,"NPV_NT";"DevP",#N/A,FALSE,"NPV_DevPdt";"Office",#N/A,FALSE,"NPV_Office"}</definedName>
    <definedName name="ok" localSheetId="46" hidden="1">{"Opsys",#N/A,FALSE,"NPV_OPsys";"NT",#N/A,FALSE,"NPV_NT";"DevP",#N/A,FALSE,"NPV_DevPdt";"Office",#N/A,FALSE,"NPV_Office"}</definedName>
    <definedName name="ok" localSheetId="51" hidden="1">{"Opsys",#N/A,FALSE,"NPV_OPsys";"NT",#N/A,FALSE,"NPV_NT";"DevP",#N/A,FALSE,"NPV_DevPdt";"Office",#N/A,FALSE,"NPV_Office"}</definedName>
    <definedName name="ok" localSheetId="47" hidden="1">{"Opsys",#N/A,FALSE,"NPV_OPsys";"NT",#N/A,FALSE,"NPV_NT";"DevP",#N/A,FALSE,"NPV_DevPdt";"Office",#N/A,FALSE,"NPV_Office"}</definedName>
    <definedName name="ok" localSheetId="12" hidden="1">{"Opsys",#N/A,FALSE,"NPV_OPsys";"NT",#N/A,FALSE,"NPV_NT";"DevP",#N/A,FALSE,"NPV_DevPdt";"Office",#N/A,FALSE,"NPV_Office"}</definedName>
    <definedName name="ok" localSheetId="25" hidden="1">{"Opsys",#N/A,FALSE,"NPV_OPsys";"NT",#N/A,FALSE,"NPV_NT";"DevP",#N/A,FALSE,"NPV_DevPdt";"Office",#N/A,FALSE,"NPV_Office"}</definedName>
    <definedName name="ok" localSheetId="30" hidden="1">{"Opsys",#N/A,FALSE,"NPV_OPsys";"NT",#N/A,FALSE,"NPV_NT";"DevP",#N/A,FALSE,"NPV_DevPdt";"Office",#N/A,FALSE,"NPV_Office"}</definedName>
    <definedName name="ok" hidden="1">{"Opsys",#N/A,FALSE,"NPV_OPsys";"NT",#N/A,FALSE,"NPV_NT";"DevP",#N/A,FALSE,"NPV_DevPdt";"Office",#N/A,FALSE,"NPV_Office"}</definedName>
    <definedName name="old" localSheetId="10" hidden="1">{"'Projection USA'!$A$2:$M$191"}</definedName>
    <definedName name="old" localSheetId="47" hidden="1">{"'Projection USA'!$A$2:$M$191"}</definedName>
    <definedName name="old" hidden="1">{"'Projection USA'!$A$2:$M$191"}</definedName>
    <definedName name="oooo" localSheetId="10" hidden="1">{#N/A,#N/A,FALSE,"Bakersfield PCs";#N/A,#N/A,FALSE,"Bremer PCs";#N/A,#N/A,FALSE,"Bakersfield Notebooks"}</definedName>
    <definedName name="oooo" localSheetId="46" hidden="1">{#N/A,#N/A,FALSE,"Bakersfield PCs";#N/A,#N/A,FALSE,"Bremer PCs";#N/A,#N/A,FALSE,"Bakersfield Notebooks"}</definedName>
    <definedName name="oooo" localSheetId="51" hidden="1">{#N/A,#N/A,FALSE,"Bakersfield PCs";#N/A,#N/A,FALSE,"Bremer PCs";#N/A,#N/A,FALSE,"Bakersfield Notebooks"}</definedName>
    <definedName name="oooo" localSheetId="47" hidden="1">{#N/A,#N/A,FALSE,"Bakersfield PCs";#N/A,#N/A,FALSE,"Bremer PCs";#N/A,#N/A,FALSE,"Bakersfield Notebooks"}</definedName>
    <definedName name="oooo" localSheetId="12" hidden="1">{#N/A,#N/A,FALSE,"Bakersfield PCs";#N/A,#N/A,FALSE,"Bremer PCs";#N/A,#N/A,FALSE,"Bakersfield Notebooks"}</definedName>
    <definedName name="oooo" localSheetId="25" hidden="1">{#N/A,#N/A,FALSE,"Bakersfield PCs";#N/A,#N/A,FALSE,"Bremer PCs";#N/A,#N/A,FALSE,"Bakersfield Notebooks"}</definedName>
    <definedName name="oooo" localSheetId="30" hidden="1">{#N/A,#N/A,FALSE,"Bakersfield PCs";#N/A,#N/A,FALSE,"Bremer PCs";#N/A,#N/A,FALSE,"Bakersfield Notebooks"}</definedName>
    <definedName name="oooo" hidden="1">{#N/A,#N/A,FALSE,"Bakersfield PCs";#N/A,#N/A,FALSE,"Bremer PCs";#N/A,#N/A,FALSE,"Bakersfield Notebooks"}</definedName>
    <definedName name="Order_2" hidden="1">0</definedName>
    <definedName name="owiueg" localSheetId="10" hidden="1">{"page1",#N/A,FALSE,"Model";"page2",#N/A,FALSE,"Model";"page3",#N/A,FALSE,"Model";"page4",#N/A,FALSE,"Model";"page5",#N/A,FALSE,"Model";"page6",#N/A,FALSE,"Model";"page7",#N/A,FALSE,"Model";"page8",#N/A,FALSE,"Model";"page9",#N/A,FALSE,"Model";"page10",#N/A,FALSE,"Model";"page11",#N/A,FALSE,"Model";"page12",#N/A,FALSE,"Model";"page13",#N/A,FALSE,"Model"}</definedName>
    <definedName name="owiueg" hidden="1">{"page1",#N/A,FALSE,"Model";"page2",#N/A,FALSE,"Model";"page3",#N/A,FALSE,"Model";"page4",#N/A,FALSE,"Model";"page5",#N/A,FALSE,"Model";"page6",#N/A,FALSE,"Model";"page7",#N/A,FALSE,"Model";"page8",#N/A,FALSE,"Model";"page9",#N/A,FALSE,"Model";"page10",#N/A,FALSE,"Model";"page11",#N/A,FALSE,"Model";"page12",#N/A,FALSE,"Model";"page13",#N/A,FALSE,"Model"}</definedName>
    <definedName name="Ownership" localSheetId="37" hidden="1">OFFSET([0]!Data.Top.Left,1,0)</definedName>
    <definedName name="Ownership" localSheetId="38" hidden="1">OFFSET([0]!Data.Top.Left,1,0)</definedName>
    <definedName name="Ownership" localSheetId="10" hidden="1">OFFSET([0]!Data.Top.Left,1,0)</definedName>
    <definedName name="Ownership" localSheetId="4" hidden="1">OFFSET([0]!Data.Top.Left,1,0)</definedName>
    <definedName name="Ownership" localSheetId="46" hidden="1">OFFSET([0]!Data.Top.Left,1,0)</definedName>
    <definedName name="Ownership" localSheetId="51" hidden="1">OFFSET([0]!Data.Top.Left,1,0)</definedName>
    <definedName name="Ownership" localSheetId="47" hidden="1">OFFSET([0]!Data.Top.Left,1,0)</definedName>
    <definedName name="Ownership" localSheetId="50" hidden="1">OFFSET([0]!Data.Top.Left,1,0)</definedName>
    <definedName name="Ownership" localSheetId="12" hidden="1">OFFSET([0]!Data.Top.Left,1,0)</definedName>
    <definedName name="Ownership" localSheetId="41" hidden="1">OFFSET([0]!Data.Top.Left,1,0)</definedName>
    <definedName name="Ownership" localSheetId="25" hidden="1">OFFSET([0]!Data.Top.Left,1,0)</definedName>
    <definedName name="Ownership" localSheetId="15" hidden="1">OFFSET([0]!Data.Top.Left,1,0)</definedName>
    <definedName name="Ownership" localSheetId="17" hidden="1">OFFSET([0]!Data.Top.Left,1,0)</definedName>
    <definedName name="Ownership" localSheetId="30" hidden="1">OFFSET([0]!Data.Top.Left,1,0)</definedName>
    <definedName name="Ownership" localSheetId="42" hidden="1">OFFSET([0]!Data.Top.Left,1,0)</definedName>
    <definedName name="Ownership" hidden="1">OFFSET([0]!Data.Top.Left,1,0)</definedName>
    <definedName name="PAWHELP" localSheetId="10" hidden="1">{"'Page 2-4'!$A$1:$O$47","'Page 2-2'!$A$1:$P$58"}</definedName>
    <definedName name="PAWHELP" hidden="1">{"'Page 2-4'!$A$1:$O$47","'Page 2-2'!$A$1:$P$58"}</definedName>
    <definedName name="PCCnewcustomer" localSheetId="10" hidden="1">{#N/A,#N/A,FALSE,"Title Page";#N/A,#N/A,FALSE,"Conclusions";#N/A,#N/A,FALSE,"Assum.";#N/A,#N/A,FALSE,"Sun  DCF-WC-Dep";#N/A,#N/A,FALSE,"MarketValue";#N/A,#N/A,FALSE,"BalSheet";#N/A,#N/A,FALSE,"WACC";#N/A,#N/A,FALSE,"PC+ Info.";#N/A,#N/A,FALSE,"PC+Info_2"}</definedName>
    <definedName name="PCCnewcustomer" localSheetId="46" hidden="1">{#N/A,#N/A,FALSE,"Title Page";#N/A,#N/A,FALSE,"Conclusions";#N/A,#N/A,FALSE,"Assum.";#N/A,#N/A,FALSE,"Sun  DCF-WC-Dep";#N/A,#N/A,FALSE,"MarketValue";#N/A,#N/A,FALSE,"BalSheet";#N/A,#N/A,FALSE,"WACC";#N/A,#N/A,FALSE,"PC+ Info.";#N/A,#N/A,FALSE,"PC+Info_2"}</definedName>
    <definedName name="PCCnewcustomer" localSheetId="51" hidden="1">{#N/A,#N/A,FALSE,"Title Page";#N/A,#N/A,FALSE,"Conclusions";#N/A,#N/A,FALSE,"Assum.";#N/A,#N/A,FALSE,"Sun  DCF-WC-Dep";#N/A,#N/A,FALSE,"MarketValue";#N/A,#N/A,FALSE,"BalSheet";#N/A,#N/A,FALSE,"WACC";#N/A,#N/A,FALSE,"PC+ Info.";#N/A,#N/A,FALSE,"PC+Info_2"}</definedName>
    <definedName name="PCCnewcustomer" localSheetId="47" hidden="1">{#N/A,#N/A,FALSE,"Title Page";#N/A,#N/A,FALSE,"Conclusions";#N/A,#N/A,FALSE,"Assum.";#N/A,#N/A,FALSE,"Sun  DCF-WC-Dep";#N/A,#N/A,FALSE,"MarketValue";#N/A,#N/A,FALSE,"BalSheet";#N/A,#N/A,FALSE,"WACC";#N/A,#N/A,FALSE,"PC+ Info.";#N/A,#N/A,FALSE,"PC+Info_2"}</definedName>
    <definedName name="PCCnewcustomer" localSheetId="12" hidden="1">{#N/A,#N/A,FALSE,"Title Page";#N/A,#N/A,FALSE,"Conclusions";#N/A,#N/A,FALSE,"Assum.";#N/A,#N/A,FALSE,"Sun  DCF-WC-Dep";#N/A,#N/A,FALSE,"MarketValue";#N/A,#N/A,FALSE,"BalSheet";#N/A,#N/A,FALSE,"WACC";#N/A,#N/A,FALSE,"PC+ Info.";#N/A,#N/A,FALSE,"PC+Info_2"}</definedName>
    <definedName name="PCCnewcustomer" localSheetId="25" hidden="1">{#N/A,#N/A,FALSE,"Title Page";#N/A,#N/A,FALSE,"Conclusions";#N/A,#N/A,FALSE,"Assum.";#N/A,#N/A,FALSE,"Sun  DCF-WC-Dep";#N/A,#N/A,FALSE,"MarketValue";#N/A,#N/A,FALSE,"BalSheet";#N/A,#N/A,FALSE,"WACC";#N/A,#N/A,FALSE,"PC+ Info.";#N/A,#N/A,FALSE,"PC+Info_2"}</definedName>
    <definedName name="PCCnewcustomer" localSheetId="30" hidden="1">{#N/A,#N/A,FALSE,"Title Page";#N/A,#N/A,FALSE,"Conclusions";#N/A,#N/A,FALSE,"Assum.";#N/A,#N/A,FALSE,"Sun  DCF-WC-Dep";#N/A,#N/A,FALSE,"MarketValue";#N/A,#N/A,FALSE,"BalSheet";#N/A,#N/A,FALSE,"WACC";#N/A,#N/A,FALSE,"PC+ Info.";#N/A,#N/A,FALSE,"PC+Info_2"}</definedName>
    <definedName name="PCCnewcustomer" hidden="1">{#N/A,#N/A,FALSE,"Title Page";#N/A,#N/A,FALSE,"Conclusions";#N/A,#N/A,FALSE,"Assum.";#N/A,#N/A,FALSE,"Sun  DCF-WC-Dep";#N/A,#N/A,FALSE,"MarketValue";#N/A,#N/A,FALSE,"BalSheet";#N/A,#N/A,FALSE,"WACC";#N/A,#N/A,FALSE,"PC+ Info.";#N/A,#N/A,FALSE,"PC+Info_2"}</definedName>
    <definedName name="pkeshbr" localSheetId="10" hidden="1">{"page1",#N/A,FALSE,"Model";"page2",#N/A,FALSE,"Model";"page3",#N/A,FALSE,"Model";"page4",#N/A,FALSE,"Model";"page5",#N/A,FALSE,"Model";"page6",#N/A,FALSE,"Model";"page7",#N/A,FALSE,"Model";"page8",#N/A,FALSE,"Model";"page9",#N/A,FALSE,"Model";"page10",#N/A,FALSE,"Model";"page11",#N/A,FALSE,"Model";"page12",#N/A,FALSE,"Model";"page13",#N/A,FALSE,"Model"}</definedName>
    <definedName name="pkeshbr" hidden="1">{"page1",#N/A,FALSE,"Model";"page2",#N/A,FALSE,"Model";"page3",#N/A,FALSE,"Model";"page4",#N/A,FALSE,"Model";"page5",#N/A,FALSE,"Model";"page6",#N/A,FALSE,"Model";"page7",#N/A,FALSE,"Model";"page8",#N/A,FALSE,"Model";"page9",#N/A,FALSE,"Model";"page10",#N/A,FALSE,"Model";"page11",#N/A,FALSE,"Model";"page12",#N/A,FALSE,"Model";"page13",#N/A,FALSE,"Model"}</definedName>
    <definedName name="ppp" localSheetId="10" hidden="1">{#N/A,#N/A,FALSE,"Bakersfield PCs";#N/A,#N/A,FALSE,"Bremer PCs";#N/A,#N/A,FALSE,"Bakersfield Notebooks"}</definedName>
    <definedName name="ppp" localSheetId="46" hidden="1">{#N/A,#N/A,FALSE,"Bakersfield PCs";#N/A,#N/A,FALSE,"Bremer PCs";#N/A,#N/A,FALSE,"Bakersfield Notebooks"}</definedName>
    <definedName name="ppp" localSheetId="51" hidden="1">{#N/A,#N/A,FALSE,"Bakersfield PCs";#N/A,#N/A,FALSE,"Bremer PCs";#N/A,#N/A,FALSE,"Bakersfield Notebooks"}</definedName>
    <definedName name="ppp" localSheetId="47" hidden="1">{#N/A,#N/A,FALSE,"Bakersfield PCs";#N/A,#N/A,FALSE,"Bremer PCs";#N/A,#N/A,FALSE,"Bakersfield Notebooks"}</definedName>
    <definedName name="ppp" localSheetId="12" hidden="1">{#N/A,#N/A,FALSE,"Bakersfield PCs";#N/A,#N/A,FALSE,"Bremer PCs";#N/A,#N/A,FALSE,"Bakersfield Notebooks"}</definedName>
    <definedName name="ppp" localSheetId="25" hidden="1">{#N/A,#N/A,FALSE,"Bakersfield PCs";#N/A,#N/A,FALSE,"Bremer PCs";#N/A,#N/A,FALSE,"Bakersfield Notebooks"}</definedName>
    <definedName name="ppp" localSheetId="30" hidden="1">{#N/A,#N/A,FALSE,"Bakersfield PCs";#N/A,#N/A,FALSE,"Bremer PCs";#N/A,#N/A,FALSE,"Bakersfield Notebooks"}</definedName>
    <definedName name="ppp" hidden="1">{#N/A,#N/A,FALSE,"Bakersfield PCs";#N/A,#N/A,FALSE,"Bremer PCs";#N/A,#N/A,FALSE,"Bakersfield Notebooks"}</definedName>
    <definedName name="pqiejhg" localSheetId="10" hidden="1">{"page1",#N/A,FALSE,"Model";"page2",#N/A,FALSE,"Model";"page3",#N/A,FALSE,"Model";"page4",#N/A,FALSE,"Model";"page5",#N/A,FALSE,"Model";"page6",#N/A,FALSE,"Model";"page7",#N/A,FALSE,"Model";"page8",#N/A,FALSE,"Model";"page9",#N/A,FALSE,"Model";"page10",#N/A,FALSE,"Model";"page11",#N/A,FALSE,"Model";"page12",#N/A,FALSE,"Model";"page13",#N/A,FALSE,"Model"}</definedName>
    <definedName name="pqiejhg" hidden="1">{"page1",#N/A,FALSE,"Model";"page2",#N/A,FALSE,"Model";"page3",#N/A,FALSE,"Model";"page4",#N/A,FALSE,"Model";"page5",#N/A,FALSE,"Model";"page6",#N/A,FALSE,"Model";"page7",#N/A,FALSE,"Model";"page8",#N/A,FALSE,"Model";"page9",#N/A,FALSE,"Model";"page10",#N/A,FALSE,"Model";"page11",#N/A,FALSE,"Model";"page12",#N/A,FALSE,"Model";"page13",#N/A,FALSE,"Model"}</definedName>
    <definedName name="_xlnm.Print_Area" localSheetId="11">'Allocation Method &gt;&gt;'!$A$1:$G$30</definedName>
    <definedName name="_xlnm.Print_Area" localSheetId="36">'Asset Vol OPM Liquidation'!$A$1:$Z$79</definedName>
    <definedName name="_xlnm.Print_Area" localSheetId="37">'Asset Vol OPM Redemption'!$A$1:$Z$79</definedName>
    <definedName name="_xlnm.Print_Area" localSheetId="38">'Asset Vol_DLOM'!$A$1:$Z$78</definedName>
    <definedName name="_xlnm.Print_Area" localSheetId="49">'Beta Calc'!$A$1:$S$73</definedName>
    <definedName name="_xlnm.Print_Area" localSheetId="31">'Cap Structure FP &gt;&gt;'!$A$1:$G$30</definedName>
    <definedName name="_xlnm.Print_Area" localSheetId="32">'Cap Table'!$A$1:$P$39</definedName>
    <definedName name="_xlnm.Print_Area" localSheetId="80">'Capital IQ DATA'!$A$1:$BZ$74</definedName>
    <definedName name="_xlnm.Print_Area" localSheetId="77">'Capital IQ Sheet-GPC'!$A$1:$BZ$75</definedName>
    <definedName name="_xlnm.Print_Area" localSheetId="78">'Capital IQ Sheet-STM'!$A$1:$AJ$68</definedName>
    <definedName name="_xlnm.Print_Area" localSheetId="10">'CHART VAL'!$A$1:$E$22</definedName>
    <definedName name="_xlnm.Print_Area" localSheetId="4">Checklist!$A$1:$F$20</definedName>
    <definedName name="_xlnm.Print_Area" localSheetId="67">'China Revenues'!$A$1:$U$41,'China Revenues'!$A$43:$U$64</definedName>
    <definedName name="_xlnm.Print_Area" localSheetId="24">Comp.1!$A$1:$AA$57</definedName>
    <definedName name="_xlnm.Print_Area" localSheetId="46">Comp.5!$A$1:$U$69</definedName>
    <definedName name="_xlnm.Print_Area" localSheetId="26">Comp.6!$A$1:$E$47</definedName>
    <definedName name="_xlnm.Print_Area" localSheetId="51">'Comparative Sheet'!$A$1:$F$69</definedName>
    <definedName name="_xlnm.Print_Area" localSheetId="47">'Cost of Capital_Avance'!$A$1:$G$41</definedName>
    <definedName name="_xlnm.Print_Area" localSheetId="50">'Diabetes Type II_China Summary'!$A$1:$O$85</definedName>
    <definedName name="_xlnm.Print_Area" localSheetId="20">'Discount Rate FP &gt;&gt;'!$A$1:$G$30</definedName>
    <definedName name="_xlnm.Print_Area" localSheetId="35">DLOM!$A$1:$G$63</definedName>
    <definedName name="_xlnm.Print_Area" localSheetId="33">'Econ Rights'!$A$1:$L$49</definedName>
    <definedName name="_xlnm.Print_Area" localSheetId="39">'Equity Vol'!$A$1:$L$61</definedName>
    <definedName name="_xlnm.Print_Area" localSheetId="16">'Financial Statements &gt;&gt;'!$A$1:$G$30</definedName>
    <definedName name="_xlnm.Print_Area" localSheetId="23">'GCM FP &gt;&gt;'!$A$1:$G$30</definedName>
    <definedName name="_xlnm.Print_Area" localSheetId="27">'GTM FP &gt;&gt;'!$A$1:$G$30</definedName>
    <definedName name="_xlnm.Print_Area" localSheetId="19">'Hist BS'!$A$1:$T$53</definedName>
    <definedName name="_xlnm.Print_Area" localSheetId="18">'Hist IS'!$A$1:$J$40</definedName>
    <definedName name="_xlnm.Print_Area" localSheetId="12">'Hybrid OPM'!$A$1:$G$63</definedName>
    <definedName name="_xlnm.Print_Area" localSheetId="41">'IPO Data_BioPharma'!$A$1:$U$259</definedName>
    <definedName name="_xlnm.Print_Area" localSheetId="13">'IPO Waterfall'!$A$1:$E$164</definedName>
    <definedName name="_xlnm.Print_Area" localSheetId="25">'Market Trends since Prior Val'!$A$1:$AA$70</definedName>
    <definedName name="_xlnm.Print_Area" localSheetId="14">'OPM Hybrid (Liquidation)'!$A$1:$S$147</definedName>
    <definedName name="_xlnm.Print_Area" localSheetId="15">'OPM Hybrid (Redemption)'!$A$1:$Y$145</definedName>
    <definedName name="_xlnm.Print_Area" localSheetId="7">Outline!$A$1:$H$47</definedName>
    <definedName name="_xlnm.Print_Area" localSheetId="17">Projections!$A$1:$G$26</definedName>
    <definedName name="_xlnm.Print_Area" localSheetId="40">'Risk-Free Rates'!$A$1:$F$52</definedName>
    <definedName name="_xlnm.Print_Area" localSheetId="45">'rNPV Analysis'!$A$1:$V$61</definedName>
    <definedName name="_xlnm.Print_Area" localSheetId="22">'RoR Stage of Dev'!$A$1:$I$30</definedName>
    <definedName name="_xlnm.Print_Area" localSheetId="30">'Sec. Trans'!$A$1:$F$26</definedName>
    <definedName name="_xlnm.Print_Area" localSheetId="79">STM!$A$1:$AH$55</definedName>
    <definedName name="_xlnm.Print_Area" localSheetId="34">'Support FP &gt;&gt;'!$A$1:$G$30</definedName>
    <definedName name="_xlnm.Print_Area" localSheetId="6">Title!$A$1:$G$28</definedName>
    <definedName name="_xlnm.Print_Area" localSheetId="43">'Title WPS'!$A$1:$G$28</definedName>
    <definedName name="_xlnm.Print_Area" localSheetId="28">Trans.1!$A$1:$AQ$31</definedName>
    <definedName name="_xlnm.Print_Area" localSheetId="29">Trans.2!$A$1:$E$36</definedName>
    <definedName name="_xlnm.Print_Area" localSheetId="9">'Val Summ'!$A$1:$I$12</definedName>
    <definedName name="_xlnm.Print_Area" localSheetId="48">'WACC CAPM'!$A$1:$K$41</definedName>
    <definedName name="_xlnm.Print_Area" localSheetId="21">'WACC IPO'!$A$1:$O$35</definedName>
    <definedName name="Print_Area_Reset" localSheetId="37">OFFSET(Full_Print,0,0,[0]!Last_Row)</definedName>
    <definedName name="Print_Area_Reset" localSheetId="38">OFFSET(Full_Print,0,0,[0]!Last_Row)</definedName>
    <definedName name="Print_Area_Reset" localSheetId="10">OFFSET(Full_Print,0,0,'CHART VAL'!Last_Row)</definedName>
    <definedName name="Print_Area_Reset" localSheetId="4">OFFSET(Full_Print,0,0,[0]!Last_Row)</definedName>
    <definedName name="Print_Area_Reset" localSheetId="46">OFFSET(Full_Print,0,0,Comp.5!Last_Row)</definedName>
    <definedName name="Print_Area_Reset" localSheetId="51">OFFSET(Full_Print,0,0,'Comparative Sheet'!Last_Row)</definedName>
    <definedName name="Print_Area_Reset" localSheetId="47">OFFSET('Cost of Capital_Avance'!Full_Print,0,0,[0]!Last_Row)</definedName>
    <definedName name="Print_Area_Reset" localSheetId="50">OFFSET(Full_Print,0,0,'Diabetes Type II_China Summary'!Last_Row)</definedName>
    <definedName name="Print_Area_Reset" localSheetId="12">OFFSET(Full_Print,0,0,[0]!Last_Row)</definedName>
    <definedName name="Print_Area_Reset" localSheetId="41">OFFSET(Full_Print,0,0,Last_Row)</definedName>
    <definedName name="Print_Area_Reset" localSheetId="25">OFFSET(Full_Print,0,0,'Market Trends since Prior Val'!Last_Row)</definedName>
    <definedName name="Print_Area_Reset" localSheetId="15">OFFSET(Full_Print,0,0,[0]!Last_Row)</definedName>
    <definedName name="Print_Area_Reset" localSheetId="17">OFFSET(Full_Print,0,0,[0]!Last_Row)</definedName>
    <definedName name="Print_Area_Reset" localSheetId="30">OFFSET(Full_Print,0,0,'Sec. Trans'!Last_Row)</definedName>
    <definedName name="Print_Area_Reset" localSheetId="42">OFFSET(Full_Print,0,0,Last_Row)</definedName>
    <definedName name="Print_Area_Reset">OFFSET(Full_Print,0,0,Last_Row)</definedName>
    <definedName name="_xlnm.Print_Titles" localSheetId="36">'Asset Vol OPM Liquidation'!$1:$9</definedName>
    <definedName name="_xlnm.Print_Titles" localSheetId="37">'Asset Vol OPM Redemption'!$1:$9</definedName>
    <definedName name="_xlnm.Print_Titles" localSheetId="38">'Asset Vol_DLOM'!$1:$9</definedName>
    <definedName name="_xlnm.Print_Titles" localSheetId="49">'Beta Calc'!$1:$9</definedName>
    <definedName name="_xlnm.Print_Titles" localSheetId="24">Comp.1!$A:$C,Comp.1!$1:$9</definedName>
    <definedName name="_xlnm.Print_Titles" localSheetId="46">Comp.5!$A:$B,Comp.5!$1:$8</definedName>
    <definedName name="_xlnm.Print_Titles" localSheetId="26">Comp.6!$2:$8</definedName>
    <definedName name="_xlnm.Print_Titles" localSheetId="51">'Comparative Sheet'!$1:$9</definedName>
    <definedName name="_xlnm.Print_Titles" localSheetId="50">'Diabetes Type II_China Summary'!$A:$B,'Diabetes Type II_China Summary'!$1:$9</definedName>
    <definedName name="_xlnm.Print_Titles" localSheetId="39">'Equity Vol'!$1:$9</definedName>
    <definedName name="_xlnm.Print_Titles" localSheetId="12">'Hybrid OPM'!$1:$5</definedName>
    <definedName name="_xlnm.Print_Titles" localSheetId="41">'IPO Data_BioPharma'!$1:$9</definedName>
    <definedName name="_xlnm.Print_Titles" localSheetId="13">'IPO Waterfall'!$1:$7</definedName>
    <definedName name="_xlnm.Print_Titles" localSheetId="25">'Market Trends since Prior Val'!$A:$B,'Market Trends since Prior Val'!$1:$9</definedName>
    <definedName name="_xlnm.Print_Titles" localSheetId="14">'OPM Hybrid (Liquidation)'!$A:$C,'OPM Hybrid (Liquidation)'!$1:$17</definedName>
    <definedName name="_xlnm.Print_Titles" localSheetId="15">'OPM Hybrid (Redemption)'!$A:$C,'OPM Hybrid (Redemption)'!$1:$17</definedName>
    <definedName name="_xlnm.Print_Titles" localSheetId="40">'Risk-Free Rates'!$1:$19</definedName>
    <definedName name="_xlnm.Print_Titles" localSheetId="45">'rNPV Analysis'!$A:$D,'rNPV Analysis'!$1:$7</definedName>
    <definedName name="_xlnm.Print_Titles" localSheetId="30">'Sec. Trans'!$2:$11</definedName>
    <definedName name="_xlnm.Print_Titles" localSheetId="28">Trans.1!$A:$F,Trans.1!$1:$7</definedName>
    <definedName name="_xlnm.Print_Titles" localSheetId="29">Trans.2!$2:$7</definedName>
    <definedName name="printit" localSheetId="10" hidden="1">{#N/A,#N/A,FALSE,"Assumptions";#N/A,#N/A,FALSE,"Factors";#N/A,#N/A,FALSE,"Model";#N/A,#N/A,FALSE,"Allocation"}</definedName>
    <definedName name="printit" localSheetId="47" hidden="1">{#N/A,#N/A,FALSE,"Assumptions";#N/A,#N/A,FALSE,"Factors";#N/A,#N/A,FALSE,"Model";#N/A,#N/A,FALSE,"Allocation"}</definedName>
    <definedName name="printit" hidden="1">{#N/A,#N/A,FALSE,"Assumptions";#N/A,#N/A,FALSE,"Factors";#N/A,#N/A,FALSE,"Model";#N/A,#N/A,FALSE,"Allocation"}</definedName>
    <definedName name="ProjectName">{"BU Name or Client/Project Name"}</definedName>
    <definedName name="PUB_FileID" hidden="1">"L10003649.xls"</definedName>
    <definedName name="PUB_UserID" hidden="1">"MAYERX"</definedName>
    <definedName name="pwerm1" localSheetId="10" hidden="1">#REF!</definedName>
    <definedName name="pwerm1" localSheetId="47" hidden="1">#REF!</definedName>
    <definedName name="pwerm1" localSheetId="42" hidden="1">#REF!</definedName>
    <definedName name="pwerm1" hidden="1">#REF!</definedName>
    <definedName name="pwn" localSheetId="10" hidden="1">{#N/A,#N/A,FALSE,"Model"}</definedName>
    <definedName name="pwn" localSheetId="47" hidden="1">{#N/A,#N/A,FALSE,"Model"}</definedName>
    <definedName name="pwn" hidden="1">{#N/A,#N/A,FALSE,"Model"}</definedName>
    <definedName name="q" localSheetId="10" hidden="1">{#N/A,#N/A,FALSE,"Bakersfield PCs";#N/A,#N/A,FALSE,"Bremer PCs";#N/A,#N/A,FALSE,"Bakersfield Notebooks"}</definedName>
    <definedName name="q" localSheetId="46" hidden="1">{#N/A,#N/A,FALSE,"Bakersfield PCs";#N/A,#N/A,FALSE,"Bremer PCs";#N/A,#N/A,FALSE,"Bakersfield Notebooks"}</definedName>
    <definedName name="q" localSheetId="51" hidden="1">{#N/A,#N/A,FALSE,"Bakersfield PCs";#N/A,#N/A,FALSE,"Bremer PCs";#N/A,#N/A,FALSE,"Bakersfield Notebooks"}</definedName>
    <definedName name="q" localSheetId="47" hidden="1">{#N/A,#N/A,FALSE,"Bakersfield PCs";#N/A,#N/A,FALSE,"Bremer PCs";#N/A,#N/A,FALSE,"Bakersfield Notebooks"}</definedName>
    <definedName name="q" localSheetId="12" hidden="1">{#N/A,#N/A,FALSE,"Bakersfield PCs";#N/A,#N/A,FALSE,"Bremer PCs";#N/A,#N/A,FALSE,"Bakersfield Notebooks"}</definedName>
    <definedName name="q" localSheetId="25" hidden="1">{#N/A,#N/A,FALSE,"Bakersfield PCs";#N/A,#N/A,FALSE,"Bremer PCs";#N/A,#N/A,FALSE,"Bakersfield Notebooks"}</definedName>
    <definedName name="q" localSheetId="30" hidden="1">{#N/A,#N/A,FALSE,"Bakersfield PCs";#N/A,#N/A,FALSE,"Bremer PCs";#N/A,#N/A,FALSE,"Bakersfield Notebooks"}</definedName>
    <definedName name="q" hidden="1">{#N/A,#N/A,FALSE,"Bakersfield PCs";#N/A,#N/A,FALSE,"Bremer PCs";#N/A,#N/A,FALSE,"Bakersfield Notebooks"}</definedName>
    <definedName name="qeoi" localSheetId="10" hidden="1">{"page1",#N/A,FALSE,"Model";"page2",#N/A,FALSE,"Model";"page3",#N/A,FALSE,"Model";"page4",#N/A,FALSE,"Model";"page5",#N/A,FALSE,"Model";"page6",#N/A,FALSE,"Model";"page7",#N/A,FALSE,"Model";"page8",#N/A,FALSE,"Model";"page9",#N/A,FALSE,"Model";"page10",#N/A,FALSE,"Model";"page11",#N/A,FALSE,"Model";"page12",#N/A,FALSE,"Model";"page13",#N/A,FALSE,"Model"}</definedName>
    <definedName name="qeoi" hidden="1">{"page1",#N/A,FALSE,"Model";"page2",#N/A,FALSE,"Model";"page3",#N/A,FALSE,"Model";"page4",#N/A,FALSE,"Model";"page5",#N/A,FALSE,"Model";"page6",#N/A,FALSE,"Model";"page7",#N/A,FALSE,"Model";"page8",#N/A,FALSE,"Model";"page9",#N/A,FALSE,"Model";"page10",#N/A,FALSE,"Model";"page11",#N/A,FALSE,"Model";"page12",#N/A,FALSE,"Model";"page13",#N/A,FALSE,"Model"}</definedName>
    <definedName name="qeoin" localSheetId="10" hidden="1">{"page1",#N/A,FALSE,"Model";"page2",#N/A,FALSE,"Model";"page3",#N/A,FALSE,"Model";"page4",#N/A,FALSE,"Model";"page5",#N/A,FALSE,"Model";"page6",#N/A,FALSE,"Model";"page7",#N/A,FALSE,"Model";"page8",#N/A,FALSE,"Model";"page9",#N/A,FALSE,"Model";"page10",#N/A,FALSE,"Model";"page11",#N/A,FALSE,"Model";"page12",#N/A,FALSE,"Model";"page13",#N/A,FALSE,"Model"}</definedName>
    <definedName name="qeoin" hidden="1">{"page1",#N/A,FALSE,"Model";"page2",#N/A,FALSE,"Model";"page3",#N/A,FALSE,"Model";"page4",#N/A,FALSE,"Model";"page5",#N/A,FALSE,"Model";"page6",#N/A,FALSE,"Model";"page7",#N/A,FALSE,"Model";"page8",#N/A,FALSE,"Model";"page9",#N/A,FALSE,"Model";"page10",#N/A,FALSE,"Model";"page11",#N/A,FALSE,"Model";"page12",#N/A,FALSE,"Model";"page13",#N/A,FALSE,"Model"}</definedName>
    <definedName name="qepiubg" localSheetId="10" hidden="1">{"page1",#N/A,FALSE,"Model";"page2",#N/A,FALSE,"Model";"page3",#N/A,FALSE,"Model";"page4",#N/A,FALSE,"Model";"page5",#N/A,FALSE,"Model";"page6",#N/A,FALSE,"Model";"page7",#N/A,FALSE,"Model";"page8",#N/A,FALSE,"Model";"page9",#N/A,FALSE,"Model";"page10",#N/A,FALSE,"Model";"page11",#N/A,FALSE,"Model";"page12",#N/A,FALSE,"Model";"page13",#N/A,FALSE,"Model"}</definedName>
    <definedName name="qepiubg" hidden="1">{"page1",#N/A,FALSE,"Model";"page2",#N/A,FALSE,"Model";"page3",#N/A,FALSE,"Model";"page4",#N/A,FALSE,"Model";"page5",#N/A,FALSE,"Model";"page6",#N/A,FALSE,"Model";"page7",#N/A,FALSE,"Model";"page8",#N/A,FALSE,"Model";"page9",#N/A,FALSE,"Model";"page10",#N/A,FALSE,"Model";"page11",#N/A,FALSE,"Model";"page12",#N/A,FALSE,"Model";"page13",#N/A,FALSE,"Model"}</definedName>
    <definedName name="qepiwubg" localSheetId="10" hidden="1">{"page1",#N/A,FALSE,"Model";"page2",#N/A,FALSE,"Model";"page3",#N/A,FALSE,"Model";"page4",#N/A,FALSE,"Model";"page5",#N/A,FALSE,"Model";"page6",#N/A,FALSE,"Model";"page7",#N/A,FALSE,"Model";"page8",#N/A,FALSE,"Model";"page9",#N/A,FALSE,"Model";"page10",#N/A,FALSE,"Model";"page11",#N/A,FALSE,"Model";"page12",#N/A,FALSE,"Model";"page13",#N/A,FALSE,"Model"}</definedName>
    <definedName name="qepiwubg" hidden="1">{"page1",#N/A,FALSE,"Model";"page2",#N/A,FALSE,"Model";"page3",#N/A,FALSE,"Model";"page4",#N/A,FALSE,"Model";"page5",#N/A,FALSE,"Model";"page6",#N/A,FALSE,"Model";"page7",#N/A,FALSE,"Model";"page8",#N/A,FALSE,"Model";"page9",#N/A,FALSE,"Model";"page10",#N/A,FALSE,"Model";"page11",#N/A,FALSE,"Model";"page12",#N/A,FALSE,"Model";"page13",#N/A,FALSE,"Model"}</definedName>
    <definedName name="qepoiubg" localSheetId="10" hidden="1">{"page1",#N/A,FALSE,"Model";"page2",#N/A,FALSE,"Model";"page3",#N/A,FALSE,"Model";"page4",#N/A,FALSE,"Model";"page5",#N/A,FALSE,"Model";"page6",#N/A,FALSE,"Model";"page7",#N/A,FALSE,"Model";"page8",#N/A,FALSE,"Model";"page9",#N/A,FALSE,"Model";"page10",#N/A,FALSE,"Model";"page11",#N/A,FALSE,"Model";"page12",#N/A,FALSE,"Model";"page13",#N/A,FALSE,"Model"}</definedName>
    <definedName name="qepoiubg" hidden="1">{"page1",#N/A,FALSE,"Model";"page2",#N/A,FALSE,"Model";"page3",#N/A,FALSE,"Model";"page4",#N/A,FALSE,"Model";"page5",#N/A,FALSE,"Model";"page6",#N/A,FALSE,"Model";"page7",#N/A,FALSE,"Model";"page8",#N/A,FALSE,"Model";"page9",#N/A,FALSE,"Model";"page10",#N/A,FALSE,"Model";"page11",#N/A,FALSE,"Model";"page12",#N/A,FALSE,"Model";"page13",#N/A,FALSE,"Model"}</definedName>
    <definedName name="qeuhg" localSheetId="10" hidden="1">{"page1",#N/A,FALSE,"Model";"page2",#N/A,FALSE,"Model";"page3",#N/A,FALSE,"Model";"page4",#N/A,FALSE,"Model";"page5",#N/A,FALSE,"Model";"page6",#N/A,FALSE,"Model";"page7",#N/A,FALSE,"Model";"page8",#N/A,FALSE,"Model";"page9",#N/A,FALSE,"Model";"page10",#N/A,FALSE,"Model";"page11",#N/A,FALSE,"Model";"page12",#N/A,FALSE,"Model";"page13",#N/A,FALSE,"Model"}</definedName>
    <definedName name="qeuhg" hidden="1">{"page1",#N/A,FALSE,"Model";"page2",#N/A,FALSE,"Model";"page3",#N/A,FALSE,"Model";"page4",#N/A,FALSE,"Model";"page5",#N/A,FALSE,"Model";"page6",#N/A,FALSE,"Model";"page7",#N/A,FALSE,"Model";"page8",#N/A,FALSE,"Model";"page9",#N/A,FALSE,"Model";"page10",#N/A,FALSE,"Model";"page11",#N/A,FALSE,"Model";"page12",#N/A,FALSE,"Model";"page13",#N/A,FALSE,"Model"}</definedName>
    <definedName name="qewpoung" localSheetId="10" hidden="1">{"page1",#N/A,FALSE,"Model";"page2",#N/A,FALSE,"Model";"page3",#N/A,FALSE,"Model";"page4",#N/A,FALSE,"Model";"page5",#N/A,FALSE,"Model";"page6",#N/A,FALSE,"Model";"page7",#N/A,FALSE,"Model";"page8",#N/A,FALSE,"Model";"page9",#N/A,FALSE,"Model";"page10",#N/A,FALSE,"Model";"page11",#N/A,FALSE,"Model";"page12",#N/A,FALSE,"Model";"page13",#N/A,FALSE,"Model"}</definedName>
    <definedName name="qewpoung" hidden="1">{"page1",#N/A,FALSE,"Model";"page2",#N/A,FALSE,"Model";"page3",#N/A,FALSE,"Model";"page4",#N/A,FALSE,"Model";"page5",#N/A,FALSE,"Model";"page6",#N/A,FALSE,"Model";"page7",#N/A,FALSE,"Model";"page8",#N/A,FALSE,"Model";"page9",#N/A,FALSE,"Model";"page10",#N/A,FALSE,"Model";"page11",#N/A,FALSE,"Model";"page12",#N/A,FALSE,"Model";"page13",#N/A,FALSE,"Model"}</definedName>
    <definedName name="qiuewbg" localSheetId="10" hidden="1">{"page1",#N/A,FALSE,"Model";"page2",#N/A,FALSE,"Model";"page3",#N/A,FALSE,"Model";"page4",#N/A,FALSE,"Model";"page5",#N/A,FALSE,"Model";"page6",#N/A,FALSE,"Model";"page7",#N/A,FALSE,"Model";"page8",#N/A,FALSE,"Model";"page9",#N/A,FALSE,"Model";"page10",#N/A,FALSE,"Model";"page11",#N/A,FALSE,"Model";"page12",#N/A,FALSE,"Model";"page13",#N/A,FALSE,"Model"}</definedName>
    <definedName name="qiuewbg" hidden="1">{"page1",#N/A,FALSE,"Model";"page2",#N/A,FALSE,"Model";"page3",#N/A,FALSE,"Model";"page4",#N/A,FALSE,"Model";"page5",#N/A,FALSE,"Model";"page6",#N/A,FALSE,"Model";"page7",#N/A,FALSE,"Model";"page8",#N/A,FALSE,"Model";"page9",#N/A,FALSE,"Model";"page10",#N/A,FALSE,"Model";"page11",#N/A,FALSE,"Model";"page12",#N/A,FALSE,"Model";"page13",#N/A,FALSE,"Model"}</definedName>
    <definedName name="qiuhgq" localSheetId="10" hidden="1">{"page1",#N/A,FALSE,"Model";"page2",#N/A,FALSE,"Model";"page3",#N/A,FALSE,"Model";"page4",#N/A,FALSE,"Model";"page5",#N/A,FALSE,"Model";"page6",#N/A,FALSE,"Model";"page7",#N/A,FALSE,"Model";"page8",#N/A,FALSE,"Model";"page9",#N/A,FALSE,"Model";"page10",#N/A,FALSE,"Model";"page11",#N/A,FALSE,"Model";"page12",#N/A,FALSE,"Model";"page13",#N/A,FALSE,"Model"}</definedName>
    <definedName name="qiuhgq" hidden="1">{"page1",#N/A,FALSE,"Model";"page2",#N/A,FALSE,"Model";"page3",#N/A,FALSE,"Model";"page4",#N/A,FALSE,"Model";"page5",#N/A,FALSE,"Model";"page6",#N/A,FALSE,"Model";"page7",#N/A,FALSE,"Model";"page8",#N/A,FALSE,"Model";"page9",#N/A,FALSE,"Model";"page10",#N/A,FALSE,"Model";"page11",#N/A,FALSE,"Model";"page12",#N/A,FALSE,"Model";"page13",#N/A,FALSE,"Model"}</definedName>
    <definedName name="qlwkhvbe" localSheetId="10" hidden="1">{"page1",#N/A,FALSE,"Model";"page2",#N/A,FALSE,"Model";"page3",#N/A,FALSE,"Model";"page4",#N/A,FALSE,"Model";"page5",#N/A,FALSE,"Model";"page6",#N/A,FALSE,"Model";"page7",#N/A,FALSE,"Model";"page8",#N/A,FALSE,"Model";"page9",#N/A,FALSE,"Model";"page10",#N/A,FALSE,"Model";"page11",#N/A,FALSE,"Model";"page12",#N/A,FALSE,"Model";"page13",#N/A,FALSE,"Model"}</definedName>
    <definedName name="qlwkhvbe" hidden="1">{"page1",#N/A,FALSE,"Model";"page2",#N/A,FALSE,"Model";"page3",#N/A,FALSE,"Model";"page4",#N/A,FALSE,"Model";"page5",#N/A,FALSE,"Model";"page6",#N/A,FALSE,"Model";"page7",#N/A,FALSE,"Model";"page8",#N/A,FALSE,"Model";"page9",#N/A,FALSE,"Model";"page10",#N/A,FALSE,"Model";"page11",#N/A,FALSE,"Model";"page12",#N/A,FALSE,"Model";"page13",#N/A,FALSE,"Model"}</definedName>
    <definedName name="qoihebg" localSheetId="10" hidden="1">{"page1",#N/A,FALSE,"Model";"page2",#N/A,FALSE,"Model";"page3",#N/A,FALSE,"Model";"page4",#N/A,FALSE,"Model";"page5",#N/A,FALSE,"Model";"page6",#N/A,FALSE,"Model";"page7",#N/A,FALSE,"Model";"page8",#N/A,FALSE,"Model";"page9",#N/A,FALSE,"Model";"page10",#N/A,FALSE,"Model";"page11",#N/A,FALSE,"Model";"page12",#N/A,FALSE,"Model";"page13",#N/A,FALSE,"Model"}</definedName>
    <definedName name="qoihebg" hidden="1">{"page1",#N/A,FALSE,"Model";"page2",#N/A,FALSE,"Model";"page3",#N/A,FALSE,"Model";"page4",#N/A,FALSE,"Model";"page5",#N/A,FALSE,"Model";"page6",#N/A,FALSE,"Model";"page7",#N/A,FALSE,"Model";"page8",#N/A,FALSE,"Model";"page9",#N/A,FALSE,"Model";"page10",#N/A,FALSE,"Model";"page11",#N/A,FALSE,"Model";"page12",#N/A,FALSE,"Model";"page13",#N/A,FALSE,"Model"}</definedName>
    <definedName name="qoiuewfbgr" localSheetId="10" hidden="1">{"page1",#N/A,FALSE,"Model";"page2",#N/A,FALSE,"Model";"page3",#N/A,FALSE,"Model";"page4",#N/A,FALSE,"Model";"page5",#N/A,FALSE,"Model";"page6",#N/A,FALSE,"Model";"page7",#N/A,FALSE,"Model";"page8",#N/A,FALSE,"Model";"page9",#N/A,FALSE,"Model";"page10",#N/A,FALSE,"Model";"page11",#N/A,FALSE,"Model";"page12",#N/A,FALSE,"Model";"page13",#N/A,FALSE,"Model"}</definedName>
    <definedName name="qoiuewfbgr" hidden="1">{"page1",#N/A,FALSE,"Model";"page2",#N/A,FALSE,"Model";"page3",#N/A,FALSE,"Model";"page4",#N/A,FALSE,"Model";"page5",#N/A,FALSE,"Model";"page6",#N/A,FALSE,"Model";"page7",#N/A,FALSE,"Model";"page8",#N/A,FALSE,"Model";"page9",#N/A,FALSE,"Model";"page10",#N/A,FALSE,"Model";"page11",#N/A,FALSE,"Model";"page12",#N/A,FALSE,"Model";"page13",#N/A,FALSE,"Model"}</definedName>
    <definedName name="qoiugebrq" localSheetId="10" hidden="1">{"page1",#N/A,FALSE,"Model";"page2",#N/A,FALSE,"Model";"page3",#N/A,FALSE,"Model";"page4",#N/A,FALSE,"Model";"page5",#N/A,FALSE,"Model";"page6",#N/A,FALSE,"Model";"page7",#N/A,FALSE,"Model";"page8",#N/A,FALSE,"Model";"page9",#N/A,FALSE,"Model";"page10",#N/A,FALSE,"Model";"page11",#N/A,FALSE,"Model";"page12",#N/A,FALSE,"Model";"page13",#N/A,FALSE,"Model"}</definedName>
    <definedName name="qoiugebrq" hidden="1">{"page1",#N/A,FALSE,"Model";"page2",#N/A,FALSE,"Model";"page3",#N/A,FALSE,"Model";"page4",#N/A,FALSE,"Model";"page5",#N/A,FALSE,"Model";"page6",#N/A,FALSE,"Model";"page7",#N/A,FALSE,"Model";"page8",#N/A,FALSE,"Model";"page9",#N/A,FALSE,"Model";"page10",#N/A,FALSE,"Model";"page11",#N/A,FALSE,"Model";"page12",#N/A,FALSE,"Model";"page13",#N/A,FALSE,"Model"}</definedName>
    <definedName name="qoiuhg" localSheetId="10" hidden="1">{"page1",#N/A,FALSE,"Model";"page2",#N/A,FALSE,"Model";"page3",#N/A,FALSE,"Model";"page4",#N/A,FALSE,"Model";"page5",#N/A,FALSE,"Model";"page6",#N/A,FALSE,"Model";"page7",#N/A,FALSE,"Model";"page8",#N/A,FALSE,"Model";"page9",#N/A,FALSE,"Model";"page10",#N/A,FALSE,"Model";"page11",#N/A,FALSE,"Model";"page12",#N/A,FALSE,"Model";"page13",#N/A,FALSE,"Model"}</definedName>
    <definedName name="qoiuhg" hidden="1">{"page1",#N/A,FALSE,"Model";"page2",#N/A,FALSE,"Model";"page3",#N/A,FALSE,"Model";"page4",#N/A,FALSE,"Model";"page5",#N/A,FALSE,"Model";"page6",#N/A,FALSE,"Model";"page7",#N/A,FALSE,"Model";"page8",#N/A,FALSE,"Model";"page9",#N/A,FALSE,"Model";"page10",#N/A,FALSE,"Model";"page11",#N/A,FALSE,"Model";"page12",#N/A,FALSE,"Model";"page13",#N/A,FALSE,"Model"}</definedName>
    <definedName name="qpeiubg" localSheetId="10" hidden="1">{"page1",#N/A,FALSE,"Model";"page2",#N/A,FALSE,"Model";"page3",#N/A,FALSE,"Model";"page4",#N/A,FALSE,"Model";"page5",#N/A,FALSE,"Model";"page6",#N/A,FALSE,"Model";"page7",#N/A,FALSE,"Model";"page8",#N/A,FALSE,"Model";"page9",#N/A,FALSE,"Model";"page10",#N/A,FALSE,"Model";"page11",#N/A,FALSE,"Model";"page12",#N/A,FALSE,"Model";"page13",#N/A,FALSE,"Model"}</definedName>
    <definedName name="qpeiubg" hidden="1">{"page1",#N/A,FALSE,"Model";"page2",#N/A,FALSE,"Model";"page3",#N/A,FALSE,"Model";"page4",#N/A,FALSE,"Model";"page5",#N/A,FALSE,"Model";"page6",#N/A,FALSE,"Model";"page7",#N/A,FALSE,"Model";"page8",#N/A,FALSE,"Model";"page9",#N/A,FALSE,"Model";"page10",#N/A,FALSE,"Model";"page11",#N/A,FALSE,"Model";"page12",#N/A,FALSE,"Model";"page13",#N/A,FALSE,"Model"}</definedName>
    <definedName name="qpeouhg" localSheetId="10" hidden="1">{"page1",#N/A,FALSE,"Model";"page2",#N/A,FALSE,"Model";"page3",#N/A,FALSE,"Model";"page4",#N/A,FALSE,"Model";"page5",#N/A,FALSE,"Model";"page6",#N/A,FALSE,"Model";"page7",#N/A,FALSE,"Model";"page8",#N/A,FALSE,"Model";"page9",#N/A,FALSE,"Model";"page10",#N/A,FALSE,"Model";"page11",#N/A,FALSE,"Model";"page12",#N/A,FALSE,"Model";"page13",#N/A,FALSE,"Model"}</definedName>
    <definedName name="qpeouhg" hidden="1">{"page1",#N/A,FALSE,"Model";"page2",#N/A,FALSE,"Model";"page3",#N/A,FALSE,"Model";"page4",#N/A,FALSE,"Model";"page5",#N/A,FALSE,"Model";"page6",#N/A,FALSE,"Model";"page7",#N/A,FALSE,"Model";"page8",#N/A,FALSE,"Model";"page9",#N/A,FALSE,"Model";"page10",#N/A,FALSE,"Model";"page11",#N/A,FALSE,"Model";"page12",#N/A,FALSE,"Model";"page13",#N/A,FALSE,"Model"}</definedName>
    <definedName name="qpewiubg" localSheetId="10" hidden="1">{"page1",#N/A,FALSE,"Model";"page2",#N/A,FALSE,"Model";"page3",#N/A,FALSE,"Model";"page4",#N/A,FALSE,"Model";"page5",#N/A,FALSE,"Model";"page6",#N/A,FALSE,"Model";"page7",#N/A,FALSE,"Model";"page8",#N/A,FALSE,"Model";"page9",#N/A,FALSE,"Model";"page10",#N/A,FALSE,"Model";"page11",#N/A,FALSE,"Model";"page12",#N/A,FALSE,"Model";"page13",#N/A,FALSE,"Model"}</definedName>
    <definedName name="qpewiubg" hidden="1">{"page1",#N/A,FALSE,"Model";"page2",#N/A,FALSE,"Model";"page3",#N/A,FALSE,"Model";"page4",#N/A,FALSE,"Model";"page5",#N/A,FALSE,"Model";"page6",#N/A,FALSE,"Model";"page7",#N/A,FALSE,"Model";"page8",#N/A,FALSE,"Model";"page9",#N/A,FALSE,"Model";"page10",#N/A,FALSE,"Model";"page11",#N/A,FALSE,"Model";"page12",#N/A,FALSE,"Model";"page13",#N/A,FALSE,"Model"}</definedName>
    <definedName name="qpewou" localSheetId="10" hidden="1">{"page1",#N/A,FALSE,"Model";"page2",#N/A,FALSE,"Model";"page3",#N/A,FALSE,"Model";"page4",#N/A,FALSE,"Model";"page5",#N/A,FALSE,"Model";"page6",#N/A,FALSE,"Model";"page7",#N/A,FALSE,"Model";"page8",#N/A,FALSE,"Model";"page9",#N/A,FALSE,"Model";"page10",#N/A,FALSE,"Model";"page11",#N/A,FALSE,"Model";"page12",#N/A,FALSE,"Model";"page13",#N/A,FALSE,"Model"}</definedName>
    <definedName name="qpewou" hidden="1">{"page1",#N/A,FALSE,"Model";"page2",#N/A,FALSE,"Model";"page3",#N/A,FALSE,"Model";"page4",#N/A,FALSE,"Model";"page5",#N/A,FALSE,"Model";"page6",#N/A,FALSE,"Model";"page7",#N/A,FALSE,"Model";"page8",#N/A,FALSE,"Model";"page9",#N/A,FALSE,"Model";"page10",#N/A,FALSE,"Model";"page11",#N/A,FALSE,"Model";"page12",#N/A,FALSE,"Model";"page13",#N/A,FALSE,"Model"}</definedName>
    <definedName name="qpiwu" localSheetId="10" hidden="1">{"page1",#N/A,FALSE,"Model";"page2",#N/A,FALSE,"Model";"page3",#N/A,FALSE,"Model";"page4",#N/A,FALSE,"Model";"page5",#N/A,FALSE,"Model";"page6",#N/A,FALSE,"Model";"page7",#N/A,FALSE,"Model";"page8",#N/A,FALSE,"Model";"page9",#N/A,FALSE,"Model";"page10",#N/A,FALSE,"Model";"page11",#N/A,FALSE,"Model";"page12",#N/A,FALSE,"Model";"page13",#N/A,FALSE,"Model"}</definedName>
    <definedName name="qpiwu" hidden="1">{"page1",#N/A,FALSE,"Model";"page2",#N/A,FALSE,"Model";"page3",#N/A,FALSE,"Model";"page4",#N/A,FALSE,"Model";"page5",#N/A,FALSE,"Model";"page6",#N/A,FALSE,"Model";"page7",#N/A,FALSE,"Model";"page8",#N/A,FALSE,"Model";"page9",#N/A,FALSE,"Model";"page10",#N/A,FALSE,"Model";"page11",#N/A,FALSE,"Model";"page12",#N/A,FALSE,"Model";"page13",#N/A,FALSE,"Model"}</definedName>
    <definedName name="qpowiuehg" localSheetId="10" hidden="1">{"page1",#N/A,FALSE,"Model";"page2",#N/A,FALSE,"Model";"page3",#N/A,FALSE,"Model";"page4",#N/A,FALSE,"Model";"page5",#N/A,FALSE,"Model";"page6",#N/A,FALSE,"Model";"page7",#N/A,FALSE,"Model";"page8",#N/A,FALSE,"Model";"page9",#N/A,FALSE,"Model";"page10",#N/A,FALSE,"Model";"page11",#N/A,FALSE,"Model";"page12",#N/A,FALSE,"Model";"page13",#N/A,FALSE,"Model"}</definedName>
    <definedName name="qpowiuehg" hidden="1">{"page1",#N/A,FALSE,"Model";"page2",#N/A,FALSE,"Model";"page3",#N/A,FALSE,"Model";"page4",#N/A,FALSE,"Model";"page5",#N/A,FALSE,"Model";"page6",#N/A,FALSE,"Model";"page7",#N/A,FALSE,"Model";"page8",#N/A,FALSE,"Model";"page9",#N/A,FALSE,"Model";"page10",#N/A,FALSE,"Model";"page11",#N/A,FALSE,"Model";"page12",#N/A,FALSE,"Model";"page13",#N/A,FALSE,"Model"}</definedName>
    <definedName name="qq" localSheetId="10" hidden="1">{#N/A,#N/A,FALSE,"e-Svc Level";#N/A,#N/A,FALSE,"e-Hosted";#N/A,#N/A,FALSE,"e-Licensed";#N/A,#N/A,FALSE,"Assumptions"}</definedName>
    <definedName name="qq" localSheetId="47" hidden="1">{#N/A,#N/A,FALSE,"e-Svc Level";#N/A,#N/A,FALSE,"e-Hosted";#N/A,#N/A,FALSE,"e-Licensed";#N/A,#N/A,FALSE,"Assumptions"}</definedName>
    <definedName name="qq" hidden="1">{#N/A,#N/A,FALSE,"e-Svc Level";#N/A,#N/A,FALSE,"e-Hosted";#N/A,#N/A,FALSE,"e-Licensed";#N/A,#N/A,FALSE,"Assumptions"}</definedName>
    <definedName name="quehg" localSheetId="10" hidden="1">{"page1",#N/A,FALSE,"Model";"page2",#N/A,FALSE,"Model";"page3",#N/A,FALSE,"Model";"page4",#N/A,FALSE,"Model";"page5",#N/A,FALSE,"Model";"page6",#N/A,FALSE,"Model";"page7",#N/A,FALSE,"Model";"page8",#N/A,FALSE,"Model";"page9",#N/A,FALSE,"Model";"page10",#N/A,FALSE,"Model";"page11",#N/A,FALSE,"Model";"page12",#N/A,FALSE,"Model";"page13",#N/A,FALSE,"Model"}</definedName>
    <definedName name="quehg" hidden="1">{"page1",#N/A,FALSE,"Model";"page2",#N/A,FALSE,"Model";"page3",#N/A,FALSE,"Model";"page4",#N/A,FALSE,"Model";"page5",#N/A,FALSE,"Model";"page6",#N/A,FALSE,"Model";"page7",#N/A,FALSE,"Model";"page8",#N/A,FALSE,"Model";"page9",#N/A,FALSE,"Model";"page10",#N/A,FALSE,"Model";"page11",#N/A,FALSE,"Model";"page12",#N/A,FALSE,"Model";"page13",#N/A,FALSE,"Model"}</definedName>
    <definedName name="qw" localSheetId="10" hidden="1">{"page1",#N/A,FALSE,"Model";"page2",#N/A,FALSE,"Model";"page3",#N/A,FALSE,"Model";"page4",#N/A,FALSE,"Model";"page5",#N/A,FALSE,"Model";"page6",#N/A,FALSE,"Model";"page7",#N/A,FALSE,"Model";"page8",#N/A,FALSE,"Model";"page9",#N/A,FALSE,"Model";"page10",#N/A,FALSE,"Model";"page11",#N/A,FALSE,"Model";"page12",#N/A,FALSE,"Model";"page13",#N/A,FALSE,"Model"}</definedName>
    <definedName name="qw" hidden="1">{"page1",#N/A,FALSE,"Model";"page2",#N/A,FALSE,"Model";"page3",#N/A,FALSE,"Model";"page4",#N/A,FALSE,"Model";"page5",#N/A,FALSE,"Model";"page6",#N/A,FALSE,"Model";"page7",#N/A,FALSE,"Model";"page8",#N/A,FALSE,"Model";"page9",#N/A,FALSE,"Model";"page10",#N/A,FALSE,"Model";"page11",#N/A,FALSE,"Model";"page12",#N/A,FALSE,"Model";"page13",#N/A,FALSE,"Model"}</definedName>
    <definedName name="qweug" localSheetId="10" hidden="1">{"page1",#N/A,FALSE,"Model";"page2",#N/A,FALSE,"Model";"page3",#N/A,FALSE,"Model";"page4",#N/A,FALSE,"Model";"page5",#N/A,FALSE,"Model";"page6",#N/A,FALSE,"Model";"page7",#N/A,FALSE,"Model";"page8",#N/A,FALSE,"Model";"page9",#N/A,FALSE,"Model";"page10",#N/A,FALSE,"Model";"page11",#N/A,FALSE,"Model";"page12",#N/A,FALSE,"Model";"page13",#N/A,FALSE,"Model"}</definedName>
    <definedName name="qweug" hidden="1">{"page1",#N/A,FALSE,"Model";"page2",#N/A,FALSE,"Model";"page3",#N/A,FALSE,"Model";"page4",#N/A,FALSE,"Model";"page5",#N/A,FALSE,"Model";"page6",#N/A,FALSE,"Model";"page7",#N/A,FALSE,"Model";"page8",#N/A,FALSE,"Model";"page9",#N/A,FALSE,"Model";"page10",#N/A,FALSE,"Model";"page11",#N/A,FALSE,"Model";"page12",#N/A,FALSE,"Model";"page13",#N/A,FALSE,"Model"}</definedName>
    <definedName name="qwlkjbg" localSheetId="10" hidden="1">{"page1",#N/A,FALSE,"Model";"page2",#N/A,FALSE,"Model";"page3",#N/A,FALSE,"Model";"page4",#N/A,FALSE,"Model";"page5",#N/A,FALSE,"Model";"page6",#N/A,FALSE,"Model";"page7",#N/A,FALSE,"Model";"page8",#N/A,FALSE,"Model";"page9",#N/A,FALSE,"Model";"page10",#N/A,FALSE,"Model";"page11",#N/A,FALSE,"Model";"page12",#N/A,FALSE,"Model";"page13",#N/A,FALSE,"Model"}</definedName>
    <definedName name="qwlkjbg" hidden="1">{"page1",#N/A,FALSE,"Model";"page2",#N/A,FALSE,"Model";"page3",#N/A,FALSE,"Model";"page4",#N/A,FALSE,"Model";"page5",#N/A,FALSE,"Model";"page6",#N/A,FALSE,"Model";"page7",#N/A,FALSE,"Model";"page8",#N/A,FALSE,"Model";"page9",#N/A,FALSE,"Model";"page10",#N/A,FALSE,"Model";"page11",#N/A,FALSE,"Model";"page12",#N/A,FALSE,"Model";"page13",#N/A,FALSE,"Model"}</definedName>
    <definedName name="rarte" localSheetId="10" hidden="1">{#N/A,#N/A,FALSE,"Bakersfield PCs";#N/A,#N/A,FALSE,"Bremer PCs";#N/A,#N/A,FALSE,"Bakersfield Notebooks"}</definedName>
    <definedName name="rarte" localSheetId="46" hidden="1">{#N/A,#N/A,FALSE,"Bakersfield PCs";#N/A,#N/A,FALSE,"Bremer PCs";#N/A,#N/A,FALSE,"Bakersfield Notebooks"}</definedName>
    <definedName name="rarte" localSheetId="51" hidden="1">{#N/A,#N/A,FALSE,"Bakersfield PCs";#N/A,#N/A,FALSE,"Bremer PCs";#N/A,#N/A,FALSE,"Bakersfield Notebooks"}</definedName>
    <definedName name="rarte" localSheetId="47" hidden="1">{#N/A,#N/A,FALSE,"Bakersfield PCs";#N/A,#N/A,FALSE,"Bremer PCs";#N/A,#N/A,FALSE,"Bakersfield Notebooks"}</definedName>
    <definedName name="rarte" localSheetId="12" hidden="1">{#N/A,#N/A,FALSE,"Bakersfield PCs";#N/A,#N/A,FALSE,"Bremer PCs";#N/A,#N/A,FALSE,"Bakersfield Notebooks"}</definedName>
    <definedName name="rarte" localSheetId="25" hidden="1">{#N/A,#N/A,FALSE,"Bakersfield PCs";#N/A,#N/A,FALSE,"Bremer PCs";#N/A,#N/A,FALSE,"Bakersfield Notebooks"}</definedName>
    <definedName name="rarte" localSheetId="30" hidden="1">{#N/A,#N/A,FALSE,"Bakersfield PCs";#N/A,#N/A,FALSE,"Bremer PCs";#N/A,#N/A,FALSE,"Bakersfield Notebooks"}</definedName>
    <definedName name="rarte" hidden="1">{#N/A,#N/A,FALSE,"Bakersfield PCs";#N/A,#N/A,FALSE,"Bremer PCs";#N/A,#N/A,FALSE,"Bakersfield Notebooks"}</definedName>
    <definedName name="rates" localSheetId="10" hidden="1">{"rates",#N/A,FALSE,"Summary"}</definedName>
    <definedName name="rates" localSheetId="47" hidden="1">{"rates",#N/A,FALSE,"Summary"}</definedName>
    <definedName name="rates" hidden="1">{"rates",#N/A,FALSE,"Summary"}</definedName>
    <definedName name="reality" localSheetId="10" hidden="1">{#N/A,#N/A,FALSE,"Title Page";#N/A,#N/A,FALSE,"Conclusions";#N/A,#N/A,FALSE,"Assum.";#N/A,#N/A,FALSE,"Sun  DCF-WC-Dep";#N/A,#N/A,FALSE,"MarketValue";#N/A,#N/A,FALSE,"BalSheet";#N/A,#N/A,FALSE,"WACC";#N/A,#N/A,FALSE,"PC+ Info.";#N/A,#N/A,FALSE,"PC+Info_2"}</definedName>
    <definedName name="reality" localSheetId="46" hidden="1">{#N/A,#N/A,FALSE,"Title Page";#N/A,#N/A,FALSE,"Conclusions";#N/A,#N/A,FALSE,"Assum.";#N/A,#N/A,FALSE,"Sun  DCF-WC-Dep";#N/A,#N/A,FALSE,"MarketValue";#N/A,#N/A,FALSE,"BalSheet";#N/A,#N/A,FALSE,"WACC";#N/A,#N/A,FALSE,"PC+ Info.";#N/A,#N/A,FALSE,"PC+Info_2"}</definedName>
    <definedName name="reality" localSheetId="51" hidden="1">{#N/A,#N/A,FALSE,"Title Page";#N/A,#N/A,FALSE,"Conclusions";#N/A,#N/A,FALSE,"Assum.";#N/A,#N/A,FALSE,"Sun  DCF-WC-Dep";#N/A,#N/A,FALSE,"MarketValue";#N/A,#N/A,FALSE,"BalSheet";#N/A,#N/A,FALSE,"WACC";#N/A,#N/A,FALSE,"PC+ Info.";#N/A,#N/A,FALSE,"PC+Info_2"}</definedName>
    <definedName name="reality" localSheetId="47" hidden="1">{#N/A,#N/A,FALSE,"Title Page";#N/A,#N/A,FALSE,"Conclusions";#N/A,#N/A,FALSE,"Assum.";#N/A,#N/A,FALSE,"Sun  DCF-WC-Dep";#N/A,#N/A,FALSE,"MarketValue";#N/A,#N/A,FALSE,"BalSheet";#N/A,#N/A,FALSE,"WACC";#N/A,#N/A,FALSE,"PC+ Info.";#N/A,#N/A,FALSE,"PC+Info_2"}</definedName>
    <definedName name="reality" localSheetId="12" hidden="1">{#N/A,#N/A,FALSE,"Title Page";#N/A,#N/A,FALSE,"Conclusions";#N/A,#N/A,FALSE,"Assum.";#N/A,#N/A,FALSE,"Sun  DCF-WC-Dep";#N/A,#N/A,FALSE,"MarketValue";#N/A,#N/A,FALSE,"BalSheet";#N/A,#N/A,FALSE,"WACC";#N/A,#N/A,FALSE,"PC+ Info.";#N/A,#N/A,FALSE,"PC+Info_2"}</definedName>
    <definedName name="reality" localSheetId="25" hidden="1">{#N/A,#N/A,FALSE,"Title Page";#N/A,#N/A,FALSE,"Conclusions";#N/A,#N/A,FALSE,"Assum.";#N/A,#N/A,FALSE,"Sun  DCF-WC-Dep";#N/A,#N/A,FALSE,"MarketValue";#N/A,#N/A,FALSE,"BalSheet";#N/A,#N/A,FALSE,"WACC";#N/A,#N/A,FALSE,"PC+ Info.";#N/A,#N/A,FALSE,"PC+Info_2"}</definedName>
    <definedName name="reality" localSheetId="30" hidden="1">{#N/A,#N/A,FALSE,"Title Page";#N/A,#N/A,FALSE,"Conclusions";#N/A,#N/A,FALSE,"Assum.";#N/A,#N/A,FALSE,"Sun  DCF-WC-Dep";#N/A,#N/A,FALSE,"MarketValue";#N/A,#N/A,FALSE,"BalSheet";#N/A,#N/A,FALSE,"WACC";#N/A,#N/A,FALSE,"PC+ Info.";#N/A,#N/A,FALSE,"PC+Info_2"}</definedName>
    <definedName name="reality" hidden="1">{#N/A,#N/A,FALSE,"Title Page";#N/A,#N/A,FALSE,"Conclusions";#N/A,#N/A,FALSE,"Assum.";#N/A,#N/A,FALSE,"Sun  DCF-WC-Dep";#N/A,#N/A,FALSE,"MarketValue";#N/A,#N/A,FALSE,"BalSheet";#N/A,#N/A,FALSE,"WACC";#N/A,#N/A,FALSE,"PC+ Info.";#N/A,#N/A,FALSE,"PC+Info_2"}</definedName>
    <definedName name="redo" localSheetId="10" hidden="1">{#N/A,#N/A,FALSE,"ACQ_GRAPHS";#N/A,#N/A,FALSE,"T_1 GRAPHS";#N/A,#N/A,FALSE,"T_2 GRAPHS";#N/A,#N/A,FALSE,"COMB_GRAPHS"}</definedName>
    <definedName name="redo" hidden="1">{#N/A,#N/A,FALSE,"ACQ_GRAPHS";#N/A,#N/A,FALSE,"T_1 GRAPHS";#N/A,#N/A,FALSE,"T_2 GRAPHS";#N/A,#N/A,FALSE,"COMB_GRAPHS"}</definedName>
    <definedName name="regmult" localSheetId="37" hidden="1">#REF!</definedName>
    <definedName name="regmult" localSheetId="38" hidden="1">#REF!</definedName>
    <definedName name="regmult" localSheetId="4" hidden="1">#REF!</definedName>
    <definedName name="regmult" localSheetId="46" hidden="1">#REF!</definedName>
    <definedName name="regmult" localSheetId="47" hidden="1">#REF!</definedName>
    <definedName name="regmult" localSheetId="50" hidden="1">#REF!</definedName>
    <definedName name="regmult" localSheetId="41" hidden="1">#REF!</definedName>
    <definedName name="regmult" localSheetId="15" hidden="1">#REF!</definedName>
    <definedName name="regmult" localSheetId="17" hidden="1">#REF!</definedName>
    <definedName name="regmult" localSheetId="30" hidden="1">#REF!</definedName>
    <definedName name="regmult" localSheetId="42" hidden="1">#REF!</definedName>
    <definedName name="regmult" hidden="1">#REF!</definedName>
    <definedName name="rehb" localSheetId="10" hidden="1">{"page1",#N/A,FALSE,"Model";"page2",#N/A,FALSE,"Model";"page3",#N/A,FALSE,"Model";"page4",#N/A,FALSE,"Model";"page5",#N/A,FALSE,"Model";"page6",#N/A,FALSE,"Model";"page7",#N/A,FALSE,"Model";"page8",#N/A,FALSE,"Model";"page9",#N/A,FALSE,"Model";"page10",#N/A,FALSE,"Model";"page11",#N/A,FALSE,"Model";"page12",#N/A,FALSE,"Model";"page13",#N/A,FALSE,"Model"}</definedName>
    <definedName name="rehb" hidden="1">{"page1",#N/A,FALSE,"Model";"page2",#N/A,FALSE,"Model";"page3",#N/A,FALSE,"Model";"page4",#N/A,FALSE,"Model";"page5",#N/A,FALSE,"Model";"page6",#N/A,FALSE,"Model";"page7",#N/A,FALSE,"Model";"page8",#N/A,FALSE,"Model";"page9",#N/A,FALSE,"Model";"page10",#N/A,FALSE,"Model";"page11",#N/A,FALSE,"Model";"page12",#N/A,FALSE,"Model";"page13",#N/A,FALSE,"Model"}</definedName>
    <definedName name="rejbg" localSheetId="10" hidden="1">{"page1",#N/A,FALSE,"Model";"page2",#N/A,FALSE,"Model";"page3",#N/A,FALSE,"Model";"page4",#N/A,FALSE,"Model";"page5",#N/A,FALSE,"Model";"page6",#N/A,FALSE,"Model";"page7",#N/A,FALSE,"Model";"page8",#N/A,FALSE,"Model";"page9",#N/A,FALSE,"Model";"page10",#N/A,FALSE,"Model";"page11",#N/A,FALSE,"Model";"page12",#N/A,FALSE,"Model";"page13",#N/A,FALSE,"Model"}</definedName>
    <definedName name="rejbg" hidden="1">{"page1",#N/A,FALSE,"Model";"page2",#N/A,FALSE,"Model";"page3",#N/A,FALSE,"Model";"page4",#N/A,FALSE,"Model";"page5",#N/A,FALSE,"Model";"page6",#N/A,FALSE,"Model";"page7",#N/A,FALSE,"Model";"page8",#N/A,FALSE,"Model";"page9",#N/A,FALSE,"Model";"page10",#N/A,FALSE,"Model";"page11",#N/A,FALSE,"Model";"page12",#N/A,FALSE,"Model";"page13",#N/A,FALSE,"Model"}</definedName>
    <definedName name="rekjnb" localSheetId="10" hidden="1">{"page1",#N/A,FALSE,"Model";"page2",#N/A,FALSE,"Model";"page3",#N/A,FALSE,"Model";"page4",#N/A,FALSE,"Model";"page5",#N/A,FALSE,"Model";"page6",#N/A,FALSE,"Model";"page7",#N/A,FALSE,"Model";"page8",#N/A,FALSE,"Model";"page9",#N/A,FALSE,"Model";"page10",#N/A,FALSE,"Model";"page11",#N/A,FALSE,"Model";"page12",#N/A,FALSE,"Model";"page13",#N/A,FALSE,"Model"}</definedName>
    <definedName name="rekjnb" hidden="1">{"page1",#N/A,FALSE,"Model";"page2",#N/A,FALSE,"Model";"page3",#N/A,FALSE,"Model";"page4",#N/A,FALSE,"Model";"page5",#N/A,FALSE,"Model";"page6",#N/A,FALSE,"Model";"page7",#N/A,FALSE,"Model";"page8",#N/A,FALSE,"Model";"page9",#N/A,FALSE,"Model";"page10",#N/A,FALSE,"Model";"page11",#N/A,FALSE,"Model";"page12",#N/A,FALSE,"Model";"page13",#N/A,FALSE,"Model"}</definedName>
    <definedName name="relativevalue2" localSheetId="10" hidden="1">{#N/A,#N/A,FALSE,"Bakersfield PCs";#N/A,#N/A,FALSE,"Bremer PCs";#N/A,#N/A,FALSE,"Bakersfield Notebooks"}</definedName>
    <definedName name="relativevalue2" localSheetId="46" hidden="1">{#N/A,#N/A,FALSE,"Bakersfield PCs";#N/A,#N/A,FALSE,"Bremer PCs";#N/A,#N/A,FALSE,"Bakersfield Notebooks"}</definedName>
    <definedName name="relativevalue2" localSheetId="51" hidden="1">{#N/A,#N/A,FALSE,"Bakersfield PCs";#N/A,#N/A,FALSE,"Bremer PCs";#N/A,#N/A,FALSE,"Bakersfield Notebooks"}</definedName>
    <definedName name="relativevalue2" localSheetId="47" hidden="1">{#N/A,#N/A,FALSE,"Bakersfield PCs";#N/A,#N/A,FALSE,"Bremer PCs";#N/A,#N/A,FALSE,"Bakersfield Notebooks"}</definedName>
    <definedName name="relativevalue2" localSheetId="12" hidden="1">{#N/A,#N/A,FALSE,"Bakersfield PCs";#N/A,#N/A,FALSE,"Bremer PCs";#N/A,#N/A,FALSE,"Bakersfield Notebooks"}</definedName>
    <definedName name="relativevalue2" localSheetId="25" hidden="1">{#N/A,#N/A,FALSE,"Bakersfield PCs";#N/A,#N/A,FALSE,"Bremer PCs";#N/A,#N/A,FALSE,"Bakersfield Notebooks"}</definedName>
    <definedName name="relativevalue2" localSheetId="30" hidden="1">{#N/A,#N/A,FALSE,"Bakersfield PCs";#N/A,#N/A,FALSE,"Bremer PCs";#N/A,#N/A,FALSE,"Bakersfield Notebooks"}</definedName>
    <definedName name="relativevalue2" hidden="1">{#N/A,#N/A,FALSE,"Bakersfield PCs";#N/A,#N/A,FALSE,"Bremer PCs";#N/A,#N/A,FALSE,"Bakersfield Notebooks"}</definedName>
    <definedName name="relativevalue3" localSheetId="10" hidden="1">{#N/A,#N/A,FALSE,"Bakersfield PCs";#N/A,#N/A,FALSE,"Bremer PCs";#N/A,#N/A,FALSE,"Bakersfield Notebooks"}</definedName>
    <definedName name="relativevalue3" localSheetId="46" hidden="1">{#N/A,#N/A,FALSE,"Bakersfield PCs";#N/A,#N/A,FALSE,"Bremer PCs";#N/A,#N/A,FALSE,"Bakersfield Notebooks"}</definedName>
    <definedName name="relativevalue3" localSheetId="51" hidden="1">{#N/A,#N/A,FALSE,"Bakersfield PCs";#N/A,#N/A,FALSE,"Bremer PCs";#N/A,#N/A,FALSE,"Bakersfield Notebooks"}</definedName>
    <definedName name="relativevalue3" localSheetId="47" hidden="1">{#N/A,#N/A,FALSE,"Bakersfield PCs";#N/A,#N/A,FALSE,"Bremer PCs";#N/A,#N/A,FALSE,"Bakersfield Notebooks"}</definedName>
    <definedName name="relativevalue3" localSheetId="12" hidden="1">{#N/A,#N/A,FALSE,"Bakersfield PCs";#N/A,#N/A,FALSE,"Bremer PCs";#N/A,#N/A,FALSE,"Bakersfield Notebooks"}</definedName>
    <definedName name="relativevalue3" localSheetId="25" hidden="1">{#N/A,#N/A,FALSE,"Bakersfield PCs";#N/A,#N/A,FALSE,"Bremer PCs";#N/A,#N/A,FALSE,"Bakersfield Notebooks"}</definedName>
    <definedName name="relativevalue3" localSheetId="30" hidden="1">{#N/A,#N/A,FALSE,"Bakersfield PCs";#N/A,#N/A,FALSE,"Bremer PCs";#N/A,#N/A,FALSE,"Bakersfield Notebooks"}</definedName>
    <definedName name="relativevalue3" hidden="1">{#N/A,#N/A,FALSE,"Bakersfield PCs";#N/A,#N/A,FALSE,"Bremer PCs";#N/A,#N/A,FALSE,"Bakersfield Notebooks"}</definedName>
    <definedName name="Report_Divisor" hidden="1">1000</definedName>
    <definedName name="Report_Divisor_000" hidden="1">1000000</definedName>
    <definedName name="Report_ID" hidden="1">"AL"</definedName>
    <definedName name="ReportGroup" hidden="1">0</definedName>
    <definedName name="reqkj" localSheetId="10" hidden="1">{"page1",#N/A,FALSE,"Model";"page2",#N/A,FALSE,"Model";"page3",#N/A,FALSE,"Model";"page4",#N/A,FALSE,"Model";"page5",#N/A,FALSE,"Model";"page6",#N/A,FALSE,"Model";"page7",#N/A,FALSE,"Model";"page8",#N/A,FALSE,"Model";"page9",#N/A,FALSE,"Model";"page10",#N/A,FALSE,"Model";"page11",#N/A,FALSE,"Model";"page12",#N/A,FALSE,"Model";"page13",#N/A,FALSE,"Model"}</definedName>
    <definedName name="reqkj" hidden="1">{"page1",#N/A,FALSE,"Model";"page2",#N/A,FALSE,"Model";"page3",#N/A,FALSE,"Model";"page4",#N/A,FALSE,"Model";"page5",#N/A,FALSE,"Model";"page6",#N/A,FALSE,"Model";"page7",#N/A,FALSE,"Model";"page8",#N/A,FALSE,"Model";"page9",#N/A,FALSE,"Model";"page10",#N/A,FALSE,"Model";"page11",#N/A,FALSE,"Model";"page12",#N/A,FALSE,"Model";"page13",#N/A,FALSE,"Model"}</definedName>
    <definedName name="rewjg" localSheetId="10" hidden="1">{"page1",#N/A,FALSE,"Model";"page2",#N/A,FALSE,"Model";"page3",#N/A,FALSE,"Model";"page4",#N/A,FALSE,"Model";"page5",#N/A,FALSE,"Model";"page6",#N/A,FALSE,"Model";"page7",#N/A,FALSE,"Model";"page8",#N/A,FALSE,"Model";"page9",#N/A,FALSE,"Model";"page10",#N/A,FALSE,"Model";"page11",#N/A,FALSE,"Model";"page12",#N/A,FALSE,"Model";"page13",#N/A,FALSE,"Model"}</definedName>
    <definedName name="rewjg" hidden="1">{"page1",#N/A,FALSE,"Model";"page2",#N/A,FALSE,"Model";"page3",#N/A,FALSE,"Model";"page4",#N/A,FALSE,"Model";"page5",#N/A,FALSE,"Model";"page6",#N/A,FALSE,"Model";"page7",#N/A,FALSE,"Model";"page8",#N/A,FALSE,"Model";"page9",#N/A,FALSE,"Model";"page10",#N/A,FALSE,"Model";"page11",#N/A,FALSE,"Model";"page12",#N/A,FALSE,"Model";"page13",#N/A,FALSE,"Model"}</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kejbn" localSheetId="10" hidden="1">{"page1",#N/A,FALSE,"Model";"page2",#N/A,FALSE,"Model";"page3",#N/A,FALSE,"Model";"page4",#N/A,FALSE,"Model";"page5",#N/A,FALSE,"Model";"page6",#N/A,FALSE,"Model";"page7",#N/A,FALSE,"Model";"page8",#N/A,FALSE,"Model";"page9",#N/A,FALSE,"Model";"page10",#N/A,FALSE,"Model";"page11",#N/A,FALSE,"Model";"page12",#N/A,FALSE,"Model";"page13",#N/A,FALSE,"Model"}</definedName>
    <definedName name="rkejbn" hidden="1">{"page1",#N/A,FALSE,"Model";"page2",#N/A,FALSE,"Model";"page3",#N/A,FALSE,"Model";"page4",#N/A,FALSE,"Model";"page5",#N/A,FALSE,"Model";"page6",#N/A,FALSE,"Model";"page7",#N/A,FALSE,"Model";"page8",#N/A,FALSE,"Model";"page9",#N/A,FALSE,"Model";"page10",#N/A,FALSE,"Model";"page11",#N/A,FALSE,"Model";"page12",#N/A,FALSE,"Model";"page13",#N/A,FALSE,"Model"}</definedName>
    <definedName name="rlbg" localSheetId="10" hidden="1">{"page1",#N/A,FALSE,"Model";"page2",#N/A,FALSE,"Model";"page3",#N/A,FALSE,"Model";"page4",#N/A,FALSE,"Model";"page5",#N/A,FALSE,"Model";"page6",#N/A,FALSE,"Model";"page7",#N/A,FALSE,"Model";"page8",#N/A,FALSE,"Model";"page9",#N/A,FALSE,"Model";"page10",#N/A,FALSE,"Model";"page11",#N/A,FALSE,"Model";"page12",#N/A,FALSE,"Model";"page13",#N/A,FALSE,"Model"}</definedName>
    <definedName name="rlbg" hidden="1">{"page1",#N/A,FALSE,"Model";"page2",#N/A,FALSE,"Model";"page3",#N/A,FALSE,"Model";"page4",#N/A,FALSE,"Model";"page5",#N/A,FALSE,"Model";"page6",#N/A,FALSE,"Model";"page7",#N/A,FALSE,"Model";"page8",#N/A,FALSE,"Model";"page9",#N/A,FALSE,"Model";"page10",#N/A,FALSE,"Model";"page11",#N/A,FALSE,"Model";"page12",#N/A,FALSE,"Model";"page13",#N/A,FALSE,"Model"}</definedName>
    <definedName name="rmbhkd">'[18]Listing Expenses'!$F$11</definedName>
    <definedName name="rphg" localSheetId="10" hidden="1">{"page1",#N/A,FALSE,"Model";"page2",#N/A,FALSE,"Model";"page3",#N/A,FALSE,"Model";"page4",#N/A,FALSE,"Model";"page5",#N/A,FALSE,"Model";"page6",#N/A,FALSE,"Model";"page7",#N/A,FALSE,"Model";"page8",#N/A,FALSE,"Model";"page9",#N/A,FALSE,"Model";"page10",#N/A,FALSE,"Model";"page11",#N/A,FALSE,"Model";"page12",#N/A,FALSE,"Model";"page13",#N/A,FALSE,"Model"}</definedName>
    <definedName name="rphg" hidden="1">{"page1",#N/A,FALSE,"Model";"page2",#N/A,FALSE,"Model";"page3",#N/A,FALSE,"Model";"page4",#N/A,FALSE,"Model";"page5",#N/A,FALSE,"Model";"page6",#N/A,FALSE,"Model";"page7",#N/A,FALSE,"Model";"page8",#N/A,FALSE,"Model";"page9",#N/A,FALSE,"Model";"page10",#N/A,FALSE,"Model";"page11",#N/A,FALSE,"Model";"page12",#N/A,FALSE,"Model";"page13",#N/A,FALSE,"Model"}</definedName>
    <definedName name="rr" localSheetId="10" hidden="1">{#N/A,#N/A,FALSE,"Bakersfield PCs";#N/A,#N/A,FALSE,"Bremer PCs";#N/A,#N/A,FALSE,"Bakersfield Notebooks"}</definedName>
    <definedName name="rr" localSheetId="46" hidden="1">{#N/A,#N/A,FALSE,"Bakersfield PCs";#N/A,#N/A,FALSE,"Bremer PCs";#N/A,#N/A,FALSE,"Bakersfield Notebooks"}</definedName>
    <definedName name="rr" localSheetId="51" hidden="1">{#N/A,#N/A,FALSE,"Bakersfield PCs";#N/A,#N/A,FALSE,"Bremer PCs";#N/A,#N/A,FALSE,"Bakersfield Notebooks"}</definedName>
    <definedName name="rr" localSheetId="47" hidden="1">{#N/A,#N/A,FALSE,"Bakersfield PCs";#N/A,#N/A,FALSE,"Bremer PCs";#N/A,#N/A,FALSE,"Bakersfield Notebooks"}</definedName>
    <definedName name="rr" localSheetId="12" hidden="1">{#N/A,#N/A,FALSE,"Bakersfield PCs";#N/A,#N/A,FALSE,"Bremer PCs";#N/A,#N/A,FALSE,"Bakersfield Notebooks"}</definedName>
    <definedName name="rr" localSheetId="25" hidden="1">{#N/A,#N/A,FALSE,"Bakersfield PCs";#N/A,#N/A,FALSE,"Bremer PCs";#N/A,#N/A,FALSE,"Bakersfield Notebooks"}</definedName>
    <definedName name="rr" localSheetId="30" hidden="1">{#N/A,#N/A,FALSE,"Bakersfield PCs";#N/A,#N/A,FALSE,"Bremer PCs";#N/A,#N/A,FALSE,"Bakersfield Notebooks"}</definedName>
    <definedName name="rr" hidden="1">{#N/A,#N/A,FALSE,"Bakersfield PCs";#N/A,#N/A,FALSE,"Bremer PCs";#N/A,#N/A,FALSE,"Bakersfield Notebooks"}</definedName>
    <definedName name="rtbg" localSheetId="10" hidden="1">{"page1",#N/A,FALSE,"Model";"page2",#N/A,FALSE,"Model";"page3",#N/A,FALSE,"Model";"page4",#N/A,FALSE,"Model";"page5",#N/A,FALSE,"Model";"page6",#N/A,FALSE,"Model";"page7",#N/A,FALSE,"Model";"page8",#N/A,FALSE,"Model";"page9",#N/A,FALSE,"Model";"page10",#N/A,FALSE,"Model";"page11",#N/A,FALSE,"Model";"page12",#N/A,FALSE,"Model";"page13",#N/A,FALSE,"Model"}</definedName>
    <definedName name="rtbg" hidden="1">{"page1",#N/A,FALSE,"Model";"page2",#N/A,FALSE,"Model";"page3",#N/A,FALSE,"Model";"page4",#N/A,FALSE,"Model";"page5",#N/A,FALSE,"Model";"page6",#N/A,FALSE,"Model";"page7",#N/A,FALSE,"Model";"page8",#N/A,FALSE,"Model";"page9",#N/A,FALSE,"Model";"page10",#N/A,FALSE,"Model";"page11",#N/A,FALSE,"Model";"page12",#N/A,FALSE,"Model";"page13",#N/A,FALSE,"Model"}</definedName>
    <definedName name="rwn" localSheetId="10" hidden="1">{#N/A,#N/A,FALSE,"Assumptions";#N/A,#N/A,FALSE,"Factors";#N/A,#N/A,FALSE,"Model";#N/A,#N/A,FALSE,"Allocation"}</definedName>
    <definedName name="rwn" localSheetId="47" hidden="1">{#N/A,#N/A,FALSE,"Assumptions";#N/A,#N/A,FALSE,"Factors";#N/A,#N/A,FALSE,"Model";#N/A,#N/A,FALSE,"Allocation"}</definedName>
    <definedName name="rwn" hidden="1">{#N/A,#N/A,FALSE,"Assumptions";#N/A,#N/A,FALSE,"Factors";#N/A,#N/A,FALSE,"Model";#N/A,#N/A,FALSE,"Allocation"}</definedName>
    <definedName name="SAPBEXrevision" localSheetId="67" hidden="1">4</definedName>
    <definedName name="SAPBEXrevision" hidden="1">1</definedName>
    <definedName name="SAPBEXsysID" localSheetId="67" hidden="1">"BW1"</definedName>
    <definedName name="SAPBEXsysID" hidden="1">"PBL"</definedName>
    <definedName name="SAPBEXwbID" localSheetId="67" hidden="1">"8DZFG4M4NA6MVVGNLO7J4SRAY"</definedName>
    <definedName name="SAPBEXwbID" hidden="1">"3JWXP1JGVR0V27DB0INATEIH7"</definedName>
    <definedName name="SAPFuncF4Help" localSheetId="37" hidden="1">Main.SAPF4Help()</definedName>
    <definedName name="SAPFuncF4Help" localSheetId="38" hidden="1">Main.SAPF4Help()</definedName>
    <definedName name="SAPFuncF4Help" localSheetId="10" hidden="1">Main.SAPF4Help()</definedName>
    <definedName name="SAPFuncF4Help" localSheetId="4" hidden="1">Main.SAPF4Help()</definedName>
    <definedName name="SAPFuncF4Help" localSheetId="46" hidden="1">Main.SAPF4Help()</definedName>
    <definedName name="SAPFuncF4Help" localSheetId="51" hidden="1">Main.SAPF4Help()</definedName>
    <definedName name="SAPFuncF4Help" localSheetId="47" hidden="1">Main.SAPF4Help()</definedName>
    <definedName name="SAPFuncF4Help" localSheetId="50" hidden="1">Main.SAPF4Help()</definedName>
    <definedName name="SAPFuncF4Help" localSheetId="12" hidden="1">Main.SAPF4Help()</definedName>
    <definedName name="SAPFuncF4Help" localSheetId="41" hidden="1">Main.SAPF4Help()</definedName>
    <definedName name="SAPFuncF4Help" localSheetId="25" hidden="1">Main.SAPF4Help()</definedName>
    <definedName name="SAPFuncF4Help" localSheetId="15" hidden="1">Main.SAPF4Help()</definedName>
    <definedName name="SAPFuncF4Help" localSheetId="17" hidden="1">Main.SAPF4Help()</definedName>
    <definedName name="SAPFuncF4Help" localSheetId="30" hidden="1">Main.SAPF4Help()</definedName>
    <definedName name="SAPFuncF4Help" localSheetId="42" hidden="1">Main.SAPF4Help()</definedName>
    <definedName name="SAPFuncF4Help" hidden="1">Main.SAPF4Help()</definedName>
    <definedName name="sdf" localSheetId="10" hidden="1">{#N/A,"A",FALSE,"DCF"}</definedName>
    <definedName name="sdf" localSheetId="46" hidden="1">{#N/A,"A",FALSE,"DCF"}</definedName>
    <definedName name="sdf" localSheetId="51" hidden="1">{#N/A,"A",FALSE,"DCF"}</definedName>
    <definedName name="sdf" localSheetId="47" hidden="1">{#N/A,"A",FALSE,"DCF"}</definedName>
    <definedName name="sdf" localSheetId="12" hidden="1">{#N/A,"A",FALSE,"DCF"}</definedName>
    <definedName name="sdf" localSheetId="25" hidden="1">{#N/A,"A",FALSE,"DCF"}</definedName>
    <definedName name="sdf" localSheetId="30" hidden="1">{#N/A,"A",FALSE,"DCF"}</definedName>
    <definedName name="sdf" hidden="1">{#N/A,"A",FALSE,"DCF"}</definedName>
    <definedName name="sdfds" localSheetId="10" hidden="1">{#N/A,#N/A,FALSE,"e-Svc Level";#N/A,#N/A,FALSE,"e-Hosted";#N/A,#N/A,FALSE,"e-Licensed";#N/A,#N/A,FALSE,"Assumptions"}</definedName>
    <definedName name="sdfds" localSheetId="47" hidden="1">{#N/A,#N/A,FALSE,"e-Svc Level";#N/A,#N/A,FALSE,"e-Hosted";#N/A,#N/A,FALSE,"e-Licensed";#N/A,#N/A,FALSE,"Assumptions"}</definedName>
    <definedName name="sdfds" hidden="1">{#N/A,#N/A,FALSE,"e-Svc Level";#N/A,#N/A,FALSE,"e-Hosted";#N/A,#N/A,FALSE,"e-Licensed";#N/A,#N/A,FALSE,"Assumptions"}</definedName>
    <definedName name="sdfsd" localSheetId="10" hidden="1">{#N/A,#N/A,FALSE,"e-Svc Level";#N/A,#N/A,FALSE,"e-Hosted";#N/A,#N/A,FALSE,"e-Licensed";#N/A,#N/A,FALSE,"Assumptions"}</definedName>
    <definedName name="sdfsd" localSheetId="47" hidden="1">{#N/A,#N/A,FALSE,"e-Svc Level";#N/A,#N/A,FALSE,"e-Hosted";#N/A,#N/A,FALSE,"e-Licensed";#N/A,#N/A,FALSE,"Assumptions"}</definedName>
    <definedName name="sdfsd" hidden="1">{#N/A,#N/A,FALSE,"e-Svc Level";#N/A,#N/A,FALSE,"e-Hosted";#N/A,#N/A,FALSE,"e-Licensed";#N/A,#N/A,FALSE,"Assumptions"}</definedName>
    <definedName name="sdgfsg" localSheetId="10" hidden="1">{#N/A,#N/A,FALSE,"e-Svc Level";#N/A,#N/A,FALSE,"e-Hosted";#N/A,#N/A,FALSE,"e-Licensed";#N/A,#N/A,FALSE,"Assumptions"}</definedName>
    <definedName name="sdgfsg" localSheetId="47" hidden="1">{#N/A,#N/A,FALSE,"e-Svc Level";#N/A,#N/A,FALSE,"e-Hosted";#N/A,#N/A,FALSE,"e-Licensed";#N/A,#N/A,FALSE,"Assumptions"}</definedName>
    <definedName name="sdgfsg" hidden="1">{#N/A,#N/A,FALSE,"e-Svc Level";#N/A,#N/A,FALSE,"e-Hosted";#N/A,#N/A,FALSE,"e-Licensed";#N/A,#N/A,FALSE,"Assumptions"}</definedName>
    <definedName name="sencount" hidden="1">2</definedName>
    <definedName name="sgsdg" localSheetId="10" hidden="1">{#N/A,#N/A,FALSE,"e-Svc Level";#N/A,#N/A,FALSE,"e-Hosted";#N/A,#N/A,FALSE,"e-Licensed";#N/A,#N/A,FALSE,"Assumptions"}</definedName>
    <definedName name="sgsdg" localSheetId="47" hidden="1">{#N/A,#N/A,FALSE,"e-Svc Level";#N/A,#N/A,FALSE,"e-Hosted";#N/A,#N/A,FALSE,"e-Licensed";#N/A,#N/A,FALSE,"Assumptions"}</definedName>
    <definedName name="sgsdg" hidden="1">{#N/A,#N/A,FALSE,"e-Svc Level";#N/A,#N/A,FALSE,"e-Hosted";#N/A,#N/A,FALSE,"e-Licensed";#N/A,#N/A,FALSE,"Assumptions"}</definedName>
    <definedName name="Sheeet1" localSheetId="10" hidden="1">{#N/A,#N/A,FALSE,"Summary";#N/A,#N/A,FALSE,"Proforma";#N/A,#N/A,FALSE,"Tx"}</definedName>
    <definedName name="Sheeet1" localSheetId="46" hidden="1">{#N/A,#N/A,FALSE,"Summary";#N/A,#N/A,FALSE,"Proforma";#N/A,#N/A,FALSE,"Tx"}</definedName>
    <definedName name="Sheeet1" localSheetId="51" hidden="1">{#N/A,#N/A,FALSE,"Summary";#N/A,#N/A,FALSE,"Proforma";#N/A,#N/A,FALSE,"Tx"}</definedName>
    <definedName name="Sheeet1" localSheetId="47" hidden="1">{#N/A,#N/A,FALSE,"Summary";#N/A,#N/A,FALSE,"Proforma";#N/A,#N/A,FALSE,"Tx"}</definedName>
    <definedName name="Sheeet1" localSheetId="12" hidden="1">{#N/A,#N/A,FALSE,"Summary";#N/A,#N/A,FALSE,"Proforma";#N/A,#N/A,FALSE,"Tx"}</definedName>
    <definedName name="Sheeet1" localSheetId="25" hidden="1">{#N/A,#N/A,FALSE,"Summary";#N/A,#N/A,FALSE,"Proforma";#N/A,#N/A,FALSE,"Tx"}</definedName>
    <definedName name="Sheeet1" localSheetId="30" hidden="1">{#N/A,#N/A,FALSE,"Summary";#N/A,#N/A,FALSE,"Proforma";#N/A,#N/A,FALSE,"Tx"}</definedName>
    <definedName name="Sheeet1" hidden="1">{#N/A,#N/A,FALSE,"Summary";#N/A,#N/A,FALSE,"Proforma";#N/A,#N/A,FALSE,"Tx"}</definedName>
    <definedName name="sheet" localSheetId="10" hidden="1">{#N/A,#N/A,FALSE,"Summary";#N/A,#N/A,FALSE,"Proforma";#N/A,#N/A,FALSE,"Tx"}</definedName>
    <definedName name="sheet" localSheetId="46" hidden="1">{#N/A,#N/A,FALSE,"Summary";#N/A,#N/A,FALSE,"Proforma";#N/A,#N/A,FALSE,"Tx"}</definedName>
    <definedName name="sheet" localSheetId="51" hidden="1">{#N/A,#N/A,FALSE,"Summary";#N/A,#N/A,FALSE,"Proforma";#N/A,#N/A,FALSE,"Tx"}</definedName>
    <definedName name="sheet" localSheetId="47" hidden="1">{#N/A,#N/A,FALSE,"Summary";#N/A,#N/A,FALSE,"Proforma";#N/A,#N/A,FALSE,"Tx"}</definedName>
    <definedName name="sheet" localSheetId="12" hidden="1">{#N/A,#N/A,FALSE,"Summary";#N/A,#N/A,FALSE,"Proforma";#N/A,#N/A,FALSE,"Tx"}</definedName>
    <definedName name="sheet" localSheetId="25" hidden="1">{#N/A,#N/A,FALSE,"Summary";#N/A,#N/A,FALSE,"Proforma";#N/A,#N/A,FALSE,"Tx"}</definedName>
    <definedName name="sheet" localSheetId="30" hidden="1">{#N/A,#N/A,FALSE,"Summary";#N/A,#N/A,FALSE,"Proforma";#N/A,#N/A,FALSE,"Tx"}</definedName>
    <definedName name="sheet" hidden="1">{#N/A,#N/A,FALSE,"Summary";#N/A,#N/A,FALSE,"Proforma";#N/A,#N/A,FALSE,"Tx"}</definedName>
    <definedName name="sheet1" localSheetId="10" hidden="1">{#N/A,#N/A,FALSE,"Summary";#N/A,#N/A,FALSE,"Proforma";#N/A,#N/A,FALSE,"Tx"}</definedName>
    <definedName name="sheet1" localSheetId="46" hidden="1">{#N/A,#N/A,FALSE,"Summary";#N/A,#N/A,FALSE,"Proforma";#N/A,#N/A,FALSE,"Tx"}</definedName>
    <definedName name="sheet1" localSheetId="51" hidden="1">{#N/A,#N/A,FALSE,"Summary";#N/A,#N/A,FALSE,"Proforma";#N/A,#N/A,FALSE,"Tx"}</definedName>
    <definedName name="sheet1" localSheetId="47" hidden="1">{#N/A,#N/A,FALSE,"Summary";#N/A,#N/A,FALSE,"Proforma";#N/A,#N/A,FALSE,"Tx"}</definedName>
    <definedName name="sheet1" localSheetId="12" hidden="1">{#N/A,#N/A,FALSE,"Summary";#N/A,#N/A,FALSE,"Proforma";#N/A,#N/A,FALSE,"Tx"}</definedName>
    <definedName name="sheet1" localSheetId="25" hidden="1">{#N/A,#N/A,FALSE,"Summary";#N/A,#N/A,FALSE,"Proforma";#N/A,#N/A,FALSE,"Tx"}</definedName>
    <definedName name="sheet1" localSheetId="30" hidden="1">{#N/A,#N/A,FALSE,"Summary";#N/A,#N/A,FALSE,"Proforma";#N/A,#N/A,FALSE,"Tx"}</definedName>
    <definedName name="sheet1" hidden="1">{#N/A,#N/A,FALSE,"Summary";#N/A,#N/A,FALSE,"Proforma";#N/A,#N/A,FALSE,"Tx"}</definedName>
    <definedName name="smow" localSheetId="10" hidden="1">{#N/A,#N/A,FALSE,"Factors"}</definedName>
    <definedName name="smow" localSheetId="47" hidden="1">{#N/A,#N/A,FALSE,"Factors"}</definedName>
    <definedName name="smow" hidden="1">{#N/A,#N/A,FALSE,"Factors"}</definedName>
    <definedName name="solver_adj" localSheetId="12" hidden="1">'Hybrid OPM'!$J$40</definedName>
    <definedName name="solver_cvg" localSheetId="12" hidden="1">0.0001</definedName>
    <definedName name="solver_cvg" hidden="1">0.001</definedName>
    <definedName name="solver_drv" localSheetId="12" hidden="1">1</definedName>
    <definedName name="solver_drv" hidden="1">1</definedName>
    <definedName name="solver_eng" localSheetId="12" hidden="1">1</definedName>
    <definedName name="solver_est" localSheetId="12" hidden="1">1</definedName>
    <definedName name="solver_est" hidden="1">1</definedName>
    <definedName name="solver_itr" localSheetId="12" hidden="1">2147483647</definedName>
    <definedName name="solver_itr" hidden="1">100</definedName>
    <definedName name="solver_lin" hidden="1">0</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eg" hidden="1">2</definedName>
    <definedName name="solver_nod" localSheetId="12" hidden="1">2147483647</definedName>
    <definedName name="solver_num" localSheetId="12" hidden="1">0</definedName>
    <definedName name="solver_num" hidden="1">0</definedName>
    <definedName name="solver_nwt" localSheetId="12" hidden="1">1</definedName>
    <definedName name="solver_nwt" hidden="1">1</definedName>
    <definedName name="solver_opt" localSheetId="12" hidden="1">'Hybrid OPM'!$C$56</definedName>
    <definedName name="solver_pre" localSheetId="12" hidden="1">0.000001</definedName>
    <definedName name="solver_pre" hidden="1">0.000001</definedName>
    <definedName name="solver_rbv" localSheetId="12" hidden="1">1</definedName>
    <definedName name="solver_rlx" localSheetId="12" hidden="1">2</definedName>
    <definedName name="solver_rsd" localSheetId="12" hidden="1">0</definedName>
    <definedName name="solver_scl" localSheetId="12" hidden="1">1</definedName>
    <definedName name="solver_scl" hidden="1">2</definedName>
    <definedName name="solver_sho" localSheetId="12" hidden="1">2</definedName>
    <definedName name="solver_sho" hidden="1">2</definedName>
    <definedName name="solver_ssz" localSheetId="12" hidden="1">100</definedName>
    <definedName name="solver_tim" localSheetId="12" hidden="1">2147483647</definedName>
    <definedName name="solver_tim" hidden="1">100</definedName>
    <definedName name="solver_tol" localSheetId="12" hidden="1">0.01</definedName>
    <definedName name="solver_tol" hidden="1">0.05</definedName>
    <definedName name="solver_typ" localSheetId="12" hidden="1">3</definedName>
    <definedName name="solver_typ" hidden="1">3</definedName>
    <definedName name="solver_val" localSheetId="12" hidden="1">0</definedName>
    <definedName name="solver_val" hidden="1">0</definedName>
    <definedName name="solver_ver" localSheetId="12" hidden="1">3</definedName>
    <definedName name="Ss" localSheetId="10" hidden="1">{#N/A,#N/A,FALSE,"Model";#N/A,#N/A,FALSE,"Gen Pts &amp; Rts 2000";#N/A,#N/A,FALSE,"AcqsAss";#N/A,#N/A,FALSE,"Acqs &amp; De Novos"}</definedName>
    <definedName name="Ss" localSheetId="46" hidden="1">{#N/A,#N/A,FALSE,"Model";#N/A,#N/A,FALSE,"Gen Pts &amp; Rts 2000";#N/A,#N/A,FALSE,"AcqsAss";#N/A,#N/A,FALSE,"Acqs &amp; De Novos"}</definedName>
    <definedName name="Ss" localSheetId="51" hidden="1">{#N/A,#N/A,FALSE,"Model";#N/A,#N/A,FALSE,"Gen Pts &amp; Rts 2000";#N/A,#N/A,FALSE,"AcqsAss";#N/A,#N/A,FALSE,"Acqs &amp; De Novos"}</definedName>
    <definedName name="Ss" localSheetId="47" hidden="1">{#N/A,#N/A,FALSE,"Model";#N/A,#N/A,FALSE,"Gen Pts &amp; Rts 2000";#N/A,#N/A,FALSE,"AcqsAss";#N/A,#N/A,FALSE,"Acqs &amp; De Novos"}</definedName>
    <definedName name="Ss" localSheetId="12" hidden="1">{#N/A,#N/A,FALSE,"Model";#N/A,#N/A,FALSE,"Gen Pts &amp; Rts 2000";#N/A,#N/A,FALSE,"AcqsAss";#N/A,#N/A,FALSE,"Acqs &amp; De Novos"}</definedName>
    <definedName name="Ss" localSheetId="25" hidden="1">{#N/A,#N/A,FALSE,"Model";#N/A,#N/A,FALSE,"Gen Pts &amp; Rts 2000";#N/A,#N/A,FALSE,"AcqsAss";#N/A,#N/A,FALSE,"Acqs &amp; De Novos"}</definedName>
    <definedName name="Ss" localSheetId="30" hidden="1">{#N/A,#N/A,FALSE,"Model";#N/A,#N/A,FALSE,"Gen Pts &amp; Rts 2000";#N/A,#N/A,FALSE,"AcqsAss";#N/A,#N/A,FALSE,"Acqs &amp; De Novos"}</definedName>
    <definedName name="Ss" hidden="1">{#N/A,#N/A,FALSE,"Model";#N/A,#N/A,FALSE,"Gen Pts &amp; Rts 2000";#N/A,#N/A,FALSE,"AcqsAss";#N/A,#N/A,FALSE,"Acqs &amp; De Novos"}</definedName>
    <definedName name="steve" localSheetId="10" hidden="1">{#N/A,#N/A,FALSE,"Bakersfield PCs";#N/A,#N/A,FALSE,"Bremer PCs";#N/A,#N/A,FALSE,"Bakersfield Notebooks"}</definedName>
    <definedName name="steve" localSheetId="46" hidden="1">{#N/A,#N/A,FALSE,"Bakersfield PCs";#N/A,#N/A,FALSE,"Bremer PCs";#N/A,#N/A,FALSE,"Bakersfield Notebooks"}</definedName>
    <definedName name="steve" localSheetId="51" hidden="1">{#N/A,#N/A,FALSE,"Bakersfield PCs";#N/A,#N/A,FALSE,"Bremer PCs";#N/A,#N/A,FALSE,"Bakersfield Notebooks"}</definedName>
    <definedName name="steve" localSheetId="47" hidden="1">{#N/A,#N/A,FALSE,"Bakersfield PCs";#N/A,#N/A,FALSE,"Bremer PCs";#N/A,#N/A,FALSE,"Bakersfield Notebooks"}</definedName>
    <definedName name="steve" localSheetId="12" hidden="1">{#N/A,#N/A,FALSE,"Bakersfield PCs";#N/A,#N/A,FALSE,"Bremer PCs";#N/A,#N/A,FALSE,"Bakersfield Notebooks"}</definedName>
    <definedName name="steve" localSheetId="25" hidden="1">{#N/A,#N/A,FALSE,"Bakersfield PCs";#N/A,#N/A,FALSE,"Bremer PCs";#N/A,#N/A,FALSE,"Bakersfield Notebooks"}</definedName>
    <definedName name="steve" localSheetId="30" hidden="1">{#N/A,#N/A,FALSE,"Bakersfield PCs";#N/A,#N/A,FALSE,"Bremer PCs";#N/A,#N/A,FALSE,"Bakersfield Notebooks"}</definedName>
    <definedName name="steve" hidden="1">{#N/A,#N/A,FALSE,"Bakersfield PCs";#N/A,#N/A,FALSE,"Bremer PCs";#N/A,#N/A,FALSE,"Bakersfield Notebooks"}</definedName>
    <definedName name="steve2" localSheetId="10" hidden="1">{#N/A,#N/A,FALSE,"Bakersfield PCs";#N/A,#N/A,FALSE,"Bremer PCs";#N/A,#N/A,FALSE,"Bakersfield Notebooks"}</definedName>
    <definedName name="steve2" localSheetId="46" hidden="1">{#N/A,#N/A,FALSE,"Bakersfield PCs";#N/A,#N/A,FALSE,"Bremer PCs";#N/A,#N/A,FALSE,"Bakersfield Notebooks"}</definedName>
    <definedName name="steve2" localSheetId="51" hidden="1">{#N/A,#N/A,FALSE,"Bakersfield PCs";#N/A,#N/A,FALSE,"Bremer PCs";#N/A,#N/A,FALSE,"Bakersfield Notebooks"}</definedName>
    <definedName name="steve2" localSheetId="47" hidden="1">{#N/A,#N/A,FALSE,"Bakersfield PCs";#N/A,#N/A,FALSE,"Bremer PCs";#N/A,#N/A,FALSE,"Bakersfield Notebooks"}</definedName>
    <definedName name="steve2" localSheetId="12" hidden="1">{#N/A,#N/A,FALSE,"Bakersfield PCs";#N/A,#N/A,FALSE,"Bremer PCs";#N/A,#N/A,FALSE,"Bakersfield Notebooks"}</definedName>
    <definedName name="steve2" localSheetId="25" hidden="1">{#N/A,#N/A,FALSE,"Bakersfield PCs";#N/A,#N/A,FALSE,"Bremer PCs";#N/A,#N/A,FALSE,"Bakersfield Notebooks"}</definedName>
    <definedName name="steve2" localSheetId="30" hidden="1">{#N/A,#N/A,FALSE,"Bakersfield PCs";#N/A,#N/A,FALSE,"Bremer PCs";#N/A,#N/A,FALSE,"Bakersfield Notebooks"}</definedName>
    <definedName name="steve2" hidden="1">{#N/A,#N/A,FALSE,"Bakersfield PCs";#N/A,#N/A,FALSE,"Bremer PCs";#N/A,#N/A,FALSE,"Bakersfield Notebooks"}</definedName>
    <definedName name="suckit" localSheetId="37" hidden="1">#REF!</definedName>
    <definedName name="suckit" localSheetId="38" hidden="1">#REF!</definedName>
    <definedName name="suckit" localSheetId="4" hidden="1">#REF!</definedName>
    <definedName name="suckit" localSheetId="46" hidden="1">#REF!</definedName>
    <definedName name="suckit" localSheetId="47" hidden="1">#REF!</definedName>
    <definedName name="suckit" localSheetId="50" hidden="1">#REF!</definedName>
    <definedName name="suckit" localSheetId="41" hidden="1">#REF!</definedName>
    <definedName name="suckit" localSheetId="15" hidden="1">#REF!</definedName>
    <definedName name="suckit" localSheetId="17" hidden="1">#REF!</definedName>
    <definedName name="suckit" localSheetId="30" hidden="1">#REF!</definedName>
    <definedName name="suckit" localSheetId="42" hidden="1">#REF!</definedName>
    <definedName name="suckit" hidden="1">#REF!</definedName>
    <definedName name="swhtbr" localSheetId="10" hidden="1">{"page1",#N/A,FALSE,"Model";"page2",#N/A,FALSE,"Model";"page3",#N/A,FALSE,"Model";"page4",#N/A,FALSE,"Model";"page5",#N/A,FALSE,"Model";"page6",#N/A,FALSE,"Model";"page7",#N/A,FALSE,"Model";"page8",#N/A,FALSE,"Model";"page9",#N/A,FALSE,"Model";"page10",#N/A,FALSE,"Model";"page11",#N/A,FALSE,"Model";"page12",#N/A,FALSE,"Model";"page13",#N/A,FALSE,"Model"}</definedName>
    <definedName name="swhtbr" hidden="1">{"page1",#N/A,FALSE,"Model";"page2",#N/A,FALSE,"Model";"page3",#N/A,FALSE,"Model";"page4",#N/A,FALSE,"Model";"page5",#N/A,FALSE,"Model";"page6",#N/A,FALSE,"Model";"page7",#N/A,FALSE,"Model";"page8",#N/A,FALSE,"Model";"page9",#N/A,FALSE,"Model";"page10",#N/A,FALSE,"Model";"page11",#N/A,FALSE,"Model";"page12",#N/A,FALSE,"Model";"page13",#N/A,FALSE,"Model"}</definedName>
    <definedName name="t" localSheetId="10" hidden="1">{"bs",#N/A,FALSE,"SCF"}</definedName>
    <definedName name="t" localSheetId="46" hidden="1">{"bs",#N/A,FALSE,"SCF"}</definedName>
    <definedName name="t" localSheetId="51" hidden="1">{"bs",#N/A,FALSE,"SCF"}</definedName>
    <definedName name="t" localSheetId="47" hidden="1">{"bs",#N/A,FALSE,"SCF"}</definedName>
    <definedName name="t" localSheetId="12" hidden="1">{"bs",#N/A,FALSE,"SCF"}</definedName>
    <definedName name="t" localSheetId="25" hidden="1">{"bs",#N/A,FALSE,"SCF"}</definedName>
    <definedName name="t" localSheetId="30" hidden="1">{"bs",#N/A,FALSE,"SCF"}</definedName>
    <definedName name="t" hidden="1">{"bs",#N/A,FALSE,"SCF"}</definedName>
    <definedName name="TB009a82ea_5b95_4079_b9c0_f32a1a9299a7" hidden="1" xml:space="preserve">                [19]WASH!$C$102</definedName>
    <definedName name="TB023556c5_0f12_4f0d_85a0_716139889348" hidden="1" xml:space="preserve">        '[19]BIO Cayman'!$C$100</definedName>
    <definedName name="TB042e7f46_4caa_47de_a649_ea3e2167e62d" hidden="1" xml:space="preserve">            '[19]GB Invest'!$C$60</definedName>
    <definedName name="TB04b5058b_d634_49ed_92cc_f37c83dfec7b" hidden="1" xml:space="preserve">    '[19]FY2012 (BIO Group IFRS)'!$H$82</definedName>
    <definedName name="TB0547d078_c806_4ec4_8f52_b822921e0b96" hidden="1" xml:space="preserve">    '[19]FY2015 (BIO Group IFRS)'!$N$13</definedName>
    <definedName name="TB06af6305_d4a7_42d5_ab25_e5b9675abc8a" hidden="1" xml:space="preserve">                '[19]FY2013 (BIO Group IFRS)'!$K$12</definedName>
    <definedName name="TB076cb1f5_29b1_4ae2_be23_6a9ca9fad460" hidden="1" xml:space="preserve">                                                                                                                                                                                                '[19]FY2014 (BIO Group IFRS)'!$L$52</definedName>
    <definedName name="TB08f36e29_10f0_4545_a58a_c62a46ce4033" hidden="1" xml:space="preserve">                                                                                                                                                                                                                    '[19]FY2012 (BIO Group IFRS)'!$D$99</definedName>
    <definedName name="TB0cb115c3_4137_44c1_acca_4825c5ffa85f" hidden="1" xml:space="preserve">                                    '[19]FY2013 (BIO Group IFRS)'!$K$21</definedName>
    <definedName name="TB0d4e049a_f58a_44d7_8087_acec70758a97" hidden="1" xml:space="preserve">                                                                                                                                                                                        '[19]FY2012 (BIO Group IFRS)'!$H$57</definedName>
    <definedName name="TB0dc579dc_c598_41e0_88b1_cf7368bbeb72" hidden="1" xml:space="preserve">                                                                        '[19]FY2015 (BIO Group IFRS)'!$N$97</definedName>
    <definedName name="TB0fce5c8e_82d2_408a_a747_21ea31917ca6" hidden="1" xml:space="preserve">    [19]BIOHLD!$C$18</definedName>
    <definedName name="TB11374ecd_d770_40a7_9838_7668e72061ab" hidden="1" xml:space="preserve">                                                                                                                                                                        '[19]FY2012 (BIO Group IFRS)'!$H$33</definedName>
    <definedName name="TB11696a69_f51d_4eca_9cc3_de2298a5e3cf" hidden="1" xml:space="preserve">                                                                                                                    '[19]FY2014 (BIO Group IFRS)'!$L$9</definedName>
    <definedName name="TB15f02202_cd5d_466b_b0d0_14e8a88e421c" hidden="1" xml:space="preserve">                                                                                                                                                        '[19]FY2012 (BIO Group IFRS)'!$E$18</definedName>
    <definedName name="TB17f235bf_d931_455e_9e82_65bfe51efd42" hidden="1" xml:space="preserve">            [19]WABIO!$C$104</definedName>
    <definedName name="TB18b637ea_4fea_4f54_98ec_ba03fc9eb614" hidden="1" xml:space="preserve">                                                                                                        '[19]FY2012 (BIO Group IFRS)'!$C$78</definedName>
    <definedName name="TB19b86666_db13_4f60_9e43_f721a4ed09d6" hidden="1" xml:space="preserve">                                                                                                                                                                                '[19]FY2012 (BIO Group IFRS)'!$E$69</definedName>
    <definedName name="TB1a97e967_c904_4e04_9477_fb03b7e01405" hidden="1" xml:space="preserve">                                '[19]FY2012 (BIO Group IFRS)'!$C$10</definedName>
    <definedName name="TB1e1cfad0_6142_4475_94e8_a05bf56a5cf3" hidden="1" xml:space="preserve">                                                                                                                                    '[19]FY2012 (BIO Group IFRS)'!$H$9</definedName>
    <definedName name="TB1fdca360_333f_4ca6_a6ff_34628b8070b2" hidden="1" xml:space="preserve">                    '[19]FY2013 (BIO Group IFRS)'!$K$13</definedName>
    <definedName name="TB20ce2d8e_a0dc_45f6_a199_c91bb55d9687" hidden="1" xml:space="preserve">                                                                                                        '[19]FY2015 (BIO Group IFRS)'!$N$111</definedName>
    <definedName name="TB20d0db41_4189_4045_9f49_535f3f2d2302" hidden="1" xml:space="preserve">                                                                                                                            '[19]FY2014 (BIO Group IFRS)'!$L$13</definedName>
    <definedName name="TB20d9e691_0dbb_4bf6_9ac4_7f1f5ed64858" hidden="1" xml:space="preserve">        [19]BIOHLD!$C$60</definedName>
    <definedName name="TB21c61dba_6cc8_4a46_a2c9_ebfdc42cb3f5" hidden="1" xml:space="preserve">                                    '[19]FY2015 (BIO Group IFRS)'!$N$54</definedName>
    <definedName name="TB26bed4f7_2682_4dad_a4f1_33a36320f560" hidden="1" xml:space="preserve">                                                                                                                                                                                        '[19]FY2012 (BIO Group IFRS)'!$E$79</definedName>
    <definedName name="TB2745cc33_d695_4924_8ef4_15f87e7f0972" hidden="1" xml:space="preserve">        '[19]FY2015 (BIO Group IFRS)'!$N$36</definedName>
    <definedName name="TB280a274d_b3c2_4a0d_9f65_c0858857b530" hidden="1" xml:space="preserve">                                                                                                                                                                                                    '[19]FY2014 (BIO Group IFRS)'!$L$69</definedName>
    <definedName name="TB28e1bf40_f831_4f04_b49c_467c2bbad0a7" hidden="1" xml:space="preserve">    [19]BIOHLD!$C$79</definedName>
    <definedName name="TB2913ba59_5f1e_414b_9a92_32bb0f153986" hidden="1" xml:space="preserve">    '[19]FY2014 (BIO Group IFRS)'!$L$87</definedName>
    <definedName name="TB294d94c6_88ec_417e_bb43_09d532003527" hidden="1" xml:space="preserve">        [19]BIOHLD!$G$100</definedName>
    <definedName name="TB2c3b0532_6b34_42a1_a4b5_3d1241c8fb93" hidden="1" xml:space="preserve">                                                                                                                                                            '[19]FY2014 (BIO Group IFRS)'!$L$33</definedName>
    <definedName name="TB2df89116_def6_492e_ab48_24920a3db4c2" hidden="1" xml:space="preserve">                                                                                                            '[19]FY2013 (BIO Group IFRS)'!$K$98</definedName>
    <definedName name="TB2e5eac19_8001_4633_bda3_0fd0db13d3ad" hidden="1" xml:space="preserve">                                                                                                                                                                                                        '[19]FY2014 (BIO Group IFRS)'!$L$79</definedName>
    <definedName name="TB2faf1844_f4e9_45e0_b874_4f8b92c33f8c" hidden="1" xml:space="preserve">        '[19]BIO Cayman'!$C$145</definedName>
    <definedName name="TB3045fcb2_2e22_4be8_b24d_b2a5d70aadd8" hidden="1" xml:space="preserve">                                                                                                                                '[19]FY2012 (BIO Group IFRS)'!$C$98</definedName>
    <definedName name="TB36b4e136_d7ee_485c_9907_c2c397238ecd" hidden="1" xml:space="preserve">        '[19]GB Invest'!$C$30</definedName>
    <definedName name="TB36c8a4cf_4027_4b32_8f86_16e44808dc85" hidden="1" xml:space="preserve">        '[19]GB Invest'!$C$10</definedName>
    <definedName name="TB372ef07e_4d49_4cd1_a3c8_4bbe7ab6be57" hidden="1" xml:space="preserve">                                                                                                                        '[19]FY2013 (BIO Group IFRS)'!$K$107</definedName>
    <definedName name="TB3a05af06_e094_4079_8ce1_66d022de0e3b" hidden="1" xml:space="preserve">                [19]BIOSH!$G$130</definedName>
    <definedName name="TB3a683def_05a1_4bd5_97b8_d8058acaa3f3" hidden="1" xml:space="preserve">                                                                                                                                                    '[19]FY2012 (BIO Group IFRS)'!$E$13</definedName>
    <definedName name="TB3bf6e986_af86_48c7_9251_1fccd5acb7ee" hidden="1" xml:space="preserve">                                                                                        '[19]FY2012 (BIO Group IFRS)'!$C$53</definedName>
    <definedName name="TB3bf9abff_1527_49b0_a9a6_48fb04c03437" hidden="1" xml:space="preserve">                                                                                                                                                                '[19]FY2012 (BIO Group IFRS)'!$H$31</definedName>
    <definedName name="TB3c28a1a1_e512_42f5_b2ec_423e136d8e8f" hidden="1" xml:space="preserve">                                                '[19]FY2012 (BIO Group IFRS)'!$C$18</definedName>
    <definedName name="TB3c4aa6cb_f599_45b1_b649_fdbbcd7a20f9" hidden="1" xml:space="preserve">                                                                                                                                                                                                                '[19]FY2012 (BIO Group IFRS)'!$D$78</definedName>
    <definedName name="TB3cc0091e_dae5_412d_93ac_560a3fcf161f" hidden="1" xml:space="preserve">                                '[19]FY2013 (BIO Group IFRS)'!$K$18</definedName>
    <definedName name="TB3e3f409b_02bf_4c75_acb4_cffc2cbedfa3" hidden="1" xml:space="preserve">                [19]WASH!$C$99</definedName>
    <definedName name="TB3e69021d_ebca_4f21_a348_66ab95dc0438" hidden="1" xml:space="preserve">                                                                                    '[19]FY2013 (BIO Group IFRS)'!$K$79</definedName>
    <definedName name="TB3ee4cef3_670a_4b7e_81f8_1b597d13803b" hidden="1" xml:space="preserve">    '[19]FY2015 (BIO Group IFRS)'!$N$9</definedName>
    <definedName name="TB427b89fd_2629_4e22_9287_b1834706e9f7" hidden="1" xml:space="preserve">                                                                                                                                                                    '[19]FY2012 (BIO Group IFRS)'!$E$33</definedName>
    <definedName name="TB44adfa6d_0f40_4c29_a9de_a3c710a8814b" hidden="1" xml:space="preserve">                        '[19]FY2013 (BIO Group IFRS)'!$K$14</definedName>
    <definedName name="TB45171ce9_6bf4_4651_bb5c_9842f7af3fa2" hidden="1" xml:space="preserve">    '[19]FY2012 (BIO Group IFRS)'!$E$51</definedName>
    <definedName name="TB4528b77a_a88a_46d1_bf15_1c3c5f87e0a6" hidden="1" xml:space="preserve">                                                                                                                                                                                    '[19]FY2014 (BIO Group IFRS)'!$L$53</definedName>
    <definedName name="TB45479eab_7ec2_42d5_b39a_ee65e84c96e0" hidden="1" xml:space="preserve">                                                                                                                                                                            '[19]FY2012 (BIO Group IFRS)'!$H$36</definedName>
    <definedName name="TB463e9a25_b2ec_4d41_89f9_f1fabe623a18" hidden="1" xml:space="preserve">        '[19]GB Invest'!$G$88</definedName>
    <definedName name="TB4758550e_c454_4727_998f_a9b011e53a74" hidden="1" xml:space="preserve">    '[19]FY2014 (BIO Group IFRS)'!$L$129</definedName>
    <definedName name="TB47d27f35_780f_4726_a968_264e50737d5b" hidden="1" xml:space="preserve">                                                '[19]FY2015 (BIO Group IFRS)'!$N$79</definedName>
    <definedName name="TB4843ede0_a051_47bc_83b6_570a3d93b2d9" hidden="1" xml:space="preserve">                                                                '[19]FY2012 (BIO Group IFRS)'!$C$33</definedName>
    <definedName name="TB48d99111_a5f2_4dc3_ab81_90446cb9ea43" hidden="1" xml:space="preserve">                                                                                                                                            '[19]FY2012 (BIO Group IFRS)'!$H$13</definedName>
    <definedName name="TB496d00bb_6500_4fd1_8ce4_6cda14fb5dba" hidden="1" xml:space="preserve">                [19]BIOSH!$G$83</definedName>
    <definedName name="TB49943361_8060_446a_aaa8_fd5b1f888087" hidden="1" xml:space="preserve">                [19]BIOHLD!$G$30</definedName>
    <definedName name="TB499bf86c_86bd_4a09_bac8_1c3207cbbf3a" hidden="1" xml:space="preserve">                                                                                                                                                                                                        '[19]FY2012 (BIO Group IFRS)'!$H$59</definedName>
    <definedName name="TB4a4d0839_4b8f_40a1_8b83_a0819c0f6cf8" hidden="1" xml:space="preserve">                                                                                                                                                                                                        '[19]FY2012 (BIO Group IFRS)'!$D$9</definedName>
    <definedName name="TB4a54fd96_f4ad_4a0c_b00e_2b7242720def" hidden="1" xml:space="preserve">                    '[19]FY2015 (BIO Group IFRS)'!$N$51</definedName>
    <definedName name="TB4cd2b5bd_c269_4901_871e_72bc995371fb" hidden="1" xml:space="preserve">                                                                                                            '[19]FY2015 (BIO Group IFRS)'!$N$21</definedName>
    <definedName name="TB4ff0c915_19c0_4660_802d_4c6820948e5c" hidden="1" xml:space="preserve">                                                                                            '[19]FY2015 (BIO Group IFRS)'!$N$101</definedName>
    <definedName name="TB50590b34_3be1_424c_8174_a8ea1ed10804" hidden="1" xml:space="preserve">                '[19]GB Invest'!$G$58</definedName>
    <definedName name="TB50e72efe_3872_4856_a49e_bd50358ebe95" hidden="1" xml:space="preserve">                                                                        '[19]FY2013 (BIO Group IFRS)'!$K$54</definedName>
    <definedName name="TB51993f17_4a5d_40c9_a3f5_2e5932a34812" hidden="1" xml:space="preserve">                                                                                                                                                '[19]FY2012 (BIO Group IFRS)'!$C$111</definedName>
    <definedName name="TB5257823b_cbb6_4738_a2be_d61f29743685" hidden="1" xml:space="preserve">                                '[19]FY2015 (BIO Group IFRS)'!$N$53</definedName>
    <definedName name="TB533217a5_8a01_48b0_bf99_f62157823dd3" hidden="1" xml:space="preserve">                                        '[19]FY2015 (BIO Group IFRS)'!$N$58</definedName>
    <definedName name="TB570f81cd_be85_4bb4_b72f_17eaed3831da" hidden="1" xml:space="preserve">                                                                                        '[19]FY2013 (BIO Group IFRS)'!$K$82</definedName>
    <definedName name="TB580c6d4e_5d9a_4441_931f_e176465772bf" hidden="1" xml:space="preserve">    '[19]FY2012 (BIO Group IFRS)'!$H$129</definedName>
    <definedName name="TB598ea891_95fd_4720_b019_70fbdfc93c84" hidden="1" xml:space="preserve">                                                                                                            '[19]FY2012 (BIO Group IFRS)'!$C$144</definedName>
    <definedName name="TB5a30eb45_cd17_4e48_a353_c1bfb41acb31" hidden="1" xml:space="preserve">                                                                                                                                                                                                '[19]FY2012 (BIO Group IFRS)'!$H$53</definedName>
    <definedName name="TB5a8e3a85_6a76_4bad_8167_b5b85539e359" hidden="1" xml:space="preserve">            '[19]FY2015 (BIO Group IFRS)'!$N$38</definedName>
    <definedName name="TB5b753369_07d5_472d_89b0_71c0dfd7cab3" hidden="1" xml:space="preserve">                                                                                '[19]FY2012 (BIO Group IFRS)'!$C$52</definedName>
    <definedName name="TB5bf940d2_789c_4658_8eab_db6b081c0d04" hidden="1" xml:space="preserve">                                                                                                    '[19]FY2012 (BIO Group IFRS)'!$C$69</definedName>
    <definedName name="TB5c8072bf_cac2_4959_8668_a91f584bd3f8" hidden="1" xml:space="preserve">                                                                                                                        '[19]FY2014 (BIO Group IFRS)'!$L$10</definedName>
    <definedName name="TB60feb513_de17_4301_8a31_0c1ae4aaf6a5" hidden="1" xml:space="preserve">                                                            '[19]FY2015 (BIO Group IFRS)'!$N$87</definedName>
    <definedName name="TB63c85067_43bc_4df1_92bd_5e67042d8b16" hidden="1" xml:space="preserve">        '[19]FY2013 (BIO Group IFRS)'!$K$87</definedName>
    <definedName name="TB66f7ec4a_9c86_4021_8fb0_8b0f583d44dd" hidden="1" xml:space="preserve">        '[19]GB Invest'!$G$100</definedName>
    <definedName name="TB67b724f2_09b0_4ec2_9017_f088f89d89a8" hidden="1" xml:space="preserve">                                                                                            '[19]FY2013 (BIO Group IFRS)'!$K$144</definedName>
    <definedName name="TB69c9fc98_1e27_4df5_b01d_6e3594b2c6e2" hidden="1" xml:space="preserve">                                                                                                                                                                                                                                                            '[19]FY2012 (BIO Group IFRS)'!$E$57</definedName>
    <definedName name="TB6a9f53c6_5a2c_43fe_9dcc_e8f113956cc8" hidden="1" xml:space="preserve">                            '[19]FY2013 (BIO Group IFRS)'!$K$17</definedName>
    <definedName name="TB6bfdcc4e_6ddc_4a26_bcf0_f05154be67df" hidden="1" xml:space="preserve">                                                                                        '[19]FY2015 (BIO Group IFRS)'!$N$100</definedName>
    <definedName name="TB6c2df393_7dd6_4786_9aac_3c8d204baafe" hidden="1" xml:space="preserve">                                                                                                '[19]FY2013 (BIO Group IFRS)'!$K$129</definedName>
    <definedName name="TB6e83c830_960d_4e38_bc1e_fde437aee4c9" hidden="1" xml:space="preserve">    '[19]FY2012 (BIO Group IFRS)'!$H$95</definedName>
    <definedName name="TB6f37355b_3fba_4dc0_bf45_308b907bce26" hidden="1" xml:space="preserve">    '[19]FY2012 (BIO Group IFRS)'!$H$107</definedName>
    <definedName name="TB70038979_a4c5_4487_bfac_b25468b04758" hidden="1" xml:space="preserve">                                                                                                                '[19]FY2012 (BIO Group IFRS)'!$C$82</definedName>
    <definedName name="TB705066b3_2f39_4d28_af37_1af2aea8f322" hidden="1" xml:space="preserve">                                                                                '[19]FY2015 (BIO Group IFRS)'!$N$98</definedName>
    <definedName name="TB7072b25b_f095_45b0_b6e8_4744c3d7a288" hidden="1" xml:space="preserve">        '[19]BIO Cayman'!$G$145</definedName>
    <definedName name="TB74875380_3a03_4824_a261_9a4533b25140" hidden="1" xml:space="preserve">                [19]BIOHLD!$C$30</definedName>
    <definedName name="TB757e5a19_d07f_40dc_bdf5_b5768ff7d32b" hidden="1" xml:space="preserve">        [19]BIOHLD!$G$60</definedName>
    <definedName name="TB77426512_20bf_4ce8_9812_2f6503f2a517" hidden="1" xml:space="preserve">                                                                                                                                                                                    '[19]FY2012 (BIO Group IFRS)'!$E$144</definedName>
    <definedName name="TB777e7042_54e0_417b_9104_adb6708c0912" hidden="1" xml:space="preserve">                                                                                                                                '[19]FY2014 (BIO Group IFRS)'!$L$14</definedName>
    <definedName name="TB77ef4584_0b00_4844_9b77_9d7aef465527" hidden="1" xml:space="preserve">                                                                                    '[19]FY2012 (BIO Group IFRS)'!$C$57</definedName>
    <definedName name="TB7984a202_58ea_4f9e_8b3e_eebdef55ea6a" hidden="1" xml:space="preserve">                                                                                                                                                                                            '[19]FY2012 (BIO Group IFRS)'!$H$52</definedName>
    <definedName name="TB79c130cf_d102_466d_b0ae_a09e68e680a6" hidden="1" xml:space="preserve">        [19]WASH!$G$59</definedName>
    <definedName name="TB7bedd533_dc87_4a97_bd98_0a2abb88baf3" hidden="1" xml:space="preserve">                                                                        '[19]FY2012 (BIO Group IFRS)'!$C$38</definedName>
    <definedName name="TB7d609726_5770_4a14_bc64_66eee1380d0b" hidden="1" xml:space="preserve">                                                                                                                                    '[19]FY2012 (BIO Group IFRS)'!$C$99</definedName>
    <definedName name="TB7ec2ddb1_18d8_4694_afd4_b902266523fd" hidden="1" xml:space="preserve">                [19]BIOHLD!$C$58</definedName>
    <definedName name="TB7ed42ce8_5794_47b9_bf9f_4cb6d40afcf4" hidden="1" xml:space="preserve">        '[19]BIO Cayman'!$G$100</definedName>
    <definedName name="TB832f3ada_36a7_4d25_8eae_e323c242e8be" hidden="1" xml:space="preserve">        '[19]GB Invest'!$G$60</definedName>
    <definedName name="TB83912c16_831a_4799_b2d2_cf4c617701ce" hidden="1" xml:space="preserve">                                                                                                                                                                    '[19]FY2014 (BIO Group IFRS)'!$L$38</definedName>
    <definedName name="TB86a83189_8f03_48e6_a67d_9c1a1af3e071" hidden="1" xml:space="preserve">                                                                                                                                                                        '[19]FY2012 (BIO Group IFRS)'!$E$36</definedName>
    <definedName name="TB87a0ef7d_8b30_4838_affb_3642dd920ef2" hidden="1" xml:space="preserve">                                                                                                                    '[19]FY2013 (BIO Group IFRS)'!$K$100</definedName>
    <definedName name="TB88b00721_7625_455b_acb5_e4a07429583f" hidden="1" xml:space="preserve">    '[19]FY2015 (BIO Group IFRS)'!$N$33</definedName>
    <definedName name="TB896df83f_19db_4bac_8b62_8bcdfe6310f2" hidden="1" xml:space="preserve">                                                                                                                                                '[19]FY2014 (BIO Group IFRS)'!$L$21</definedName>
    <definedName name="TB89ea5468_18c8_42eb_974c_1103b46ce7f3" hidden="1" xml:space="preserve">                                                                            '[19]FY2013 (BIO Group IFRS)'!$K$58</definedName>
    <definedName name="TB8a5944bf_b771_441e_a205_e9c6e328a589" hidden="1" xml:space="preserve">                                            '[19]FY2015 (BIO Group IFRS)'!$N$69</definedName>
    <definedName name="TB8a924b0c_ac20_4abf_b77a_df01fdbbf532" hidden="1" xml:space="preserve">                                                                '[19]FY2015 (BIO Group IFRS)'!$N$95</definedName>
    <definedName name="TB8aebd3bd_47ca_463e_a83c_3460cb77244c" hidden="1" xml:space="preserve">                                            '[19]FY2012 (BIO Group IFRS)'!$C$14</definedName>
    <definedName name="TB8b805e40_5a48_4f35_a52a_28047396eb9d" hidden="1" xml:space="preserve">                                                                                                                                        '[19]FY2014 (BIO Group IFRS)'!$L$17</definedName>
    <definedName name="TB8d958fc5_8111_4d2e_b1bc_cf2421331917" hidden="1" xml:space="preserve">                [19]BIOHLD!$G$58</definedName>
    <definedName name="TB90f3a22c_f6d1_42e8_bc96_e12b0cd1edd4" hidden="1" xml:space="preserve">        '[19]BIO Cayman'!$C$88</definedName>
    <definedName name="TB912ee393_cf47_4fde_a669_ff5392545360" hidden="1" xml:space="preserve">                                                                                                                                                            '[19]FY2012 (BIO Group IFRS)'!$H$21</definedName>
    <definedName name="TB92c0e066_b122_4139_9404_1b3caaa690b0" hidden="1" xml:space="preserve">                                                '[19]FY2013 (BIO Group IFRS)'!$K$38</definedName>
    <definedName name="TB962243a0_e50a_4af1_aaeb_e71ef59ea145" hidden="1" xml:space="preserve">                                                                                            '[19]FY2012 (BIO Group IFRS)'!$C$59</definedName>
    <definedName name="TB9867b81e_f86e_4eb1_b7a1_9f13db4d2c6f" hidden="1" xml:space="preserve">                                                                                                                '[19]FY2015 (BIO Group IFRS)'!$N$144</definedName>
    <definedName name="TB9912011d_e2ab_4535_bef2_eb94a18b47e6" hidden="1" xml:space="preserve">                                        '[19]FY2012 (BIO Group IFRS)'!$C$17</definedName>
    <definedName name="TB9a246939_5e76_46dc_8c4b_fdc317195db7" hidden="1" xml:space="preserve">                                                                                                    '[19]FY2013 (BIO Group IFRS)'!$K$95</definedName>
    <definedName name="TB9b483b7f_337c_44b5_98ec_8ae5685d8af2" hidden="1" xml:space="preserve">        '[19]FY2015 (BIO Group IFRS)'!$N$14</definedName>
    <definedName name="TB9bff9839_01da_4dff_8ea9_1372857e9b60" hidden="1" xml:space="preserve">        '[19]GB Invest'!$C$88</definedName>
    <definedName name="TBa0040484_4014_46c8_a5ff_e0e9c54240c3" hidden="1" xml:space="preserve">                                                        '[19]FY2013 (BIO Group IFRS)'!$K$51</definedName>
    <definedName name="TBa09c4b0d_c66f_4fbd_9969_3e835527bda1" hidden="1" xml:space="preserve">                                                            '[19]FY2013 (BIO Group IFRS)'!$K$57</definedName>
    <definedName name="TBa1314e8d_4457_42ee_8886_853479a0c2d2" hidden="1" xml:space="preserve">    '[19]FY2012 (BIO Group IFRS)'!$H$111</definedName>
    <definedName name="TBa13285e6_ef38_462b_a4fa_968d55f4d849" hidden="1" xml:space="preserve">                                                        '[19]FY2015 (BIO Group IFRS)'!$N$82</definedName>
    <definedName name="TBa15ac75f_e91f_42d4_a6fc_1a691965acb5" hidden="1" xml:space="preserve">                                                                                                                                                                                    '[19]FY2012 (BIO Group IFRS)'!$H$51</definedName>
    <definedName name="TBa3b1e941_3ad7_4fe0_8811_96d7f709af67" hidden="1" xml:space="preserve">                                                    '[19]FY2015 (BIO Group IFRS)'!$N$78</definedName>
    <definedName name="TBa3d9c602_0f5a_4ed8_8529_4a84f925f809" hidden="1" xml:space="preserve">        [19]BIOHLD!$C$100</definedName>
    <definedName name="TBa512f3c1_d834_495c_a61a_e107d208676c" hidden="1" xml:space="preserve">                                                                                                                                                    '[19]FY2012 (BIO Group IFRS)'!$H$14</definedName>
    <definedName name="TBa526d740_3586_4a63_8350_512a2f24fdad" hidden="1" xml:space="preserve">    '[19]FY2012 (BIO Group IFRS)'!$H$69</definedName>
    <definedName name="TBa695e455_712d_4292_8934_8c0152a3e86e" hidden="1" xml:space="preserve">    '[19]FY2014 (BIO Group IFRS)'!$L$111</definedName>
    <definedName name="TBa71ec6f4_f69d_4254_8ced_3c1e8a164d1b" hidden="1" xml:space="preserve">                                                                                                                                                                                '[19]FY2012 (BIO Group IFRS)'!$H$38</definedName>
    <definedName name="TBa7260115_bdbb_4ae2_aded_9bdcc4d8753e" hidden="1" xml:space="preserve">        '[19]GB Invest'!$C$100</definedName>
    <definedName name="TBaa7cb595_7235_459a_865b_e883e73e452a" hidden="1" xml:space="preserve">        '[19]GB Invest'!$G$30</definedName>
    <definedName name="TBab131103_68a6_4521_9756_005a78c528f4" hidden="1" xml:space="preserve">            [19]WABIO!$G$104</definedName>
    <definedName name="TBab55877c_bff5_4e0f_b8bb_193e31a3037c" hidden="1" xml:space="preserve">                                                                                                                                                                                            '[19]FY2014 (BIO Group IFRS)'!$L$59</definedName>
    <definedName name="TBac21cf11_669c_4433_9648_a428e90e0c43" hidden="1" xml:space="preserve">                                                                                                                                                        '[19]FY2012 (BIO Group IFRS)'!$H$18</definedName>
    <definedName name="TBaccd49df_e096_47a1_8a3e_5ba941355b75" hidden="1" xml:space="preserve">                [19]WASH!$G$99</definedName>
    <definedName name="TBae0184e9_fe12_4027_8575_699f2e6c5df0" hidden="1" xml:space="preserve">                                                                            '[19]FY2012 (BIO Group IFRS)'!$C$51</definedName>
    <definedName name="TBae31c1d0_cca0_4d80_8521_b4d73ed39770" hidden="1" xml:space="preserve">                                                                                                                                        '[19]FY2012 (BIO Group IFRS)'!$C$100</definedName>
    <definedName name="TBae5a1437_ad99_4229_951f_d7f7465dc8e9" hidden="1" xml:space="preserve">                                                                '[19]FY2013 (BIO Group IFRS)'!$K$52</definedName>
    <definedName name="TBafa89172_7114_462e_aab1_739b858685ac" hidden="1" xml:space="preserve">    '[19]FY2012 (BIO Group IFRS)'!$H$98</definedName>
    <definedName name="TBafb46ebd_5e94_48c1_a2bb_9c2d6adf60f1" hidden="1" xml:space="preserve">                                                                                '[19]FY2013 (BIO Group IFRS)'!$K$69</definedName>
    <definedName name="TBb0ed7ea6_76c6_4b3e_a9be_64c7bfd5ca75" hidden="1" xml:space="preserve">        '[19]GB Invest'!$C$60</definedName>
    <definedName name="TBb46e8be8_d97e_4442_b12a_e3b276466ab7" hidden="1" xml:space="preserve">                                                                    '[19]FY2015 (BIO Group IFRS)'!$N$96</definedName>
    <definedName name="TBb52060c7_b856_4954_9303_a894bcd5700c" hidden="1" xml:space="preserve">                                                                                                                                                            '[19]FY2012 (BIO Group IFRS)'!$E$31</definedName>
    <definedName name="TBb7c32bb7_6b0a_4647_a29d_b94284bf69b1" hidden="1" xml:space="preserve">    '[19]FY2012 (BIO Group IFRS)'!$H$144</definedName>
    <definedName name="TBb923a90c_d2fc_473c_b996_f2754d67fde2" hidden="1" xml:space="preserve">        [19]WASH!$C$59</definedName>
    <definedName name="TBbc49a777_a131_4b37_9461_9d83e68b0090" hidden="1" xml:space="preserve">                                                                                                                                                                                            '[19]FY2014 (BIO Group IFRS)'!$L$57</definedName>
    <definedName name="TBbd0dda3c_e2e7_435a_97e1_632f7ce57f8d" hidden="1" xml:space="preserve">                                                                                                                                                                            '[19]FY2014 (BIO Group IFRS)'!$L$51</definedName>
    <definedName name="TBbdf19f6b_2270_4843_bf03_6e51d67423b2" hidden="1" xml:space="preserve">                                                                    '[19]FY2013 (BIO Group IFRS)'!$K$53</definedName>
    <definedName name="TBbe8c8d4d_71c2_4dee_9d14_018c8ae746a2" hidden="1" xml:space="preserve">                                                                                                                            '[19]FY2012 (BIO Group IFRS)'!$C$96</definedName>
    <definedName name="TBc055afa2_e23c_40c3_b531_e9fd37da1ab8" hidden="1" xml:space="preserve">                                                                                                                                                                                                                                                            '[19]FY2015 (BIO Group IFRS)'!#REF!</definedName>
    <definedName name="TBc188d700_d290_42a3_b9e0_75901b91bffc" hidden="1" xml:space="preserve">    [19]BIOHLD!$G$18</definedName>
    <definedName name="TBc31c6ecf_68c9_477f_83e1_f272cf47135d" hidden="1" xml:space="preserve">                [19]WASH!$G$108</definedName>
    <definedName name="TBc437d070_dfe4_459d_928d_c4eec3f8dd35" hidden="1" xml:space="preserve">                                                                                                                                                '[19]FY2012 (BIO Group IFRS)'!$H$17</definedName>
    <definedName name="TBc5516821_cc7f_4b51_9db5_6a78f28f114f" hidden="1" xml:space="preserve">                                                                                                                                                                            '[19]FY2012 (BIO Group IFRS)'!$E$52</definedName>
    <definedName name="TBc5734c10_f96c_4832_a8e1_058778c986de" hidden="1" xml:space="preserve">                                                                                                                                                                                                    '[19]FY2012 (BIO Group IFRS)'!$E$99</definedName>
    <definedName name="TBc75f5617_9ea1_44f1_8f2c_682b8d90d8fa" hidden="1" xml:space="preserve">                                                                                                                                                                                                                            '[19]FY2012 (BIO Group IFRS)'!$D$144</definedName>
    <definedName name="TBc7632411_2998_4e2b_9501_83d27c947ded" hidden="1" xml:space="preserve">                                                                    '[19]FY2012 (BIO Group IFRS)'!$C$36</definedName>
    <definedName name="TBc8dab9ba_aa72_41f8_a261_fed5fbbb2d35" hidden="1" xml:space="preserve">                                                                                                                                                                                                    '[19]FY2012 (BIO Group IFRS)'!$H$54</definedName>
    <definedName name="TBc93ee42f_ad2c_489d_8b2a_c100cefdae74" hidden="1" xml:space="preserve">        '[19]GB Invest'!$G$10</definedName>
    <definedName name="TBc9af4b63_1c98_4689_8e05_b24c03c9485c" hidden="1" xml:space="preserve">                                                    '[19]FY2013 (BIO Group IFRS)'!$K$39</definedName>
    <definedName name="TBca4b672d_5aab_458b_8c76_bd289d3c4183" hidden="1" xml:space="preserve">                                                                            '[19]FY2015 (BIO Group IFRS)'!$N$103</definedName>
    <definedName name="TBcb3e9388_a243_4b15_8fdf_99ab503a95a3" hidden="1" xml:space="preserve">        '[19]FY2013 (BIO Group IFRS)'!$K$48</definedName>
    <definedName name="TBcd2e0619_ce8d_4fe9_835e_b73a0417adde" hidden="1" xml:space="preserve">                                                                                                '[19]FY2012 (BIO Group IFRS)'!$C$54</definedName>
    <definedName name="TBcd903dbf_271b_4a72_ae27_c48475893438" hidden="1" xml:space="preserve">                [19]WASH!$G$102</definedName>
    <definedName name="TBd086eacb_6e5d_4ad0_8c72_5f68dc0d5041" hidden="1" xml:space="preserve">                                                                                                                                    '[19]FY2014 (BIO Group IFRS)'!$L$18</definedName>
    <definedName name="TBd0b72bef_3edc_4e68_92ec_aba652d1bae3" hidden="1" xml:space="preserve">                '[19]BIO Cayman'!$G$58</definedName>
    <definedName name="TBd0e8d07c_0cc5_4218_a6e1_6d651b4dc63c" hidden="1" xml:space="preserve">                                                                                                                                                                                        '[19]FY2014 (BIO Group IFRS)'!$L$54</definedName>
    <definedName name="TBd14b52e7_22de_4139_a32c_9eb0b95042da" hidden="1" xml:space="preserve">                                                                                                                                                                                                                        '[19]FY2012 (BIO Group IFRS)'!$D$100</definedName>
    <definedName name="TBd15d7b1a_f2b5_4307_830f_e63a39bfb6f2" hidden="1" xml:space="preserve">                '[19]GB Invest'!$C$58</definedName>
    <definedName name="TBd421cbfe_3bdd_41b3_b50f_35fff2683427" hidden="1" xml:space="preserve">                '[19]BIO Cayman'!$C$58</definedName>
    <definedName name="TBd444af23_4186_49ec_9be5_d1a6ee915539" hidden="1" xml:space="preserve">        '[19]FY2014 (BIO Group IFRS)'!$L$98</definedName>
    <definedName name="TBd5b820a2_9b8c_4c69_8f4c_f936169f4216" hidden="1" xml:space="preserve">                        '[19]FY2015 (BIO Group IFRS)'!$N$57</definedName>
    <definedName name="TBd6834f3b_04b1_4cff_bc37_e687b93a9eea" hidden="1" xml:space="preserve">                                    '[19]FY2012 (BIO Group IFRS)'!$C$13</definedName>
    <definedName name="TBd6933334_11d3_4924_8b82_d4cd450d8536" hidden="1" xml:space="preserve">                            '[19]FY2015 (BIO Group IFRS)'!$N$52</definedName>
    <definedName name="TBdd9f8cc5_51e8_404d_958c_d831e6110b5d" hidden="1" xml:space="preserve">            '[19]GB Invest'!$G$60</definedName>
    <definedName name="TBddafab31_13ce_4535_81c6_f6000a28b166" hidden="1" xml:space="preserve">                                                                                                '[19]FY2015 (BIO Group IFRS)'!$N$107</definedName>
    <definedName name="TBde09956b_dfad_4a59_86ed_0d5dd140b2ae" hidden="1" xml:space="preserve">                                                                                                                    '[19]FY2012 (BIO Group IFRS)'!$C$129</definedName>
    <definedName name="TBdfac5449_a00d_4389_a255_f677387c59a0" hidden="1" xml:space="preserve">                                                                                                                                                                '[19]FY2014 (BIO Group IFRS)'!$L$36</definedName>
    <definedName name="TBe0c85b26_02b4_41f9_8c66_f84ff70867fe" hidden="1" xml:space="preserve">                                                                                                                                            '[19]FY2012 (BIO Group IFRS)'!$C$107</definedName>
    <definedName name="TBe1d29ef7_366e_4932_8ae9_39c2fa2a278a" hidden="1" xml:space="preserve">                            '[19]FY2012 (BIO Group IFRS)'!$C$9</definedName>
    <definedName name="TBe2619bd7_01c0_4742_b457_9ff31767b69e" hidden="1" xml:space="preserve">        '[19]FY2014 (BIO Group IFRS)'!$L$48</definedName>
    <definedName name="TBe3683b28_112f_4e35_8f48_6ba2aa2e81d3" hidden="1" xml:space="preserve">                                                    '[19]FY2012 (BIO Group IFRS)'!$C$21</definedName>
    <definedName name="TBe3edf4c8_aeea_4ad8_bb1c_d4dd8dc36393" hidden="1" xml:space="preserve">                [19]WASH!$C$108</definedName>
    <definedName name="TBe52b9a23_ea15_4944_8b55_78c9b57f0186" hidden="1" xml:space="preserve">                                                                                                                            '[19]FY2013 (BIO Group IFRS)'!$K$111</definedName>
    <definedName name="TBe5cd8ab7_9352_4bc2_b16b_f8b47df3cf65" hidden="1" xml:space="preserve">                                                                                                                                                                                            '[19]FY2012 (BIO Group IFRS)'!$E$95</definedName>
    <definedName name="TBe65aead4_11bc_465a_8fa8_f9927275f393" hidden="1" xml:space="preserve">        '[19]BIO Cayman'!$G$88</definedName>
    <definedName name="TBe745fc15_2c17_4d52_9f51_fc311612c64f" hidden="1" xml:space="preserve">                                        '[19]FY2013 (BIO Group IFRS)'!$K$33</definedName>
    <definedName name="TBea84a494_bc81_42b7_92a9_fce4c306493d" hidden="1" xml:space="preserve">    [19]BIOHLD!$G$79</definedName>
    <definedName name="TBec8fcd4e_8226_4237_8679_afcd734505fe" hidden="1" xml:space="preserve">                                                                                    '[19]FY2015 (BIO Group IFRS)'!$N$99</definedName>
    <definedName name="TBeca82987_50f4_484d_a159_7d3b64acf638" hidden="1" xml:space="preserve">                                                                                                                                                                                                            '[19]FY2012 (BIO Group IFRS)'!$D$17</definedName>
    <definedName name="TBeebae0fa_ee1d_4b8b_ba9f_63c05e43d668" hidden="1" xml:space="preserve">                                                                                                                                                    '[19]FY2014 (BIO Group IFRS)'!$L$31</definedName>
    <definedName name="TBf1fc49fb_d1d5_4598_9939_226ac088709c" hidden="1" xml:space="preserve">                                                                                                            '[19]FY2015 (BIO Group IFRS)'!$N$129</definedName>
    <definedName name="TBf53ee663_d0b5_48b6_96e0_eb4c162cf53a" hidden="1" xml:space="preserve">                                                        '[19]FY2012 (BIO Group IFRS)'!$C$31</definedName>
    <definedName name="TBf9f5430c_b252_4725_8b0d_a1c9254a2f94" hidden="1" xml:space="preserve">                                            '[19]FY2013 (BIO Group IFRS)'!$K$36</definedName>
    <definedName name="TBfde8b9d4_1193_4729_96dc_7df46c5fbd1f" hidden="1" xml:space="preserve">    '[19]FY2015 (BIO Group IFRS)'!$N$18</definedName>
    <definedName name="TBfe3e03fb_e536_44ac_8154_673fdeaef440" hidden="1" xml:space="preserve">        '[19]FY2013 (BIO Group IFRS)'!$K$9</definedName>
    <definedName name="TBffcc584d_af9a_4b3f_a7a6_db81c4a396c2" hidden="1" xml:space="preserve">                                                                                                                        '[19]FY2012 (BIO Group IFRS)'!$C$95</definedName>
    <definedName name="tejhre" localSheetId="10" hidden="1">{#N/A,#N/A,FALSE,"Bakersfield PCs";#N/A,#N/A,FALSE,"Bremer PCs";#N/A,#N/A,FALSE,"Bakersfield Notebooks"}</definedName>
    <definedName name="tejhre" localSheetId="46" hidden="1">{#N/A,#N/A,FALSE,"Bakersfield PCs";#N/A,#N/A,FALSE,"Bremer PCs";#N/A,#N/A,FALSE,"Bakersfield Notebooks"}</definedName>
    <definedName name="tejhre" localSheetId="51" hidden="1">{#N/A,#N/A,FALSE,"Bakersfield PCs";#N/A,#N/A,FALSE,"Bremer PCs";#N/A,#N/A,FALSE,"Bakersfield Notebooks"}</definedName>
    <definedName name="tejhre" localSheetId="47" hidden="1">{#N/A,#N/A,FALSE,"Bakersfield PCs";#N/A,#N/A,FALSE,"Bremer PCs";#N/A,#N/A,FALSE,"Bakersfield Notebooks"}</definedName>
    <definedName name="tejhre" localSheetId="12" hidden="1">{#N/A,#N/A,FALSE,"Bakersfield PCs";#N/A,#N/A,FALSE,"Bremer PCs";#N/A,#N/A,FALSE,"Bakersfield Notebooks"}</definedName>
    <definedName name="tejhre" localSheetId="25" hidden="1">{#N/A,#N/A,FALSE,"Bakersfield PCs";#N/A,#N/A,FALSE,"Bremer PCs";#N/A,#N/A,FALSE,"Bakersfield Notebooks"}</definedName>
    <definedName name="tejhre" localSheetId="30" hidden="1">{#N/A,#N/A,FALSE,"Bakersfield PCs";#N/A,#N/A,FALSE,"Bremer PCs";#N/A,#N/A,FALSE,"Bakersfield Notebooks"}</definedName>
    <definedName name="tejhre" hidden="1">{#N/A,#N/A,FALSE,"Bakersfield PCs";#N/A,#N/A,FALSE,"Bremer PCs";#N/A,#N/A,FALSE,"Bakersfield Notebooks"}</definedName>
    <definedName name="temp" localSheetId="10" hidden="1">{#N/A,#N/A,FALSE,"Bakersfield PCs";#N/A,#N/A,FALSE,"Bremer PCs";#N/A,#N/A,FALSE,"Bakersfield Notebooks"}</definedName>
    <definedName name="temp" localSheetId="46" hidden="1">{#N/A,#N/A,FALSE,"Bakersfield PCs";#N/A,#N/A,FALSE,"Bremer PCs";#N/A,#N/A,FALSE,"Bakersfield Notebooks"}</definedName>
    <definedName name="temp" localSheetId="51" hidden="1">{#N/A,#N/A,FALSE,"Bakersfield PCs";#N/A,#N/A,FALSE,"Bremer PCs";#N/A,#N/A,FALSE,"Bakersfield Notebooks"}</definedName>
    <definedName name="temp" localSheetId="47" hidden="1">{#N/A,#N/A,FALSE,"Bakersfield PCs";#N/A,#N/A,FALSE,"Bremer PCs";#N/A,#N/A,FALSE,"Bakersfield Notebooks"}</definedName>
    <definedName name="temp" localSheetId="12" hidden="1">{#N/A,#N/A,FALSE,"Bakersfield PCs";#N/A,#N/A,FALSE,"Bremer PCs";#N/A,#N/A,FALSE,"Bakersfield Notebooks"}</definedName>
    <definedName name="temp" localSheetId="25" hidden="1">{#N/A,#N/A,FALSE,"Bakersfield PCs";#N/A,#N/A,FALSE,"Bremer PCs";#N/A,#N/A,FALSE,"Bakersfield Notebooks"}</definedName>
    <definedName name="temp" localSheetId="30" hidden="1">{#N/A,#N/A,FALSE,"Bakersfield PCs";#N/A,#N/A,FALSE,"Bremer PCs";#N/A,#N/A,FALSE,"Bakersfield Notebooks"}</definedName>
    <definedName name="temp" hidden="1">{#N/A,#N/A,FALSE,"Bakersfield PCs";#N/A,#N/A,FALSE,"Bremer PCs";#N/A,#N/A,FALSE,"Bakersfield Notebooks"}</definedName>
    <definedName name="test" localSheetId="10" hidden="1">{#N/A,#N/A,TRUE,"Tax";#N/A,#N/A,TRUE,"Structure";#N/A,#N/A,TRUE,"Accounting";#N/A,#N/A,TRUE,"Equipment"}</definedName>
    <definedName name="test" localSheetId="46" hidden="1">{#N/A,#N/A,TRUE,"Tax";#N/A,#N/A,TRUE,"Structure";#N/A,#N/A,TRUE,"Accounting";#N/A,#N/A,TRUE,"Equipment"}</definedName>
    <definedName name="test" localSheetId="51" hidden="1">{#N/A,#N/A,TRUE,"Tax";#N/A,#N/A,TRUE,"Structure";#N/A,#N/A,TRUE,"Accounting";#N/A,#N/A,TRUE,"Equipment"}</definedName>
    <definedName name="test" localSheetId="47" hidden="1">{"'Projection USA'!$A$2:$M$191"}</definedName>
    <definedName name="test" localSheetId="12" hidden="1">{#N/A,#N/A,TRUE,"Tax";#N/A,#N/A,TRUE,"Structure";#N/A,#N/A,TRUE,"Accounting";#N/A,#N/A,TRUE,"Equipment"}</definedName>
    <definedName name="test" localSheetId="25" hidden="1">{#N/A,#N/A,TRUE,"Tax";#N/A,#N/A,TRUE,"Structure";#N/A,#N/A,TRUE,"Accounting";#N/A,#N/A,TRUE,"Equipment"}</definedName>
    <definedName name="test" localSheetId="30" hidden="1">{#N/A,#N/A,TRUE,"Tax";#N/A,#N/A,TRUE,"Structure";#N/A,#N/A,TRUE,"Accounting";#N/A,#N/A,TRUE,"Equipment"}</definedName>
    <definedName name="test" hidden="1">{#N/A,#N/A,TRUE,"Tax";#N/A,#N/A,TRUE,"Structure";#N/A,#N/A,TRUE,"Accounting";#N/A,#N/A,TRUE,"Equipment"}</definedName>
    <definedName name="test2" localSheetId="10" hidden="1">{"'Projection USA'!$A$2:$M$191"}</definedName>
    <definedName name="test2" localSheetId="47" hidden="1">{"'Projection USA'!$A$2:$M$191"}</definedName>
    <definedName name="test2" hidden="1">{"'Projection USA'!$A$2:$M$191"}</definedName>
    <definedName name="TextRefCopy11">'[19]FY15- Interco Balance'!$P$77</definedName>
    <definedName name="TextRefCopy12">'[19]FY15- Interco Balance'!$P$75</definedName>
    <definedName name="TextRefCopy63">'[19]2013EJE'!$C$11</definedName>
    <definedName name="TextRefCopy65">'[19]2013EJE'!$C$12</definedName>
    <definedName name="TextRefCopyRangeCount" hidden="1">35</definedName>
    <definedName name="Toggle_DB_Location" hidden="1">2</definedName>
    <definedName name="Toggle_Freeze_View" hidden="1">0</definedName>
    <definedName name="totcap" localSheetId="37" hidden="1">#REF!,#REF!,#REF!,#REF!</definedName>
    <definedName name="totcap" localSheetId="38" hidden="1">#REF!,#REF!,#REF!,#REF!</definedName>
    <definedName name="totcap" localSheetId="4" hidden="1">#REF!,#REF!,#REF!,#REF!</definedName>
    <definedName name="totcap" localSheetId="46" hidden="1">#REF!,#REF!,#REF!,#REF!</definedName>
    <definedName name="totcap" localSheetId="47" hidden="1">#REF!,#REF!,#REF!,#REF!</definedName>
    <definedName name="totcap" localSheetId="50" hidden="1">#REF!,#REF!,#REF!,#REF!</definedName>
    <definedName name="totcap" localSheetId="41" hidden="1">#REF!,#REF!,#REF!,#REF!</definedName>
    <definedName name="totcap" localSheetId="15" hidden="1">#REF!,#REF!,#REF!,#REF!</definedName>
    <definedName name="totcap" localSheetId="17" hidden="1">#REF!,#REF!,#REF!,#REF!</definedName>
    <definedName name="totcap" localSheetId="30" hidden="1">#REF!,#REF!,#REF!,#REF!</definedName>
    <definedName name="totcap" localSheetId="42" hidden="1">#REF!,#REF!,#REF!,#REF!</definedName>
    <definedName name="totcap" hidden="1">#REF!,#REF!,#REF!,#REF!</definedName>
    <definedName name="tt" localSheetId="10" hidden="1">{#N/A,#N/A,FALSE,"e-Svc Level";#N/A,#N/A,FALSE,"e-Hosted";#N/A,#N/A,FALSE,"e-Licensed";#N/A,#N/A,FALSE,"Assumptions"}</definedName>
    <definedName name="tt" localSheetId="47" hidden="1">{#N/A,#N/A,FALSE,"e-Svc Level";#N/A,#N/A,FALSE,"e-Hosted";#N/A,#N/A,FALSE,"e-Licensed";#N/A,#N/A,FALSE,"Assumptions"}</definedName>
    <definedName name="tt" hidden="1">{#N/A,#N/A,FALSE,"e-Svc Level";#N/A,#N/A,FALSE,"e-Hosted";#N/A,#N/A,FALSE,"e-Licensed";#N/A,#N/A,FALSE,"Assumptions"}</definedName>
    <definedName name="ttt" localSheetId="10" hidden="1">{#N/A,#N/A,FALSE,"sales ytd";#N/A,#N/A,FALSE,"investments";#N/A,#N/A,FALSE,"bus. synergies 1997";#N/A,#N/A,FALSE,"synergies outlook"}</definedName>
    <definedName name="ttt" hidden="1">{#N/A,#N/A,FALSE,"sales ytd";#N/A,#N/A,FALSE,"investments";#N/A,#N/A,FALSE,"bus. synergies 1997";#N/A,#N/A,FALSE,"synergies outlook"}</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SDCNY">[20]Intro!$D$29</definedName>
    <definedName name="usdhkd">'[18]Listing Expenses'!$F$10</definedName>
    <definedName name="usdrmb">'[18]Listing Expenses'!$F$9</definedName>
    <definedName name="uu" localSheetId="10" hidden="1">{#N/A,#N/A,FALSE,"e-Svc Level";#N/A,#N/A,FALSE,"e-Hosted";#N/A,#N/A,FALSE,"e-Licensed";#N/A,#N/A,FALSE,"Assumptions"}</definedName>
    <definedName name="uu" localSheetId="47" hidden="1">{#N/A,#N/A,FALSE,"e-Svc Level";#N/A,#N/A,FALSE,"e-Hosted";#N/A,#N/A,FALSE,"e-Licensed";#N/A,#N/A,FALSE,"Assumptions"}</definedName>
    <definedName name="uu" hidden="1">{#N/A,#N/A,FALSE,"e-Svc Level";#N/A,#N/A,FALSE,"e-Hosted";#N/A,#N/A,FALSE,"e-Licensed";#N/A,#N/A,FALSE,"Assumptions"}</definedName>
    <definedName name="Version_Nbr" hidden="1">1</definedName>
    <definedName name="w" localSheetId="10" hidden="1">{#N/A,#N/A,FALSE,"AAPCC (HMO&amp;Non-HMO)"}</definedName>
    <definedName name="w" localSheetId="47" hidden="1">{#N/A,#N/A,FALSE,"AAPCC (HMO&amp;Non-HMO)"}</definedName>
    <definedName name="w" hidden="1">{#N/A,#N/A,FALSE,"AAPCC (HMO&amp;Non-HMO)"}</definedName>
    <definedName name="weurhg" localSheetId="10" hidden="1">{"page1",#N/A,FALSE,"Model";"page2",#N/A,FALSE,"Model";"page3",#N/A,FALSE,"Model";"page4",#N/A,FALSE,"Model";"page5",#N/A,FALSE,"Model";"page6",#N/A,FALSE,"Model";"page7",#N/A,FALSE,"Model";"page8",#N/A,FALSE,"Model";"page9",#N/A,FALSE,"Model";"page10",#N/A,FALSE,"Model";"page11",#N/A,FALSE,"Model";"page12",#N/A,FALSE,"Model";"page13",#N/A,FALSE,"Model"}</definedName>
    <definedName name="weurhg" hidden="1">{"page1",#N/A,FALSE,"Model";"page2",#N/A,FALSE,"Model";"page3",#N/A,FALSE,"Model";"page4",#N/A,FALSE,"Model";"page5",#N/A,FALSE,"Model";"page6",#N/A,FALSE,"Model";"page7",#N/A,FALSE,"Model";"page8",#N/A,FALSE,"Model";"page9",#N/A,FALSE,"Model";"page10",#N/A,FALSE,"Model";"page11",#N/A,FALSE,"Model";"page12",#N/A,FALSE,"Model";"page13",#N/A,FALSE,"Model"}</definedName>
    <definedName name="whge" localSheetId="10" hidden="1">{"page1",#N/A,FALSE,"Model";"page2",#N/A,FALSE,"Model";"page3",#N/A,FALSE,"Model";"page4",#N/A,FALSE,"Model";"page5",#N/A,FALSE,"Model";"page6",#N/A,FALSE,"Model";"page7",#N/A,FALSE,"Model";"page8",#N/A,FALSE,"Model";"page9",#N/A,FALSE,"Model";"page10",#N/A,FALSE,"Model";"page11",#N/A,FALSE,"Model";"page12",#N/A,FALSE,"Model";"page13",#N/A,FALSE,"Model"}</definedName>
    <definedName name="whge" hidden="1">{"page1",#N/A,FALSE,"Model";"page2",#N/A,FALSE,"Model";"page3",#N/A,FALSE,"Model";"page4",#N/A,FALSE,"Model";"page5",#N/A,FALSE,"Model";"page6",#N/A,FALSE,"Model";"page7",#N/A,FALSE,"Model";"page8",#N/A,FALSE,"Model";"page9",#N/A,FALSE,"Model";"page10",#N/A,FALSE,"Model";"page11",#N/A,FALSE,"Model";"page12",#N/A,FALSE,"Model";"page13",#N/A,FALSE,"Model"}</definedName>
    <definedName name="willie" localSheetId="10" hidden="1">{#N/A,#N/A,FALSE,"Bakersfield PCs";#N/A,#N/A,FALSE,"Bremer PCs";#N/A,#N/A,FALSE,"Bakersfield Notebooks"}</definedName>
    <definedName name="willie" localSheetId="46" hidden="1">{#N/A,#N/A,FALSE,"Bakersfield PCs";#N/A,#N/A,FALSE,"Bremer PCs";#N/A,#N/A,FALSE,"Bakersfield Notebooks"}</definedName>
    <definedName name="willie" localSheetId="51" hidden="1">{#N/A,#N/A,FALSE,"Bakersfield PCs";#N/A,#N/A,FALSE,"Bremer PCs";#N/A,#N/A,FALSE,"Bakersfield Notebooks"}</definedName>
    <definedName name="willie" localSheetId="47" hidden="1">{#N/A,#N/A,FALSE,"Bakersfield PCs";#N/A,#N/A,FALSE,"Bremer PCs";#N/A,#N/A,FALSE,"Bakersfield Notebooks"}</definedName>
    <definedName name="willie" localSheetId="12" hidden="1">{#N/A,#N/A,FALSE,"Bakersfield PCs";#N/A,#N/A,FALSE,"Bremer PCs";#N/A,#N/A,FALSE,"Bakersfield Notebooks"}</definedName>
    <definedName name="willie" localSheetId="25" hidden="1">{#N/A,#N/A,FALSE,"Bakersfield PCs";#N/A,#N/A,FALSE,"Bremer PCs";#N/A,#N/A,FALSE,"Bakersfield Notebooks"}</definedName>
    <definedName name="willie" localSheetId="30" hidden="1">{#N/A,#N/A,FALSE,"Bakersfield PCs";#N/A,#N/A,FALSE,"Bremer PCs";#N/A,#N/A,FALSE,"Bakersfield Notebooks"}</definedName>
    <definedName name="willie" hidden="1">{#N/A,#N/A,FALSE,"Bakersfield PCs";#N/A,#N/A,FALSE,"Bremer PCs";#N/A,#N/A,FALSE,"Bakersfield Notebooks"}</definedName>
    <definedName name="wirevbg" localSheetId="10" hidden="1">{"page1",#N/A,FALSE,"Model";"page2",#N/A,FALSE,"Model";"page3",#N/A,FALSE,"Model";"page4",#N/A,FALSE,"Model";"page5",#N/A,FALSE,"Model";"page6",#N/A,FALSE,"Model";"page7",#N/A,FALSE,"Model";"page8",#N/A,FALSE,"Model";"page9",#N/A,FALSE,"Model";"page10",#N/A,FALSE,"Model";"page11",#N/A,FALSE,"Model";"page12",#N/A,FALSE,"Model";"page13",#N/A,FALSE,"Model"}</definedName>
    <definedName name="wirevbg" hidden="1">{"page1",#N/A,FALSE,"Model";"page2",#N/A,FALSE,"Model";"page3",#N/A,FALSE,"Model";"page4",#N/A,FALSE,"Model";"page5",#N/A,FALSE,"Model";"page6",#N/A,FALSE,"Model";"page7",#N/A,FALSE,"Model";"page8",#N/A,FALSE,"Model";"page9",#N/A,FALSE,"Model";"page10",#N/A,FALSE,"Model";"page11",#N/A,FALSE,"Model";"page12",#N/A,FALSE,"Model";"page13",#N/A,FALSE,"Model"}</definedName>
    <definedName name="woq4hg" localSheetId="10" hidden="1">{"page1",#N/A,FALSE,"Model";"page2",#N/A,FALSE,"Model";"page3",#N/A,FALSE,"Model";"page4",#N/A,FALSE,"Model";"page5",#N/A,FALSE,"Model";"page6",#N/A,FALSE,"Model";"page7",#N/A,FALSE,"Model";"page8",#N/A,FALSE,"Model";"page9",#N/A,FALSE,"Model";"page10",#N/A,FALSE,"Model";"page11",#N/A,FALSE,"Model";"page12",#N/A,FALSE,"Model";"page13",#N/A,FALSE,"Model"}</definedName>
    <definedName name="woq4hg" hidden="1">{"page1",#N/A,FALSE,"Model";"page2",#N/A,FALSE,"Model";"page3",#N/A,FALSE,"Model";"page4",#N/A,FALSE,"Model";"page5",#N/A,FALSE,"Model";"page6",#N/A,FALSE,"Model";"page7",#N/A,FALSE,"Model";"page8",#N/A,FALSE,"Model";"page9",#N/A,FALSE,"Model";"page10",#N/A,FALSE,"Model";"page11",#N/A,FALSE,"Model";"page12",#N/A,FALSE,"Model";"page13",#N/A,FALSE,"Model"}</definedName>
    <definedName name="wrn.Adjusted._.Mod._.Managed." localSheetId="10" hidden="1">{"MM Visits",#N/A,TRUE,"Moderately Managed";"MM Dollars per Hour",#N/A,TRUE,"Moderately Managed";"MM Hours per Visit",#N/A,TRUE,"Moderately Managed";"MM Dollars per Visit",#N/A,TRUE,"Moderately Managed";"MM Total Visits",#N/A,TRUE,"Moderately Managed";"MM PMPM",#N/A,TRUE,"Moderately Managed"}</definedName>
    <definedName name="wrn.Adjusted._.Mod._.Managed." localSheetId="47" hidden="1">{"MM Visits",#N/A,TRUE,"Moderately Managed";"MM Dollars per Hour",#N/A,TRUE,"Moderately Managed";"MM Hours per Visit",#N/A,TRUE,"Moderately Managed";"MM Dollars per Visit",#N/A,TRUE,"Moderately Managed";"MM Total Visits",#N/A,TRUE,"Moderately Managed";"MM PMPM",#N/A,TRUE,"Moderately Managed"}</definedName>
    <definedName name="wrn.Adjusted._.Mod._.Managed." hidden="1">{"MM Visits",#N/A,TRUE,"Moderately Managed";"MM Dollars per Hour",#N/A,TRUE,"Moderately Managed";"MM Hours per Visit",#N/A,TRUE,"Moderately Managed";"MM Dollars per Visit",#N/A,TRUE,"Moderately Managed";"MM Total Visits",#N/A,TRUE,"Moderately Managed";"MM PMPM",#N/A,TRUE,"Moderately Managed"}</definedName>
    <definedName name="wrn.Adjusted._.Optimal." localSheetId="10" hidden="1">{"OM Visits",#N/A,TRUE,"Optimal";"OM Dollars per Hour",#N/A,TRUE,"Optimal";"OM Hours per Visit",#N/A,TRUE,"Optimal";"OM Dollars per Visit",#N/A,TRUE,"Optimal";"OM Total Visits",#N/A,TRUE,"Optimal";"OM PMPM",#N/A,TRUE,"Optimal"}</definedName>
    <definedName name="wrn.Adjusted._.Optimal." localSheetId="47" hidden="1">{"OM Visits",#N/A,TRUE,"Optimal";"OM Dollars per Hour",#N/A,TRUE,"Optimal";"OM Hours per Visit",#N/A,TRUE,"Optimal";"OM Dollars per Visit",#N/A,TRUE,"Optimal";"OM Total Visits",#N/A,TRUE,"Optimal";"OM PMPM",#N/A,TRUE,"Optimal"}</definedName>
    <definedName name="wrn.Adjusted._.Optimal." hidden="1">{"OM Visits",#N/A,TRUE,"Optimal";"OM Dollars per Hour",#N/A,TRUE,"Optimal";"OM Hours per Visit",#N/A,TRUE,"Optimal";"OM Dollars per Visit",#N/A,TRUE,"Optimal";"OM Total Visits",#N/A,TRUE,"Optimal";"OM PMPM",#N/A,TRUE,"Optimal"}</definedName>
    <definedName name="wrn.Adjusted._.Unmanaged." localSheetId="10" hidden="1">{"UM Visits",#N/A,FALSE,"Unmanaged";"UM Dollars per Hour",#N/A,FALSE,"Unmanaged";"UM Hours per Visit",#N/A,FALSE,"Unmanaged";"UM Dollars per Visit",#N/A,FALSE,"Unmanaged";"UM Total Visits",#N/A,FALSE,"Unmanaged";"UM PMPM",#N/A,FALSE,"Unmanaged"}</definedName>
    <definedName name="wrn.Adjusted._.Unmanaged." localSheetId="47" hidden="1">{"UM Visits",#N/A,FALSE,"Unmanaged";"UM Dollars per Hour",#N/A,FALSE,"Unmanaged";"UM Hours per Visit",#N/A,FALSE,"Unmanaged";"UM Dollars per Visit",#N/A,FALSE,"Unmanaged";"UM Total Visits",#N/A,FALSE,"Unmanaged";"UM PMPM",#N/A,FALSE,"Unmanaged"}</definedName>
    <definedName name="wrn.Adjusted._.Unmanaged." hidden="1">{"UM Visits",#N/A,FALSE,"Unmanaged";"UM Dollars per Hour",#N/A,FALSE,"Unmanaged";"UM Hours per Visit",#N/A,FALSE,"Unmanaged";"UM Dollars per Visit",#N/A,FALSE,"Unmanaged";"UM Total Visits",#N/A,FALSE,"Unmanaged";"UM PMPM",#N/A,FALSE,"Unmanaged"}</definedName>
    <definedName name="wrn.Aging._.and._.Trend._.Analysis." localSheetId="10" hidden="1">{#N/A,#N/A,FALSE,"Aging Summary";#N/A,#N/A,FALSE,"Ratio Analysis";#N/A,#N/A,FALSE,"Test 120 Day Accts";#N/A,#N/A,FALSE,"Tickmarks"}</definedName>
    <definedName name="wrn.Aging._.and._.Trend._.Analysis." localSheetId="47"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 localSheetId="10" hidden="1">{#N/A,#N/A,FALSE,"INPUTS";#N/A,#N/A,FALSE,"PROFORMA BSHEET";#N/A,#N/A,FALSE,"COMBINED";#N/A,#N/A,FALSE,"ACQUIROR";#N/A,#N/A,FALSE,"TARGET 1";#N/A,#N/A,FALSE,"TARGET 2";#N/A,#N/A,FALSE,"HIGH YIELD";#N/A,#N/A,FALSE,"OVERFUND"}</definedName>
    <definedName name="wrn.ALL." hidden="1">{#N/A,#N/A,FALSE,"INPUTS";#N/A,#N/A,FALSE,"PROFORMA BSHEET";#N/A,#N/A,FALSE,"COMBINED";#N/A,#N/A,FALSE,"ACQUIROR";#N/A,#N/A,FALSE,"TARGET 1";#N/A,#N/A,FALSE,"TARGET 2";#N/A,#N/A,FALSE,"HIGH YIELD";#N/A,#N/A,FALSE,"OVERFUND"}</definedName>
    <definedName name="wrn.All._.Counties." localSheetId="10"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wrn.All._.Counties." localSheetId="47"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wrn.All._.Counties."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wrn.All._.Pages." localSheetId="1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heets." localSheetId="10" hidden="1">{#N/A,#N/A,TRUE,"Assumptions";#N/A,#N/A,TRUE,"Sources of Revenue";#N/A,#N/A,TRUE,"P&amp;L";#N/A,#N/A,TRUE,"Bal. Sheet";#N/A,#N/A,TRUE,"Rights Issue &amp; X Adjustment";#N/A,#N/A,TRUE,"Transaction Model"}</definedName>
    <definedName name="wrn.All._.Sheets." hidden="1">{#N/A,#N/A,TRUE,"Assumptions";#N/A,#N/A,TRUE,"Sources of Revenue";#N/A,#N/A,TRUE,"P&amp;L";#N/A,#N/A,TRUE,"Bal. Sheet";#N/A,#N/A,TRUE,"Rights Issue &amp; X Adjustment";#N/A,#N/A,TRUE,"Transaction Model"}</definedName>
    <definedName name="wrn.All._.Sites." localSheetId="10" hidden="1">{#N/A,#N/A,FALSE,"Bakersfield PCs";#N/A,#N/A,FALSE,"Bremer PCs";#N/A,#N/A,FALSE,"Bakersfield Notebooks"}</definedName>
    <definedName name="wrn.All._.Sites." localSheetId="46" hidden="1">{#N/A,#N/A,FALSE,"Bakersfield PCs";#N/A,#N/A,FALSE,"Bremer PCs";#N/A,#N/A,FALSE,"Bakersfield Notebooks"}</definedName>
    <definedName name="wrn.All._.Sites." localSheetId="51" hidden="1">{#N/A,#N/A,FALSE,"Bakersfield PCs";#N/A,#N/A,FALSE,"Bremer PCs";#N/A,#N/A,FALSE,"Bakersfield Notebooks"}</definedName>
    <definedName name="wrn.All._.Sites." localSheetId="47" hidden="1">{#N/A,#N/A,FALSE,"Bakersfield PCs";#N/A,#N/A,FALSE,"Bremer PCs";#N/A,#N/A,FALSE,"Bakersfield Notebooks"}</definedName>
    <definedName name="wrn.All._.Sites." localSheetId="12" hidden="1">{#N/A,#N/A,FALSE,"Bakersfield PCs";#N/A,#N/A,FALSE,"Bremer PCs";#N/A,#N/A,FALSE,"Bakersfield Notebooks"}</definedName>
    <definedName name="wrn.All._.Sites." localSheetId="25" hidden="1">{#N/A,#N/A,FALSE,"Bakersfield PCs";#N/A,#N/A,FALSE,"Bremer PCs";#N/A,#N/A,FALSE,"Bakersfield Notebooks"}</definedName>
    <definedName name="wrn.All._.Sites." localSheetId="30" hidden="1">{#N/A,#N/A,FALSE,"Bakersfield PCs";#N/A,#N/A,FALSE,"Bremer PCs";#N/A,#N/A,FALSE,"Bakersfield Notebooks"}</definedName>
    <definedName name="wrn.All._.Sites." hidden="1">{#N/A,#N/A,FALSE,"Bakersfield PCs";#N/A,#N/A,FALSE,"Bremer PCs";#N/A,#N/A,FALSE,"Bakersfield Notebooks"}</definedName>
    <definedName name="wrn.Allocation." localSheetId="10" hidden="1">{#N/A,#N/A,FALSE,"Allocation"}</definedName>
    <definedName name="wrn.Allocation." localSheetId="47" hidden="1">{#N/A,#N/A,FALSE,"Allocation"}</definedName>
    <definedName name="wrn.Allocation." hidden="1">{#N/A,#N/A,FALSE,"Allocation"}</definedName>
    <definedName name="wrn.Assumptions." localSheetId="10" hidden="1">{#N/A,#N/A,FALSE,"Assumptions"}</definedName>
    <definedName name="wrn.Assumptions." localSheetId="47" hidden="1">{#N/A,#N/A,FALSE,"Assumptions"}</definedName>
    <definedName name="wrn.Assumptions." hidden="1">{#N/A,#N/A,FALSE,"Assumptions"}</definedName>
    <definedName name="wrn.BAC" localSheetId="10" hidden="1">{#N/A,#N/A,TRUE,"Tax";#N/A,#N/A,TRUE,"Structure";#N/A,#N/A,TRUE,"Accounting";#N/A,#N/A,TRUE,"Equipment"}</definedName>
    <definedName name="wrn.BAC" localSheetId="46" hidden="1">{#N/A,#N/A,TRUE,"Tax";#N/A,#N/A,TRUE,"Structure";#N/A,#N/A,TRUE,"Accounting";#N/A,#N/A,TRUE,"Equipment"}</definedName>
    <definedName name="wrn.BAC" localSheetId="51" hidden="1">{#N/A,#N/A,TRUE,"Tax";#N/A,#N/A,TRUE,"Structure";#N/A,#N/A,TRUE,"Accounting";#N/A,#N/A,TRUE,"Equipment"}</definedName>
    <definedName name="wrn.BAC" localSheetId="47" hidden="1">{#N/A,#N/A,TRUE,"Tax";#N/A,#N/A,TRUE,"Structure";#N/A,#N/A,TRUE,"Accounting";#N/A,#N/A,TRUE,"Equipment"}</definedName>
    <definedName name="wrn.BAC" localSheetId="12" hidden="1">{#N/A,#N/A,TRUE,"Tax";#N/A,#N/A,TRUE,"Structure";#N/A,#N/A,TRUE,"Accounting";#N/A,#N/A,TRUE,"Equipment"}</definedName>
    <definedName name="wrn.BAC" localSheetId="25" hidden="1">{#N/A,#N/A,TRUE,"Tax";#N/A,#N/A,TRUE,"Structure";#N/A,#N/A,TRUE,"Accounting";#N/A,#N/A,TRUE,"Equipment"}</definedName>
    <definedName name="wrn.BAC" localSheetId="30" hidden="1">{#N/A,#N/A,TRUE,"Tax";#N/A,#N/A,TRUE,"Structure";#N/A,#N/A,TRUE,"Accounting";#N/A,#N/A,TRUE,"Equipment"}</definedName>
    <definedName name="wrn.BAC" hidden="1">{#N/A,#N/A,TRUE,"Tax";#N/A,#N/A,TRUE,"Structure";#N/A,#N/A,TRUE,"Accounting";#N/A,#N/A,TRUE,"Equipment"}</definedName>
    <definedName name="wrn.balance._.sheet." localSheetId="10" hidden="1">{"bs",#N/A,FALSE,"SCF"}</definedName>
    <definedName name="wrn.balance._.sheet." localSheetId="46" hidden="1">{"bs",#N/A,FALSE,"SCF"}</definedName>
    <definedName name="wrn.balance._.sheet." localSheetId="51" hidden="1">{"bs",#N/A,FALSE,"SCF"}</definedName>
    <definedName name="wrn.balance._.sheet." localSheetId="47" hidden="1">{"bs",#N/A,FALSE,"SCF"}</definedName>
    <definedName name="wrn.balance._.sheet." localSheetId="12" hidden="1">{"bs",#N/A,FALSE,"SCF"}</definedName>
    <definedName name="wrn.balance._.sheet." localSheetId="25" hidden="1">{"bs",#N/A,FALSE,"SCF"}</definedName>
    <definedName name="wrn.balance._.sheet." localSheetId="30" hidden="1">{"bs",#N/A,FALSE,"SCF"}</definedName>
    <definedName name="wrn.balance._.sheet." hidden="1">{"bs",#N/A,FALSE,"SCF"}</definedName>
    <definedName name="wrn.Basic." localSheetId="10" hidden="1">{#N/A,#N/A,FALSE,"e-Svc Level";#N/A,#N/A,FALSE,"e-Hosted";#N/A,#N/A,FALSE,"e-Licensed";#N/A,#N/A,FALSE,"Assumptions"}</definedName>
    <definedName name="wrn.Basic." localSheetId="47" hidden="1">{#N/A,#N/A,FALSE,"e-Svc Level";#N/A,#N/A,FALSE,"e-Hosted";#N/A,#N/A,FALSE,"e-Licensed";#N/A,#N/A,FALSE,"Assumptions"}</definedName>
    <definedName name="wrn.Basic." hidden="1">{#N/A,#N/A,FALSE,"e-Svc Level";#N/A,#N/A,FALSE,"e-Hosted";#N/A,#N/A,FALSE,"e-Licensed";#N/A,#N/A,FALSE,"Assumptions"}</definedName>
    <definedName name="wrn.Basic._.Report." localSheetId="10" hidden="1">{#N/A,#N/A,FALSE,"New Depr Sch-150% DB";#N/A,#N/A,FALSE,"Cash Flows RLP";#N/A,#N/A,FALSE,"IRR";#N/A,#N/A,FALSE,"Proforma IS";#N/A,#N/A,FALSE,"Assumptions"}</definedName>
    <definedName name="wrn.Basic._.Report." localSheetId="46" hidden="1">{#N/A,#N/A,FALSE,"New Depr Sch-150% DB";#N/A,#N/A,FALSE,"Cash Flows RLP";#N/A,#N/A,FALSE,"IRR";#N/A,#N/A,FALSE,"Proforma IS";#N/A,#N/A,FALSE,"Assumptions"}</definedName>
    <definedName name="wrn.Basic._.Report." localSheetId="51" hidden="1">{#N/A,#N/A,FALSE,"New Depr Sch-150% DB";#N/A,#N/A,FALSE,"Cash Flows RLP";#N/A,#N/A,FALSE,"IRR";#N/A,#N/A,FALSE,"Proforma IS";#N/A,#N/A,FALSE,"Assumptions"}</definedName>
    <definedName name="wrn.Basic._.Report." localSheetId="47" hidden="1">{#N/A,#N/A,FALSE,"New Depr Sch-150% DB";#N/A,#N/A,FALSE,"Cash Flows RLP";#N/A,#N/A,FALSE,"IRR";#N/A,#N/A,FALSE,"Proforma IS";#N/A,#N/A,FALSE,"Assumptions"}</definedName>
    <definedName name="wrn.Basic._.Report." localSheetId="12" hidden="1">{#N/A,#N/A,FALSE,"New Depr Sch-150% DB";#N/A,#N/A,FALSE,"Cash Flows RLP";#N/A,#N/A,FALSE,"IRR";#N/A,#N/A,FALSE,"Proforma IS";#N/A,#N/A,FALSE,"Assumptions"}</definedName>
    <definedName name="wrn.Basic._.Report." localSheetId="25" hidden="1">{#N/A,#N/A,FALSE,"New Depr Sch-150% DB";#N/A,#N/A,FALSE,"Cash Flows RLP";#N/A,#N/A,FALSE,"IRR";#N/A,#N/A,FALSE,"Proforma IS";#N/A,#N/A,FALSE,"Assumptions"}</definedName>
    <definedName name="wrn.Basic._.Report." localSheetId="30" hidden="1">{#N/A,#N/A,FALSE,"New Depr Sch-150% DB";#N/A,#N/A,FALSE,"Cash Flows RLP";#N/A,#N/A,FALSE,"IRR";#N/A,#N/A,FALSE,"Proforma IS";#N/A,#N/A,FALSE,"Assumptions"}</definedName>
    <definedName name="wrn.Basic._.Report." localSheetId="79" hidden="1">{#N/A,#N/A,FALSE,"New Depr Sch-150% DB";#N/A,#N/A,FALSE,"Cash Flows RLP";#N/A,#N/A,FALSE,"IRR";#N/A,#N/A,FALSE,"Proforma IS";#N/A,#N/A,FALSE,"Assumptions"}</definedName>
    <definedName name="wrn.Basic._.Report." hidden="1">{#N/A,#N/A,FALSE,"New Depr Sch-150% DB";#N/A,#N/A,FALSE,"Cash Flows RLP";#N/A,#N/A,FALSE,"IRR";#N/A,#N/A,FALSE,"Proforma IS";#N/A,#N/A,FALSE,"Assumptions"}</definedName>
    <definedName name="wrn.Basic1." localSheetId="10" hidden="1">{#N/A,#N/A,FALSE,"e-Svc Level";#N/A,#N/A,FALSE,"e-Hosted";#N/A,#N/A,FALSE,"e-Licensed";#N/A,#N/A,FALSE,"Assumptions"}</definedName>
    <definedName name="wrn.Basic1." localSheetId="47" hidden="1">{#N/A,#N/A,FALSE,"e-Svc Level";#N/A,#N/A,FALSE,"e-Hosted";#N/A,#N/A,FALSE,"e-Licensed";#N/A,#N/A,FALSE,"Assumptions"}</definedName>
    <definedName name="wrn.Basic1." hidden="1">{#N/A,#N/A,FALSE,"e-Svc Level";#N/A,#N/A,FALSE,"e-Hosted";#N/A,#N/A,FALSE,"e-Licensed";#N/A,#N/A,FALSE,"Assumptions"}</definedName>
    <definedName name="wrn.BoeingAircraftChecklist." localSheetId="10" hidden="1">{#N/A,#N/A,TRUE,"Tax";#N/A,#N/A,TRUE,"Structure";#N/A,#N/A,TRUE,"Accounting";#N/A,#N/A,TRUE,"Equipment"}</definedName>
    <definedName name="wrn.BoeingAircraftChecklist." localSheetId="46" hidden="1">{#N/A,#N/A,TRUE,"Tax";#N/A,#N/A,TRUE,"Structure";#N/A,#N/A,TRUE,"Accounting";#N/A,#N/A,TRUE,"Equipment"}</definedName>
    <definedName name="wrn.BoeingAircraftChecklist." localSheetId="51" hidden="1">{#N/A,#N/A,TRUE,"Tax";#N/A,#N/A,TRUE,"Structure";#N/A,#N/A,TRUE,"Accounting";#N/A,#N/A,TRUE,"Equipment"}</definedName>
    <definedName name="wrn.BoeingAircraftChecklist." localSheetId="47" hidden="1">{#N/A,#N/A,TRUE,"Tax";#N/A,#N/A,TRUE,"Structure";#N/A,#N/A,TRUE,"Accounting";#N/A,#N/A,TRUE,"Equipment"}</definedName>
    <definedName name="wrn.BoeingAircraftChecklist." localSheetId="12" hidden="1">{#N/A,#N/A,TRUE,"Tax";#N/A,#N/A,TRUE,"Structure";#N/A,#N/A,TRUE,"Accounting";#N/A,#N/A,TRUE,"Equipment"}</definedName>
    <definedName name="wrn.BoeingAircraftChecklist." localSheetId="25" hidden="1">{#N/A,#N/A,TRUE,"Tax";#N/A,#N/A,TRUE,"Structure";#N/A,#N/A,TRUE,"Accounting";#N/A,#N/A,TRUE,"Equipment"}</definedName>
    <definedName name="wrn.BoeingAircraftChecklist." localSheetId="30" hidden="1">{#N/A,#N/A,TRUE,"Tax";#N/A,#N/A,TRUE,"Structure";#N/A,#N/A,TRUE,"Accounting";#N/A,#N/A,TRUE,"Equipment"}</definedName>
    <definedName name="wrn.BoeingAircraftChecklist." hidden="1">{#N/A,#N/A,TRUE,"Tax";#N/A,#N/A,TRUE,"Structure";#N/A,#N/A,TRUE,"Accounting";#N/A,#N/A,TRUE,"Equipment"}</definedName>
    <definedName name="wrn.brisbane." localSheetId="10" hidden="1">{#N/A,#N/A,FALSE,"LOAN";#N/A,#N/A,FALSE,"linereclass";#N/A,#N/A,FALSE,"softdraw"}</definedName>
    <definedName name="wrn.brisbane." localSheetId="46" hidden="1">{#N/A,#N/A,FALSE,"LOAN";#N/A,#N/A,FALSE,"linereclass";#N/A,#N/A,FALSE,"softdraw"}</definedName>
    <definedName name="wrn.brisbane." localSheetId="51" hidden="1">{#N/A,#N/A,FALSE,"LOAN";#N/A,#N/A,FALSE,"linereclass";#N/A,#N/A,FALSE,"softdraw"}</definedName>
    <definedName name="wrn.brisbane." localSheetId="47" hidden="1">{#N/A,#N/A,FALSE,"LOAN";#N/A,#N/A,FALSE,"linereclass";#N/A,#N/A,FALSE,"softdraw"}</definedName>
    <definedName name="wrn.brisbane." localSheetId="12" hidden="1">{#N/A,#N/A,FALSE,"LOAN";#N/A,#N/A,FALSE,"linereclass";#N/A,#N/A,FALSE,"softdraw"}</definedName>
    <definedName name="wrn.brisbane." localSheetId="25" hidden="1">{#N/A,#N/A,FALSE,"LOAN";#N/A,#N/A,FALSE,"linereclass";#N/A,#N/A,FALSE,"softdraw"}</definedName>
    <definedName name="wrn.brisbane." localSheetId="30" hidden="1">{#N/A,#N/A,FALSE,"LOAN";#N/A,#N/A,FALSE,"linereclass";#N/A,#N/A,FALSE,"softdraw"}</definedName>
    <definedName name="wrn.brisbane." hidden="1">{#N/A,#N/A,FALSE,"LOAN";#N/A,#N/A,FALSE,"linereclass";#N/A,#N/A,FALSE,"softdraw"}</definedName>
    <definedName name="wrn.Chamonix." localSheetId="10" hidden="1">{"page1",#N/A,FALSE,"Model";"page2",#N/A,FALSE,"Model";"page3",#N/A,FALSE,"Model";"page4",#N/A,FALSE,"Model";"page5",#N/A,FALSE,"Model";"page6",#N/A,FALSE,"Model";"page7",#N/A,FALSE,"Model";"page8",#N/A,FALSE,"Model";"page9",#N/A,FALSE,"Model";"page10",#N/A,FALSE,"Model";"page11",#N/A,FALSE,"Model";"page12",#N/A,FALSE,"Model";"page13",#N/A,FALSE,"Model"}</definedName>
    <definedName name="wrn.Chamonix." hidden="1">{"page1",#N/A,FALSE,"Model";"page2",#N/A,FALSE,"Model";"page3",#N/A,FALSE,"Model";"page4",#N/A,FALSE,"Model";"page5",#N/A,FALSE,"Model";"page6",#N/A,FALSE,"Model";"page7",#N/A,FALSE,"Model";"page8",#N/A,FALSE,"Model";"page9",#N/A,FALSE,"Model";"page10",#N/A,FALSE,"Model";"page11",#N/A,FALSE,"Model";"page12",#N/A,FALSE,"Model";"page13",#N/A,FALSE,"Model"}</definedName>
    <definedName name="wrn.clientcopy." localSheetId="10"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46"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5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47"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25"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30"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79"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BINED." localSheetId="10" hidden="1">{#N/A,#N/A,FALSE,"INPUTS";#N/A,#N/A,FALSE,"PROFORMA BSHEET";#N/A,#N/A,FALSE,"COMBINED";#N/A,#N/A,FALSE,"HIGH YIELD";#N/A,#N/A,FALSE,"COMB_GRAPHS"}</definedName>
    <definedName name="wrn.COMBINED." hidden="1">{#N/A,#N/A,FALSE,"INPUTS";#N/A,#N/A,FALSE,"PROFORMA BSHEET";#N/A,#N/A,FALSE,"COMBINED";#N/A,#N/A,FALSE,"HIGH YIELD";#N/A,#N/A,FALSE,"COMB_GRAPHS"}</definedName>
    <definedName name="wrn.Complete._.Report." localSheetId="10" hidden="1">{#N/A,#N/A,FALSE,"Assumptions";#N/A,#N/A,FALSE,"Proforma IS";#N/A,#N/A,FALSE,"Cash Flows RLP";#N/A,#N/A,FALSE,"IRR";#N/A,#N/A,FALSE,"New Depr Sch-150% DB";#N/A,#N/A,FALSE,"Comments"}</definedName>
    <definedName name="wrn.Complete._.Report." localSheetId="46" hidden="1">{#N/A,#N/A,FALSE,"Assumptions";#N/A,#N/A,FALSE,"Proforma IS";#N/A,#N/A,FALSE,"Cash Flows RLP";#N/A,#N/A,FALSE,"IRR";#N/A,#N/A,FALSE,"New Depr Sch-150% DB";#N/A,#N/A,FALSE,"Comments"}</definedName>
    <definedName name="wrn.Complete._.Report." localSheetId="51" hidden="1">{#N/A,#N/A,FALSE,"Assumptions";#N/A,#N/A,FALSE,"Proforma IS";#N/A,#N/A,FALSE,"Cash Flows RLP";#N/A,#N/A,FALSE,"IRR";#N/A,#N/A,FALSE,"New Depr Sch-150% DB";#N/A,#N/A,FALSE,"Comments"}</definedName>
    <definedName name="wrn.Complete._.Report." localSheetId="47" hidden="1">{#N/A,#N/A,FALSE,"Assumptions";#N/A,#N/A,FALSE,"Proforma IS";#N/A,#N/A,FALSE,"Cash Flows RLP";#N/A,#N/A,FALSE,"IRR";#N/A,#N/A,FALSE,"New Depr Sch-150% DB";#N/A,#N/A,FALSE,"Comments"}</definedName>
    <definedName name="wrn.Complete._.Report." localSheetId="12" hidden="1">{#N/A,#N/A,FALSE,"Assumptions";#N/A,#N/A,FALSE,"Proforma IS";#N/A,#N/A,FALSE,"Cash Flows RLP";#N/A,#N/A,FALSE,"IRR";#N/A,#N/A,FALSE,"New Depr Sch-150% DB";#N/A,#N/A,FALSE,"Comments"}</definedName>
    <definedName name="wrn.Complete._.Report." localSheetId="25" hidden="1">{#N/A,#N/A,FALSE,"Assumptions";#N/A,#N/A,FALSE,"Proforma IS";#N/A,#N/A,FALSE,"Cash Flows RLP";#N/A,#N/A,FALSE,"IRR";#N/A,#N/A,FALSE,"New Depr Sch-150% DB";#N/A,#N/A,FALSE,"Comments"}</definedName>
    <definedName name="wrn.Complete._.Report." localSheetId="30" hidden="1">{#N/A,#N/A,FALSE,"Assumptions";#N/A,#N/A,FALSE,"Proforma IS";#N/A,#N/A,FALSE,"Cash Flows RLP";#N/A,#N/A,FALSE,"IRR";#N/A,#N/A,FALSE,"New Depr Sch-150% DB";#N/A,#N/A,FALSE,"Comments"}</definedName>
    <definedName name="wrn.Complete._.Report." localSheetId="79" hidden="1">{#N/A,#N/A,FALSE,"Assumptions";#N/A,#N/A,FALSE,"Proforma IS";#N/A,#N/A,FALSE,"Cash Flows RLP";#N/A,#N/A,FALSE,"IRR";#N/A,#N/A,FALSE,"New Depr Sch-150% DB";#N/A,#N/A,FALSE,"Comments"}</definedName>
    <definedName name="wrn.Complete._.Report." hidden="1">{#N/A,#N/A,FALSE,"Assumptions";#N/A,#N/A,FALSE,"Proforma IS";#N/A,#N/A,FALSE,"Cash Flows RLP";#N/A,#N/A,FALSE,"IRR";#N/A,#N/A,FALSE,"New Depr Sch-150% DB";#N/A,#N/A,FALSE,"Comments"}</definedName>
    <definedName name="wrn.contributory._.asset._.charges." localSheetId="10" hidden="1">{"contributory1",#N/A,FALSE,"Contributory Assets Detail";"contributory2",#N/A,FALSE,"Contributory Assets Detail"}</definedName>
    <definedName name="wrn.contributory._.asset._.charges." localSheetId="46" hidden="1">{"contributory1",#N/A,FALSE,"Contributory Assets Detail";"contributory2",#N/A,FALSE,"Contributory Assets Detail"}</definedName>
    <definedName name="wrn.contributory._.asset._.charges." localSheetId="51" hidden="1">{"contributory1",#N/A,FALSE,"Contributory Assets Detail";"contributory2",#N/A,FALSE,"Contributory Assets Detail"}</definedName>
    <definedName name="wrn.contributory._.asset._.charges." localSheetId="47" hidden="1">{"contributory1",#N/A,FALSE,"Contributory Assets Detail";"contributory2",#N/A,FALSE,"Contributory Assets Detail"}</definedName>
    <definedName name="wrn.contributory._.asset._.charges." localSheetId="12" hidden="1">{"contributory1",#N/A,FALSE,"Contributory Assets Detail";"contributory2",#N/A,FALSE,"Contributory Assets Detail"}</definedName>
    <definedName name="wrn.contributory._.asset._.charges." localSheetId="25" hidden="1">{"contributory1",#N/A,FALSE,"Contributory Assets Detail";"contributory2",#N/A,FALSE,"Contributory Assets Detail"}</definedName>
    <definedName name="wrn.contributory._.asset._.charges." localSheetId="30" hidden="1">{"contributory1",#N/A,FALSE,"Contributory Assets Detail";"contributory2",#N/A,FALSE,"Contributory Assets Detail"}</definedName>
    <definedName name="wrn.contributory._.asset._.charges." hidden="1">{"contributory1",#N/A,FALSE,"Contributory Assets Detail";"contributory2",#N/A,FALSE,"Contributory Assets Detail"}</definedName>
    <definedName name="wrn.Customer_base." localSheetId="10" hidden="1">{"customer base",#N/A,FALSE,"customer_base";"customer base perf estimates",#N/A,FALSE,"customer_base"}</definedName>
    <definedName name="wrn.Customer_base." localSheetId="46" hidden="1">{"customer base",#N/A,FALSE,"customer_base";"customer base perf estimates",#N/A,FALSE,"customer_base"}</definedName>
    <definedName name="wrn.Customer_base." localSheetId="51" hidden="1">{"customer base",#N/A,FALSE,"customer_base";"customer base perf estimates",#N/A,FALSE,"customer_base"}</definedName>
    <definedName name="wrn.Customer_base." localSheetId="47" hidden="1">{"customer base",#N/A,FALSE,"customer_base";"customer base perf estimates",#N/A,FALSE,"customer_base"}</definedName>
    <definedName name="wrn.Customer_base." localSheetId="12" hidden="1">{"customer base",#N/A,FALSE,"customer_base";"customer base perf estimates",#N/A,FALSE,"customer_base"}</definedName>
    <definedName name="wrn.Customer_base." localSheetId="25" hidden="1">{"customer base",#N/A,FALSE,"customer_base";"customer base perf estimates",#N/A,FALSE,"customer_base"}</definedName>
    <definedName name="wrn.Customer_base." localSheetId="30" hidden="1">{"customer base",#N/A,FALSE,"customer_base";"customer base perf estimates",#N/A,FALSE,"customer_base"}</definedName>
    <definedName name="wrn.Customer_base." hidden="1">{"customer base",#N/A,FALSE,"customer_base";"customer base perf estimates",#N/A,FALSE,"customer_base"}</definedName>
    <definedName name="wrn.DCF." localSheetId="10" hidden="1">{#N/A,#N/A,FALSE,"DCF Cov";#N/A,#N/A,FALSE,"dcf"}</definedName>
    <definedName name="wrn.DCF." localSheetId="46" hidden="1">{#N/A,#N/A,FALSE,"DCF Cov";#N/A,#N/A,FALSE,"dcf"}</definedName>
    <definedName name="wrn.DCF." localSheetId="51" hidden="1">{#N/A,#N/A,FALSE,"DCF Cov";#N/A,#N/A,FALSE,"dcf"}</definedName>
    <definedName name="wrn.DCF." localSheetId="47" hidden="1">{#N/A,#N/A,FALSE,"DCF Cov";#N/A,#N/A,FALSE,"dcf"}</definedName>
    <definedName name="wrn.DCF." localSheetId="12" hidden="1">{#N/A,#N/A,FALSE,"DCF Cov";#N/A,#N/A,FALSE,"dcf"}</definedName>
    <definedName name="wrn.DCF." localSheetId="25" hidden="1">{#N/A,#N/A,FALSE,"DCF Cov";#N/A,#N/A,FALSE,"dcf"}</definedName>
    <definedName name="wrn.DCF." localSheetId="30" hidden="1">{#N/A,#N/A,FALSE,"DCF Cov";#N/A,#N/A,FALSE,"dcf"}</definedName>
    <definedName name="wrn.DCF." hidden="1">{#N/A,#N/A,FALSE,"DCF Cov";#N/A,#N/A,FALSE,"dcf"}</definedName>
    <definedName name="wrn.Detail." localSheetId="10" hidden="1">{"umarea",#N/A,FALSE,"Starting Cost";"umagesex",#N/A,FALSE,"Starting Cost";"umbenlim",#N/A,FALSE,"Starting Cost";"umprovdisc",#N/A,FALSE,"Starting Cost";"umother",#N/A,FALSE,"Starting Cost";"umtrend",#N/A,FALSE,"Starting Cost"}</definedName>
    <definedName name="wrn.Detail." localSheetId="47" hidden="1">{"umarea",#N/A,FALSE,"Starting Cost";"umagesex",#N/A,FALSE,"Starting Cost";"umbenlim",#N/A,FALSE,"Starting Cost";"umprovdisc",#N/A,FALSE,"Starting Cost";"umother",#N/A,FALSE,"Starting Cost";"umtrend",#N/A,FALSE,"Starting Cost"}</definedName>
    <definedName name="wrn.Detail." hidden="1">{"umarea",#N/A,FALSE,"Starting Cost";"umagesex",#N/A,FALSE,"Starting Cost";"umbenlim",#N/A,FALSE,"Starting Cost";"umprovdisc",#N/A,FALSE,"Starting Cost";"umother",#N/A,FALSE,"Starting Cost";"umtrend",#N/A,FALSE,"Starting Cost"}</definedName>
    <definedName name="wrn.detalles._.total." localSheetId="10" hidden="1">{"total","abonados garantia",FALSE,"detalle19982007"}</definedName>
    <definedName name="wrn.detalles._.total." hidden="1">{"total","abonados garantia",FALSE,"detalle19982007"}</definedName>
    <definedName name="wrn.documentation." localSheetId="10" hidden="1">{"documentation1",#N/A,FALSE,"Documentation";"documentation2",#N/A,FALSE,"Documentation"}</definedName>
    <definedName name="wrn.documentation." localSheetId="46" hidden="1">{"documentation1",#N/A,FALSE,"Documentation";"documentation2",#N/A,FALSE,"Documentation"}</definedName>
    <definedName name="wrn.documentation." localSheetId="51" hidden="1">{"documentation1",#N/A,FALSE,"Documentation";"documentation2",#N/A,FALSE,"Documentation"}</definedName>
    <definedName name="wrn.documentation." localSheetId="47" hidden="1">{"documentation1",#N/A,FALSE,"Documentation";"documentation2",#N/A,FALSE,"Documentation"}</definedName>
    <definedName name="wrn.documentation." localSheetId="12" hidden="1">{"documentation1",#N/A,FALSE,"Documentation";"documentation2",#N/A,FALSE,"Documentation"}</definedName>
    <definedName name="wrn.documentation." localSheetId="25" hidden="1">{"documentation1",#N/A,FALSE,"Documentation";"documentation2",#N/A,FALSE,"Documentation"}</definedName>
    <definedName name="wrn.documentation." localSheetId="30" hidden="1">{"documentation1",#N/A,FALSE,"Documentation";"documentation2",#N/A,FALSE,"Documentation"}</definedName>
    <definedName name="wrn.documentation." hidden="1">{"documentation1",#N/A,FALSE,"Documentation";"documentation2",#N/A,FALSE,"Documentation"}</definedName>
    <definedName name="wrn.ESPP." localSheetId="10" hidden="1">{#N/A,#N/A,FALSE,"REPORT"}</definedName>
    <definedName name="wrn.ESPP." localSheetId="46" hidden="1">{#N/A,#N/A,FALSE,"REPORT"}</definedName>
    <definedName name="wrn.ESPP." localSheetId="51" hidden="1">{#N/A,#N/A,FALSE,"REPORT"}</definedName>
    <definedName name="wrn.ESPP." localSheetId="47" hidden="1">{#N/A,#N/A,FALSE,"REPORT"}</definedName>
    <definedName name="wrn.ESPP." localSheetId="12" hidden="1">{#N/A,#N/A,FALSE,"REPORT"}</definedName>
    <definedName name="wrn.ESPP." localSheetId="25" hidden="1">{#N/A,#N/A,FALSE,"REPORT"}</definedName>
    <definedName name="wrn.ESPP." localSheetId="30" hidden="1">{#N/A,#N/A,FALSE,"REPORT"}</definedName>
    <definedName name="wrn.ESPP." hidden="1">{#N/A,#N/A,FALSE,"REPORT"}</definedName>
    <definedName name="wrn.exhibits." localSheetId="10" hidden="1">{#N/A,#N/A,FALSE,"IS";#N/A,#N/A,FALSE,"BS";#N/A,#N/A,FALSE,"RMA";#N/A,#N/A,FALSE,"INCOME";#N/A,#N/A,FALSE,"DCF";#N/A,#N/A,FALSE,"MARKET"}</definedName>
    <definedName name="wrn.exhibits." localSheetId="46" hidden="1">{#N/A,#N/A,FALSE,"IS";#N/A,#N/A,FALSE,"BS";#N/A,#N/A,FALSE,"RMA";#N/A,#N/A,FALSE,"INCOME";#N/A,#N/A,FALSE,"DCF";#N/A,#N/A,FALSE,"MARKET"}</definedName>
    <definedName name="wrn.exhibits." localSheetId="51" hidden="1">{#N/A,#N/A,FALSE,"IS";#N/A,#N/A,FALSE,"BS";#N/A,#N/A,FALSE,"RMA";#N/A,#N/A,FALSE,"INCOME";#N/A,#N/A,FALSE,"DCF";#N/A,#N/A,FALSE,"MARKET"}</definedName>
    <definedName name="wrn.exhibits." localSheetId="47" hidden="1">{#N/A,#N/A,FALSE,"IS";#N/A,#N/A,FALSE,"BS";#N/A,#N/A,FALSE,"RMA";#N/A,#N/A,FALSE,"INCOME";#N/A,#N/A,FALSE,"DCF";#N/A,#N/A,FALSE,"MARKET"}</definedName>
    <definedName name="wrn.exhibits." localSheetId="12" hidden="1">{#N/A,#N/A,FALSE,"IS";#N/A,#N/A,FALSE,"BS";#N/A,#N/A,FALSE,"RMA";#N/A,#N/A,FALSE,"INCOME";#N/A,#N/A,FALSE,"DCF";#N/A,#N/A,FALSE,"MARKET"}</definedName>
    <definedName name="wrn.exhibits." localSheetId="25" hidden="1">{#N/A,#N/A,FALSE,"IS";#N/A,#N/A,FALSE,"BS";#N/A,#N/A,FALSE,"RMA";#N/A,#N/A,FALSE,"INCOME";#N/A,#N/A,FALSE,"DCF";#N/A,#N/A,FALSE,"MARKET"}</definedName>
    <definedName name="wrn.exhibits." localSheetId="30" hidden="1">{#N/A,#N/A,FALSE,"IS";#N/A,#N/A,FALSE,"BS";#N/A,#N/A,FALSE,"RMA";#N/A,#N/A,FALSE,"INCOME";#N/A,#N/A,FALSE,"DCF";#N/A,#N/A,FALSE,"MARKET"}</definedName>
    <definedName name="wrn.exhibits." hidden="1">{#N/A,#N/A,FALSE,"IS";#N/A,#N/A,FALSE,"BS";#N/A,#N/A,FALSE,"RMA";#N/A,#N/A,FALSE,"INCOME";#N/A,#N/A,FALSE,"DCF";#N/A,#N/A,FALSE,"MARKET"}</definedName>
    <definedName name="wrn.Factors." localSheetId="10" hidden="1">{#N/A,#N/A,FALSE,"Factors"}</definedName>
    <definedName name="wrn.Factors." localSheetId="47" hidden="1">{#N/A,#N/A,FALSE,"Factors"}</definedName>
    <definedName name="wrn.Factors." hidden="1">{#N/A,#N/A,FALSE,"Factors"}</definedName>
    <definedName name="wrn.Fcst._.by._.Mon." localSheetId="10" hidden="1">{"Fcst by Mon Full",#N/A,FALSE,"Tot PalmPalm";"Fcst by Mon Full",#N/A,FALSE,"Tot Device";"Fcst by Mon Full",#N/A,FALSE,"Platform";"Fcst by Mon Full",#N/A,FALSE,"Palm.Net";"Fcst by Mon Full",#N/A,FALSE,"Elim"}</definedName>
    <definedName name="wrn.Fcst._.by._.Mon." localSheetId="46" hidden="1">{"Fcst by Mon Full",#N/A,FALSE,"Tot PalmPalm";"Fcst by Mon Full",#N/A,FALSE,"Tot Device";"Fcst by Mon Full",#N/A,FALSE,"Platform";"Fcst by Mon Full",#N/A,FALSE,"Palm.Net";"Fcst by Mon Full",#N/A,FALSE,"Elim"}</definedName>
    <definedName name="wrn.Fcst._.by._.Mon." localSheetId="51" hidden="1">{"Fcst by Mon Full",#N/A,FALSE,"Tot PalmPalm";"Fcst by Mon Full",#N/A,FALSE,"Tot Device";"Fcst by Mon Full",#N/A,FALSE,"Platform";"Fcst by Mon Full",#N/A,FALSE,"Palm.Net";"Fcst by Mon Full",#N/A,FALSE,"Elim"}</definedName>
    <definedName name="wrn.Fcst._.by._.Mon." localSheetId="47" hidden="1">{"Fcst by Mon Full",#N/A,FALSE,"Tot PalmPalm";"Fcst by Mon Full",#N/A,FALSE,"Tot Device";"Fcst by Mon Full",#N/A,FALSE,"Platform";"Fcst by Mon Full",#N/A,FALSE,"Palm.Net";"Fcst by Mon Full",#N/A,FALSE,"Elim"}</definedName>
    <definedName name="wrn.Fcst._.by._.Mon." localSheetId="12" hidden="1">{"Fcst by Mon Full",#N/A,FALSE,"Tot PalmPalm";"Fcst by Mon Full",#N/A,FALSE,"Tot Device";"Fcst by Mon Full",#N/A,FALSE,"Platform";"Fcst by Mon Full",#N/A,FALSE,"Palm.Net";"Fcst by Mon Full",#N/A,FALSE,"Elim"}</definedName>
    <definedName name="wrn.Fcst._.by._.Mon." localSheetId="25" hidden="1">{"Fcst by Mon Full",#N/A,FALSE,"Tot PalmPalm";"Fcst by Mon Full",#N/A,FALSE,"Tot Device";"Fcst by Mon Full",#N/A,FALSE,"Platform";"Fcst by Mon Full",#N/A,FALSE,"Palm.Net";"Fcst by Mon Full",#N/A,FALSE,"Elim"}</definedName>
    <definedName name="wrn.Fcst._.by._.Mon." localSheetId="30" hidden="1">{"Fcst by Mon Full",#N/A,FALSE,"Tot PalmPalm";"Fcst by Mon Full",#N/A,FALSE,"Tot Device";"Fcst by Mon Full",#N/A,FALSE,"Platform";"Fcst by Mon Full",#N/A,FALSE,"Palm.Net";"Fcst by Mon Full",#N/A,FALSE,"Elim"}</definedName>
    <definedName name="wrn.Fcst._.by._.Mon." hidden="1">{"Fcst by Mon Full",#N/A,FALSE,"Tot PalmPalm";"Fcst by Mon Full",#N/A,FALSE,"Tot Device";"Fcst by Mon Full",#N/A,FALSE,"Platform";"Fcst by Mon Full",#N/A,FALSE,"Palm.Net";"Fcst by Mon Full",#N/A,FALSE,"Elim"}</definedName>
    <definedName name="wrn.Fcst._.by._.Qtr." localSheetId="10" hidden="1">{"Fcst by Qtr Full",#N/A,FALSE,"Tot PalmPalm";"Fcst by Qtr Full",#N/A,FALSE,"Tot Device";"Fcst by Qtr Full",#N/A,FALSE,"Platform";"Fcst by Qtr Full",#N/A,FALSE,"Palm.Net";"Fcst by Qtr Full",#N/A,FALSE,"Elim"}</definedName>
    <definedName name="wrn.Fcst._.by._.Qtr." localSheetId="46" hidden="1">{"Fcst by Qtr Full",#N/A,FALSE,"Tot PalmPalm";"Fcst by Qtr Full",#N/A,FALSE,"Tot Device";"Fcst by Qtr Full",#N/A,FALSE,"Platform";"Fcst by Qtr Full",#N/A,FALSE,"Palm.Net";"Fcst by Qtr Full",#N/A,FALSE,"Elim"}</definedName>
    <definedName name="wrn.Fcst._.by._.Qtr." localSheetId="51" hidden="1">{"Fcst by Qtr Full",#N/A,FALSE,"Tot PalmPalm";"Fcst by Qtr Full",#N/A,FALSE,"Tot Device";"Fcst by Qtr Full",#N/A,FALSE,"Platform";"Fcst by Qtr Full",#N/A,FALSE,"Palm.Net";"Fcst by Qtr Full",#N/A,FALSE,"Elim"}</definedName>
    <definedName name="wrn.Fcst._.by._.Qtr." localSheetId="47" hidden="1">{"Fcst by Qtr Full",#N/A,FALSE,"Tot PalmPalm";"Fcst by Qtr Full",#N/A,FALSE,"Tot Device";"Fcst by Qtr Full",#N/A,FALSE,"Platform";"Fcst by Qtr Full",#N/A,FALSE,"Palm.Net";"Fcst by Qtr Full",#N/A,FALSE,"Elim"}</definedName>
    <definedName name="wrn.Fcst._.by._.Qtr." localSheetId="12" hidden="1">{"Fcst by Qtr Full",#N/A,FALSE,"Tot PalmPalm";"Fcst by Qtr Full",#N/A,FALSE,"Tot Device";"Fcst by Qtr Full",#N/A,FALSE,"Platform";"Fcst by Qtr Full",#N/A,FALSE,"Palm.Net";"Fcst by Qtr Full",#N/A,FALSE,"Elim"}</definedName>
    <definedName name="wrn.Fcst._.by._.Qtr." localSheetId="25" hidden="1">{"Fcst by Qtr Full",#N/A,FALSE,"Tot PalmPalm";"Fcst by Qtr Full",#N/A,FALSE,"Tot Device";"Fcst by Qtr Full",#N/A,FALSE,"Platform";"Fcst by Qtr Full",#N/A,FALSE,"Palm.Net";"Fcst by Qtr Full",#N/A,FALSE,"Elim"}</definedName>
    <definedName name="wrn.Fcst._.by._.Qtr." localSheetId="30" hidden="1">{"Fcst by Qtr Full",#N/A,FALSE,"Tot PalmPalm";"Fcst by Qtr Full",#N/A,FALSE,"Tot Device";"Fcst by Qtr Full",#N/A,FALSE,"Platform";"Fcst by Qtr Full",#N/A,FALSE,"Palm.Net";"Fcst by Qtr Full",#N/A,FALSE,"Elim"}</definedName>
    <definedName name="wrn.Fcst._.by._.Qtr." hidden="1">{"Fcst by Qtr Full",#N/A,FALSE,"Tot PalmPalm";"Fcst by Qtr Full",#N/A,FALSE,"Tot Device";"Fcst by Qtr Full",#N/A,FALSE,"Platform";"Fcst by Qtr Full",#N/A,FALSE,"Palm.Net";"Fcst by Qtr Full",#N/A,FALSE,"Elim"}</definedName>
    <definedName name="wrn.File." localSheetId="10"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46"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51"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47"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12"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25"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30"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copy." localSheetId="10"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46"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5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47"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25"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30"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79"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ull._.Model." localSheetId="10"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46"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51"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47"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12"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25"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30" hidden="1">{#N/A,#N/A,FALSE,"Cov";#N/A,#N/A,FALSE,"sum";#N/A,#N/A,FALSE,"baladj";#N/A,#N/A,FALSE,"bs";#N/A,#N/A,FALSE,"is";#N/A,#N/A,FALSE,"pis";#N/A,#N/A,FALSE,"pis";#N/A,#N/A,FALSE,"cf";#N/A,#N/A,FALSE,"balhist";#N/A,#N/A,FALSE,"wc";#N/A,#N/A,FALSE,"ltd";#N/A,#N/A,FALSE,"cover";#N/A,#N/A,FALSE,"fa";#N/A,#N/A,FALSE,"tax";#N/A,#N/A,FALSE,"irr";#N/A,#N/A,FALSE,"in";#N/A,#N/A,FALSE,"DCF Cov";#N/A,#N/A,FALSE,"dcf"}</definedName>
    <definedName name="wrn.Full._.Model." hidden="1">{#N/A,#N/A,FALSE,"Cov";#N/A,#N/A,FALSE,"sum";#N/A,#N/A,FALSE,"baladj";#N/A,#N/A,FALSE,"bs";#N/A,#N/A,FALSE,"is";#N/A,#N/A,FALSE,"pis";#N/A,#N/A,FALSE,"pis";#N/A,#N/A,FALSE,"cf";#N/A,#N/A,FALSE,"balhist";#N/A,#N/A,FALSE,"wc";#N/A,#N/A,FALSE,"ltd";#N/A,#N/A,FALSE,"cover";#N/A,#N/A,FALSE,"fa";#N/A,#N/A,FALSE,"tax";#N/A,#N/A,FALSE,"irr";#N/A,#N/A,FALSE,"in";#N/A,#N/A,FALSE,"DCF Cov";#N/A,#N/A,FALSE,"dcf"}</definedName>
    <definedName name="wrn.Full._.Print." localSheetId="10"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46"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51"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47"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12"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25"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30"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without._.data." localSheetId="10"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ACQ." localSheetId="10" hidden="1">{#N/A,#N/A,FALSE,"Summary";#N/A,#N/A,FALSE,"Proforma";#N/A,#N/A,FALSE,"Tx"}</definedName>
    <definedName name="wrn.FULL_ACQ." localSheetId="46" hidden="1">{#N/A,#N/A,FALSE,"Summary";#N/A,#N/A,FALSE,"Proforma";#N/A,#N/A,FALSE,"Tx"}</definedName>
    <definedName name="wrn.FULL_ACQ." localSheetId="51" hidden="1">{#N/A,#N/A,FALSE,"Summary";#N/A,#N/A,FALSE,"Proforma";#N/A,#N/A,FALSE,"Tx"}</definedName>
    <definedName name="wrn.FULL_ACQ." localSheetId="47" hidden="1">{#N/A,#N/A,FALSE,"Summary";#N/A,#N/A,FALSE,"Proforma";#N/A,#N/A,FALSE,"Tx"}</definedName>
    <definedName name="wrn.FULL_ACQ." localSheetId="12" hidden="1">{#N/A,#N/A,FALSE,"Summary";#N/A,#N/A,FALSE,"Proforma";#N/A,#N/A,FALSE,"Tx"}</definedName>
    <definedName name="wrn.FULL_ACQ." localSheetId="25" hidden="1">{#N/A,#N/A,FALSE,"Summary";#N/A,#N/A,FALSE,"Proforma";#N/A,#N/A,FALSE,"Tx"}</definedName>
    <definedName name="wrn.FULL_ACQ." localSheetId="30" hidden="1">{#N/A,#N/A,FALSE,"Summary";#N/A,#N/A,FALSE,"Proforma";#N/A,#N/A,FALSE,"Tx"}</definedName>
    <definedName name="wrn.FULL_ACQ." hidden="1">{#N/A,#N/A,FALSE,"Summary";#N/A,#N/A,FALSE,"Proforma";#N/A,#N/A,FALSE,"Tx"}</definedName>
    <definedName name="wrn.GRAPHS." localSheetId="10" hidden="1">{#N/A,#N/A,FALSE,"ACQ_GRAPHS";#N/A,#N/A,FALSE,"T_1 GRAPHS";#N/A,#N/A,FALSE,"T_2 GRAPHS";#N/A,#N/A,FALSE,"COMB_GRAPHS"}</definedName>
    <definedName name="wrn.GRAPHS." hidden="1">{#N/A,#N/A,FALSE,"ACQ_GRAPHS";#N/A,#N/A,FALSE,"T_1 GRAPHS";#N/A,#N/A,FALSE,"T_2 GRAPHS";#N/A,#N/A,FALSE,"COMB_GRAPHS"}</definedName>
    <definedName name="wrn.LBO." localSheetId="10" hidden="1">{#N/A,#N/A,FALSE,"Cov";#N/A,#N/A,FALSE,"sum";#N/A,#N/A,FALSE,"baladj";#N/A,#N/A,FALSE,"bs";#N/A,#N/A,FALSE,"is";#N/A,#N/A,FALSE,"pis";#N/A,#N/A,FALSE,"cf";#N/A,#N/A,FALSE,"balhist";#N/A,#N/A,FALSE,"wc";#N/A,#N/A,FALSE,"ltd";#N/A,#N/A,FALSE,"cover";#N/A,#N/A,FALSE,"fa";#N/A,#N/A,FALSE,"tax";#N/A,#N/A,FALSE,"irr";#N/A,#N/A,FALSE,"in"}</definedName>
    <definedName name="wrn.LBO." localSheetId="46" hidden="1">{#N/A,#N/A,FALSE,"Cov";#N/A,#N/A,FALSE,"sum";#N/A,#N/A,FALSE,"baladj";#N/A,#N/A,FALSE,"bs";#N/A,#N/A,FALSE,"is";#N/A,#N/A,FALSE,"pis";#N/A,#N/A,FALSE,"cf";#N/A,#N/A,FALSE,"balhist";#N/A,#N/A,FALSE,"wc";#N/A,#N/A,FALSE,"ltd";#N/A,#N/A,FALSE,"cover";#N/A,#N/A,FALSE,"fa";#N/A,#N/A,FALSE,"tax";#N/A,#N/A,FALSE,"irr";#N/A,#N/A,FALSE,"in"}</definedName>
    <definedName name="wrn.LBO." localSheetId="51" hidden="1">{#N/A,#N/A,FALSE,"Cov";#N/A,#N/A,FALSE,"sum";#N/A,#N/A,FALSE,"baladj";#N/A,#N/A,FALSE,"bs";#N/A,#N/A,FALSE,"is";#N/A,#N/A,FALSE,"pis";#N/A,#N/A,FALSE,"cf";#N/A,#N/A,FALSE,"balhist";#N/A,#N/A,FALSE,"wc";#N/A,#N/A,FALSE,"ltd";#N/A,#N/A,FALSE,"cover";#N/A,#N/A,FALSE,"fa";#N/A,#N/A,FALSE,"tax";#N/A,#N/A,FALSE,"irr";#N/A,#N/A,FALSE,"in"}</definedName>
    <definedName name="wrn.LBO." localSheetId="47" hidden="1">{#N/A,#N/A,FALSE,"Cov";#N/A,#N/A,FALSE,"sum";#N/A,#N/A,FALSE,"baladj";#N/A,#N/A,FALSE,"bs";#N/A,#N/A,FALSE,"is";#N/A,#N/A,FALSE,"pis";#N/A,#N/A,FALSE,"cf";#N/A,#N/A,FALSE,"balhist";#N/A,#N/A,FALSE,"wc";#N/A,#N/A,FALSE,"ltd";#N/A,#N/A,FALSE,"cover";#N/A,#N/A,FALSE,"fa";#N/A,#N/A,FALSE,"tax";#N/A,#N/A,FALSE,"irr";#N/A,#N/A,FALSE,"in"}</definedName>
    <definedName name="wrn.LBO." localSheetId="12" hidden="1">{#N/A,#N/A,FALSE,"Cov";#N/A,#N/A,FALSE,"sum";#N/A,#N/A,FALSE,"baladj";#N/A,#N/A,FALSE,"bs";#N/A,#N/A,FALSE,"is";#N/A,#N/A,FALSE,"pis";#N/A,#N/A,FALSE,"cf";#N/A,#N/A,FALSE,"balhist";#N/A,#N/A,FALSE,"wc";#N/A,#N/A,FALSE,"ltd";#N/A,#N/A,FALSE,"cover";#N/A,#N/A,FALSE,"fa";#N/A,#N/A,FALSE,"tax";#N/A,#N/A,FALSE,"irr";#N/A,#N/A,FALSE,"in"}</definedName>
    <definedName name="wrn.LBO." localSheetId="25" hidden="1">{#N/A,#N/A,FALSE,"Cov";#N/A,#N/A,FALSE,"sum";#N/A,#N/A,FALSE,"baladj";#N/A,#N/A,FALSE,"bs";#N/A,#N/A,FALSE,"is";#N/A,#N/A,FALSE,"pis";#N/A,#N/A,FALSE,"cf";#N/A,#N/A,FALSE,"balhist";#N/A,#N/A,FALSE,"wc";#N/A,#N/A,FALSE,"ltd";#N/A,#N/A,FALSE,"cover";#N/A,#N/A,FALSE,"fa";#N/A,#N/A,FALSE,"tax";#N/A,#N/A,FALSE,"irr";#N/A,#N/A,FALSE,"in"}</definedName>
    <definedName name="wrn.LBO." localSheetId="30" hidden="1">{#N/A,#N/A,FALSE,"Cov";#N/A,#N/A,FALSE,"sum";#N/A,#N/A,FALSE,"baladj";#N/A,#N/A,FALSE,"bs";#N/A,#N/A,FALSE,"is";#N/A,#N/A,FALSE,"pis";#N/A,#N/A,FALSE,"cf";#N/A,#N/A,FALSE,"balhist";#N/A,#N/A,FALSE,"wc";#N/A,#N/A,FALSE,"ltd";#N/A,#N/A,FALSE,"cover";#N/A,#N/A,FALSE,"fa";#N/A,#N/A,FALSE,"tax";#N/A,#N/A,FALSE,"irr";#N/A,#N/A,FALSE,"in"}</definedName>
    <definedName name="wrn.LBO." hidden="1">{#N/A,#N/A,FALSE,"Cov";#N/A,#N/A,FALSE,"sum";#N/A,#N/A,FALSE,"baladj";#N/A,#N/A,FALSE,"bs";#N/A,#N/A,FALSE,"is";#N/A,#N/A,FALSE,"pis";#N/A,#N/A,FALSE,"cf";#N/A,#N/A,FALSE,"balhist";#N/A,#N/A,FALSE,"wc";#N/A,#N/A,FALSE,"ltd";#N/A,#N/A,FALSE,"cover";#N/A,#N/A,FALSE,"fa";#N/A,#N/A,FALSE,"tax";#N/A,#N/A,FALSE,"irr";#N/A,#N/A,FALSE,"in"}</definedName>
    <definedName name="wrn.Model." localSheetId="10" hidden="1">{#N/A,#N/A,FALSE,"Model"}</definedName>
    <definedName name="wrn.Model." localSheetId="47" hidden="1">{#N/A,#N/A,FALSE,"Model"}</definedName>
    <definedName name="wrn.Model." hidden="1">{#N/A,#N/A,FALSE,"Model"}</definedName>
    <definedName name="wrn.northpoint." localSheetId="10" hidden="1">{#N/A,#N/A,FALSE,"softdraw";#N/A,#N/A,FALSE,"linereclass";"northpint loan",#N/A,FALSE,"LOAN"}</definedName>
    <definedName name="wrn.northpoint." localSheetId="46" hidden="1">{#N/A,#N/A,FALSE,"softdraw";#N/A,#N/A,FALSE,"linereclass";"northpint loan",#N/A,FALSE,"LOAN"}</definedName>
    <definedName name="wrn.northpoint." localSheetId="51" hidden="1">{#N/A,#N/A,FALSE,"softdraw";#N/A,#N/A,FALSE,"linereclass";"northpint loan",#N/A,FALSE,"LOAN"}</definedName>
    <definedName name="wrn.northpoint." localSheetId="47" hidden="1">{#N/A,#N/A,FALSE,"softdraw";#N/A,#N/A,FALSE,"linereclass";"northpint loan",#N/A,FALSE,"LOAN"}</definedName>
    <definedName name="wrn.northpoint." localSheetId="12" hidden="1">{#N/A,#N/A,FALSE,"softdraw";#N/A,#N/A,FALSE,"linereclass";"northpint loan",#N/A,FALSE,"LOAN"}</definedName>
    <definedName name="wrn.northpoint." localSheetId="25" hidden="1">{#N/A,#N/A,FALSE,"softdraw";#N/A,#N/A,FALSE,"linereclass";"northpint loan",#N/A,FALSE,"LOAN"}</definedName>
    <definedName name="wrn.northpoint." localSheetId="30" hidden="1">{#N/A,#N/A,FALSE,"softdraw";#N/A,#N/A,FALSE,"linereclass";"northpint loan",#N/A,FALSE,"LOAN"}</definedName>
    <definedName name="wrn.northpoint." hidden="1">{#N/A,#N/A,FALSE,"softdraw";#N/A,#N/A,FALSE,"linereclass";"northpint loan",#N/A,FALSE,"LOAN"}</definedName>
    <definedName name="wrn.Olk._.by._.Qtr." localSheetId="10" hidden="1">{"Olk by Qtr Full",#N/A,FALSE,"Tot PalmPalm";"Olk by Qtr Full",#N/A,FALSE,"Tot Device";"Olk by Qtr Full",#N/A,FALSE,"Platform";"Olk by Qtr Full",#N/A,FALSE,"Palm.Net";"Olk by Qtr Full",#N/A,FALSE,"Elim"}</definedName>
    <definedName name="wrn.Olk._.by._.Qtr." localSheetId="46" hidden="1">{"Olk by Qtr Full",#N/A,FALSE,"Tot PalmPalm";"Olk by Qtr Full",#N/A,FALSE,"Tot Device";"Olk by Qtr Full",#N/A,FALSE,"Platform";"Olk by Qtr Full",#N/A,FALSE,"Palm.Net";"Olk by Qtr Full",#N/A,FALSE,"Elim"}</definedName>
    <definedName name="wrn.Olk._.by._.Qtr." localSheetId="51" hidden="1">{"Olk by Qtr Full",#N/A,FALSE,"Tot PalmPalm";"Olk by Qtr Full",#N/A,FALSE,"Tot Device";"Olk by Qtr Full",#N/A,FALSE,"Platform";"Olk by Qtr Full",#N/A,FALSE,"Palm.Net";"Olk by Qtr Full",#N/A,FALSE,"Elim"}</definedName>
    <definedName name="wrn.Olk._.by._.Qtr." localSheetId="47" hidden="1">{"Olk by Qtr Full",#N/A,FALSE,"Tot PalmPalm";"Olk by Qtr Full",#N/A,FALSE,"Tot Device";"Olk by Qtr Full",#N/A,FALSE,"Platform";"Olk by Qtr Full",#N/A,FALSE,"Palm.Net";"Olk by Qtr Full",#N/A,FALSE,"Elim"}</definedName>
    <definedName name="wrn.Olk._.by._.Qtr." localSheetId="12" hidden="1">{"Olk by Qtr Full",#N/A,FALSE,"Tot PalmPalm";"Olk by Qtr Full",#N/A,FALSE,"Tot Device";"Olk by Qtr Full",#N/A,FALSE,"Platform";"Olk by Qtr Full",#N/A,FALSE,"Palm.Net";"Olk by Qtr Full",#N/A,FALSE,"Elim"}</definedName>
    <definedName name="wrn.Olk._.by._.Qtr." localSheetId="25" hidden="1">{"Olk by Qtr Full",#N/A,FALSE,"Tot PalmPalm";"Olk by Qtr Full",#N/A,FALSE,"Tot Device";"Olk by Qtr Full",#N/A,FALSE,"Platform";"Olk by Qtr Full",#N/A,FALSE,"Palm.Net";"Olk by Qtr Full",#N/A,FALSE,"Elim"}</definedName>
    <definedName name="wrn.Olk._.by._.Qtr." localSheetId="30" hidden="1">{"Olk by Qtr Full",#N/A,FALSE,"Tot PalmPalm";"Olk by Qtr Full",#N/A,FALSE,"Tot Device";"Olk by Qtr Full",#N/A,FALSE,"Platform";"Olk by Qtr Full",#N/A,FALSE,"Palm.Net";"Olk by Qtr Full",#N/A,FALSE,"Elim"}</definedName>
    <definedName name="wrn.Olk._.by._.Qtr." hidden="1">{"Olk by Qtr Full",#N/A,FALSE,"Tot PalmPalm";"Olk by Qtr Full",#N/A,FALSE,"Tot Device";"Olk by Qtr Full",#N/A,FALSE,"Platform";"Olk by Qtr Full",#N/A,FALSE,"Palm.Net";"Olk by Qtr Full",#N/A,FALSE,"Elim"}</definedName>
    <definedName name="wrn.OUTPUT." localSheetId="10" hidden="1">{"DCF","UPSIDE CASE",FALSE,"Sheet1";"DCF","BASE CASE",FALSE,"Sheet1";"DCF","DOWNSIDE CASE",FALSE,"Sheet1"}</definedName>
    <definedName name="wrn.OUTPUT." localSheetId="46" hidden="1">{"DCF","UPSIDE CASE",FALSE,"Sheet1";"DCF","BASE CASE",FALSE,"Sheet1";"DCF","DOWNSIDE CASE",FALSE,"Sheet1"}</definedName>
    <definedName name="wrn.OUTPUT." localSheetId="51" hidden="1">{"DCF","UPSIDE CASE",FALSE,"Sheet1";"DCF","BASE CASE",FALSE,"Sheet1";"DCF","DOWNSIDE CASE",FALSE,"Sheet1"}</definedName>
    <definedName name="wrn.OUTPUT." localSheetId="47" hidden="1">{"DCF","UPSIDE CASE",FALSE,"Sheet1";"DCF","BASE CASE",FALSE,"Sheet1";"DCF","DOWNSIDE CASE",FALSE,"Sheet1"}</definedName>
    <definedName name="wrn.OUTPUT." localSheetId="12" hidden="1">{"DCF","UPSIDE CASE",FALSE,"Sheet1";"DCF","BASE CASE",FALSE,"Sheet1";"DCF","DOWNSIDE CASE",FALSE,"Sheet1"}</definedName>
    <definedName name="wrn.OUTPUT." localSheetId="25" hidden="1">{"DCF","UPSIDE CASE",FALSE,"Sheet1";"DCF","BASE CASE",FALSE,"Sheet1";"DCF","DOWNSIDE CASE",FALSE,"Sheet1"}</definedName>
    <definedName name="wrn.OUTPUT." localSheetId="30" hidden="1">{"DCF","UPSIDE CASE",FALSE,"Sheet1";"DCF","BASE CASE",FALSE,"Sheet1";"DCF","DOWNSIDE CASE",FALSE,"Sheet1"}</definedName>
    <definedName name="wrn.OUTPUT." hidden="1">{"DCF","UPSIDE CASE",FALSE,"Sheet1";"DCF","BASE CASE",FALSE,"Sheet1";"DCF","DOWNSIDE CASE",FALSE,"Sheet1"}</definedName>
    <definedName name="wrn.PaperPanel." localSheetId="10" hidden="1">{#N/A,#N/A,FALSE,"Control"}</definedName>
    <definedName name="wrn.PaperPanel." localSheetId="46" hidden="1">{#N/A,#N/A,FALSE,"Control"}</definedName>
    <definedName name="wrn.PaperPanel." localSheetId="51" hidden="1">{#N/A,#N/A,FALSE,"Control"}</definedName>
    <definedName name="wrn.PaperPanel." localSheetId="47" hidden="1">{#N/A,#N/A,FALSE,"Control"}</definedName>
    <definedName name="wrn.PaperPanel." localSheetId="12" hidden="1">{#N/A,#N/A,FALSE,"Control"}</definedName>
    <definedName name="wrn.PaperPanel." localSheetId="25" hidden="1">{#N/A,#N/A,FALSE,"Control"}</definedName>
    <definedName name="wrn.PaperPanel." localSheetId="30" hidden="1">{#N/A,#N/A,FALSE,"Control"}</definedName>
    <definedName name="wrn.PaperPanel." hidden="1">{#N/A,#N/A,FALSE,"Control"}</definedName>
    <definedName name="wrn.partial._.Print." localSheetId="10"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46"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51"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47"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12"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25"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30"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NERSHIP." localSheetId="10" hidden="1">{#N/A,#N/A,FALSE,"Ptnr Cash Flow";#N/A,#N/A,FALSE,"Pship Summary";#N/A,#N/A,FALSE,"Pship Proforma";#N/A,#N/A,FALSE,"Tx"}</definedName>
    <definedName name="wrn.PARTNERSHIP." localSheetId="46" hidden="1">{#N/A,#N/A,FALSE,"Ptnr Cash Flow";#N/A,#N/A,FALSE,"Pship Summary";#N/A,#N/A,FALSE,"Pship Proforma";#N/A,#N/A,FALSE,"Tx"}</definedName>
    <definedName name="wrn.PARTNERSHIP." localSheetId="51" hidden="1">{#N/A,#N/A,FALSE,"Ptnr Cash Flow";#N/A,#N/A,FALSE,"Pship Summary";#N/A,#N/A,FALSE,"Pship Proforma";#N/A,#N/A,FALSE,"Tx"}</definedName>
    <definedName name="wrn.PARTNERSHIP." localSheetId="47" hidden="1">{#N/A,#N/A,FALSE,"Ptnr Cash Flow";#N/A,#N/A,FALSE,"Pship Summary";#N/A,#N/A,FALSE,"Pship Proforma";#N/A,#N/A,FALSE,"Tx"}</definedName>
    <definedName name="wrn.PARTNERSHIP." localSheetId="12" hidden="1">{#N/A,#N/A,FALSE,"Ptnr Cash Flow";#N/A,#N/A,FALSE,"Pship Summary";#N/A,#N/A,FALSE,"Pship Proforma";#N/A,#N/A,FALSE,"Tx"}</definedName>
    <definedName name="wrn.PARTNERSHIP." localSheetId="25" hidden="1">{#N/A,#N/A,FALSE,"Ptnr Cash Flow";#N/A,#N/A,FALSE,"Pship Summary";#N/A,#N/A,FALSE,"Pship Proforma";#N/A,#N/A,FALSE,"Tx"}</definedName>
    <definedName name="wrn.PARTNERSHIP." localSheetId="30" hidden="1">{#N/A,#N/A,FALSE,"Ptnr Cash Flow";#N/A,#N/A,FALSE,"Pship Summary";#N/A,#N/A,FALSE,"Pship Proforma";#N/A,#N/A,FALSE,"Tx"}</definedName>
    <definedName name="wrn.PARTNERSHIP." hidden="1">{#N/A,#N/A,FALSE,"Ptnr Cash Flow";#N/A,#N/A,FALSE,"Pship Summary";#N/A,#N/A,FALSE,"Pship Proforma";#N/A,#N/A,FALSE,"Tx"}</definedName>
    <definedName name="wrn.print." localSheetId="10" hidden="1">{#N/A,#N/A,FALSE,"Japan 2003";#N/A,#N/A,FALSE,"Sheet2"}</definedName>
    <definedName name="wrn.Print." localSheetId="67" hidden="1">{"vi1",#N/A,FALSE,"Financial Statements";"vi2",#N/A,FALSE,"Financial Statements";#N/A,#N/A,FALSE,"DCF"}</definedName>
    <definedName name="wrn.print." localSheetId="46" hidden="1">{#N/A,#N/A,FALSE,"Japan 2003";#N/A,#N/A,FALSE,"Sheet2"}</definedName>
    <definedName name="wrn.print." localSheetId="51" hidden="1">{#N/A,#N/A,FALSE,"Japan 2003";#N/A,#N/A,FALSE,"Sheet2"}</definedName>
    <definedName name="wrn.print." localSheetId="47" hidden="1">{#N/A,#N/A,FALSE,"Japan 2003";#N/A,#N/A,FALSE,"Sheet2"}</definedName>
    <definedName name="wrn.print." localSheetId="12" hidden="1">{#N/A,#N/A,FALSE,"Japan 2003";#N/A,#N/A,FALSE,"Sheet2"}</definedName>
    <definedName name="wrn.print." localSheetId="25" hidden="1">{#N/A,#N/A,FALSE,"Japan 2003";#N/A,#N/A,FALSE,"Sheet2"}</definedName>
    <definedName name="wrn.print." localSheetId="30" hidden="1">{#N/A,#N/A,FALSE,"Japan 2003";#N/A,#N/A,FALSE,"Sheet2"}</definedName>
    <definedName name="wrn.print." localSheetId="79" hidden="1">{#N/A,#N/A,FALSE,"Japan 2003";#N/A,#N/A,FALSE,"Sheet2"}</definedName>
    <definedName name="wrn.print." hidden="1">{#N/A,#N/A,FALSE,"Japan 2003";#N/A,#N/A,FALSE,"Sheet2"}</definedName>
    <definedName name="wrn.Print._.ACR." localSheetId="10" hidden="1">{#N/A,#N/A,FALSE,"AAPCC (HMO&amp;Non-HMO)"}</definedName>
    <definedName name="wrn.Print._.ACR." localSheetId="47" hidden="1">{#N/A,#N/A,FALSE,"AAPCC (HMO&amp;Non-HMO)"}</definedName>
    <definedName name="wrn.Print._.ACR." hidden="1">{#N/A,#N/A,FALSE,"AAPCC (HMO&amp;Non-HMO)"}</definedName>
    <definedName name="wrn.Print._.All." localSheetId="10" hidden="1">{#N/A,#N/A,FALSE,"Assumptions";#N/A,#N/A,FALSE,"Factors";#N/A,#N/A,FALSE,"Model";#N/A,#N/A,FALSE,"Allocation"}</definedName>
    <definedName name="wrn.Print._.All." localSheetId="47" hidden="1">{#N/A,#N/A,FALSE,"Assumptions";#N/A,#N/A,FALSE,"Factors";#N/A,#N/A,FALSE,"Model";#N/A,#N/A,FALSE,"Allocation"}</definedName>
    <definedName name="wrn.Print._.All." hidden="1">{#N/A,#N/A,FALSE,"Assumptions";#N/A,#N/A,FALSE,"Factors";#N/A,#N/A,FALSE,"Model";#N/A,#N/A,FALSE,"Allocation"}</definedName>
    <definedName name="wrn.print._.all._.sheets." localSheetId="10"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46"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51"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4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1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25"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30"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Disk." localSheetId="10"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46"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51"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47"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12"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25"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30"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graphs." localSheetId="10" hidden="1">{"cap_structure",#N/A,FALSE,"Graph-Mkt Cap";"price",#N/A,FALSE,"Graph-Price";"ebit",#N/A,FALSE,"Graph-EBITDA";"ebitda",#N/A,FALSE,"Graph-EBITDA"}</definedName>
    <definedName name="wrn.print._.graphs." localSheetId="46" hidden="1">{"cap_structure",#N/A,FALSE,"Graph-Mkt Cap";"price",#N/A,FALSE,"Graph-Price";"ebit",#N/A,FALSE,"Graph-EBITDA";"ebitda",#N/A,FALSE,"Graph-EBITDA"}</definedName>
    <definedName name="wrn.print._.graphs." localSheetId="51" hidden="1">{"cap_structure",#N/A,FALSE,"Graph-Mkt Cap";"price",#N/A,FALSE,"Graph-Price";"ebit",#N/A,FALSE,"Graph-EBITDA";"ebitda",#N/A,FALSE,"Graph-EBITDA"}</definedName>
    <definedName name="wrn.print._.graphs." localSheetId="47"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25" hidden="1">{"cap_structure",#N/A,FALSE,"Graph-Mkt Cap";"price",#N/A,FALSE,"Graph-Price";"ebit",#N/A,FALSE,"Graph-EBITDA";"ebitda",#N/A,FALSE,"Graph-EBITDA"}</definedName>
    <definedName name="wrn.print._.graphs." localSheetId="30"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raw._.data._.entry." localSheetId="10" hidden="1">{"inputs raw data",#N/A,TRUE,"INPUT"}</definedName>
    <definedName name="wrn.print._.raw._.data._.entry." localSheetId="46" hidden="1">{"inputs raw data",#N/A,TRUE,"INPUT"}</definedName>
    <definedName name="wrn.print._.raw._.data._.entry." localSheetId="51" hidden="1">{"inputs raw data",#N/A,TRUE,"INPUT"}</definedName>
    <definedName name="wrn.print._.raw._.data._.entry." localSheetId="47" hidden="1">{"inputs raw data",#N/A,TRUE,"INPUT"}</definedName>
    <definedName name="wrn.print._.raw._.data._.entry." localSheetId="12" hidden="1">{"inputs raw data",#N/A,TRUE,"INPUT"}</definedName>
    <definedName name="wrn.print._.raw._.data._.entry." localSheetId="25" hidden="1">{"inputs raw data",#N/A,TRUE,"INPUT"}</definedName>
    <definedName name="wrn.print._.raw._.data._.entry." localSheetId="30" hidden="1">{"inputs raw data",#N/A,TRUE,"INPUT"}</definedName>
    <definedName name="wrn.print._.raw._.data._.entry." hidden="1">{"inputs raw data",#N/A,TRUE,"INPUT"}</definedName>
    <definedName name="wrn.print._.summary._.sheets." localSheetId="10" hidden="1">{"summary1",#N/A,TRUE,"Comps";"summary2",#N/A,TRUE,"Comps";"summary3",#N/A,TRUE,"Comps"}</definedName>
    <definedName name="wrn.print._.summary._.sheets." localSheetId="46" hidden="1">{"summary1",#N/A,TRUE,"Comps";"summary2",#N/A,TRUE,"Comps";"summary3",#N/A,TRUE,"Comps"}</definedName>
    <definedName name="wrn.print._.summary._.sheets." localSheetId="51" hidden="1">{"summary1",#N/A,TRUE,"Comps";"summary2",#N/A,TRUE,"Comps";"summary3",#N/A,TRUE,"Comps"}</definedName>
    <definedName name="wrn.print._.summary._.sheets." localSheetId="47" hidden="1">{"summary1",#N/A,TRUE,"Comps";"summary2",#N/A,TRUE,"Comps";"summary3",#N/A,TRUE,"Comps"}</definedName>
    <definedName name="wrn.print._.summary._.sheets." localSheetId="12" hidden="1">{"summary1",#N/A,TRUE,"Comps";"summary2",#N/A,TRUE,"Comps";"summary3",#N/A,TRUE,"Comps"}</definedName>
    <definedName name="wrn.print._.summary._.sheets." localSheetId="25" hidden="1">{"summary1",#N/A,TRUE,"Comps";"summary2",#N/A,TRUE,"Comps";"summary3",#N/A,TRUE,"Comps"}</definedName>
    <definedName name="wrn.print._.summary._.sheets." localSheetId="30" hidden="1">{"summary1",#N/A,TRUE,"Comps";"summary2",#N/A,TRUE,"Comps";"summary3",#N/A,TRUE,"Comps"}</definedName>
    <definedName name="wrn.print._.summary._.sheets." hidden="1">{"summary1",#N/A,TRUE,"Comps";"summary2",#N/A,TRUE,"Comps";"summary3",#N/A,TRUE,"Comps"}</definedName>
    <definedName name="wrn.PrintSelected." localSheetId="10" hidden="1">{"ModelPage1",#N/A,TRUE,"Model";"ModelSum_Debt",#N/A,TRUE,"Model"}</definedName>
    <definedName name="wrn.PrintSelected." localSheetId="46" hidden="1">{"ModelPage1",#N/A,TRUE,"Model";"ModelSum_Debt",#N/A,TRUE,"Model"}</definedName>
    <definedName name="wrn.PrintSelected." localSheetId="51" hidden="1">{"ModelPage1",#N/A,TRUE,"Model";"ModelSum_Debt",#N/A,TRUE,"Model"}</definedName>
    <definedName name="wrn.PrintSelected." localSheetId="47" hidden="1">{"ModelPage1",#N/A,TRUE,"Model";"ModelSum_Debt",#N/A,TRUE,"Model"}</definedName>
    <definedName name="wrn.PrintSelected." localSheetId="12" hidden="1">{"ModelPage1",#N/A,TRUE,"Model";"ModelSum_Debt",#N/A,TRUE,"Model"}</definedName>
    <definedName name="wrn.PrintSelected." localSheetId="25" hidden="1">{"ModelPage1",#N/A,TRUE,"Model";"ModelSum_Debt",#N/A,TRUE,"Model"}</definedName>
    <definedName name="wrn.PrintSelected." localSheetId="30" hidden="1">{"ModelPage1",#N/A,TRUE,"Model";"ModelSum_Debt",#N/A,TRUE,"Model"}</definedName>
    <definedName name="wrn.PrintSelected." hidden="1">{"ModelPage1",#N/A,TRUE,"Model";"ModelSum_Debt",#N/A,TRUE,"Model"}</definedName>
    <definedName name="wrn.rates." localSheetId="10" hidden="1">{"rates",#N/A,FALSE,"Summary"}</definedName>
    <definedName name="wrn.rates." localSheetId="47" hidden="1">{"rates",#N/A,FALSE,"Summary"}</definedName>
    <definedName name="wrn.rates." hidden="1">{"rates",#N/A,FALSE,"Summary"}</definedName>
    <definedName name="wrn.Relevant." localSheetId="10" hidden="1">{#N/A,#N/A,FALSE,"Title Page";#N/A,#N/A,FALSE,"Conclusions";#N/A,#N/A,FALSE,"Assum.";#N/A,#N/A,FALSE,"Sun  DCF-WC-Dep";#N/A,#N/A,FALSE,"MarketValue";#N/A,#N/A,FALSE,"BalSheet";#N/A,#N/A,FALSE,"WACC";#N/A,#N/A,FALSE,"PC+ Info.";#N/A,#N/A,FALSE,"PC+Info_2"}</definedName>
    <definedName name="wrn.Relevant." localSheetId="46" hidden="1">{#N/A,#N/A,FALSE,"Title Page";#N/A,#N/A,FALSE,"Conclusions";#N/A,#N/A,FALSE,"Assum.";#N/A,#N/A,FALSE,"Sun  DCF-WC-Dep";#N/A,#N/A,FALSE,"MarketValue";#N/A,#N/A,FALSE,"BalSheet";#N/A,#N/A,FALSE,"WACC";#N/A,#N/A,FALSE,"PC+ Info.";#N/A,#N/A,FALSE,"PC+Info_2"}</definedName>
    <definedName name="wrn.Relevant." localSheetId="51" hidden="1">{#N/A,#N/A,FALSE,"Title Page";#N/A,#N/A,FALSE,"Conclusions";#N/A,#N/A,FALSE,"Assum.";#N/A,#N/A,FALSE,"Sun  DCF-WC-Dep";#N/A,#N/A,FALSE,"MarketValue";#N/A,#N/A,FALSE,"BalSheet";#N/A,#N/A,FALSE,"WACC";#N/A,#N/A,FALSE,"PC+ Info.";#N/A,#N/A,FALSE,"PC+Info_2"}</definedName>
    <definedName name="wrn.Relevant." localSheetId="47" hidden="1">{#N/A,#N/A,FALSE,"Title Page";#N/A,#N/A,FALSE,"Conclusions";#N/A,#N/A,FALSE,"Assum.";#N/A,#N/A,FALSE,"Sun  DCF-WC-Dep";#N/A,#N/A,FALSE,"MarketValue";#N/A,#N/A,FALSE,"BalSheet";#N/A,#N/A,FALSE,"WACC";#N/A,#N/A,FALSE,"PC+ Info.";#N/A,#N/A,FALSE,"PC+Info_2"}</definedName>
    <definedName name="wrn.Relevant." localSheetId="12" hidden="1">{#N/A,#N/A,FALSE,"Title Page";#N/A,#N/A,FALSE,"Conclusions";#N/A,#N/A,FALSE,"Assum.";#N/A,#N/A,FALSE,"Sun  DCF-WC-Dep";#N/A,#N/A,FALSE,"MarketValue";#N/A,#N/A,FALSE,"BalSheet";#N/A,#N/A,FALSE,"WACC";#N/A,#N/A,FALSE,"PC+ Info.";#N/A,#N/A,FALSE,"PC+Info_2"}</definedName>
    <definedName name="wrn.Relevant." localSheetId="25" hidden="1">{#N/A,#N/A,FALSE,"Title Page";#N/A,#N/A,FALSE,"Conclusions";#N/A,#N/A,FALSE,"Assum.";#N/A,#N/A,FALSE,"Sun  DCF-WC-Dep";#N/A,#N/A,FALSE,"MarketValue";#N/A,#N/A,FALSE,"BalSheet";#N/A,#N/A,FALSE,"WACC";#N/A,#N/A,FALSE,"PC+ Info.";#N/A,#N/A,FALSE,"PC+Info_2"}</definedName>
    <definedName name="wrn.Relevant." localSheetId="30" hidden="1">{#N/A,#N/A,FALSE,"Title Page";#N/A,#N/A,FALSE,"Conclusions";#N/A,#N/A,FALSE,"Assum.";#N/A,#N/A,FALSE,"Sun  DCF-WC-Dep";#N/A,#N/A,FALSE,"MarketValue";#N/A,#N/A,FALSE,"BalSheet";#N/A,#N/A,FALSE,"WACC";#N/A,#N/A,FALSE,"PC+ Info.";#N/A,#N/A,FALSE,"PC+Info_2"}</definedName>
    <definedName name="wrn.Relevant." hidden="1">{#N/A,#N/A,FALSE,"Title Page";#N/A,#N/A,FALSE,"Conclusions";#N/A,#N/A,FALSE,"Assum.";#N/A,#N/A,FALSE,"Sun  DCF-WC-Dep";#N/A,#N/A,FALSE,"MarketValue";#N/A,#N/A,FALSE,"BalSheet";#N/A,#N/A,FALSE,"WACC";#N/A,#N/A,FALSE,"PC+ Info.";#N/A,#N/A,FALSE,"PC+Info_2"}</definedName>
    <definedName name="wrn.Relevant1." localSheetId="10" hidden="1">{#N/A,#N/A,FALSE,"Title Page";#N/A,#N/A,FALSE,"Conclusions";#N/A,#N/A,FALSE,"Assum.";#N/A,#N/A,FALSE,"Sun  DCF-WC-Dep";#N/A,#N/A,FALSE,"MarketValue";#N/A,#N/A,FALSE,"BalSheet";#N/A,#N/A,FALSE,"WACC";#N/A,#N/A,FALSE,"PC+ Info.";#N/A,#N/A,FALSE,"PC+Info_2"}</definedName>
    <definedName name="wrn.Relevant1." localSheetId="46" hidden="1">{#N/A,#N/A,FALSE,"Title Page";#N/A,#N/A,FALSE,"Conclusions";#N/A,#N/A,FALSE,"Assum.";#N/A,#N/A,FALSE,"Sun  DCF-WC-Dep";#N/A,#N/A,FALSE,"MarketValue";#N/A,#N/A,FALSE,"BalSheet";#N/A,#N/A,FALSE,"WACC";#N/A,#N/A,FALSE,"PC+ Info.";#N/A,#N/A,FALSE,"PC+Info_2"}</definedName>
    <definedName name="wrn.Relevant1." localSheetId="51" hidden="1">{#N/A,#N/A,FALSE,"Title Page";#N/A,#N/A,FALSE,"Conclusions";#N/A,#N/A,FALSE,"Assum.";#N/A,#N/A,FALSE,"Sun  DCF-WC-Dep";#N/A,#N/A,FALSE,"MarketValue";#N/A,#N/A,FALSE,"BalSheet";#N/A,#N/A,FALSE,"WACC";#N/A,#N/A,FALSE,"PC+ Info.";#N/A,#N/A,FALSE,"PC+Info_2"}</definedName>
    <definedName name="wrn.Relevant1." localSheetId="47" hidden="1">{#N/A,#N/A,FALSE,"Title Page";#N/A,#N/A,FALSE,"Conclusions";#N/A,#N/A,FALSE,"Assum.";#N/A,#N/A,FALSE,"Sun  DCF-WC-Dep";#N/A,#N/A,FALSE,"MarketValue";#N/A,#N/A,FALSE,"BalSheet";#N/A,#N/A,FALSE,"WACC";#N/A,#N/A,FALSE,"PC+ Info.";#N/A,#N/A,FALSE,"PC+Info_2"}</definedName>
    <definedName name="wrn.Relevant1." localSheetId="12" hidden="1">{#N/A,#N/A,FALSE,"Title Page";#N/A,#N/A,FALSE,"Conclusions";#N/A,#N/A,FALSE,"Assum.";#N/A,#N/A,FALSE,"Sun  DCF-WC-Dep";#N/A,#N/A,FALSE,"MarketValue";#N/A,#N/A,FALSE,"BalSheet";#N/A,#N/A,FALSE,"WACC";#N/A,#N/A,FALSE,"PC+ Info.";#N/A,#N/A,FALSE,"PC+Info_2"}</definedName>
    <definedName name="wrn.Relevant1." localSheetId="25" hidden="1">{#N/A,#N/A,FALSE,"Title Page";#N/A,#N/A,FALSE,"Conclusions";#N/A,#N/A,FALSE,"Assum.";#N/A,#N/A,FALSE,"Sun  DCF-WC-Dep";#N/A,#N/A,FALSE,"MarketValue";#N/A,#N/A,FALSE,"BalSheet";#N/A,#N/A,FALSE,"WACC";#N/A,#N/A,FALSE,"PC+ Info.";#N/A,#N/A,FALSE,"PC+Info_2"}</definedName>
    <definedName name="wrn.Relevant1." localSheetId="30" hidden="1">{#N/A,#N/A,FALSE,"Title Page";#N/A,#N/A,FALSE,"Conclusions";#N/A,#N/A,FALSE,"Assum.";#N/A,#N/A,FALSE,"Sun  DCF-WC-Dep";#N/A,#N/A,FALSE,"MarketValue";#N/A,#N/A,FALSE,"BalSheet";#N/A,#N/A,FALSE,"WACC";#N/A,#N/A,FALSE,"PC+ Info.";#N/A,#N/A,FALSE,"PC+Info_2"}</definedName>
    <definedName name="wrn.Relevant1." hidden="1">{#N/A,#N/A,FALSE,"Title Page";#N/A,#N/A,FALSE,"Conclusions";#N/A,#N/A,FALSE,"Assum.";#N/A,#N/A,FALSE,"Sun  DCF-WC-Dep";#N/A,#N/A,FALSE,"MarketValue";#N/A,#N/A,FALSE,"BalSheet";#N/A,#N/A,FALSE,"WACC";#N/A,#N/A,FALSE,"PC+ Info.";#N/A,#N/A,FALSE,"PC+Info_2"}</definedName>
    <definedName name="wrn.rep." localSheetId="10" hidden="1">{#N/A,#N/A,FALSE,"Exh. 5A";#N/A,#N/A,FALSE,"Exh. 6"}</definedName>
    <definedName name="wrn.rep." localSheetId="46" hidden="1">{#N/A,#N/A,FALSE,"Exh. 5A";#N/A,#N/A,FALSE,"Exh. 6"}</definedName>
    <definedName name="wrn.rep." localSheetId="51" hidden="1">{#N/A,#N/A,FALSE,"Exh. 5A";#N/A,#N/A,FALSE,"Exh. 6"}</definedName>
    <definedName name="wrn.rep." localSheetId="47" hidden="1">{#N/A,#N/A,FALSE,"Exh. 5A";#N/A,#N/A,FALSE,"Exh. 6"}</definedName>
    <definedName name="wrn.rep." localSheetId="12" hidden="1">{#N/A,#N/A,FALSE,"Exh. 5A";#N/A,#N/A,FALSE,"Exh. 6"}</definedName>
    <definedName name="wrn.rep." localSheetId="25" hidden="1">{#N/A,#N/A,FALSE,"Exh. 5A";#N/A,#N/A,FALSE,"Exh. 6"}</definedName>
    <definedName name="wrn.rep." localSheetId="30" hidden="1">{#N/A,#N/A,FALSE,"Exh. 5A";#N/A,#N/A,FALSE,"Exh. 6"}</definedName>
    <definedName name="wrn.rep." hidden="1">{#N/A,#N/A,FALSE,"Exh. 5A";#N/A,#N/A,FALSE,"Exh. 6"}</definedName>
    <definedName name="wrn.REPORT." localSheetId="10"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46"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51"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47"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12"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25"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30"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venue._.detail." localSheetId="10" hidden="1">{"revenue detail 1",#N/A,FALSE,"Revenue Detail";"revenue detail 2",#N/A,FALSE,"Revenue Detail";"revenue detail 3",#N/A,FALSE,"Revenue Detail";"revenue detail 4",#N/A,FALSE,"Revenue Detail"}</definedName>
    <definedName name="wrn.revenue._.detail." localSheetId="46" hidden="1">{"revenue detail 1",#N/A,FALSE,"Revenue Detail";"revenue detail 2",#N/A,FALSE,"Revenue Detail";"revenue detail 3",#N/A,FALSE,"Revenue Detail";"revenue detail 4",#N/A,FALSE,"Revenue Detail"}</definedName>
    <definedName name="wrn.revenue._.detail." localSheetId="51" hidden="1">{"revenue detail 1",#N/A,FALSE,"Revenue Detail";"revenue detail 2",#N/A,FALSE,"Revenue Detail";"revenue detail 3",#N/A,FALSE,"Revenue Detail";"revenue detail 4",#N/A,FALSE,"Revenue Detail"}</definedName>
    <definedName name="wrn.revenue._.detail." localSheetId="47" hidden="1">{"revenue detail 1",#N/A,FALSE,"Revenue Detail";"revenue detail 2",#N/A,FALSE,"Revenue Detail";"revenue detail 3",#N/A,FALSE,"Revenue Detail";"revenue detail 4",#N/A,FALSE,"Revenue Detail"}</definedName>
    <definedName name="wrn.revenue._.detail." localSheetId="12" hidden="1">{"revenue detail 1",#N/A,FALSE,"Revenue Detail";"revenue detail 2",#N/A,FALSE,"Revenue Detail";"revenue detail 3",#N/A,FALSE,"Revenue Detail";"revenue detail 4",#N/A,FALSE,"Revenue Detail"}</definedName>
    <definedName name="wrn.revenue._.detail." localSheetId="25" hidden="1">{"revenue detail 1",#N/A,FALSE,"Revenue Detail";"revenue detail 2",#N/A,FALSE,"Revenue Detail";"revenue detail 3",#N/A,FALSE,"Revenue Detail";"revenue detail 4",#N/A,FALSE,"Revenue Detail"}</definedName>
    <definedName name="wrn.revenue._.detail." localSheetId="30" hidden="1">{"revenue detail 1",#N/A,FALSE,"Revenue Detail";"revenue detail 2",#N/A,FALSE,"Revenue Detail";"revenue detail 3",#N/A,FALSE,"Revenue Detail";"revenue detail 4",#N/A,FALSE,"Revenue Detail"}</definedName>
    <definedName name="wrn.revenue._.detail." hidden="1">{"revenue detail 1",#N/A,FALSE,"Revenue Detail";"revenue detail 2",#N/A,FALSE,"Revenue Detail";"revenue detail 3",#N/A,FALSE,"Revenue Detail";"revenue detail 4",#N/A,FALSE,"Revenue Detail"}</definedName>
    <definedName name="wrn.Revs." localSheetId="10" hidden="1">{"Base_rev",#N/A,FALSE,"Proj_IS_Base";"Projrev",#N/A,FALSE,"Proj_IS_wOTLC";"Delta",#N/A,FALSE,"Delta Rev_PV"}</definedName>
    <definedName name="wrn.Revs." localSheetId="46" hidden="1">{"Base_rev",#N/A,FALSE,"Proj_IS_Base";"Projrev",#N/A,FALSE,"Proj_IS_wOTLC";"Delta",#N/A,FALSE,"Delta Rev_PV"}</definedName>
    <definedName name="wrn.Revs." localSheetId="51" hidden="1">{"Base_rev",#N/A,FALSE,"Proj_IS_Base";"Projrev",#N/A,FALSE,"Proj_IS_wOTLC";"Delta",#N/A,FALSE,"Delta Rev_PV"}</definedName>
    <definedName name="wrn.Revs." localSheetId="47" hidden="1">{"Base_rev",#N/A,FALSE,"Proj_IS_Base";"Projrev",#N/A,FALSE,"Proj_IS_wOTLC";"Delta",#N/A,FALSE,"Delta Rev_PV"}</definedName>
    <definedName name="wrn.Revs." localSheetId="12" hidden="1">{"Base_rev",#N/A,FALSE,"Proj_IS_Base";"Projrev",#N/A,FALSE,"Proj_IS_wOTLC";"Delta",#N/A,FALSE,"Delta Rev_PV"}</definedName>
    <definedName name="wrn.Revs." localSheetId="25" hidden="1">{"Base_rev",#N/A,FALSE,"Proj_IS_Base";"Projrev",#N/A,FALSE,"Proj_IS_wOTLC";"Delta",#N/A,FALSE,"Delta Rev_PV"}</definedName>
    <definedName name="wrn.Revs." localSheetId="30" hidden="1">{"Base_rev",#N/A,FALSE,"Proj_IS_Base";"Projrev",#N/A,FALSE,"Proj_IS_wOTLC";"Delta",#N/A,FALSE,"Delta Rev_PV"}</definedName>
    <definedName name="wrn.Revs." hidden="1">{"Base_rev",#N/A,FALSE,"Proj_IS_Base";"Projrev",#N/A,FALSE,"Proj_IS_wOTLC";"Delta",#N/A,FALSE,"Delta Rev_PV"}</definedName>
    <definedName name="wrn.Riverwood_comp_model." localSheetId="10" hidden="1">{#N/A,#N/A,FALSE,"Che-Ga";#N/A,#N/A,FALSE,"Iv-Sm";#N/A,#N/A,FALSE,"So-We";#N/A,#N/A,FALSE,"Me-Po";#N/A,#N/A,FALSE,"Be-Bo";#N/A,#N/A,FALSE,"Cha-Ki";#N/A,#N/A,FALSE,"In";#N/A,#N/A,FALSE,"Schedule 23";#N/A,#N/A,FALSE,"Schedule 22";#N/A,#N/A,FALSE,"WACC"}</definedName>
    <definedName name="wrn.Riverwood_comp_model." localSheetId="46" hidden="1">{#N/A,#N/A,FALSE,"Che-Ga";#N/A,#N/A,FALSE,"Iv-Sm";#N/A,#N/A,FALSE,"So-We";#N/A,#N/A,FALSE,"Me-Po";#N/A,#N/A,FALSE,"Be-Bo";#N/A,#N/A,FALSE,"Cha-Ki";#N/A,#N/A,FALSE,"In";#N/A,#N/A,FALSE,"Schedule 23";#N/A,#N/A,FALSE,"Schedule 22";#N/A,#N/A,FALSE,"WACC"}</definedName>
    <definedName name="wrn.Riverwood_comp_model." localSheetId="51" hidden="1">{#N/A,#N/A,FALSE,"Che-Ga";#N/A,#N/A,FALSE,"Iv-Sm";#N/A,#N/A,FALSE,"So-We";#N/A,#N/A,FALSE,"Me-Po";#N/A,#N/A,FALSE,"Be-Bo";#N/A,#N/A,FALSE,"Cha-Ki";#N/A,#N/A,FALSE,"In";#N/A,#N/A,FALSE,"Schedule 23";#N/A,#N/A,FALSE,"Schedule 22";#N/A,#N/A,FALSE,"WACC"}</definedName>
    <definedName name="wrn.Riverwood_comp_model." localSheetId="47" hidden="1">{#N/A,#N/A,FALSE,"Che-Ga";#N/A,#N/A,FALSE,"Iv-Sm";#N/A,#N/A,FALSE,"So-We";#N/A,#N/A,FALSE,"Me-Po";#N/A,#N/A,FALSE,"Be-Bo";#N/A,#N/A,FALSE,"Cha-Ki";#N/A,#N/A,FALSE,"In";#N/A,#N/A,FALSE,"Schedule 23";#N/A,#N/A,FALSE,"Schedule 22";#N/A,#N/A,FALSE,"WACC"}</definedName>
    <definedName name="wrn.Riverwood_comp_model." localSheetId="12" hidden="1">{#N/A,#N/A,FALSE,"Che-Ga";#N/A,#N/A,FALSE,"Iv-Sm";#N/A,#N/A,FALSE,"So-We";#N/A,#N/A,FALSE,"Me-Po";#N/A,#N/A,FALSE,"Be-Bo";#N/A,#N/A,FALSE,"Cha-Ki";#N/A,#N/A,FALSE,"In";#N/A,#N/A,FALSE,"Schedule 23";#N/A,#N/A,FALSE,"Schedule 22";#N/A,#N/A,FALSE,"WACC"}</definedName>
    <definedName name="wrn.Riverwood_comp_model." localSheetId="25" hidden="1">{#N/A,#N/A,FALSE,"Che-Ga";#N/A,#N/A,FALSE,"Iv-Sm";#N/A,#N/A,FALSE,"So-We";#N/A,#N/A,FALSE,"Me-Po";#N/A,#N/A,FALSE,"Be-Bo";#N/A,#N/A,FALSE,"Cha-Ki";#N/A,#N/A,FALSE,"In";#N/A,#N/A,FALSE,"Schedule 23";#N/A,#N/A,FALSE,"Schedule 22";#N/A,#N/A,FALSE,"WACC"}</definedName>
    <definedName name="wrn.Riverwood_comp_model." localSheetId="30" hidden="1">{#N/A,#N/A,FALSE,"Che-Ga";#N/A,#N/A,FALSE,"Iv-Sm";#N/A,#N/A,FALSE,"So-We";#N/A,#N/A,FALSE,"Me-Po";#N/A,#N/A,FALSE,"Be-Bo";#N/A,#N/A,FALSE,"Cha-Ki";#N/A,#N/A,FALSE,"In";#N/A,#N/A,FALSE,"Schedule 23";#N/A,#N/A,FALSE,"Schedule 22";#N/A,#N/A,FALSE,"WACC"}</definedName>
    <definedName name="wrn.Riverwood_comp_model." hidden="1">{#N/A,#N/A,FALSE,"Che-Ga";#N/A,#N/A,FALSE,"Iv-Sm";#N/A,#N/A,FALSE,"So-We";#N/A,#N/A,FALSE,"Me-Po";#N/A,#N/A,FALSE,"Be-Bo";#N/A,#N/A,FALSE,"Cha-Ki";#N/A,#N/A,FALSE,"In";#N/A,#N/A,FALSE,"Schedule 23";#N/A,#N/A,FALSE,"Schedule 22";#N/A,#N/A,FALSE,"WACC"}</definedName>
    <definedName name="wrn.ROUGH." localSheetId="10" hidden="1">{#N/A,#N/A,FALSE,"ROA";#N/A,#N/A,FALSE,"ROI";#N/A,#N/A,FALSE,"EBIT";#N/A,#N/A,FALSE,"MULT X"}</definedName>
    <definedName name="wrn.ROUGH." localSheetId="46" hidden="1">{#N/A,#N/A,FALSE,"ROA";#N/A,#N/A,FALSE,"ROI";#N/A,#N/A,FALSE,"EBIT";#N/A,#N/A,FALSE,"MULT X"}</definedName>
    <definedName name="wrn.ROUGH." localSheetId="51" hidden="1">{#N/A,#N/A,FALSE,"ROA";#N/A,#N/A,FALSE,"ROI";#N/A,#N/A,FALSE,"EBIT";#N/A,#N/A,FALSE,"MULT X"}</definedName>
    <definedName name="wrn.ROUGH." localSheetId="47" hidden="1">{#N/A,#N/A,FALSE,"ROA";#N/A,#N/A,FALSE,"ROI";#N/A,#N/A,FALSE,"EBIT";#N/A,#N/A,FALSE,"MULT X"}</definedName>
    <definedName name="wrn.ROUGH." localSheetId="12" hidden="1">{#N/A,#N/A,FALSE,"ROA";#N/A,#N/A,FALSE,"ROI";#N/A,#N/A,FALSE,"EBIT";#N/A,#N/A,FALSE,"MULT X"}</definedName>
    <definedName name="wrn.ROUGH." localSheetId="25" hidden="1">{#N/A,#N/A,FALSE,"ROA";#N/A,#N/A,FALSE,"ROI";#N/A,#N/A,FALSE,"EBIT";#N/A,#N/A,FALSE,"MULT X"}</definedName>
    <definedName name="wrn.ROUGH." localSheetId="30" hidden="1">{#N/A,#N/A,FALSE,"ROA";#N/A,#N/A,FALSE,"ROI";#N/A,#N/A,FALSE,"EBIT";#N/A,#N/A,FALSE,"MULT X"}</definedName>
    <definedName name="wrn.ROUGH." hidden="1">{#N/A,#N/A,FALSE,"ROA";#N/A,#N/A,FALSE,"ROI";#N/A,#N/A,FALSE,"EBIT";#N/A,#N/A,FALSE,"MULT X"}</definedName>
    <definedName name="wrn.rptexhibits." localSheetId="10" hidden="1">{#N/A,#N/A,FALSE,"BS";#N/A,#N/A,FALSE,"IS";#N/A,#N/A,FALSE,"RMA ";#N/A,#N/A,FALSE,"ADJ IS";#N/A,#N/A,FALSE,"DCF"}</definedName>
    <definedName name="wrn.rptexhibits." localSheetId="46" hidden="1">{#N/A,#N/A,FALSE,"BS";#N/A,#N/A,FALSE,"IS";#N/A,#N/A,FALSE,"RMA ";#N/A,#N/A,FALSE,"ADJ IS";#N/A,#N/A,FALSE,"DCF"}</definedName>
    <definedName name="wrn.rptexhibits." localSheetId="51" hidden="1">{#N/A,#N/A,FALSE,"BS";#N/A,#N/A,FALSE,"IS";#N/A,#N/A,FALSE,"RMA ";#N/A,#N/A,FALSE,"ADJ IS";#N/A,#N/A,FALSE,"DCF"}</definedName>
    <definedName name="wrn.rptexhibits." localSheetId="47" hidden="1">{#N/A,#N/A,FALSE,"BS";#N/A,#N/A,FALSE,"IS";#N/A,#N/A,FALSE,"RMA ";#N/A,#N/A,FALSE,"ADJ IS";#N/A,#N/A,FALSE,"DCF"}</definedName>
    <definedName name="wrn.rptexhibits." localSheetId="12" hidden="1">{#N/A,#N/A,FALSE,"BS";#N/A,#N/A,FALSE,"IS";#N/A,#N/A,FALSE,"RMA ";#N/A,#N/A,FALSE,"ADJ IS";#N/A,#N/A,FALSE,"DCF"}</definedName>
    <definedName name="wrn.rptexhibits." localSheetId="25" hidden="1">{#N/A,#N/A,FALSE,"BS";#N/A,#N/A,FALSE,"IS";#N/A,#N/A,FALSE,"RMA ";#N/A,#N/A,FALSE,"ADJ IS";#N/A,#N/A,FALSE,"DCF"}</definedName>
    <definedName name="wrn.rptexhibits." localSheetId="30" hidden="1">{#N/A,#N/A,FALSE,"BS";#N/A,#N/A,FALSE,"IS";#N/A,#N/A,FALSE,"RMA ";#N/A,#N/A,FALSE,"ADJ IS";#N/A,#N/A,FALSE,"DCF"}</definedName>
    <definedName name="wrn.rptexhibits." hidden="1">{#N/A,#N/A,FALSE,"BS";#N/A,#N/A,FALSE,"IS";#N/A,#N/A,FALSE,"RMA ";#N/A,#N/A,FALSE,"ADJ IS";#N/A,#N/A,FALSE,"DCF"}</definedName>
    <definedName name="wrn.subs." localSheetId="10" hidden="1">{#N/A,#N/A,FALSE,"Comp - War";#N/A,#N/A,FALSE,"Comp - War"}</definedName>
    <definedName name="wrn.subs." localSheetId="46" hidden="1">{#N/A,#N/A,FALSE,"Comp - War";#N/A,#N/A,FALSE,"Comp - War"}</definedName>
    <definedName name="wrn.subs." localSheetId="51" hidden="1">{#N/A,#N/A,FALSE,"Comp - War";#N/A,#N/A,FALSE,"Comp - War"}</definedName>
    <definedName name="wrn.subs." localSheetId="47" hidden="1">{#N/A,#N/A,FALSE,"Comp - War";#N/A,#N/A,FALSE,"Comp - War"}</definedName>
    <definedName name="wrn.subs." localSheetId="12" hidden="1">{#N/A,#N/A,FALSE,"Comp - War";#N/A,#N/A,FALSE,"Comp - War"}</definedName>
    <definedName name="wrn.subs." localSheetId="25" hidden="1">{#N/A,#N/A,FALSE,"Comp - War";#N/A,#N/A,FALSE,"Comp - War"}</definedName>
    <definedName name="wrn.subs." localSheetId="30" hidden="1">{#N/A,#N/A,FALSE,"Comp - War";#N/A,#N/A,FALSE,"Comp - War"}</definedName>
    <definedName name="wrn.subs." hidden="1">{#N/A,#N/A,FALSE,"Comp - War";#N/A,#N/A,FALSE,"Comp - War"}</definedName>
    <definedName name="wrn.sum." localSheetId="10" hidden="1">{"Opsys",#N/A,FALSE,"NPV_OPsys";"NT",#N/A,FALSE,"NPV_NT";"DevP",#N/A,FALSE,"NPV_DevPdt";"Office",#N/A,FALSE,"NPV_Office"}</definedName>
    <definedName name="wrn.sum." localSheetId="46" hidden="1">{"Opsys",#N/A,FALSE,"NPV_OPsys";"NT",#N/A,FALSE,"NPV_NT";"DevP",#N/A,FALSE,"NPV_DevPdt";"Office",#N/A,FALSE,"NPV_Office"}</definedName>
    <definedName name="wrn.sum." localSheetId="51" hidden="1">{"Opsys",#N/A,FALSE,"NPV_OPsys";"NT",#N/A,FALSE,"NPV_NT";"DevP",#N/A,FALSE,"NPV_DevPdt";"Office",#N/A,FALSE,"NPV_Office"}</definedName>
    <definedName name="wrn.sum." localSheetId="47" hidden="1">{"Opsys",#N/A,FALSE,"NPV_OPsys";"NT",#N/A,FALSE,"NPV_NT";"DevP",#N/A,FALSE,"NPV_DevPdt";"Office",#N/A,FALSE,"NPV_Office"}</definedName>
    <definedName name="wrn.sum." localSheetId="12" hidden="1">{"Opsys",#N/A,FALSE,"NPV_OPsys";"NT",#N/A,FALSE,"NPV_NT";"DevP",#N/A,FALSE,"NPV_DevPdt";"Office",#N/A,FALSE,"NPV_Office"}</definedName>
    <definedName name="wrn.sum." localSheetId="25" hidden="1">{"Opsys",#N/A,FALSE,"NPV_OPsys";"NT",#N/A,FALSE,"NPV_NT";"DevP",#N/A,FALSE,"NPV_DevPdt";"Office",#N/A,FALSE,"NPV_Office"}</definedName>
    <definedName name="wrn.sum." localSheetId="30" hidden="1">{"Opsys",#N/A,FALSE,"NPV_OPsys";"NT",#N/A,FALSE,"NPV_NT";"DevP",#N/A,FALSE,"NPV_DevPdt";"Office",#N/A,FALSE,"NPV_Office"}</definedName>
    <definedName name="wrn.sum." hidden="1">{"Opsys",#N/A,FALSE,"NPV_OPsys";"NT",#N/A,FALSE,"NPV_NT";"DevP",#N/A,FALSE,"NPV_DevPdt";"Office",#N/A,FALSE,"NPV_Office"}</definedName>
    <definedName name="wrn.summary._.schedules." localSheetId="10" hidden="1">{"summary1",#N/A,FALSE,"Summary of Values";"summary2",#N/A,FALSE,"Summary of Values"}</definedName>
    <definedName name="wrn.summary._.schedules." localSheetId="46" hidden="1">{"summary1",#N/A,FALSE,"Summary of Values";"summary2",#N/A,FALSE,"Summary of Values"}</definedName>
    <definedName name="wrn.summary._.schedules." localSheetId="51" hidden="1">{"summary1",#N/A,FALSE,"Summary of Values";"summary2",#N/A,FALSE,"Summary of Values"}</definedName>
    <definedName name="wrn.summary._.schedules." localSheetId="47" hidden="1">{"summary1",#N/A,FALSE,"Summary of Values";"summary2",#N/A,FALSE,"Summary of Values"}</definedName>
    <definedName name="wrn.summary._.schedules." localSheetId="12" hidden="1">{"summary1",#N/A,FALSE,"Summary of Values";"summary2",#N/A,FALSE,"Summary of Values"}</definedName>
    <definedName name="wrn.summary._.schedules." localSheetId="25" hidden="1">{"summary1",#N/A,FALSE,"Summary of Values";"summary2",#N/A,FALSE,"Summary of Values"}</definedName>
    <definedName name="wrn.summary._.schedules." localSheetId="30" hidden="1">{"summary1",#N/A,FALSE,"Summary of Values";"summary2",#N/A,FALSE,"Summary of Values"}</definedName>
    <definedName name="wrn.summary._.schedules." hidden="1">{"summary1",#N/A,FALSE,"Summary of Values";"summary2",#N/A,FALSE,"Summary of Values"}</definedName>
    <definedName name="wrn.technology." localSheetId="10" hidden="1">{"developed valuation",#N/A,FALSE,"Valuation Analysis";"developed income statement",#N/A,FALSE,"Abbreviated Income Statement";"inprocess valuation",#N/A,FALSE,"Valuation Analysis";"inprocess income statement",#N/A,FALSE,"Abbreviated Income Statement"}</definedName>
    <definedName name="wrn.technology." localSheetId="46" hidden="1">{"developed valuation",#N/A,FALSE,"Valuation Analysis";"developed income statement",#N/A,FALSE,"Abbreviated Income Statement";"inprocess valuation",#N/A,FALSE,"Valuation Analysis";"inprocess income statement",#N/A,FALSE,"Abbreviated Income Statement"}</definedName>
    <definedName name="wrn.technology." localSheetId="51" hidden="1">{"developed valuation",#N/A,FALSE,"Valuation Analysis";"developed income statement",#N/A,FALSE,"Abbreviated Income Statement";"inprocess valuation",#N/A,FALSE,"Valuation Analysis";"inprocess income statement",#N/A,FALSE,"Abbreviated Income Statement"}</definedName>
    <definedName name="wrn.technology." localSheetId="47" hidden="1">{"developed valuation",#N/A,FALSE,"Valuation Analysis";"developed income statement",#N/A,FALSE,"Abbreviated Income Statement";"inprocess valuation",#N/A,FALSE,"Valuation Analysis";"inprocess income statement",#N/A,FALSE,"Abbreviated Income Statement"}</definedName>
    <definedName name="wrn.technology." localSheetId="12" hidden="1">{"developed valuation",#N/A,FALSE,"Valuation Analysis";"developed income statement",#N/A,FALSE,"Abbreviated Income Statement";"inprocess valuation",#N/A,FALSE,"Valuation Analysis";"inprocess income statement",#N/A,FALSE,"Abbreviated Income Statement"}</definedName>
    <definedName name="wrn.technology." localSheetId="25" hidden="1">{"developed valuation",#N/A,FALSE,"Valuation Analysis";"developed income statement",#N/A,FALSE,"Abbreviated Income Statement";"inprocess valuation",#N/A,FALSE,"Valuation Analysis";"inprocess income statement",#N/A,FALSE,"Abbreviated Income Statement"}</definedName>
    <definedName name="wrn.technology." localSheetId="30" hidden="1">{"developed valuation",#N/A,FALSE,"Valuation Analysis";"developed income statement",#N/A,FALSE,"Abbreviated Income Statement";"inprocess valuation",#N/A,FALSE,"Valuation Analysis";"inprocess income statement",#N/A,FALSE,"Abbreviated Income Statement"}</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hree._.Month._.I.S." localSheetId="10" hidden="1">{"Landscape Detail IS",#N/A,FALSE,"Three Months Ended 8.31.96";"Portrait Summary IS",#N/A,FALSE,"Three Months Ended 8.31.96"}</definedName>
    <definedName name="wrn.Three._.Month._.I.S." localSheetId="46" hidden="1">{"Landscape Detail IS",#N/A,FALSE,"Three Months Ended 8.31.96";"Portrait Summary IS",#N/A,FALSE,"Three Months Ended 8.31.96"}</definedName>
    <definedName name="wrn.Three._.Month._.I.S." localSheetId="51" hidden="1">{"Landscape Detail IS",#N/A,FALSE,"Three Months Ended 8.31.96";"Portrait Summary IS",#N/A,FALSE,"Three Months Ended 8.31.96"}</definedName>
    <definedName name="wrn.Three._.Month._.I.S." localSheetId="47" hidden="1">{"Landscape Detail IS",#N/A,FALSE,"Three Months Ended 8.31.96";"Portrait Summary IS",#N/A,FALSE,"Three Months Ended 8.31.96"}</definedName>
    <definedName name="wrn.Three._.Month._.I.S." localSheetId="12" hidden="1">{"Landscape Detail IS",#N/A,FALSE,"Three Months Ended 8.31.96";"Portrait Summary IS",#N/A,FALSE,"Three Months Ended 8.31.96"}</definedName>
    <definedName name="wrn.Three._.Month._.I.S." localSheetId="25" hidden="1">{"Landscape Detail IS",#N/A,FALSE,"Three Months Ended 8.31.96";"Portrait Summary IS",#N/A,FALSE,"Three Months Ended 8.31.96"}</definedName>
    <definedName name="wrn.Three._.Month._.I.S." localSheetId="30" hidden="1">{"Landscape Detail IS",#N/A,FALSE,"Three Months Ended 8.31.96";"Portrait Summary IS",#N/A,FALSE,"Three Months Ended 8.31.96"}</definedName>
    <definedName name="wrn.Three._.Month._.I.S." hidden="1">{"Landscape Detail IS",#N/A,FALSE,"Three Months Ended 8.31.96";"Portrait Summary IS",#N/A,FALSE,"Three Months Ended 8.31.96"}</definedName>
    <definedName name="wrn.trademark._.and._.trade._.name." localSheetId="10" hidden="1">{"trademark1",#N/A,FALSE,"Trademark(s) and Trade Name(s)"}</definedName>
    <definedName name="wrn.trademark._.and._.trade._.name." localSheetId="46" hidden="1">{"trademark1",#N/A,FALSE,"Trademark(s) and Trade Name(s)"}</definedName>
    <definedName name="wrn.trademark._.and._.trade._.name." localSheetId="51" hidden="1">{"trademark1",#N/A,FALSE,"Trademark(s) and Trade Name(s)"}</definedName>
    <definedName name="wrn.trademark._.and._.trade._.name." localSheetId="47" hidden="1">{"trademark1",#N/A,FALSE,"Trademark(s) and Trade Name(s)"}</definedName>
    <definedName name="wrn.trademark._.and._.trade._.name." localSheetId="12" hidden="1">{"trademark1",#N/A,FALSE,"Trademark(s) and Trade Name(s)"}</definedName>
    <definedName name="wrn.trademark._.and._.trade._.name." localSheetId="25" hidden="1">{"trademark1",#N/A,FALSE,"Trademark(s) and Trade Name(s)"}</definedName>
    <definedName name="wrn.trademark._.and._.trade._.name." localSheetId="30" hidden="1">{"trademark1",#N/A,FALSE,"Trademark(s) and Trade Name(s)"}</definedName>
    <definedName name="wrn.trademark._.and._.trade._.name." hidden="1">{"trademark1",#N/A,FALSE,"Trademark(s) and Trade Name(s)"}</definedName>
    <definedName name="wrn.VALUATION." localSheetId="10" hidden="1">{#N/A,#N/A,FALSE,"Valuation Assumptions";#N/A,#N/A,FALSE,"Summary";#N/A,#N/A,FALSE,"DCF";#N/A,#N/A,FALSE,"Valuation";#N/A,#N/A,FALSE,"WACC";#N/A,#N/A,FALSE,"UBVH";#N/A,#N/A,FALSE,"Free Cash Flow"}</definedName>
    <definedName name="wrn.VALUATION." hidden="1">{#N/A,#N/A,FALSE,"Valuation Assumptions";#N/A,#N/A,FALSE,"Summary";#N/A,#N/A,FALSE,"DCF";#N/A,#N/A,FALSE,"Valuation";#N/A,#N/A,FALSE,"WACC";#N/A,#N/A,FALSE,"UBVH";#N/A,#N/A,FALSE,"Free Cash Flow"}</definedName>
    <definedName name="wrn.vortrag." localSheetId="10" hidden="1">{#N/A,#N/A,FALSE,"sales ytd";#N/A,#N/A,FALSE,"investments";#N/A,#N/A,FALSE,"bus. synergies 1997";#N/A,#N/A,FALSE,"synergies outlook"}</definedName>
    <definedName name="wrn.vortrag." hidden="1">{#N/A,#N/A,FALSE,"sales ytd";#N/A,#N/A,FALSE,"investments";#N/A,#N/A,FALSE,"bus. synergies 1997";#N/A,#N/A,FALSE,"synergies outlook"}</definedName>
    <definedName name="wrn.wara." localSheetId="10" hidden="1">{"weighted average returns",#N/A,FALSE,"WACC and WARA"}</definedName>
    <definedName name="wrn.wara." localSheetId="46" hidden="1">{"weighted average returns",#N/A,FALSE,"WACC and WARA"}</definedName>
    <definedName name="wrn.wara." localSheetId="51" hidden="1">{"weighted average returns",#N/A,FALSE,"WACC and WARA"}</definedName>
    <definedName name="wrn.wara." localSheetId="47" hidden="1">{"weighted average returns",#N/A,FALSE,"WACC and WARA"}</definedName>
    <definedName name="wrn.wara." localSheetId="12" hidden="1">{"weighted average returns",#N/A,FALSE,"WACC and WARA"}</definedName>
    <definedName name="wrn.wara." localSheetId="25" hidden="1">{"weighted average returns",#N/A,FALSE,"WACC and WARA"}</definedName>
    <definedName name="wrn.wara." localSheetId="30" hidden="1">{"weighted average returns",#N/A,FALSE,"WACC and WARA"}</definedName>
    <definedName name="wrn.wara." hidden="1">{"weighted average returns",#N/A,FALSE,"WACC and WARA"}</definedName>
    <definedName name="wrn.Washington._.4._.Plans." localSheetId="10" hidden="1">{#N/A,#N/A,FALSE,"Washington Plan 1";#N/A,#N/A,FALSE,"Washington Plan 2";#N/A,#N/A,FALSE,"Washington Plan 3";#N/A,#N/A,FALSE,"Washington Plan 4";#N/A,#N/A,FALSE,"WA 50th";#N/A,#N/A,FALSE,"Summary"}</definedName>
    <definedName name="wrn.Washington._.4._.Plans." localSheetId="47" hidden="1">{#N/A,#N/A,FALSE,"Washington Plan 1";#N/A,#N/A,FALSE,"Washington Plan 2";#N/A,#N/A,FALSE,"Washington Plan 3";#N/A,#N/A,FALSE,"Washington Plan 4";#N/A,#N/A,FALSE,"WA 50th";#N/A,#N/A,FALSE,"Summary"}</definedName>
    <definedName name="wrn.Washington._.4._.Plans." hidden="1">{#N/A,#N/A,FALSE,"Washington Plan 1";#N/A,#N/A,FALSE,"Washington Plan 2";#N/A,#N/A,FALSE,"Washington Plan 3";#N/A,#N/A,FALSE,"Washington Plan 4";#N/A,#N/A,FALSE,"WA 50th";#N/A,#N/A,FALSE,"Summary"}</definedName>
    <definedName name="wrn.Whole._.Model." localSheetId="10" hidden="1">{#N/A,#N/A,FALSE,"Model";#N/A,#N/A,FALSE,"Gen Pts &amp; Rts 2000";#N/A,#N/A,FALSE,"AcqsAss";#N/A,#N/A,FALSE,"Acqs &amp; De Novos"}</definedName>
    <definedName name="wrn.Whole._.Model." localSheetId="46" hidden="1">{#N/A,#N/A,FALSE,"Model";#N/A,#N/A,FALSE,"Gen Pts &amp; Rts 2000";#N/A,#N/A,FALSE,"AcqsAss";#N/A,#N/A,FALSE,"Acqs &amp; De Novos"}</definedName>
    <definedName name="wrn.Whole._.Model." localSheetId="51" hidden="1">{#N/A,#N/A,FALSE,"Model";#N/A,#N/A,FALSE,"Gen Pts &amp; Rts 2000";#N/A,#N/A,FALSE,"AcqsAss";#N/A,#N/A,FALSE,"Acqs &amp; De Novos"}</definedName>
    <definedName name="wrn.Whole._.Model." localSheetId="47" hidden="1">{#N/A,#N/A,FALSE,"Model";#N/A,#N/A,FALSE,"Gen Pts &amp; Rts 2000";#N/A,#N/A,FALSE,"AcqsAss";#N/A,#N/A,FALSE,"Acqs &amp; De Novos"}</definedName>
    <definedName name="wrn.Whole._.Model." localSheetId="12" hidden="1">{#N/A,#N/A,FALSE,"Model";#N/A,#N/A,FALSE,"Gen Pts &amp; Rts 2000";#N/A,#N/A,FALSE,"AcqsAss";#N/A,#N/A,FALSE,"Acqs &amp; De Novos"}</definedName>
    <definedName name="wrn.Whole._.Model." localSheetId="25" hidden="1">{#N/A,#N/A,FALSE,"Model";#N/A,#N/A,FALSE,"Gen Pts &amp; Rts 2000";#N/A,#N/A,FALSE,"AcqsAss";#N/A,#N/A,FALSE,"Acqs &amp; De Novos"}</definedName>
    <definedName name="wrn.Whole._.Model." localSheetId="30" hidden="1">{#N/A,#N/A,FALSE,"Model";#N/A,#N/A,FALSE,"Gen Pts &amp; Rts 2000";#N/A,#N/A,FALSE,"AcqsAss";#N/A,#N/A,FALSE,"Acqs &amp; De Novos"}</definedName>
    <definedName name="wrn.Whole._.Model." hidden="1">{#N/A,#N/A,FALSE,"Model";#N/A,#N/A,FALSE,"Gen Pts &amp; Rts 2000";#N/A,#N/A,FALSE,"AcqsAss";#N/A,#N/A,FALSE,"Acqs &amp; De Novos"}</definedName>
    <definedName name="wrn.work._.paper._.shcedules." localSheetId="10" hidden="1">{"summary1",#N/A,FALSE,"Summary of Values";"summary2",#N/A,FALSE,"Summary of Values";"weighted average returns",#N/A,FALSE,"WACC and WARA";"fixed asset detail",#N/A,FALSE,"Fixed Asset Detail"}</definedName>
    <definedName name="wrn.work._.paper._.shcedules." localSheetId="46" hidden="1">{"summary1",#N/A,FALSE,"Summary of Values";"summary2",#N/A,FALSE,"Summary of Values";"weighted average returns",#N/A,FALSE,"WACC and WARA";"fixed asset detail",#N/A,FALSE,"Fixed Asset Detail"}</definedName>
    <definedName name="wrn.work._.paper._.shcedules." localSheetId="51" hidden="1">{"summary1",#N/A,FALSE,"Summary of Values";"summary2",#N/A,FALSE,"Summary of Values";"weighted average returns",#N/A,FALSE,"WACC and WARA";"fixed asset detail",#N/A,FALSE,"Fixed Asset Detail"}</definedName>
    <definedName name="wrn.work._.paper._.shcedules." localSheetId="47" hidden="1">{"summary1",#N/A,FALSE,"Summary of Values";"summary2",#N/A,FALSE,"Summary of Values";"weighted average returns",#N/A,FALSE,"WACC and WARA";"fixed asset detail",#N/A,FALSE,"Fixed Asset Detail"}</definedName>
    <definedName name="wrn.work._.paper._.shcedules." localSheetId="12" hidden="1">{"summary1",#N/A,FALSE,"Summary of Values";"summary2",#N/A,FALSE,"Summary of Values";"weighted average returns",#N/A,FALSE,"WACC and WARA";"fixed asset detail",#N/A,FALSE,"Fixed Asset Detail"}</definedName>
    <definedName name="wrn.work._.paper._.shcedules." localSheetId="25" hidden="1">{"summary1",#N/A,FALSE,"Summary of Values";"summary2",#N/A,FALSE,"Summary of Values";"weighted average returns",#N/A,FALSE,"WACC and WARA";"fixed asset detail",#N/A,FALSE,"Fixed Asset Detail"}</definedName>
    <definedName name="wrn.work._.paper._.shcedules." localSheetId="30" hidden="1">{"summary1",#N/A,FALSE,"Summary of Values";"summary2",#N/A,FALSE,"Summary of Values";"weighted average returns",#N/A,FALSE,"WACC and WARA";"fixed asset detail",#N/A,FALSE,"Fixed Asset Detail"}</definedName>
    <definedName name="wrn.work._.paper._.shcedules." hidden="1">{"summary1",#N/A,FALSE,"Summary of Values";"summary2",#N/A,FALSE,"Summary of Values";"weighted average returns",#N/A,FALSE,"WACC and WARA";"fixed asset detail",#N/A,FALSE,"Fixed Asset Detail"}</definedName>
    <definedName name="wrn2.Basic" localSheetId="10" hidden="1">{#N/A,#N/A,FALSE,"e-Svc Level";#N/A,#N/A,FALSE,"e-Hosted";#N/A,#N/A,FALSE,"e-Licensed";#N/A,#N/A,FALSE,"Assumptions"}</definedName>
    <definedName name="wrn2.Basic" localSheetId="47" hidden="1">{#N/A,#N/A,FALSE,"e-Svc Level";#N/A,#N/A,FALSE,"e-Hosted";#N/A,#N/A,FALSE,"e-Licensed";#N/A,#N/A,FALSE,"Assumptions"}</definedName>
    <definedName name="wrn2.Basic" hidden="1">{#N/A,#N/A,FALSE,"e-Svc Level";#N/A,#N/A,FALSE,"e-Hosted";#N/A,#N/A,FALSE,"e-Licensed";#N/A,#N/A,FALSE,"Assumptions"}</definedName>
    <definedName name="wrn2.Basic." localSheetId="10" hidden="1">{#N/A,#N/A,FALSE,"e-Svc Level";#N/A,#N/A,FALSE,"e-Hosted";#N/A,#N/A,FALSE,"e-Licensed";#N/A,#N/A,FALSE,"Assumptions"}</definedName>
    <definedName name="wrn2.Basic." localSheetId="47" hidden="1">{#N/A,#N/A,FALSE,"e-Svc Level";#N/A,#N/A,FALSE,"e-Hosted";#N/A,#N/A,FALSE,"e-Licensed";#N/A,#N/A,FALSE,"Assumptions"}</definedName>
    <definedName name="wrn2.Basic." hidden="1">{#N/A,#N/A,FALSE,"e-Svc Level";#N/A,#N/A,FALSE,"e-Hosted";#N/A,#N/A,FALSE,"e-Licensed";#N/A,#N/A,FALSE,"Assumptions"}</definedName>
    <definedName name="wrn2.Basic2" localSheetId="10" hidden="1">{#N/A,#N/A,FALSE,"e-Svc Level";#N/A,#N/A,FALSE,"e-Hosted";#N/A,#N/A,FALSE,"e-Licensed";#N/A,#N/A,FALSE,"Assumptions"}</definedName>
    <definedName name="wrn2.Basic2" localSheetId="47" hidden="1">{#N/A,#N/A,FALSE,"e-Svc Level";#N/A,#N/A,FALSE,"e-Hosted";#N/A,#N/A,FALSE,"e-Licensed";#N/A,#N/A,FALSE,"Assumptions"}</definedName>
    <definedName name="wrn2.Basic2" hidden="1">{#N/A,#N/A,FALSE,"e-Svc Level";#N/A,#N/A,FALSE,"e-Hosted";#N/A,#N/A,FALSE,"e-Licensed";#N/A,#N/A,FALSE,"Assumptions"}</definedName>
    <definedName name="wrn3.Basic." localSheetId="10" hidden="1">{#N/A,#N/A,FALSE,"e-Svc Level";#N/A,#N/A,FALSE,"e-Hosted";#N/A,#N/A,FALSE,"e-Licensed";#N/A,#N/A,FALSE,"Assumptions"}</definedName>
    <definedName name="wrn3.Basic." localSheetId="47" hidden="1">{#N/A,#N/A,FALSE,"e-Svc Level";#N/A,#N/A,FALSE,"e-Hosted";#N/A,#N/A,FALSE,"e-Licensed";#N/A,#N/A,FALSE,"Assumptions"}</definedName>
    <definedName name="wrn3.Basic." hidden="1">{#N/A,#N/A,FALSE,"e-Svc Level";#N/A,#N/A,FALSE,"e-Hosted";#N/A,#N/A,FALSE,"e-Licensed";#N/A,#N/A,FALSE,"Assumptions"}</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localSheetId="10" hidden="1">{#N/A,#N/A,FALSE,"Bakersfield PCs";#N/A,#N/A,FALSE,"Bremer PCs";#N/A,#N/A,FALSE,"Bakersfield Notebooks"}</definedName>
    <definedName name="ww" localSheetId="46" hidden="1">{#N/A,#N/A,FALSE,"Bakersfield PCs";#N/A,#N/A,FALSE,"Bremer PCs";#N/A,#N/A,FALSE,"Bakersfield Notebooks"}</definedName>
    <definedName name="ww" localSheetId="51" hidden="1">{#N/A,#N/A,FALSE,"Bakersfield PCs";#N/A,#N/A,FALSE,"Bremer PCs";#N/A,#N/A,FALSE,"Bakersfield Notebooks"}</definedName>
    <definedName name="ww" localSheetId="47" hidden="1">{#N/A,#N/A,FALSE,"Bakersfield PCs";#N/A,#N/A,FALSE,"Bremer PCs";#N/A,#N/A,FALSE,"Bakersfield Notebooks"}</definedName>
    <definedName name="ww" localSheetId="12" hidden="1">{#N/A,#N/A,FALSE,"Bakersfield PCs";#N/A,#N/A,FALSE,"Bremer PCs";#N/A,#N/A,FALSE,"Bakersfield Notebooks"}</definedName>
    <definedName name="ww" localSheetId="25" hidden="1">{#N/A,#N/A,FALSE,"Bakersfield PCs";#N/A,#N/A,FALSE,"Bremer PCs";#N/A,#N/A,FALSE,"Bakersfield Notebooks"}</definedName>
    <definedName name="ww" localSheetId="30" hidden="1">{#N/A,#N/A,FALSE,"Bakersfield PCs";#N/A,#N/A,FALSE,"Bremer PCs";#N/A,#N/A,FALSE,"Bakersfield Notebooks"}</definedName>
    <definedName name="ww" hidden="1">{#N/A,#N/A,FALSE,"Bakersfield PCs";#N/A,#N/A,FALSE,"Bremer PCs";#N/A,#N/A,FALSE,"Bakersfield Notebooks"}</definedName>
    <definedName name="ww.Rele" localSheetId="10" hidden="1">{#N/A,#N/A,FALSE,"Title Page";#N/A,#N/A,FALSE,"Conclusions";#N/A,#N/A,FALSE,"Assum.";#N/A,#N/A,FALSE,"Sun  DCF-WC-Dep";#N/A,#N/A,FALSE,"MarketValue";#N/A,#N/A,FALSE,"BalSheet";#N/A,#N/A,FALSE,"WACC";#N/A,#N/A,FALSE,"PC+ Info.";#N/A,#N/A,FALSE,"PC+Info_2"}</definedName>
    <definedName name="ww.Rele" localSheetId="46" hidden="1">{#N/A,#N/A,FALSE,"Title Page";#N/A,#N/A,FALSE,"Conclusions";#N/A,#N/A,FALSE,"Assum.";#N/A,#N/A,FALSE,"Sun  DCF-WC-Dep";#N/A,#N/A,FALSE,"MarketValue";#N/A,#N/A,FALSE,"BalSheet";#N/A,#N/A,FALSE,"WACC";#N/A,#N/A,FALSE,"PC+ Info.";#N/A,#N/A,FALSE,"PC+Info_2"}</definedName>
    <definedName name="ww.Rele" localSheetId="51" hidden="1">{#N/A,#N/A,FALSE,"Title Page";#N/A,#N/A,FALSE,"Conclusions";#N/A,#N/A,FALSE,"Assum.";#N/A,#N/A,FALSE,"Sun  DCF-WC-Dep";#N/A,#N/A,FALSE,"MarketValue";#N/A,#N/A,FALSE,"BalSheet";#N/A,#N/A,FALSE,"WACC";#N/A,#N/A,FALSE,"PC+ Info.";#N/A,#N/A,FALSE,"PC+Info_2"}</definedName>
    <definedName name="ww.Rele" localSheetId="47" hidden="1">{#N/A,#N/A,FALSE,"Title Page";#N/A,#N/A,FALSE,"Conclusions";#N/A,#N/A,FALSE,"Assum.";#N/A,#N/A,FALSE,"Sun  DCF-WC-Dep";#N/A,#N/A,FALSE,"MarketValue";#N/A,#N/A,FALSE,"BalSheet";#N/A,#N/A,FALSE,"WACC";#N/A,#N/A,FALSE,"PC+ Info.";#N/A,#N/A,FALSE,"PC+Info_2"}</definedName>
    <definedName name="ww.Rele" localSheetId="12" hidden="1">{#N/A,#N/A,FALSE,"Title Page";#N/A,#N/A,FALSE,"Conclusions";#N/A,#N/A,FALSE,"Assum.";#N/A,#N/A,FALSE,"Sun  DCF-WC-Dep";#N/A,#N/A,FALSE,"MarketValue";#N/A,#N/A,FALSE,"BalSheet";#N/A,#N/A,FALSE,"WACC";#N/A,#N/A,FALSE,"PC+ Info.";#N/A,#N/A,FALSE,"PC+Info_2"}</definedName>
    <definedName name="ww.Rele" localSheetId="25" hidden="1">{#N/A,#N/A,FALSE,"Title Page";#N/A,#N/A,FALSE,"Conclusions";#N/A,#N/A,FALSE,"Assum.";#N/A,#N/A,FALSE,"Sun  DCF-WC-Dep";#N/A,#N/A,FALSE,"MarketValue";#N/A,#N/A,FALSE,"BalSheet";#N/A,#N/A,FALSE,"WACC";#N/A,#N/A,FALSE,"PC+ Info.";#N/A,#N/A,FALSE,"PC+Info_2"}</definedName>
    <definedName name="ww.Rele" localSheetId="30" hidden="1">{#N/A,#N/A,FALSE,"Title Page";#N/A,#N/A,FALSE,"Conclusions";#N/A,#N/A,FALSE,"Assum.";#N/A,#N/A,FALSE,"Sun  DCF-WC-Dep";#N/A,#N/A,FALSE,"MarketValue";#N/A,#N/A,FALSE,"BalSheet";#N/A,#N/A,FALSE,"WACC";#N/A,#N/A,FALSE,"PC+ Info.";#N/A,#N/A,FALSE,"PC+Info_2"}</definedName>
    <definedName name="ww.Rele" hidden="1">{#N/A,#N/A,FALSE,"Title Page";#N/A,#N/A,FALSE,"Conclusions";#N/A,#N/A,FALSE,"Assum.";#N/A,#N/A,FALSE,"Sun  DCF-WC-Dep";#N/A,#N/A,FALSE,"MarketValue";#N/A,#N/A,FALSE,"BalSheet";#N/A,#N/A,FALSE,"WACC";#N/A,#N/A,FALSE,"PC+ Info.";#N/A,#N/A,FALSE,"PC+Info_2"}</definedName>
    <definedName name="www" localSheetId="10" hidden="1">{#N/A,#N/A,FALSE,"Bakersfield PCs";#N/A,#N/A,FALSE,"Bremer PCs";#N/A,#N/A,FALSE,"Bakersfield Notebooks"}</definedName>
    <definedName name="www" localSheetId="46" hidden="1">{#N/A,#N/A,FALSE,"Bakersfield PCs";#N/A,#N/A,FALSE,"Bremer PCs";#N/A,#N/A,FALSE,"Bakersfield Notebooks"}</definedName>
    <definedName name="www" localSheetId="51" hidden="1">{#N/A,#N/A,FALSE,"Bakersfield PCs";#N/A,#N/A,FALSE,"Bremer PCs";#N/A,#N/A,FALSE,"Bakersfield Notebooks"}</definedName>
    <definedName name="www" localSheetId="47" hidden="1">{#N/A,#N/A,FALSE,"Bakersfield PCs";#N/A,#N/A,FALSE,"Bremer PCs";#N/A,#N/A,FALSE,"Bakersfield Notebooks"}</definedName>
    <definedName name="www" localSheetId="12" hidden="1">{#N/A,#N/A,FALSE,"Bakersfield PCs";#N/A,#N/A,FALSE,"Bremer PCs";#N/A,#N/A,FALSE,"Bakersfield Notebooks"}</definedName>
    <definedName name="www" localSheetId="25" hidden="1">{#N/A,#N/A,FALSE,"Bakersfield PCs";#N/A,#N/A,FALSE,"Bremer PCs";#N/A,#N/A,FALSE,"Bakersfield Notebooks"}</definedName>
    <definedName name="www" localSheetId="30" hidden="1">{#N/A,#N/A,FALSE,"Bakersfield PCs";#N/A,#N/A,FALSE,"Bremer PCs";#N/A,#N/A,FALSE,"Bakersfield Notebooks"}</definedName>
    <definedName name="www" hidden="1">{#N/A,#N/A,FALSE,"Bakersfield PCs";#N/A,#N/A,FALSE,"Bremer PCs";#N/A,#N/A,FALSE,"Bakersfield Notebooks"}</definedName>
    <definedName name="x" localSheetId="10" hidden="1">{"contributory1",#N/A,FALSE,"Contributory Assets Detail";"contributory2",#N/A,FALSE,"Contributory Assets Detail"}</definedName>
    <definedName name="x" localSheetId="46" hidden="1">{"contributory1",#N/A,FALSE,"Contributory Assets Detail";"contributory2",#N/A,FALSE,"Contributory Assets Detail"}</definedName>
    <definedName name="x" localSheetId="51" hidden="1">{"contributory1",#N/A,FALSE,"Contributory Assets Detail";"contributory2",#N/A,FALSE,"Contributory Assets Detail"}</definedName>
    <definedName name="x" localSheetId="47" hidden="1">{"contributory1",#N/A,FALSE,"Contributory Assets Detail";"contributory2",#N/A,FALSE,"Contributory Assets Detail"}</definedName>
    <definedName name="x" localSheetId="12" hidden="1">{"contributory1",#N/A,FALSE,"Contributory Assets Detail";"contributory2",#N/A,FALSE,"Contributory Assets Detail"}</definedName>
    <definedName name="x" localSheetId="25" hidden="1">{"contributory1",#N/A,FALSE,"Contributory Assets Detail";"contributory2",#N/A,FALSE,"Contributory Assets Detail"}</definedName>
    <definedName name="x" localSheetId="30" hidden="1">{"contributory1",#N/A,FALSE,"Contributory Assets Detail";"contributory2",#N/A,FALSE,"Contributory Assets Detail"}</definedName>
    <definedName name="x" hidden="1">{"contributory1",#N/A,FALSE,"Contributory Assets Detail";"contributory2",#N/A,FALSE,"Contributory Assets Detail"}</definedName>
    <definedName name="XREF_COLUMN_1" localSheetId="47" hidden="1">#REF!</definedName>
    <definedName name="XREF_COLUMN_1" localSheetId="42" hidden="1">#REF!</definedName>
    <definedName name="XREF_COLUMN_1" hidden="1">#REF!</definedName>
    <definedName name="XREF_COLUMN_2" localSheetId="42" hidden="1">#REF!</definedName>
    <definedName name="XREF_COLUMN_2" hidden="1">#REF!</definedName>
    <definedName name="XRefActiveRow" localSheetId="42" hidden="1">#REF!</definedName>
    <definedName name="XRefActiveRow" hidden="1">#REF!</definedName>
    <definedName name="XRefColumnsCount" hidden="1">4</definedName>
    <definedName name="XRefCopy1" localSheetId="10" hidden="1">#REF!</definedName>
    <definedName name="XRefCopy1" localSheetId="47" hidden="1">#REF!</definedName>
    <definedName name="XRefCopy1" localSheetId="42" hidden="1">#REF!</definedName>
    <definedName name="XRefCopy1" hidden="1">#REF!</definedName>
    <definedName name="XRefCopy1Row" localSheetId="42" hidden="1">#REF!</definedName>
    <definedName name="XRefCopy1Row" hidden="1">#REF!</definedName>
    <definedName name="XRefCopyRangeCount" hidden="1">2</definedName>
    <definedName name="XRefPasteRangeCount" hidden="1">11</definedName>
    <definedName name="xxs" localSheetId="10" hidden="1">{#N/A,#N/A,TRUE,"Tax";#N/A,#N/A,TRUE,"Structure";#N/A,#N/A,TRUE,"Accounting";#N/A,#N/A,TRUE,"Equipment"}</definedName>
    <definedName name="xxs" localSheetId="46" hidden="1">{#N/A,#N/A,TRUE,"Tax";#N/A,#N/A,TRUE,"Structure";#N/A,#N/A,TRUE,"Accounting";#N/A,#N/A,TRUE,"Equipment"}</definedName>
    <definedName name="xxs" localSheetId="51" hidden="1">{#N/A,#N/A,TRUE,"Tax";#N/A,#N/A,TRUE,"Structure";#N/A,#N/A,TRUE,"Accounting";#N/A,#N/A,TRUE,"Equipment"}</definedName>
    <definedName name="xxs" localSheetId="47" hidden="1">{#N/A,#N/A,TRUE,"Tax";#N/A,#N/A,TRUE,"Structure";#N/A,#N/A,TRUE,"Accounting";#N/A,#N/A,TRUE,"Equipment"}</definedName>
    <definedName name="xxs" localSheetId="12" hidden="1">{#N/A,#N/A,TRUE,"Tax";#N/A,#N/A,TRUE,"Structure";#N/A,#N/A,TRUE,"Accounting";#N/A,#N/A,TRUE,"Equipment"}</definedName>
    <definedName name="xxs" localSheetId="25" hidden="1">{#N/A,#N/A,TRUE,"Tax";#N/A,#N/A,TRUE,"Structure";#N/A,#N/A,TRUE,"Accounting";#N/A,#N/A,TRUE,"Equipment"}</definedName>
    <definedName name="xxs" localSheetId="30" hidden="1">{#N/A,#N/A,TRUE,"Tax";#N/A,#N/A,TRUE,"Structure";#N/A,#N/A,TRUE,"Accounting";#N/A,#N/A,TRUE,"Equipment"}</definedName>
    <definedName name="xxs" hidden="1">{#N/A,#N/A,TRUE,"Tax";#N/A,#N/A,TRUE,"Structure";#N/A,#N/A,TRUE,"Accounting";#N/A,#N/A,TRUE,"Equipment"}</definedName>
    <definedName name="xxx" localSheetId="10"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46"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51"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4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1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25"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30"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x" localSheetId="37" hidden="1">#REF!</definedName>
    <definedName name="xxxx" localSheetId="38" hidden="1">#REF!</definedName>
    <definedName name="xxxx" localSheetId="4" hidden="1">#REF!</definedName>
    <definedName name="xxxx" localSheetId="46" hidden="1">#REF!</definedName>
    <definedName name="xxxx" localSheetId="47" hidden="1">#REF!</definedName>
    <definedName name="xxxx" localSheetId="50" hidden="1">#REF!</definedName>
    <definedName name="xxxx" localSheetId="41" hidden="1">#REF!</definedName>
    <definedName name="xxxx" localSheetId="15" hidden="1">#REF!</definedName>
    <definedName name="xxxx" localSheetId="17" hidden="1">#REF!</definedName>
    <definedName name="xxxx" localSheetId="30" hidden="1">#REF!</definedName>
    <definedName name="xxxx" localSheetId="42" hidden="1">#REF!</definedName>
    <definedName name="xxxx" hidden="1">#REF!</definedName>
    <definedName name="yale" localSheetId="10" hidden="1">{"Opsys",#N/A,FALSE,"NPV_OPsys";"NT",#N/A,FALSE,"NPV_NT";"DevP",#N/A,FALSE,"NPV_DevPdt";"Office",#N/A,FALSE,"NPV_Office"}</definedName>
    <definedName name="yale" localSheetId="46" hidden="1">{"Opsys",#N/A,FALSE,"NPV_OPsys";"NT",#N/A,FALSE,"NPV_NT";"DevP",#N/A,FALSE,"NPV_DevPdt";"Office",#N/A,FALSE,"NPV_Office"}</definedName>
    <definedName name="yale" localSheetId="51" hidden="1">{"Opsys",#N/A,FALSE,"NPV_OPsys";"NT",#N/A,FALSE,"NPV_NT";"DevP",#N/A,FALSE,"NPV_DevPdt";"Office",#N/A,FALSE,"NPV_Office"}</definedName>
    <definedName name="yale" localSheetId="47" hidden="1">{"Opsys",#N/A,FALSE,"NPV_OPsys";"NT",#N/A,FALSE,"NPV_NT";"DevP",#N/A,FALSE,"NPV_DevPdt";"Office",#N/A,FALSE,"NPV_Office"}</definedName>
    <definedName name="yale" localSheetId="12" hidden="1">{"Opsys",#N/A,FALSE,"NPV_OPsys";"NT",#N/A,FALSE,"NPV_NT";"DevP",#N/A,FALSE,"NPV_DevPdt";"Office",#N/A,FALSE,"NPV_Office"}</definedName>
    <definedName name="yale" localSheetId="25" hidden="1">{"Opsys",#N/A,FALSE,"NPV_OPsys";"NT",#N/A,FALSE,"NPV_NT";"DevP",#N/A,FALSE,"NPV_DevPdt";"Office",#N/A,FALSE,"NPV_Office"}</definedName>
    <definedName name="yale" localSheetId="30" hidden="1">{"Opsys",#N/A,FALSE,"NPV_OPsys";"NT",#N/A,FALSE,"NPV_NT";"DevP",#N/A,FALSE,"NPV_DevPdt";"Office",#N/A,FALSE,"NPV_Office"}</definedName>
    <definedName name="yale" hidden="1">{"Opsys",#N/A,FALSE,"NPV_OPsys";"NT",#N/A,FALSE,"NPV_NT";"DevP",#N/A,FALSE,"NPV_DevPdt";"Office",#N/A,FALSE,"NPV_Office"}</definedName>
    <definedName name="Year_ID" hidden="1">" "</definedName>
    <definedName name="yr" hidden="1">39686.6865509259</definedName>
    <definedName name="yy" localSheetId="10" hidden="1">{#N/A,#N/A,FALSE,"e-Svc Level";#N/A,#N/A,FALSE,"e-Hosted";#N/A,#N/A,FALSE,"e-Licensed";#N/A,#N/A,FALSE,"Assumptions"}</definedName>
    <definedName name="yy" localSheetId="47" hidden="1">{#N/A,#N/A,FALSE,"e-Svc Level";#N/A,#N/A,FALSE,"e-Hosted";#N/A,#N/A,FALSE,"e-Licensed";#N/A,#N/A,FALSE,"Assumptions"}</definedName>
    <definedName name="yy" hidden="1">{#N/A,#N/A,FALSE,"e-Svc Level";#N/A,#N/A,FALSE,"e-Hosted";#N/A,#N/A,FALSE,"e-Licensed";#N/A,#N/A,FALSE,"Assumptions"}</definedName>
    <definedName name="yyy" localSheetId="10" hidden="1">{#N/A,#N/A,FALSE,"Bakersfield PCs";#N/A,#N/A,FALSE,"Bremer PCs";#N/A,#N/A,FALSE,"Bakersfield Notebooks"}</definedName>
    <definedName name="yyy" localSheetId="46" hidden="1">{#N/A,#N/A,FALSE,"Bakersfield PCs";#N/A,#N/A,FALSE,"Bremer PCs";#N/A,#N/A,FALSE,"Bakersfield Notebooks"}</definedName>
    <definedName name="yyy" localSheetId="51" hidden="1">{#N/A,#N/A,FALSE,"Bakersfield PCs";#N/A,#N/A,FALSE,"Bremer PCs";#N/A,#N/A,FALSE,"Bakersfield Notebooks"}</definedName>
    <definedName name="yyy" localSheetId="47" hidden="1">{#N/A,#N/A,FALSE,"Bakersfield PCs";#N/A,#N/A,FALSE,"Bremer PCs";#N/A,#N/A,FALSE,"Bakersfield Notebooks"}</definedName>
    <definedName name="yyy" localSheetId="12" hidden="1">{#N/A,#N/A,FALSE,"Bakersfield PCs";#N/A,#N/A,FALSE,"Bremer PCs";#N/A,#N/A,FALSE,"Bakersfield Notebooks"}</definedName>
    <definedName name="yyy" localSheetId="25" hidden="1">{#N/A,#N/A,FALSE,"Bakersfield PCs";#N/A,#N/A,FALSE,"Bremer PCs";#N/A,#N/A,FALSE,"Bakersfield Notebooks"}</definedName>
    <definedName name="yyy" localSheetId="30" hidden="1">{#N/A,#N/A,FALSE,"Bakersfield PCs";#N/A,#N/A,FALSE,"Bremer PCs";#N/A,#N/A,FALSE,"Bakersfield Notebooks"}</definedName>
    <definedName name="yyy" hidden="1">{#N/A,#N/A,FALSE,"Bakersfield PCs";#N/A,#N/A,FALSE,"Bremer PCs";#N/A,#N/A,FALSE,"Bakersfield Notebooks"}</definedName>
    <definedName name="yyyy" localSheetId="10" hidden="1">{#N/A,#N/A,FALSE,"Bakersfield PCs";#N/A,#N/A,FALSE,"Bremer PCs";#N/A,#N/A,FALSE,"Bakersfield Notebooks"}</definedName>
    <definedName name="yyyy" localSheetId="46" hidden="1">{#N/A,#N/A,FALSE,"Bakersfield PCs";#N/A,#N/A,FALSE,"Bremer PCs";#N/A,#N/A,FALSE,"Bakersfield Notebooks"}</definedName>
    <definedName name="yyyy" localSheetId="51" hidden="1">{#N/A,#N/A,FALSE,"Bakersfield PCs";#N/A,#N/A,FALSE,"Bremer PCs";#N/A,#N/A,FALSE,"Bakersfield Notebooks"}</definedName>
    <definedName name="yyyy" localSheetId="47" hidden="1">{#N/A,#N/A,FALSE,"Bakersfield PCs";#N/A,#N/A,FALSE,"Bremer PCs";#N/A,#N/A,FALSE,"Bakersfield Notebooks"}</definedName>
    <definedName name="yyyy" localSheetId="12" hidden="1">{#N/A,#N/A,FALSE,"Bakersfield PCs";#N/A,#N/A,FALSE,"Bremer PCs";#N/A,#N/A,FALSE,"Bakersfield Notebooks"}</definedName>
    <definedName name="yyyy" localSheetId="25" hidden="1">{#N/A,#N/A,FALSE,"Bakersfield PCs";#N/A,#N/A,FALSE,"Bremer PCs";#N/A,#N/A,FALSE,"Bakersfield Notebooks"}</definedName>
    <definedName name="yyyy" localSheetId="30" hidden="1">{#N/A,#N/A,FALSE,"Bakersfield PCs";#N/A,#N/A,FALSE,"Bremer PCs";#N/A,#N/A,FALSE,"Bakersfield Notebooks"}</definedName>
    <definedName name="yyyy" hidden="1">{#N/A,#N/A,FALSE,"Bakersfield PCs";#N/A,#N/A,FALSE,"Bremer PCs";#N/A,#N/A,FALSE,"Bakersfield Notebooks"}</definedName>
    <definedName name="yyyyw" localSheetId="10" hidden="1">{#N/A,#N/A,FALSE,"Bakersfield PCs";#N/A,#N/A,FALSE,"Bremer PCs";#N/A,#N/A,FALSE,"Bakersfield Notebooks"}</definedName>
    <definedName name="yyyyw" localSheetId="46" hidden="1">{#N/A,#N/A,FALSE,"Bakersfield PCs";#N/A,#N/A,FALSE,"Bremer PCs";#N/A,#N/A,FALSE,"Bakersfield Notebooks"}</definedName>
    <definedName name="yyyyw" localSheetId="51" hidden="1">{#N/A,#N/A,FALSE,"Bakersfield PCs";#N/A,#N/A,FALSE,"Bremer PCs";#N/A,#N/A,FALSE,"Bakersfield Notebooks"}</definedName>
    <definedName name="yyyyw" localSheetId="47" hidden="1">{#N/A,#N/A,FALSE,"Bakersfield PCs";#N/A,#N/A,FALSE,"Bremer PCs";#N/A,#N/A,FALSE,"Bakersfield Notebooks"}</definedName>
    <definedName name="yyyyw" localSheetId="12" hidden="1">{#N/A,#N/A,FALSE,"Bakersfield PCs";#N/A,#N/A,FALSE,"Bremer PCs";#N/A,#N/A,FALSE,"Bakersfield Notebooks"}</definedName>
    <definedName name="yyyyw" localSheetId="25" hidden="1">{#N/A,#N/A,FALSE,"Bakersfield PCs";#N/A,#N/A,FALSE,"Bremer PCs";#N/A,#N/A,FALSE,"Bakersfield Notebooks"}</definedName>
    <definedName name="yyyyw" localSheetId="30" hidden="1">{#N/A,#N/A,FALSE,"Bakersfield PCs";#N/A,#N/A,FALSE,"Bremer PCs";#N/A,#N/A,FALSE,"Bakersfield Notebooks"}</definedName>
    <definedName name="yyyyw" hidden="1">{#N/A,#N/A,FALSE,"Bakersfield PCs";#N/A,#N/A,FALSE,"Bremer PCs";#N/A,#N/A,FALSE,"Bakersfield Notebooks"}</definedName>
    <definedName name="Z_2FAC22D6_47BC_4470_AEFD_84E9E2C01290_.wvu.PrintArea" localSheetId="47" hidden="1">'Cost of Capital_Avance'!$A$1:$G$7</definedName>
    <definedName name="Z_9597C69B_B417_4E77_96EE_805ABC3393EE_.wvu.PrintArea" localSheetId="47" hidden="1">'Cost of Capital_Avance'!$A$1:$G$7</definedName>
    <definedName name="Z_E6112CED_8F9A_4569_8C88_F356B7B9E7B1_.wvu.PrintArea" localSheetId="47" hidden="1">'Cost of Capital_Avance'!$A$1:$G$7</definedName>
    <definedName name="zowp" localSheetId="10"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zowp" localSheetId="47"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zowp"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zzz.com" localSheetId="10" hidden="1">{#N/A,#N/A,FALSE,"Title Page";#N/A,#N/A,FALSE,"Conclusions";#N/A,#N/A,FALSE,"Assum.";#N/A,#N/A,FALSE,"Sun  DCF-WC-Dep";#N/A,#N/A,FALSE,"MarketValue";#N/A,#N/A,FALSE,"BalSheet";#N/A,#N/A,FALSE,"WACC";#N/A,#N/A,FALSE,"PC+ Info.";#N/A,#N/A,FALSE,"PC+Info_2"}</definedName>
    <definedName name="zzz.com" localSheetId="46" hidden="1">{#N/A,#N/A,FALSE,"Title Page";#N/A,#N/A,FALSE,"Conclusions";#N/A,#N/A,FALSE,"Assum.";#N/A,#N/A,FALSE,"Sun  DCF-WC-Dep";#N/A,#N/A,FALSE,"MarketValue";#N/A,#N/A,FALSE,"BalSheet";#N/A,#N/A,FALSE,"WACC";#N/A,#N/A,FALSE,"PC+ Info.";#N/A,#N/A,FALSE,"PC+Info_2"}</definedName>
    <definedName name="zzz.com" localSheetId="51" hidden="1">{#N/A,#N/A,FALSE,"Title Page";#N/A,#N/A,FALSE,"Conclusions";#N/A,#N/A,FALSE,"Assum.";#N/A,#N/A,FALSE,"Sun  DCF-WC-Dep";#N/A,#N/A,FALSE,"MarketValue";#N/A,#N/A,FALSE,"BalSheet";#N/A,#N/A,FALSE,"WACC";#N/A,#N/A,FALSE,"PC+ Info.";#N/A,#N/A,FALSE,"PC+Info_2"}</definedName>
    <definedName name="zzz.com" localSheetId="47" hidden="1">{#N/A,#N/A,FALSE,"Title Page";#N/A,#N/A,FALSE,"Conclusions";#N/A,#N/A,FALSE,"Assum.";#N/A,#N/A,FALSE,"Sun  DCF-WC-Dep";#N/A,#N/A,FALSE,"MarketValue";#N/A,#N/A,FALSE,"BalSheet";#N/A,#N/A,FALSE,"WACC";#N/A,#N/A,FALSE,"PC+ Info.";#N/A,#N/A,FALSE,"PC+Info_2"}</definedName>
    <definedName name="zzz.com" localSheetId="12" hidden="1">{#N/A,#N/A,FALSE,"Title Page";#N/A,#N/A,FALSE,"Conclusions";#N/A,#N/A,FALSE,"Assum.";#N/A,#N/A,FALSE,"Sun  DCF-WC-Dep";#N/A,#N/A,FALSE,"MarketValue";#N/A,#N/A,FALSE,"BalSheet";#N/A,#N/A,FALSE,"WACC";#N/A,#N/A,FALSE,"PC+ Info.";#N/A,#N/A,FALSE,"PC+Info_2"}</definedName>
    <definedName name="zzz.com" localSheetId="25" hidden="1">{#N/A,#N/A,FALSE,"Title Page";#N/A,#N/A,FALSE,"Conclusions";#N/A,#N/A,FALSE,"Assum.";#N/A,#N/A,FALSE,"Sun  DCF-WC-Dep";#N/A,#N/A,FALSE,"MarketValue";#N/A,#N/A,FALSE,"BalSheet";#N/A,#N/A,FALSE,"WACC";#N/A,#N/A,FALSE,"PC+ Info.";#N/A,#N/A,FALSE,"PC+Info_2"}</definedName>
    <definedName name="zzz.com" localSheetId="30" hidden="1">{#N/A,#N/A,FALSE,"Title Page";#N/A,#N/A,FALSE,"Conclusions";#N/A,#N/A,FALSE,"Assum.";#N/A,#N/A,FALSE,"Sun  DCF-WC-Dep";#N/A,#N/A,FALSE,"MarketValue";#N/A,#N/A,FALSE,"BalSheet";#N/A,#N/A,FALSE,"WACC";#N/A,#N/A,FALSE,"PC+ Info.";#N/A,#N/A,FALSE,"PC+Info_2"}</definedName>
    <definedName name="zzz.com" hidden="1">{#N/A,#N/A,FALSE,"Title Page";#N/A,#N/A,FALSE,"Conclusions";#N/A,#N/A,FALSE,"Assum.";#N/A,#N/A,FALSE,"Sun  DCF-WC-Dep";#N/A,#N/A,FALSE,"MarketValue";#N/A,#N/A,FALSE,"BalSheet";#N/A,#N/A,FALSE,"WACC";#N/A,#N/A,FALSE,"PC+ Info.";#N/A,#N/A,FALSE,"PC+Info_2"}</definedName>
  </definedNames>
  <calcPr calcId="152511"/>
  <pivotCaches>
    <pivotCache cacheId="6" r:id="rId106"/>
  </pivotCaches>
</workbook>
</file>

<file path=xl/calcChain.xml><?xml version="1.0" encoding="utf-8"?>
<calcChain xmlns="http://schemas.openxmlformats.org/spreadsheetml/2006/main">
  <c r="M13" i="63" l="1"/>
  <c r="J4" i="241"/>
  <c r="L10" i="241"/>
  <c r="L13" i="241"/>
  <c r="L9" i="241"/>
  <c r="K10" i="241"/>
  <c r="K11" i="241"/>
  <c r="K12" i="241"/>
  <c r="K13" i="241"/>
  <c r="K9" i="241"/>
  <c r="D32" i="63" l="1"/>
  <c r="K10" i="341" l="1"/>
  <c r="K7" i="341"/>
  <c r="BQ53" i="213" l="1"/>
  <c r="BP53" i="213"/>
  <c r="BO53" i="213"/>
  <c r="BN53" i="213"/>
  <c r="BM53" i="213"/>
  <c r="BL53" i="213"/>
  <c r="BK53" i="213"/>
  <c r="BI53" i="213"/>
  <c r="BJ53" i="213"/>
  <c r="BG53" i="213"/>
  <c r="BH53" i="213"/>
  <c r="BE53" i="213"/>
  <c r="BF53" i="213"/>
  <c r="BD53" i="213"/>
  <c r="BB53" i="213"/>
  <c r="BC53" i="213"/>
  <c r="AZ53" i="213"/>
  <c r="BA53" i="213"/>
  <c r="AY53" i="213"/>
  <c r="AW53" i="213"/>
  <c r="AX53" i="213"/>
  <c r="AU53" i="213"/>
  <c r="AV53" i="213"/>
  <c r="AR53" i="213"/>
  <c r="AS53" i="213"/>
  <c r="AP53" i="213"/>
  <c r="AQ53" i="213"/>
  <c r="AO53" i="213"/>
  <c r="AN53" i="213"/>
  <c r="AM53" i="213"/>
  <c r="AL53" i="213"/>
  <c r="AK53" i="213"/>
  <c r="AJ53" i="213"/>
  <c r="AH53" i="213"/>
  <c r="AI53" i="213"/>
  <c r="AF53" i="213"/>
  <c r="AG53" i="213"/>
  <c r="AE53" i="213"/>
  <c r="AD53" i="213"/>
  <c r="AC53" i="213"/>
  <c r="AB53" i="213"/>
  <c r="Z53" i="213"/>
  <c r="AA53" i="213"/>
  <c r="X53" i="213"/>
  <c r="Y53" i="213"/>
  <c r="W53" i="213"/>
  <c r="V53" i="213"/>
  <c r="U53" i="213"/>
  <c r="T53" i="213"/>
  <c r="S53" i="213"/>
  <c r="Q53" i="213"/>
  <c r="BR53" i="213" s="1"/>
  <c r="R53" i="213"/>
  <c r="O53" i="213"/>
  <c r="P53" i="213"/>
  <c r="M53" i="213"/>
  <c r="N53" i="213"/>
  <c r="K53" i="213"/>
  <c r="L53" i="213"/>
  <c r="H53" i="213"/>
  <c r="I53" i="213"/>
  <c r="E53" i="213"/>
  <c r="F53" i="213"/>
  <c r="C53" i="213"/>
  <c r="D53" i="213"/>
  <c r="BQ52" i="213"/>
  <c r="BP52" i="213"/>
  <c r="BO52" i="213"/>
  <c r="BN52" i="213"/>
  <c r="BM52" i="213"/>
  <c r="BL52" i="213"/>
  <c r="BK52" i="213"/>
  <c r="BI52" i="213"/>
  <c r="BJ52" i="213"/>
  <c r="BG52" i="213"/>
  <c r="BH52" i="213"/>
  <c r="BE52" i="213"/>
  <c r="BF52" i="213"/>
  <c r="BD52" i="213"/>
  <c r="BB52" i="213"/>
  <c r="BC52" i="213"/>
  <c r="AZ52" i="213"/>
  <c r="BA52" i="213"/>
  <c r="AY52" i="213"/>
  <c r="AW52" i="213"/>
  <c r="AX52" i="213"/>
  <c r="AU52" i="213"/>
  <c r="AV52" i="213"/>
  <c r="AR52" i="213"/>
  <c r="AS52" i="213"/>
  <c r="AP52" i="213"/>
  <c r="AQ52" i="213"/>
  <c r="AO52" i="213"/>
  <c r="AN52" i="213"/>
  <c r="AM52" i="213"/>
  <c r="AL52" i="213"/>
  <c r="AK52" i="213"/>
  <c r="AJ52" i="213"/>
  <c r="AH52" i="213"/>
  <c r="AI52" i="213"/>
  <c r="AF52" i="213"/>
  <c r="AG52" i="213"/>
  <c r="AE52" i="213"/>
  <c r="AD52" i="213"/>
  <c r="AC52" i="213"/>
  <c r="AB52" i="213"/>
  <c r="Z52" i="213"/>
  <c r="AA52" i="213"/>
  <c r="X52" i="213"/>
  <c r="Y52" i="213"/>
  <c r="W52" i="213"/>
  <c r="V52" i="213"/>
  <c r="U52" i="213"/>
  <c r="T52" i="213"/>
  <c r="S52" i="213"/>
  <c r="Q52" i="213"/>
  <c r="BR52" i="213" s="1"/>
  <c r="R52" i="213"/>
  <c r="O52" i="213"/>
  <c r="P52" i="213"/>
  <c r="M52" i="213"/>
  <c r="N52" i="213"/>
  <c r="K52" i="213"/>
  <c r="L52" i="213"/>
  <c r="H52" i="213"/>
  <c r="I52" i="213"/>
  <c r="E52" i="213"/>
  <c r="F52" i="213"/>
  <c r="C52" i="213"/>
  <c r="D52" i="213"/>
  <c r="BQ51" i="213"/>
  <c r="BP51" i="213"/>
  <c r="BO51" i="213"/>
  <c r="BN51" i="213"/>
  <c r="BM51" i="213"/>
  <c r="BL51" i="213"/>
  <c r="BK51" i="213"/>
  <c r="BI51" i="213"/>
  <c r="BJ51" i="213"/>
  <c r="BG51" i="213"/>
  <c r="BH51" i="213"/>
  <c r="BE51" i="213"/>
  <c r="BF51" i="213"/>
  <c r="BD51" i="213"/>
  <c r="BB51" i="213"/>
  <c r="BC51" i="213"/>
  <c r="AZ51" i="213"/>
  <c r="BA51" i="213"/>
  <c r="AY51" i="213"/>
  <c r="AW51" i="213"/>
  <c r="AX51" i="213"/>
  <c r="AU51" i="213"/>
  <c r="AV51" i="213"/>
  <c r="AR51" i="213"/>
  <c r="AS51" i="213"/>
  <c r="AP51" i="213"/>
  <c r="AQ51" i="213"/>
  <c r="AO51" i="213"/>
  <c r="AN51" i="213"/>
  <c r="AM51" i="213"/>
  <c r="AL51" i="213"/>
  <c r="AK51" i="213"/>
  <c r="AJ51" i="213"/>
  <c r="AH51" i="213"/>
  <c r="AI51" i="213"/>
  <c r="AF51" i="213"/>
  <c r="AG51" i="213"/>
  <c r="AE51" i="213"/>
  <c r="AD51" i="213"/>
  <c r="AC51" i="213"/>
  <c r="AB51" i="213"/>
  <c r="Z51" i="213"/>
  <c r="AA51" i="213"/>
  <c r="X51" i="213"/>
  <c r="Y51" i="213"/>
  <c r="W51" i="213"/>
  <c r="V51" i="213"/>
  <c r="U51" i="213"/>
  <c r="T51" i="213"/>
  <c r="S51" i="213"/>
  <c r="Q51" i="213"/>
  <c r="BR51" i="213" s="1"/>
  <c r="R51" i="213"/>
  <c r="O51" i="213"/>
  <c r="P51" i="213"/>
  <c r="M51" i="213"/>
  <c r="N51" i="213"/>
  <c r="K51" i="213"/>
  <c r="L51" i="213"/>
  <c r="H51" i="213"/>
  <c r="I51" i="213"/>
  <c r="E51" i="213"/>
  <c r="F51" i="213"/>
  <c r="C51" i="213"/>
  <c r="D51" i="213"/>
  <c r="BQ50" i="213"/>
  <c r="BP50" i="213"/>
  <c r="BO50" i="213"/>
  <c r="BN50" i="213"/>
  <c r="BM50" i="213"/>
  <c r="BL50" i="213"/>
  <c r="BK50" i="213"/>
  <c r="BI50" i="213"/>
  <c r="BJ50" i="213"/>
  <c r="BG50" i="213"/>
  <c r="BH50" i="213"/>
  <c r="BE50" i="213"/>
  <c r="BF50" i="213"/>
  <c r="BD50" i="213"/>
  <c r="BB50" i="213"/>
  <c r="BC50" i="213"/>
  <c r="AZ50" i="213"/>
  <c r="BA50" i="213"/>
  <c r="AY50" i="213"/>
  <c r="AW50" i="213"/>
  <c r="AX50" i="213"/>
  <c r="AU50" i="213"/>
  <c r="AV50" i="213"/>
  <c r="AR50" i="213"/>
  <c r="AS50" i="213"/>
  <c r="AP50" i="213"/>
  <c r="AQ50" i="213"/>
  <c r="AO50" i="213"/>
  <c r="AN50" i="213"/>
  <c r="AM50" i="213"/>
  <c r="AL50" i="213"/>
  <c r="AK50" i="213"/>
  <c r="AJ50" i="213"/>
  <c r="AH50" i="213"/>
  <c r="AI50" i="213"/>
  <c r="AF50" i="213"/>
  <c r="AG50" i="213"/>
  <c r="AE50" i="213"/>
  <c r="AD50" i="213"/>
  <c r="AC50" i="213"/>
  <c r="AB50" i="213"/>
  <c r="Z50" i="213"/>
  <c r="AA50" i="213"/>
  <c r="X50" i="213"/>
  <c r="Y50" i="213"/>
  <c r="W50" i="213"/>
  <c r="V50" i="213"/>
  <c r="U50" i="213"/>
  <c r="T50" i="213"/>
  <c r="S50" i="213"/>
  <c r="Q50" i="213"/>
  <c r="BR50" i="213" s="1"/>
  <c r="R50" i="213"/>
  <c r="O50" i="213"/>
  <c r="P50" i="213"/>
  <c r="M50" i="213"/>
  <c r="N50" i="213"/>
  <c r="K50" i="213"/>
  <c r="L50" i="213"/>
  <c r="H50" i="213"/>
  <c r="I50" i="213"/>
  <c r="E50" i="213"/>
  <c r="F50" i="213"/>
  <c r="C50" i="213"/>
  <c r="D50" i="213"/>
  <c r="BQ49" i="213"/>
  <c r="BP49" i="213"/>
  <c r="BO49" i="213"/>
  <c r="BN49" i="213"/>
  <c r="BM49" i="213"/>
  <c r="BL49" i="213"/>
  <c r="BK49" i="213"/>
  <c r="BI49" i="213"/>
  <c r="BJ49" i="213"/>
  <c r="BG49" i="213"/>
  <c r="BH49" i="213"/>
  <c r="BE49" i="213"/>
  <c r="BF49" i="213"/>
  <c r="BD49" i="213"/>
  <c r="BB49" i="213"/>
  <c r="BC49" i="213"/>
  <c r="AZ49" i="213"/>
  <c r="BA49" i="213"/>
  <c r="AY49" i="213"/>
  <c r="AW49" i="213"/>
  <c r="AX49" i="213"/>
  <c r="AU49" i="213"/>
  <c r="AV49" i="213"/>
  <c r="AR49" i="213"/>
  <c r="AS49" i="213"/>
  <c r="AP49" i="213"/>
  <c r="AQ49" i="213"/>
  <c r="AO49" i="213"/>
  <c r="AN49" i="213"/>
  <c r="AM49" i="213"/>
  <c r="AL49" i="213"/>
  <c r="AK49" i="213"/>
  <c r="AJ49" i="213"/>
  <c r="AH49" i="213"/>
  <c r="AI49" i="213"/>
  <c r="AF49" i="213"/>
  <c r="AG49" i="213"/>
  <c r="AE49" i="213"/>
  <c r="AD49" i="213"/>
  <c r="AC49" i="213"/>
  <c r="AB49" i="213"/>
  <c r="Z49" i="213"/>
  <c r="AA49" i="213"/>
  <c r="X49" i="213"/>
  <c r="Y49" i="213"/>
  <c r="W49" i="213"/>
  <c r="V49" i="213"/>
  <c r="U49" i="213"/>
  <c r="T49" i="213"/>
  <c r="S49" i="213"/>
  <c r="Q49" i="213"/>
  <c r="BR49" i="213" s="1"/>
  <c r="R49" i="213"/>
  <c r="O49" i="213"/>
  <c r="P49" i="213"/>
  <c r="M49" i="213"/>
  <c r="N49" i="213"/>
  <c r="K49" i="213"/>
  <c r="L49" i="213"/>
  <c r="H49" i="213"/>
  <c r="I49" i="213"/>
  <c r="E49" i="213"/>
  <c r="F49" i="213"/>
  <c r="C49" i="213"/>
  <c r="D49" i="213"/>
  <c r="BQ48" i="213"/>
  <c r="BP48" i="213"/>
  <c r="BO48" i="213"/>
  <c r="BN48" i="213"/>
  <c r="BM48" i="213"/>
  <c r="BL48" i="213"/>
  <c r="BK48" i="213"/>
  <c r="BI48" i="213"/>
  <c r="BJ48" i="213"/>
  <c r="BG48" i="213"/>
  <c r="BH48" i="213"/>
  <c r="BE48" i="213"/>
  <c r="BF48" i="213"/>
  <c r="BD48" i="213"/>
  <c r="BB48" i="213"/>
  <c r="BC48" i="213"/>
  <c r="AZ48" i="213"/>
  <c r="BA48" i="213"/>
  <c r="AY48" i="213"/>
  <c r="AW48" i="213"/>
  <c r="AX48" i="213"/>
  <c r="AU48" i="213"/>
  <c r="AV48" i="213"/>
  <c r="AR48" i="213"/>
  <c r="AS48" i="213"/>
  <c r="AP48" i="213"/>
  <c r="AQ48" i="213"/>
  <c r="AO48" i="213"/>
  <c r="AN48" i="213"/>
  <c r="AM48" i="213"/>
  <c r="AL48" i="213"/>
  <c r="AK48" i="213"/>
  <c r="AJ48" i="213"/>
  <c r="AH48" i="213"/>
  <c r="AI48" i="213"/>
  <c r="AF48" i="213"/>
  <c r="AG48" i="213"/>
  <c r="AE48" i="213"/>
  <c r="AD48" i="213"/>
  <c r="AC48" i="213"/>
  <c r="AB48" i="213"/>
  <c r="Z48" i="213"/>
  <c r="AA48" i="213"/>
  <c r="X48" i="213"/>
  <c r="Y48" i="213"/>
  <c r="W48" i="213"/>
  <c r="V48" i="213"/>
  <c r="U48" i="213"/>
  <c r="T48" i="213"/>
  <c r="S48" i="213"/>
  <c r="Q48" i="213"/>
  <c r="BR48" i="213" s="1"/>
  <c r="R48" i="213"/>
  <c r="O48" i="213"/>
  <c r="P48" i="213"/>
  <c r="M48" i="213"/>
  <c r="N48" i="213"/>
  <c r="K48" i="213"/>
  <c r="L48" i="213"/>
  <c r="H48" i="213"/>
  <c r="I48" i="213"/>
  <c r="E48" i="213"/>
  <c r="F48" i="213"/>
  <c r="C48" i="213"/>
  <c r="D48" i="213"/>
  <c r="BQ47" i="213"/>
  <c r="BP47" i="213"/>
  <c r="BO47" i="213"/>
  <c r="BN47" i="213"/>
  <c r="BM47" i="213"/>
  <c r="BL47" i="213"/>
  <c r="BK47" i="213"/>
  <c r="BI47" i="213"/>
  <c r="BJ47" i="213"/>
  <c r="BG47" i="213"/>
  <c r="BH47" i="213"/>
  <c r="BE47" i="213"/>
  <c r="BF47" i="213"/>
  <c r="BD47" i="213"/>
  <c r="BB47" i="213"/>
  <c r="BC47" i="213"/>
  <c r="AZ47" i="213"/>
  <c r="BA47" i="213"/>
  <c r="AY47" i="213"/>
  <c r="AW47" i="213"/>
  <c r="AX47" i="213"/>
  <c r="AU47" i="213"/>
  <c r="AV47" i="213"/>
  <c r="AR47" i="213"/>
  <c r="AS47" i="213"/>
  <c r="AP47" i="213"/>
  <c r="AQ47" i="213"/>
  <c r="AO47" i="213"/>
  <c r="AN47" i="213"/>
  <c r="AM47" i="213"/>
  <c r="AL47" i="213"/>
  <c r="AK47" i="213"/>
  <c r="AJ47" i="213"/>
  <c r="AH47" i="213"/>
  <c r="AI47" i="213"/>
  <c r="AF47" i="213"/>
  <c r="AG47" i="213"/>
  <c r="AE47" i="213"/>
  <c r="AD47" i="213"/>
  <c r="AC47" i="213"/>
  <c r="AB47" i="213"/>
  <c r="Z47" i="213"/>
  <c r="AA47" i="213"/>
  <c r="X47" i="213"/>
  <c r="Y47" i="213"/>
  <c r="W47" i="213"/>
  <c r="V47" i="213"/>
  <c r="U47" i="213"/>
  <c r="T47" i="213"/>
  <c r="S47" i="213"/>
  <c r="Q47" i="213"/>
  <c r="BR47" i="213" s="1"/>
  <c r="R47" i="213"/>
  <c r="O47" i="213"/>
  <c r="P47" i="213"/>
  <c r="M47" i="213"/>
  <c r="N47" i="213"/>
  <c r="K47" i="213"/>
  <c r="L47" i="213"/>
  <c r="H47" i="213"/>
  <c r="I47" i="213"/>
  <c r="F47" i="213"/>
  <c r="G47" i="213"/>
  <c r="D47" i="213"/>
  <c r="E47" i="213"/>
  <c r="C47" i="213"/>
  <c r="BQ46" i="213"/>
  <c r="BP46" i="213"/>
  <c r="BO46" i="213"/>
  <c r="BN46" i="213"/>
  <c r="BM46" i="213"/>
  <c r="BL46" i="213"/>
  <c r="BJ46" i="213"/>
  <c r="BK46" i="213"/>
  <c r="BH46" i="213"/>
  <c r="BI46" i="213"/>
  <c r="BF46" i="213"/>
  <c r="BG46" i="213"/>
  <c r="BE46" i="213"/>
  <c r="BC46" i="213"/>
  <c r="BA46" i="213"/>
  <c r="BB46" i="213"/>
  <c r="BD46" i="213" s="1"/>
  <c r="AZ46" i="213"/>
  <c r="AX46" i="213"/>
  <c r="AV46" i="213"/>
  <c r="AW46" i="213"/>
  <c r="AY46" i="213" s="1"/>
  <c r="AS46" i="213"/>
  <c r="AU46" i="213"/>
  <c r="AQ46" i="213"/>
  <c r="AR46" i="213"/>
  <c r="AO46" i="213"/>
  <c r="AP46" i="213"/>
  <c r="AN46" i="213"/>
  <c r="AM46" i="213"/>
  <c r="AL46" i="213"/>
  <c r="AK46" i="213"/>
  <c r="AJ46" i="213"/>
  <c r="AI46" i="213"/>
  <c r="AG46" i="213"/>
  <c r="AH46" i="213"/>
  <c r="AE46" i="213"/>
  <c r="AF46" i="213"/>
  <c r="AD46" i="213"/>
  <c r="AC46" i="213"/>
  <c r="AA46" i="213"/>
  <c r="Y46" i="213"/>
  <c r="Z46" i="213"/>
  <c r="AB46" i="213" s="1"/>
  <c r="W46" i="213"/>
  <c r="X46" i="213"/>
  <c r="V46" i="213"/>
  <c r="U46" i="213"/>
  <c r="T46" i="213"/>
  <c r="R46" i="213"/>
  <c r="P46" i="213"/>
  <c r="Q46" i="213"/>
  <c r="N46" i="213"/>
  <c r="O46" i="213"/>
  <c r="L46" i="213"/>
  <c r="M46" i="213"/>
  <c r="I46" i="213"/>
  <c r="K46" i="213"/>
  <c r="G46" i="213"/>
  <c r="H46" i="213"/>
  <c r="E46" i="213"/>
  <c r="F46" i="213"/>
  <c r="C46" i="213"/>
  <c r="D46" i="213"/>
  <c r="BQ45" i="213"/>
  <c r="BP45" i="213"/>
  <c r="BO45" i="213"/>
  <c r="BN45" i="213"/>
  <c r="BM45" i="213"/>
  <c r="BL45" i="213"/>
  <c r="BK45" i="213"/>
  <c r="BI45" i="213"/>
  <c r="BJ45" i="213"/>
  <c r="BG45" i="213"/>
  <c r="BH45" i="213"/>
  <c r="BE45" i="213"/>
  <c r="BF45" i="213"/>
  <c r="BD45" i="213"/>
  <c r="BB45" i="213"/>
  <c r="BC45" i="213"/>
  <c r="AZ45" i="213"/>
  <c r="BA45" i="213"/>
  <c r="AY45" i="213"/>
  <c r="AW45" i="213"/>
  <c r="AX45" i="213"/>
  <c r="AU45" i="213"/>
  <c r="AV45" i="213"/>
  <c r="AR45" i="213"/>
  <c r="AS45" i="213"/>
  <c r="AP45" i="213"/>
  <c r="AQ45" i="213"/>
  <c r="AO45" i="213"/>
  <c r="AN45" i="213"/>
  <c r="AM45" i="213"/>
  <c r="AL45" i="213"/>
  <c r="AK45" i="213"/>
  <c r="AJ45" i="213"/>
  <c r="AH45" i="213"/>
  <c r="AI45" i="213"/>
  <c r="AF45" i="213"/>
  <c r="AG45" i="213"/>
  <c r="AE45" i="213"/>
  <c r="AD45" i="213"/>
  <c r="AC45" i="213"/>
  <c r="AB45" i="213"/>
  <c r="Z45" i="213"/>
  <c r="AA45" i="213"/>
  <c r="X45" i="213"/>
  <c r="Y45" i="213"/>
  <c r="W45" i="213"/>
  <c r="V45" i="213"/>
  <c r="U45" i="213"/>
  <c r="T45" i="213"/>
  <c r="S45" i="213"/>
  <c r="Q45" i="213"/>
  <c r="BR45" i="213" s="1"/>
  <c r="R45" i="213"/>
  <c r="O45" i="213"/>
  <c r="P45" i="213"/>
  <c r="M45" i="213"/>
  <c r="N45" i="213"/>
  <c r="K45" i="213"/>
  <c r="L45" i="213"/>
  <c r="H45" i="213"/>
  <c r="I45" i="213"/>
  <c r="F45" i="213"/>
  <c r="G45" i="213"/>
  <c r="D45" i="213"/>
  <c r="E45" i="213"/>
  <c r="C45" i="213"/>
  <c r="BQ44" i="213"/>
  <c r="BP44" i="213"/>
  <c r="BO44" i="213"/>
  <c r="BN44" i="213"/>
  <c r="BM44" i="213"/>
  <c r="BL44" i="213"/>
  <c r="BJ44" i="213"/>
  <c r="BK44" i="213"/>
  <c r="BH44" i="213"/>
  <c r="BI44" i="213"/>
  <c r="BF44" i="213"/>
  <c r="BG44" i="213"/>
  <c r="BD44" i="213"/>
  <c r="BE44" i="213"/>
  <c r="BC44" i="213"/>
  <c r="BA44" i="213"/>
  <c r="BB44" i="213"/>
  <c r="AY44" i="213"/>
  <c r="AZ44" i="213"/>
  <c r="AX44" i="213"/>
  <c r="AV44" i="213"/>
  <c r="AW44" i="213"/>
  <c r="AS44" i="213"/>
  <c r="AU44" i="213"/>
  <c r="AQ44" i="213"/>
  <c r="AR44" i="213"/>
  <c r="AO44" i="213"/>
  <c r="AP44" i="213"/>
  <c r="AN44" i="213"/>
  <c r="AM44" i="213"/>
  <c r="AL44" i="213"/>
  <c r="AK44" i="213"/>
  <c r="AJ44" i="213"/>
  <c r="AI44" i="213"/>
  <c r="AG44" i="213"/>
  <c r="AH44" i="213"/>
  <c r="AE44" i="213"/>
  <c r="AF44" i="213"/>
  <c r="AD44" i="213"/>
  <c r="AC44" i="213"/>
  <c r="AB44" i="213"/>
  <c r="AA44" i="213"/>
  <c r="Y44" i="213"/>
  <c r="Z44" i="213"/>
  <c r="W44" i="213"/>
  <c r="X44" i="213"/>
  <c r="V44" i="213"/>
  <c r="U44" i="213"/>
  <c r="T44" i="213"/>
  <c r="S44" i="213"/>
  <c r="R44" i="213"/>
  <c r="P44" i="213"/>
  <c r="Q44" i="213"/>
  <c r="BR44" i="213" s="1"/>
  <c r="N44" i="213"/>
  <c r="O44" i="213"/>
  <c r="L44" i="213"/>
  <c r="M44" i="213"/>
  <c r="I44" i="213"/>
  <c r="K44" i="213"/>
  <c r="G44" i="213"/>
  <c r="H44" i="213"/>
  <c r="E44" i="213"/>
  <c r="F44" i="213"/>
  <c r="C44" i="213"/>
  <c r="D44" i="213"/>
  <c r="BQ42" i="213"/>
  <c r="BP42" i="213"/>
  <c r="BO42" i="213"/>
  <c r="BN42" i="213"/>
  <c r="BM42" i="213"/>
  <c r="BL42" i="213"/>
  <c r="BK42" i="213"/>
  <c r="BI42" i="213"/>
  <c r="BJ42" i="213"/>
  <c r="BG42" i="213"/>
  <c r="BH42" i="213"/>
  <c r="BE42" i="213"/>
  <c r="BF42" i="213"/>
  <c r="BD42" i="213"/>
  <c r="BB42" i="213"/>
  <c r="BC42" i="213"/>
  <c r="AZ42" i="213"/>
  <c r="BA42" i="213"/>
  <c r="AY42" i="213"/>
  <c r="AW42" i="213"/>
  <c r="AX42" i="213"/>
  <c r="AU42" i="213"/>
  <c r="AV42" i="213"/>
  <c r="AS42" i="213"/>
  <c r="AT42" i="213"/>
  <c r="AQ42" i="213"/>
  <c r="AR42" i="213"/>
  <c r="AO42" i="213"/>
  <c r="AP42" i="213"/>
  <c r="AN42" i="213"/>
  <c r="AM42" i="213"/>
  <c r="AL42" i="213"/>
  <c r="AK42" i="213"/>
  <c r="AJ42" i="213"/>
  <c r="AI42" i="213"/>
  <c r="AG42" i="213"/>
  <c r="AH42" i="213"/>
  <c r="AE42" i="213"/>
  <c r="AF42" i="213"/>
  <c r="AD42" i="213"/>
  <c r="AC42" i="213"/>
  <c r="AB42" i="213"/>
  <c r="AA42" i="213"/>
  <c r="Y42" i="213"/>
  <c r="Z42" i="213"/>
  <c r="W42" i="213"/>
  <c r="X42" i="213"/>
  <c r="V42" i="213"/>
  <c r="U42" i="213"/>
  <c r="T42" i="213"/>
  <c r="R42" i="213"/>
  <c r="P42" i="213"/>
  <c r="Q42" i="213"/>
  <c r="N42" i="213"/>
  <c r="O42" i="213"/>
  <c r="L42" i="213"/>
  <c r="M42" i="213"/>
  <c r="J42" i="213"/>
  <c r="K42" i="213"/>
  <c r="H42" i="213"/>
  <c r="I42" i="213"/>
  <c r="F42" i="213"/>
  <c r="G42" i="213"/>
  <c r="D42" i="213"/>
  <c r="E42" i="213"/>
  <c r="C42" i="213"/>
  <c r="BQ41" i="213"/>
  <c r="BP41" i="213"/>
  <c r="BO41" i="213"/>
  <c r="BN41" i="213"/>
  <c r="BM41" i="213"/>
  <c r="BL41" i="213"/>
  <c r="BJ41" i="213"/>
  <c r="BK41" i="213"/>
  <c r="BH41" i="213"/>
  <c r="BI41" i="213"/>
  <c r="BF41" i="213"/>
  <c r="BG41" i="213"/>
  <c r="BD41" i="213"/>
  <c r="BE41" i="213"/>
  <c r="BC41" i="213"/>
  <c r="BA41" i="213"/>
  <c r="BB41" i="213"/>
  <c r="AY41" i="213"/>
  <c r="AZ41" i="213"/>
  <c r="AX41" i="213"/>
  <c r="AV41" i="213"/>
  <c r="AW41" i="213"/>
  <c r="AT41" i="213"/>
  <c r="AU41" i="213"/>
  <c r="AR41" i="213"/>
  <c r="AS41" i="213"/>
  <c r="AP41" i="213"/>
  <c r="AQ41" i="213"/>
  <c r="AO41" i="213"/>
  <c r="AN41" i="213"/>
  <c r="AM41" i="213"/>
  <c r="AL41" i="213"/>
  <c r="AK41" i="213"/>
  <c r="AJ41" i="213"/>
  <c r="AH41" i="213"/>
  <c r="AI41" i="213"/>
  <c r="AF41" i="213"/>
  <c r="AG41" i="213"/>
  <c r="AE41" i="213"/>
  <c r="AD41" i="213"/>
  <c r="AC41" i="213"/>
  <c r="AB41" i="213"/>
  <c r="Z41" i="213"/>
  <c r="AA41" i="213"/>
  <c r="X41" i="213"/>
  <c r="Y41" i="213"/>
  <c r="W41" i="213"/>
  <c r="V41" i="213"/>
  <c r="U41" i="213"/>
  <c r="T41" i="213"/>
  <c r="S41" i="213"/>
  <c r="Q41" i="213"/>
  <c r="BR41" i="213" s="1"/>
  <c r="R41" i="213"/>
  <c r="O41" i="213"/>
  <c r="P41" i="213"/>
  <c r="M41" i="213"/>
  <c r="N41" i="213"/>
  <c r="K41" i="213"/>
  <c r="L41" i="213"/>
  <c r="I41" i="213"/>
  <c r="J41" i="213"/>
  <c r="G41" i="213"/>
  <c r="H41" i="213"/>
  <c r="E41" i="213"/>
  <c r="F41" i="213"/>
  <c r="C41" i="213"/>
  <c r="D41" i="213"/>
  <c r="BQ40" i="213"/>
  <c r="BP40" i="213"/>
  <c r="BO40" i="213"/>
  <c r="BN40" i="213"/>
  <c r="BM40" i="213"/>
  <c r="BL40" i="213"/>
  <c r="BK40" i="213"/>
  <c r="BI40" i="213"/>
  <c r="BJ40" i="213"/>
  <c r="BG40" i="213"/>
  <c r="BH40" i="213"/>
  <c r="BE40" i="213"/>
  <c r="BF40" i="213"/>
  <c r="BD40" i="213"/>
  <c r="BB40" i="213"/>
  <c r="BC40" i="213"/>
  <c r="AZ40" i="213"/>
  <c r="BA40" i="213"/>
  <c r="AY40" i="213"/>
  <c r="AW40" i="213"/>
  <c r="AX40" i="213"/>
  <c r="AU40" i="213"/>
  <c r="AV40" i="213"/>
  <c r="AS40" i="213"/>
  <c r="AT40" i="213"/>
  <c r="AQ40" i="213"/>
  <c r="AR40" i="213"/>
  <c r="AO40" i="213"/>
  <c r="AP40" i="213"/>
  <c r="AN40" i="213"/>
  <c r="AM40" i="213"/>
  <c r="AL40" i="213"/>
  <c r="AK40" i="213"/>
  <c r="AJ40" i="213"/>
  <c r="AI40" i="213"/>
  <c r="AG40" i="213"/>
  <c r="AH40" i="213"/>
  <c r="AE40" i="213"/>
  <c r="AF40" i="213"/>
  <c r="AD40" i="213"/>
  <c r="AC40" i="213"/>
  <c r="AB40" i="213"/>
  <c r="AA40" i="213"/>
  <c r="Y40" i="213"/>
  <c r="Z40" i="213"/>
  <c r="W40" i="213"/>
  <c r="X40" i="213"/>
  <c r="V40" i="213"/>
  <c r="U40" i="213"/>
  <c r="T40" i="213"/>
  <c r="R40" i="213"/>
  <c r="P40" i="213"/>
  <c r="Q40" i="213"/>
  <c r="N40" i="213"/>
  <c r="O40" i="213"/>
  <c r="L40" i="213"/>
  <c r="M40" i="213"/>
  <c r="J40" i="213"/>
  <c r="K40" i="213"/>
  <c r="H40" i="213"/>
  <c r="I40" i="213"/>
  <c r="F40" i="213"/>
  <c r="G40" i="213"/>
  <c r="D40" i="213"/>
  <c r="E40" i="213"/>
  <c r="C40" i="213"/>
  <c r="BQ39" i="213"/>
  <c r="BP39" i="213"/>
  <c r="BO39" i="213"/>
  <c r="BN39" i="213"/>
  <c r="BM39" i="213"/>
  <c r="BL39" i="213"/>
  <c r="BJ39" i="213"/>
  <c r="BK39" i="213"/>
  <c r="BH39" i="213"/>
  <c r="BI39" i="213"/>
  <c r="BF39" i="213"/>
  <c r="BG39" i="213"/>
  <c r="BE39" i="213"/>
  <c r="BC39" i="213"/>
  <c r="BA39" i="213"/>
  <c r="BB39" i="213"/>
  <c r="BD39" i="213" s="1"/>
  <c r="AZ39" i="213"/>
  <c r="AX39" i="213"/>
  <c r="AV39" i="213"/>
  <c r="AW39" i="213"/>
  <c r="AY39" i="213" s="1"/>
  <c r="AT39" i="213"/>
  <c r="AU39" i="213"/>
  <c r="AR39" i="213"/>
  <c r="AS39" i="213"/>
  <c r="AP39" i="213"/>
  <c r="AQ39" i="213"/>
  <c r="AO39" i="213"/>
  <c r="AN39" i="213"/>
  <c r="AM39" i="213"/>
  <c r="AL39" i="213"/>
  <c r="AK39" i="213"/>
  <c r="AJ39" i="213"/>
  <c r="AH39" i="213"/>
  <c r="AI39" i="213"/>
  <c r="AF39" i="213"/>
  <c r="AG39" i="213"/>
  <c r="AE39" i="213"/>
  <c r="AD39" i="213"/>
  <c r="AC39" i="213"/>
  <c r="Z39" i="213"/>
  <c r="AB39" i="213" s="1"/>
  <c r="AA39" i="213"/>
  <c r="X39" i="213"/>
  <c r="Y39" i="213"/>
  <c r="W39" i="213"/>
  <c r="V39" i="213"/>
  <c r="U39" i="213"/>
  <c r="T39" i="213"/>
  <c r="Q39" i="213"/>
  <c r="R39" i="213"/>
  <c r="O39" i="213"/>
  <c r="P39" i="213"/>
  <c r="M39" i="213"/>
  <c r="N39" i="213"/>
  <c r="K39" i="213"/>
  <c r="L39" i="213"/>
  <c r="I39" i="213"/>
  <c r="J39" i="213"/>
  <c r="G39" i="213"/>
  <c r="H39" i="213"/>
  <c r="E39" i="213"/>
  <c r="F39" i="213"/>
  <c r="C39" i="213"/>
  <c r="D39" i="213"/>
  <c r="BQ38" i="213"/>
  <c r="BP38" i="213"/>
  <c r="BO38" i="213"/>
  <c r="BN38" i="213"/>
  <c r="BM38" i="213"/>
  <c r="BL38" i="213"/>
  <c r="BK38" i="213"/>
  <c r="BI38" i="213"/>
  <c r="BJ38" i="213"/>
  <c r="BG38" i="213"/>
  <c r="BH38" i="213"/>
  <c r="BE38" i="213"/>
  <c r="BF38" i="213"/>
  <c r="BD38" i="213"/>
  <c r="BB38" i="213"/>
  <c r="BC38" i="213"/>
  <c r="AZ38" i="213"/>
  <c r="BA38" i="213"/>
  <c r="AY38" i="213"/>
  <c r="AW38" i="213"/>
  <c r="AX38" i="213"/>
  <c r="AU38" i="213"/>
  <c r="AV38" i="213"/>
  <c r="AS38" i="213"/>
  <c r="AT38" i="213"/>
  <c r="AQ38" i="213"/>
  <c r="AR38" i="213"/>
  <c r="AO38" i="213"/>
  <c r="AP38" i="213"/>
  <c r="AN38" i="213"/>
  <c r="AM38" i="213"/>
  <c r="AL38" i="213"/>
  <c r="AK38" i="213"/>
  <c r="AJ38" i="213"/>
  <c r="AI38" i="213"/>
  <c r="AG38" i="213"/>
  <c r="AH38" i="213"/>
  <c r="AE38" i="213"/>
  <c r="AF38" i="213"/>
  <c r="AD38" i="213"/>
  <c r="AC38" i="213"/>
  <c r="AB38" i="213"/>
  <c r="AA38" i="213"/>
  <c r="Y38" i="213"/>
  <c r="Z38" i="213"/>
  <c r="W38" i="213"/>
  <c r="X38" i="213"/>
  <c r="V38" i="213"/>
  <c r="U38" i="213"/>
  <c r="T38" i="213"/>
  <c r="S38" i="213"/>
  <c r="R38" i="213"/>
  <c r="P38" i="213"/>
  <c r="Q38" i="213"/>
  <c r="BR38" i="213" s="1"/>
  <c r="N38" i="213"/>
  <c r="O38" i="213"/>
  <c r="L38" i="213"/>
  <c r="M38" i="213"/>
  <c r="J38" i="213"/>
  <c r="K38" i="213"/>
  <c r="H38" i="213"/>
  <c r="I38" i="213"/>
  <c r="F38" i="213"/>
  <c r="G38" i="213"/>
  <c r="D38" i="213"/>
  <c r="E38" i="213"/>
  <c r="C38" i="213"/>
  <c r="BQ37" i="213"/>
  <c r="BP37" i="213"/>
  <c r="BO37" i="213"/>
  <c r="BN37" i="213"/>
  <c r="BM37" i="213"/>
  <c r="BL37" i="213"/>
  <c r="BJ37" i="213"/>
  <c r="BK37" i="213"/>
  <c r="BH37" i="213"/>
  <c r="BI37" i="213"/>
  <c r="BF37" i="213"/>
  <c r="BG37" i="213"/>
  <c r="BD37" i="213"/>
  <c r="BE37" i="213"/>
  <c r="BC37" i="213"/>
  <c r="BA37" i="213"/>
  <c r="BB37" i="213"/>
  <c r="AY37" i="213"/>
  <c r="AZ37" i="213"/>
  <c r="AX37" i="213"/>
  <c r="AV37" i="213"/>
  <c r="AW37" i="213"/>
  <c r="AT37" i="213"/>
  <c r="AU37" i="213"/>
  <c r="AR37" i="213"/>
  <c r="AS37" i="213"/>
  <c r="AP37" i="213"/>
  <c r="AQ37" i="213"/>
  <c r="AO37" i="213"/>
  <c r="AN37" i="213"/>
  <c r="AM37" i="213"/>
  <c r="AL37" i="213"/>
  <c r="AK37" i="213"/>
  <c r="AJ37" i="213"/>
  <c r="AH37" i="213"/>
  <c r="AI37" i="213"/>
  <c r="AF37" i="213"/>
  <c r="AG37" i="213"/>
  <c r="AE37" i="213"/>
  <c r="AD37" i="213"/>
  <c r="AC37" i="213"/>
  <c r="AB37" i="213"/>
  <c r="Z37" i="213"/>
  <c r="AA37" i="213"/>
  <c r="X37" i="213"/>
  <c r="Y37" i="213"/>
  <c r="W37" i="213"/>
  <c r="V37" i="213"/>
  <c r="U37" i="213"/>
  <c r="T37" i="213"/>
  <c r="S37" i="213"/>
  <c r="Q37" i="213"/>
  <c r="BR37" i="213" s="1"/>
  <c r="R37" i="213"/>
  <c r="O37" i="213"/>
  <c r="P37" i="213"/>
  <c r="M37" i="213"/>
  <c r="N37" i="213"/>
  <c r="K37" i="213"/>
  <c r="L37" i="213"/>
  <c r="I37" i="213"/>
  <c r="J37" i="213"/>
  <c r="G37" i="213"/>
  <c r="H37" i="213"/>
  <c r="E37" i="213"/>
  <c r="F37" i="213"/>
  <c r="C37" i="213"/>
  <c r="D37" i="213"/>
  <c r="BQ36" i="213"/>
  <c r="BP36" i="213"/>
  <c r="BO36" i="213"/>
  <c r="BN36" i="213"/>
  <c r="BM36" i="213"/>
  <c r="BL36" i="213"/>
  <c r="BK36" i="213"/>
  <c r="BI36" i="213"/>
  <c r="BJ36" i="213"/>
  <c r="BG36" i="213"/>
  <c r="BH36" i="213"/>
  <c r="BE36" i="213"/>
  <c r="BF36" i="213"/>
  <c r="BD36" i="213"/>
  <c r="BB36" i="213"/>
  <c r="BC36" i="213"/>
  <c r="AZ36" i="213"/>
  <c r="BA36" i="213"/>
  <c r="AY36" i="213"/>
  <c r="AW36" i="213"/>
  <c r="AX36" i="213"/>
  <c r="AU36" i="213"/>
  <c r="AV36" i="213"/>
  <c r="AS36" i="213"/>
  <c r="AT36" i="213"/>
  <c r="AQ36" i="213"/>
  <c r="AR36" i="213"/>
  <c r="AO36" i="213"/>
  <c r="AP36" i="213"/>
  <c r="AN36" i="213"/>
  <c r="AM36" i="213"/>
  <c r="AL36" i="213"/>
  <c r="AK36" i="213"/>
  <c r="AJ36" i="213"/>
  <c r="AI36" i="213"/>
  <c r="AG36" i="213"/>
  <c r="AH36" i="213"/>
  <c r="AE36" i="213"/>
  <c r="AF36" i="213"/>
  <c r="AD36" i="213"/>
  <c r="AC36" i="213"/>
  <c r="AB36" i="213"/>
  <c r="AA36" i="213"/>
  <c r="Y36" i="213"/>
  <c r="Z36" i="213"/>
  <c r="W36" i="213"/>
  <c r="X36" i="213"/>
  <c r="V36" i="213"/>
  <c r="U36" i="213"/>
  <c r="T36" i="213"/>
  <c r="S36" i="213"/>
  <c r="R36" i="213"/>
  <c r="P36" i="213"/>
  <c r="Q36" i="213"/>
  <c r="BR36" i="213" s="1"/>
  <c r="N36" i="213"/>
  <c r="O36" i="213"/>
  <c r="L36" i="213"/>
  <c r="M36" i="213"/>
  <c r="J36" i="213"/>
  <c r="K36" i="213"/>
  <c r="H36" i="213"/>
  <c r="I36" i="213"/>
  <c r="F36" i="213"/>
  <c r="G36" i="213"/>
  <c r="D36" i="213"/>
  <c r="E36" i="213"/>
  <c r="C36" i="213"/>
  <c r="BQ35" i="213"/>
  <c r="BP35" i="213"/>
  <c r="BO35" i="213"/>
  <c r="BN35" i="213"/>
  <c r="BM35" i="213"/>
  <c r="BL35" i="213"/>
  <c r="BJ35" i="213"/>
  <c r="BK35" i="213"/>
  <c r="BH35" i="213"/>
  <c r="BI35" i="213"/>
  <c r="BF35" i="213"/>
  <c r="BG35" i="213"/>
  <c r="BD35" i="213"/>
  <c r="BE35" i="213"/>
  <c r="BC35" i="213"/>
  <c r="BA35" i="213"/>
  <c r="BB35" i="213"/>
  <c r="AY35" i="213"/>
  <c r="AZ35" i="213"/>
  <c r="AX35" i="213"/>
  <c r="AV35" i="213"/>
  <c r="AW35" i="213"/>
  <c r="AT35" i="213"/>
  <c r="AU35" i="213"/>
  <c r="AR35" i="213"/>
  <c r="AS35" i="213"/>
  <c r="AP35" i="213"/>
  <c r="AQ35" i="213"/>
  <c r="AO35" i="213"/>
  <c r="AN35" i="213"/>
  <c r="AM35" i="213"/>
  <c r="AL35" i="213"/>
  <c r="AK35" i="213"/>
  <c r="AJ35" i="213"/>
  <c r="AH35" i="213"/>
  <c r="AI35" i="213"/>
  <c r="AF35" i="213"/>
  <c r="AG35" i="213"/>
  <c r="AE35" i="213"/>
  <c r="AD35" i="213"/>
  <c r="AC35" i="213"/>
  <c r="AB35" i="213"/>
  <c r="Z35" i="213"/>
  <c r="AA35" i="213"/>
  <c r="X35" i="213"/>
  <c r="Y35" i="213"/>
  <c r="W35" i="213"/>
  <c r="V35" i="213"/>
  <c r="U35" i="213"/>
  <c r="T35" i="213"/>
  <c r="Q35" i="213"/>
  <c r="R35" i="213"/>
  <c r="O35" i="213"/>
  <c r="P35" i="213"/>
  <c r="M35" i="213"/>
  <c r="N35" i="213"/>
  <c r="K35" i="213"/>
  <c r="L35" i="213"/>
  <c r="I35" i="213"/>
  <c r="J35" i="213"/>
  <c r="G35" i="213"/>
  <c r="H35" i="213"/>
  <c r="E35" i="213"/>
  <c r="F35" i="213"/>
  <c r="C35" i="213"/>
  <c r="D35" i="213"/>
  <c r="BQ34" i="213"/>
  <c r="BP34" i="213"/>
  <c r="BO34" i="213"/>
  <c r="BN34" i="213"/>
  <c r="BM34" i="213"/>
  <c r="BL34" i="213"/>
  <c r="BK34" i="213"/>
  <c r="BI34" i="213"/>
  <c r="BJ34" i="213"/>
  <c r="BG34" i="213"/>
  <c r="BH34" i="213"/>
  <c r="BE34" i="213"/>
  <c r="BF34" i="213"/>
  <c r="BD34" i="213"/>
  <c r="BB34" i="213"/>
  <c r="BC34" i="213"/>
  <c r="AZ34" i="213"/>
  <c r="BA34" i="213"/>
  <c r="AY34" i="213"/>
  <c r="AW34" i="213"/>
  <c r="AX34" i="213"/>
  <c r="AU34" i="213"/>
  <c r="AV34" i="213"/>
  <c r="AS34" i="213"/>
  <c r="AT34" i="213"/>
  <c r="AQ34" i="213"/>
  <c r="AR34" i="213"/>
  <c r="AO34" i="213"/>
  <c r="AP34" i="213"/>
  <c r="AN34" i="213"/>
  <c r="AM34" i="213"/>
  <c r="AL34" i="213"/>
  <c r="AK34" i="213"/>
  <c r="AJ34" i="213"/>
  <c r="AI34" i="213"/>
  <c r="AG34" i="213"/>
  <c r="AH34" i="213"/>
  <c r="AE34" i="213"/>
  <c r="AF34" i="213"/>
  <c r="AD34" i="213"/>
  <c r="AC34" i="213"/>
  <c r="AB34" i="213"/>
  <c r="AA34" i="213"/>
  <c r="Y34" i="213"/>
  <c r="Z34" i="213"/>
  <c r="W34" i="213"/>
  <c r="X34" i="213"/>
  <c r="V34" i="213"/>
  <c r="U34" i="213"/>
  <c r="T34" i="213"/>
  <c r="R34" i="213"/>
  <c r="P34" i="213"/>
  <c r="Q34" i="213"/>
  <c r="N34" i="213"/>
  <c r="O34" i="213"/>
  <c r="L34" i="213"/>
  <c r="M34" i="213"/>
  <c r="J34" i="213"/>
  <c r="K34" i="213"/>
  <c r="H34" i="213"/>
  <c r="I34" i="213"/>
  <c r="F34" i="213"/>
  <c r="G34" i="213"/>
  <c r="D34" i="213"/>
  <c r="E34" i="213"/>
  <c r="C34" i="213"/>
  <c r="BQ33" i="213"/>
  <c r="BP33" i="213"/>
  <c r="BO33" i="213"/>
  <c r="BN33" i="213"/>
  <c r="BM33" i="213"/>
  <c r="BL33" i="213"/>
  <c r="BJ33" i="213"/>
  <c r="BK33" i="213"/>
  <c r="BH33" i="213"/>
  <c r="BI33" i="213"/>
  <c r="BF33" i="213"/>
  <c r="BG33" i="213"/>
  <c r="BD33" i="213"/>
  <c r="BE33" i="213"/>
  <c r="BC33" i="213"/>
  <c r="BA33" i="213"/>
  <c r="BB33" i="213"/>
  <c r="AY33" i="213"/>
  <c r="AZ33" i="213"/>
  <c r="AX33" i="213"/>
  <c r="AV33" i="213"/>
  <c r="AW33" i="213"/>
  <c r="AT33" i="213"/>
  <c r="AU33" i="213"/>
  <c r="AR33" i="213"/>
  <c r="AS33" i="213"/>
  <c r="AP33" i="213"/>
  <c r="AQ33" i="213"/>
  <c r="AO33" i="213"/>
  <c r="AN33" i="213"/>
  <c r="AM33" i="213"/>
  <c r="AL33" i="213"/>
  <c r="AK33" i="213"/>
  <c r="AJ33" i="213"/>
  <c r="AH33" i="213"/>
  <c r="AI33" i="213"/>
  <c r="AF33" i="213"/>
  <c r="AG33" i="213"/>
  <c r="AE33" i="213"/>
  <c r="AD33" i="213"/>
  <c r="AC33" i="213"/>
  <c r="AB33" i="213"/>
  <c r="Z33" i="213"/>
  <c r="AA33" i="213"/>
  <c r="X33" i="213"/>
  <c r="Y33" i="213"/>
  <c r="W33" i="213"/>
  <c r="V33" i="213"/>
  <c r="U33" i="213"/>
  <c r="T33" i="213"/>
  <c r="Q33" i="213"/>
  <c r="R33" i="213"/>
  <c r="O33" i="213"/>
  <c r="P33" i="213"/>
  <c r="M33" i="213"/>
  <c r="N33" i="213"/>
  <c r="K33" i="213"/>
  <c r="L33" i="213"/>
  <c r="I33" i="213"/>
  <c r="J33" i="213"/>
  <c r="G33" i="213"/>
  <c r="H33" i="213"/>
  <c r="E33" i="213"/>
  <c r="F33" i="213"/>
  <c r="C33" i="213"/>
  <c r="D33" i="213"/>
  <c r="BQ32" i="213"/>
  <c r="BP32" i="213"/>
  <c r="BO32" i="213"/>
  <c r="BN32" i="213"/>
  <c r="BM32" i="213"/>
  <c r="BL32" i="213"/>
  <c r="BK32" i="213"/>
  <c r="BI32" i="213"/>
  <c r="BJ32" i="213"/>
  <c r="BG32" i="213"/>
  <c r="BH32" i="213"/>
  <c r="BE32" i="213"/>
  <c r="BF32" i="213"/>
  <c r="BD32" i="213"/>
  <c r="BB32" i="213"/>
  <c r="BC32" i="213"/>
  <c r="AZ32" i="213"/>
  <c r="BA32" i="213"/>
  <c r="AY32" i="213"/>
  <c r="AW32" i="213"/>
  <c r="AX32" i="213"/>
  <c r="AU32" i="213"/>
  <c r="AV32" i="213"/>
  <c r="AS32" i="213"/>
  <c r="AT32" i="213"/>
  <c r="AQ32" i="213"/>
  <c r="AR32" i="213"/>
  <c r="AO32" i="213"/>
  <c r="AP32" i="213"/>
  <c r="AN32" i="213"/>
  <c r="AM32" i="213"/>
  <c r="AL32" i="213"/>
  <c r="AK32" i="213"/>
  <c r="AJ32" i="213"/>
  <c r="AI32" i="213"/>
  <c r="AG32" i="213"/>
  <c r="AH32" i="213"/>
  <c r="AE32" i="213"/>
  <c r="AF32" i="213"/>
  <c r="AD32" i="213"/>
  <c r="AC32" i="213"/>
  <c r="AB32" i="213"/>
  <c r="AA32" i="213"/>
  <c r="Y32" i="213"/>
  <c r="Z32" i="213"/>
  <c r="W32" i="213"/>
  <c r="X32" i="213"/>
  <c r="V32" i="213"/>
  <c r="U32" i="213"/>
  <c r="T32" i="213"/>
  <c r="R32" i="213"/>
  <c r="P32" i="213"/>
  <c r="Q32" i="213"/>
  <c r="N32" i="213"/>
  <c r="O32" i="213"/>
  <c r="L32" i="213"/>
  <c r="M32" i="213"/>
  <c r="J32" i="213"/>
  <c r="K32" i="213"/>
  <c r="H32" i="213"/>
  <c r="I32" i="213"/>
  <c r="F32" i="213"/>
  <c r="G32" i="213"/>
  <c r="D32" i="213"/>
  <c r="E32" i="213"/>
  <c r="C32" i="213"/>
  <c r="BQ31" i="213"/>
  <c r="BP31" i="213"/>
  <c r="BO31" i="213"/>
  <c r="BN31" i="213"/>
  <c r="BM31" i="213"/>
  <c r="BL31" i="213"/>
  <c r="BJ31" i="213"/>
  <c r="BK31" i="213"/>
  <c r="BH31" i="213"/>
  <c r="BI31" i="213"/>
  <c r="BF31" i="213"/>
  <c r="BG31" i="213"/>
  <c r="BD31" i="213"/>
  <c r="BE31" i="213"/>
  <c r="BC31" i="213"/>
  <c r="BA31" i="213"/>
  <c r="BB31" i="213"/>
  <c r="AY31" i="213"/>
  <c r="AZ31" i="213"/>
  <c r="AX31" i="213"/>
  <c r="AV31" i="213"/>
  <c r="AW31" i="213"/>
  <c r="AT31" i="213"/>
  <c r="AU31" i="213"/>
  <c r="AR31" i="213"/>
  <c r="AS31" i="213"/>
  <c r="AP31" i="213"/>
  <c r="AQ31" i="213"/>
  <c r="AO31" i="213"/>
  <c r="AN31" i="213"/>
  <c r="AM31" i="213"/>
  <c r="AL31" i="213"/>
  <c r="AK31" i="213"/>
  <c r="AJ31" i="213"/>
  <c r="AH31" i="213"/>
  <c r="AI31" i="213"/>
  <c r="AF31" i="213"/>
  <c r="AG31" i="213"/>
  <c r="AE31" i="213"/>
  <c r="AD31" i="213"/>
  <c r="AC31" i="213"/>
  <c r="AB31" i="213"/>
  <c r="Z31" i="213"/>
  <c r="AA31" i="213"/>
  <c r="X31" i="213"/>
  <c r="Y31" i="213"/>
  <c r="W31" i="213"/>
  <c r="V31" i="213"/>
  <c r="U31" i="213"/>
  <c r="T31" i="213"/>
  <c r="S31" i="213"/>
  <c r="Q31" i="213"/>
  <c r="BR31" i="213" s="1"/>
  <c r="R31" i="213"/>
  <c r="O31" i="213"/>
  <c r="P31" i="213"/>
  <c r="M31" i="213"/>
  <c r="N31" i="213"/>
  <c r="K31" i="213"/>
  <c r="L31" i="213"/>
  <c r="I31" i="213"/>
  <c r="J31" i="213"/>
  <c r="G31" i="213"/>
  <c r="H31" i="213"/>
  <c r="E31" i="213"/>
  <c r="F31" i="213"/>
  <c r="C31" i="213"/>
  <c r="D31" i="213"/>
  <c r="BQ30" i="213"/>
  <c r="BP30" i="213"/>
  <c r="BO30" i="213"/>
  <c r="BN30" i="213"/>
  <c r="BM30" i="213"/>
  <c r="BL30" i="213"/>
  <c r="BK30" i="213"/>
  <c r="BI30" i="213"/>
  <c r="BJ30" i="213"/>
  <c r="BG30" i="213"/>
  <c r="BH30" i="213"/>
  <c r="BE30" i="213"/>
  <c r="BF30" i="213"/>
  <c r="BD30" i="213"/>
  <c r="BB30" i="213"/>
  <c r="BC30" i="213"/>
  <c r="AZ30" i="213"/>
  <c r="BA30" i="213"/>
  <c r="AY30" i="213"/>
  <c r="AW30" i="213"/>
  <c r="AX30" i="213"/>
  <c r="AU30" i="213"/>
  <c r="AV30" i="213"/>
  <c r="AS30" i="213"/>
  <c r="AT30" i="213"/>
  <c r="AQ30" i="213"/>
  <c r="AR30" i="213"/>
  <c r="AO30" i="213"/>
  <c r="AP30" i="213"/>
  <c r="AN30" i="213"/>
  <c r="AM30" i="213"/>
  <c r="AL30" i="213"/>
  <c r="AK30" i="213"/>
  <c r="AJ30" i="213"/>
  <c r="AI30" i="213"/>
  <c r="AG30" i="213"/>
  <c r="AH30" i="213"/>
  <c r="AE30" i="213"/>
  <c r="AF30" i="213"/>
  <c r="AD30" i="213"/>
  <c r="AC30" i="213"/>
  <c r="AA30" i="213"/>
  <c r="Y30" i="213"/>
  <c r="Z30" i="213"/>
  <c r="AB30" i="213" s="1"/>
  <c r="W30" i="213"/>
  <c r="X30" i="213"/>
  <c r="V30" i="213"/>
  <c r="U30" i="213"/>
  <c r="T30" i="213"/>
  <c r="R30" i="213"/>
  <c r="P30" i="213"/>
  <c r="Q30" i="213"/>
  <c r="N30" i="213"/>
  <c r="O30" i="213"/>
  <c r="L30" i="213"/>
  <c r="M30" i="213"/>
  <c r="J30" i="213"/>
  <c r="K30" i="213"/>
  <c r="H30" i="213"/>
  <c r="I30" i="213"/>
  <c r="F30" i="213"/>
  <c r="G30" i="213"/>
  <c r="D30" i="213"/>
  <c r="E30" i="213"/>
  <c r="C30" i="213"/>
  <c r="BQ29" i="213"/>
  <c r="BP29" i="213"/>
  <c r="BO29" i="213"/>
  <c r="BN29" i="213"/>
  <c r="BM29" i="213"/>
  <c r="BL29" i="213"/>
  <c r="BJ29" i="213"/>
  <c r="BK29" i="213"/>
  <c r="BH29" i="213"/>
  <c r="BI29" i="213"/>
  <c r="BF29" i="213"/>
  <c r="BG29" i="213"/>
  <c r="BD29" i="213"/>
  <c r="BE29" i="213"/>
  <c r="BC29" i="213"/>
  <c r="BA29" i="213"/>
  <c r="BB29" i="213"/>
  <c r="AY29" i="213"/>
  <c r="AZ29" i="213"/>
  <c r="AX29" i="213"/>
  <c r="AV29" i="213"/>
  <c r="AW29" i="213"/>
  <c r="AT29" i="213"/>
  <c r="AU29" i="213"/>
  <c r="AR29" i="213"/>
  <c r="AS29" i="213"/>
  <c r="AP29" i="213"/>
  <c r="AQ29" i="213"/>
  <c r="AO29" i="213"/>
  <c r="AN29" i="213"/>
  <c r="AM29" i="213"/>
  <c r="AL29" i="213"/>
  <c r="AK29" i="213"/>
  <c r="AJ29" i="213"/>
  <c r="AH29" i="213"/>
  <c r="AI29" i="213"/>
  <c r="AF29" i="213"/>
  <c r="AG29" i="213"/>
  <c r="AE29" i="213"/>
  <c r="AD29" i="213"/>
  <c r="AC29" i="213"/>
  <c r="AB29" i="213"/>
  <c r="Z29" i="213"/>
  <c r="AA29" i="213"/>
  <c r="X29" i="213"/>
  <c r="Y29" i="213"/>
  <c r="W29" i="213"/>
  <c r="V29" i="213"/>
  <c r="U29" i="213"/>
  <c r="T29" i="213"/>
  <c r="S29" i="213"/>
  <c r="Q29" i="213"/>
  <c r="BR29" i="213" s="1"/>
  <c r="R29" i="213"/>
  <c r="O29" i="213"/>
  <c r="P29" i="213"/>
  <c r="M29" i="213"/>
  <c r="N29" i="213"/>
  <c r="K29" i="213"/>
  <c r="L29" i="213"/>
  <c r="I29" i="213"/>
  <c r="J29" i="213"/>
  <c r="G29" i="213"/>
  <c r="H29" i="213"/>
  <c r="E29" i="213"/>
  <c r="F29" i="213"/>
  <c r="C29" i="213"/>
  <c r="D29" i="213"/>
  <c r="BQ28" i="213"/>
  <c r="BP28" i="213"/>
  <c r="BO28" i="213"/>
  <c r="BN28" i="213"/>
  <c r="BM28" i="213"/>
  <c r="BL28" i="213"/>
  <c r="BK28" i="213"/>
  <c r="BI28" i="213"/>
  <c r="BJ28" i="213"/>
  <c r="BG28" i="213"/>
  <c r="BH28" i="213"/>
  <c r="BE28" i="213"/>
  <c r="BF28" i="213"/>
  <c r="BD28" i="213"/>
  <c r="BB28" i="213"/>
  <c r="BC28" i="213"/>
  <c r="AZ28" i="213"/>
  <c r="BA28" i="213"/>
  <c r="AY28" i="213"/>
  <c r="AW28" i="213"/>
  <c r="AX28" i="213"/>
  <c r="AU28" i="213"/>
  <c r="AV28" i="213"/>
  <c r="AS28" i="213"/>
  <c r="AT28" i="213"/>
  <c r="AQ28" i="213"/>
  <c r="AR28" i="213"/>
  <c r="AO28" i="213"/>
  <c r="AP28" i="213"/>
  <c r="AN28" i="213"/>
  <c r="AM28" i="213"/>
  <c r="AL28" i="213"/>
  <c r="AK28" i="213"/>
  <c r="AJ28" i="213"/>
  <c r="AI28" i="213"/>
  <c r="AG28" i="213"/>
  <c r="AH28" i="213"/>
  <c r="AE28" i="213"/>
  <c r="AF28" i="213"/>
  <c r="AD28" i="213"/>
  <c r="AC28" i="213"/>
  <c r="AB28" i="213"/>
  <c r="AA28" i="213"/>
  <c r="Y28" i="213"/>
  <c r="Z28" i="213"/>
  <c r="W28" i="213"/>
  <c r="X28" i="213"/>
  <c r="V28" i="213"/>
  <c r="U28" i="213"/>
  <c r="T28" i="213"/>
  <c r="S28" i="213"/>
  <c r="R28" i="213"/>
  <c r="P28" i="213"/>
  <c r="Q28" i="213"/>
  <c r="BR28" i="213" s="1"/>
  <c r="N28" i="213"/>
  <c r="O28" i="213"/>
  <c r="L28" i="213"/>
  <c r="M28" i="213"/>
  <c r="J28" i="213"/>
  <c r="K28" i="213"/>
  <c r="H28" i="213"/>
  <c r="I28" i="213"/>
  <c r="F28" i="213"/>
  <c r="G28" i="213"/>
  <c r="D28" i="213"/>
  <c r="E28" i="213"/>
  <c r="C28" i="213"/>
  <c r="BQ27" i="213"/>
  <c r="BP27" i="213"/>
  <c r="BO27" i="213"/>
  <c r="BN27" i="213"/>
  <c r="BM27" i="213"/>
  <c r="BL27" i="213"/>
  <c r="BJ27" i="213"/>
  <c r="BK27" i="213"/>
  <c r="BH27" i="213"/>
  <c r="BI27" i="213"/>
  <c r="BF27" i="213"/>
  <c r="BG27" i="213"/>
  <c r="BD27" i="213"/>
  <c r="BE27" i="213"/>
  <c r="BC27" i="213"/>
  <c r="BA27" i="213"/>
  <c r="BB27" i="213"/>
  <c r="AY27" i="213"/>
  <c r="AZ27" i="213"/>
  <c r="AX27" i="213"/>
  <c r="AV27" i="213"/>
  <c r="AW27" i="213"/>
  <c r="AT27" i="213"/>
  <c r="AU27" i="213"/>
  <c r="AR27" i="213"/>
  <c r="AS27" i="213"/>
  <c r="AP27" i="213"/>
  <c r="AQ27" i="213"/>
  <c r="AO27" i="213"/>
  <c r="AN27" i="213"/>
  <c r="AM27" i="213"/>
  <c r="AL27" i="213"/>
  <c r="AK27" i="213"/>
  <c r="AJ27" i="213"/>
  <c r="AH27" i="213"/>
  <c r="AI27" i="213"/>
  <c r="AF27" i="213"/>
  <c r="AG27" i="213"/>
  <c r="AE27" i="213"/>
  <c r="AD27" i="213"/>
  <c r="AC27" i="213"/>
  <c r="AB27" i="213"/>
  <c r="Z27" i="213"/>
  <c r="AA27" i="213"/>
  <c r="X27" i="213"/>
  <c r="Y27" i="213"/>
  <c r="W27" i="213"/>
  <c r="V27" i="213"/>
  <c r="U27" i="213"/>
  <c r="T27" i="213"/>
  <c r="Q27" i="213"/>
  <c r="R27" i="213"/>
  <c r="O27" i="213"/>
  <c r="P27" i="213"/>
  <c r="M27" i="213"/>
  <c r="N27" i="213"/>
  <c r="K27" i="213"/>
  <c r="L27" i="213"/>
  <c r="I27" i="213"/>
  <c r="J27" i="213"/>
  <c r="G27" i="213"/>
  <c r="H27" i="213"/>
  <c r="E27" i="213"/>
  <c r="F27" i="213"/>
  <c r="C27" i="213"/>
  <c r="D27" i="213"/>
  <c r="BQ26" i="213"/>
  <c r="BP26" i="213"/>
  <c r="BO26" i="213"/>
  <c r="BN26" i="213"/>
  <c r="BM26" i="213"/>
  <c r="BL26" i="213"/>
  <c r="BK26" i="213"/>
  <c r="BI26" i="213"/>
  <c r="BJ26" i="213"/>
  <c r="BG26" i="213"/>
  <c r="BH26" i="213"/>
  <c r="BE26" i="213"/>
  <c r="BF26" i="213"/>
  <c r="BD26" i="213"/>
  <c r="BB26" i="213"/>
  <c r="BC26" i="213"/>
  <c r="AZ26" i="213"/>
  <c r="BA26" i="213"/>
  <c r="AY26" i="213"/>
  <c r="AW26" i="213"/>
  <c r="AX26" i="213"/>
  <c r="AU26" i="213"/>
  <c r="AV26" i="213"/>
  <c r="AS26" i="213"/>
  <c r="AT26" i="213"/>
  <c r="AQ26" i="213"/>
  <c r="AR26" i="213"/>
  <c r="AO26" i="213"/>
  <c r="AP26" i="213"/>
  <c r="AN26" i="213"/>
  <c r="AM26" i="213"/>
  <c r="AL26" i="213"/>
  <c r="AK26" i="213"/>
  <c r="AJ26" i="213"/>
  <c r="AI26" i="213"/>
  <c r="AG26" i="213"/>
  <c r="AH26" i="213"/>
  <c r="AE26" i="213"/>
  <c r="AF26" i="213"/>
  <c r="AD26" i="213"/>
  <c r="AC26" i="213"/>
  <c r="AB26" i="213"/>
  <c r="AA26" i="213"/>
  <c r="Y26" i="213"/>
  <c r="Z26" i="213"/>
  <c r="W26" i="213"/>
  <c r="X26" i="213"/>
  <c r="V26" i="213"/>
  <c r="U26" i="213"/>
  <c r="T26" i="213"/>
  <c r="S26" i="213"/>
  <c r="R26" i="213"/>
  <c r="P26" i="213"/>
  <c r="Q26" i="213"/>
  <c r="BR26" i="213" s="1"/>
  <c r="N26" i="213"/>
  <c r="O26" i="213"/>
  <c r="L26" i="213"/>
  <c r="M26" i="213"/>
  <c r="J26" i="213"/>
  <c r="K26" i="213"/>
  <c r="H26" i="213"/>
  <c r="I26" i="213"/>
  <c r="F26" i="213"/>
  <c r="G26" i="213"/>
  <c r="D26" i="213"/>
  <c r="E26" i="213"/>
  <c r="C26" i="213"/>
  <c r="BQ25" i="213"/>
  <c r="BP25" i="213"/>
  <c r="BO25" i="213"/>
  <c r="BN25" i="213"/>
  <c r="BM25" i="213"/>
  <c r="BL25" i="213"/>
  <c r="BJ25" i="213"/>
  <c r="BK25" i="213"/>
  <c r="BH25" i="213"/>
  <c r="BI25" i="213"/>
  <c r="BF25" i="213"/>
  <c r="BG25" i="213"/>
  <c r="BD25" i="213"/>
  <c r="BE25" i="213"/>
  <c r="BC25" i="213"/>
  <c r="BA25" i="213"/>
  <c r="BB25" i="213"/>
  <c r="AY25" i="213"/>
  <c r="AZ25" i="213"/>
  <c r="AX25" i="213"/>
  <c r="AV25" i="213"/>
  <c r="AW25" i="213"/>
  <c r="AT25" i="213"/>
  <c r="AU25" i="213"/>
  <c r="AR25" i="213"/>
  <c r="AS25" i="213"/>
  <c r="AP25" i="213"/>
  <c r="AQ25" i="213"/>
  <c r="AO25" i="213"/>
  <c r="AN25" i="213"/>
  <c r="AM25" i="213"/>
  <c r="AL25" i="213"/>
  <c r="AK25" i="213"/>
  <c r="AJ25" i="213"/>
  <c r="AH25" i="213"/>
  <c r="AI25" i="213"/>
  <c r="AF25" i="213"/>
  <c r="AG25" i="213"/>
  <c r="AE25" i="213"/>
  <c r="AD25" i="213"/>
  <c r="AC25" i="213"/>
  <c r="AB25" i="213"/>
  <c r="Z25" i="213"/>
  <c r="AA25" i="213"/>
  <c r="X25" i="213"/>
  <c r="Y25" i="213"/>
  <c r="W25" i="213"/>
  <c r="V25" i="213"/>
  <c r="U25" i="213"/>
  <c r="T25" i="213"/>
  <c r="Q25" i="213"/>
  <c r="R25" i="213"/>
  <c r="O25" i="213"/>
  <c r="P25" i="213"/>
  <c r="M25" i="213"/>
  <c r="N25" i="213"/>
  <c r="K25" i="213"/>
  <c r="L25" i="213"/>
  <c r="I25" i="213"/>
  <c r="J25" i="213"/>
  <c r="G25" i="213"/>
  <c r="H25" i="213"/>
  <c r="E25" i="213"/>
  <c r="F25" i="213"/>
  <c r="C25" i="213"/>
  <c r="D25" i="213"/>
  <c r="BQ24" i="213"/>
  <c r="BP24" i="213"/>
  <c r="BO24" i="213"/>
  <c r="BN24" i="213"/>
  <c r="BM24" i="213"/>
  <c r="BL24" i="213"/>
  <c r="BK24" i="213"/>
  <c r="BI24" i="213"/>
  <c r="BJ24" i="213"/>
  <c r="BG24" i="213"/>
  <c r="BH24" i="213"/>
  <c r="BE24" i="213"/>
  <c r="BF24" i="213"/>
  <c r="BD24" i="213"/>
  <c r="BB24" i="213"/>
  <c r="BC24" i="213"/>
  <c r="AZ24" i="213"/>
  <c r="BA24" i="213"/>
  <c r="AY24" i="213"/>
  <c r="AW24" i="213"/>
  <c r="AX24" i="213"/>
  <c r="AU24" i="213"/>
  <c r="AV24" i="213"/>
  <c r="AS24" i="213"/>
  <c r="AT24" i="213"/>
  <c r="AQ24" i="213"/>
  <c r="AR24" i="213"/>
  <c r="AO24" i="213"/>
  <c r="AP24" i="213"/>
  <c r="AN24" i="213"/>
  <c r="AM24" i="213"/>
  <c r="AL24" i="213"/>
  <c r="AK24" i="213"/>
  <c r="AJ24" i="213"/>
  <c r="AI24" i="213"/>
  <c r="AG24" i="213"/>
  <c r="AH24" i="213"/>
  <c r="AE24" i="213"/>
  <c r="AF24" i="213"/>
  <c r="AD24" i="213"/>
  <c r="AC24" i="213"/>
  <c r="AB24" i="213"/>
  <c r="AA24" i="213"/>
  <c r="Y24" i="213"/>
  <c r="Z24" i="213"/>
  <c r="W24" i="213"/>
  <c r="X24" i="213"/>
  <c r="V24" i="213"/>
  <c r="U24" i="213"/>
  <c r="T24" i="213"/>
  <c r="S24" i="213"/>
  <c r="R24" i="213"/>
  <c r="P24" i="213"/>
  <c r="Q24" i="213"/>
  <c r="BR24" i="213" s="1"/>
  <c r="N24" i="213"/>
  <c r="O24" i="213"/>
  <c r="L24" i="213"/>
  <c r="M24" i="213"/>
  <c r="J24" i="213"/>
  <c r="K24" i="213"/>
  <c r="H24" i="213"/>
  <c r="I24" i="213"/>
  <c r="F24" i="213"/>
  <c r="G24" i="213"/>
  <c r="D24" i="213"/>
  <c r="E24" i="213"/>
  <c r="C24" i="213"/>
  <c r="BQ23" i="213"/>
  <c r="BP23" i="213"/>
  <c r="BO23" i="213"/>
  <c r="BN23" i="213"/>
  <c r="BM23" i="213"/>
  <c r="BL23" i="213"/>
  <c r="BJ23" i="213"/>
  <c r="BK23" i="213"/>
  <c r="BH23" i="213"/>
  <c r="BI23" i="213"/>
  <c r="BF23" i="213"/>
  <c r="BG23" i="213"/>
  <c r="BD23" i="213"/>
  <c r="BE23" i="213"/>
  <c r="BC23" i="213"/>
  <c r="BA23" i="213"/>
  <c r="BB23" i="213"/>
  <c r="AY23" i="213"/>
  <c r="AZ23" i="213"/>
  <c r="AX23" i="213"/>
  <c r="AV23" i="213"/>
  <c r="AW23" i="213"/>
  <c r="AT23" i="213"/>
  <c r="AU23" i="213"/>
  <c r="AR23" i="213"/>
  <c r="AS23" i="213"/>
  <c r="AP23" i="213"/>
  <c r="AQ23" i="213"/>
  <c r="AO23" i="213"/>
  <c r="AN23" i="213"/>
  <c r="AM23" i="213"/>
  <c r="AL23" i="213"/>
  <c r="AK23" i="213"/>
  <c r="AJ23" i="213"/>
  <c r="AH23" i="213"/>
  <c r="AI23" i="213"/>
  <c r="AF23" i="213"/>
  <c r="AG23" i="213"/>
  <c r="AE23" i="213"/>
  <c r="AD23" i="213"/>
  <c r="AC23" i="213"/>
  <c r="AB23" i="213"/>
  <c r="Z23" i="213"/>
  <c r="AA23" i="213"/>
  <c r="X23" i="213"/>
  <c r="Y23" i="213"/>
  <c r="W23" i="213"/>
  <c r="V23" i="213"/>
  <c r="U23" i="213"/>
  <c r="T23" i="213"/>
  <c r="Q23" i="213"/>
  <c r="R23" i="213"/>
  <c r="O23" i="213"/>
  <c r="P23" i="213"/>
  <c r="M23" i="213"/>
  <c r="N23" i="213"/>
  <c r="K23" i="213"/>
  <c r="L23" i="213"/>
  <c r="I23" i="213"/>
  <c r="J23" i="213"/>
  <c r="G23" i="213"/>
  <c r="H23" i="213"/>
  <c r="E23" i="213"/>
  <c r="F23" i="213"/>
  <c r="C23" i="213"/>
  <c r="D23" i="213"/>
  <c r="BQ22" i="213"/>
  <c r="BP22" i="213"/>
  <c r="BO22" i="213"/>
  <c r="BN22" i="213"/>
  <c r="BM22" i="213"/>
  <c r="BL22" i="213"/>
  <c r="BK22" i="213"/>
  <c r="BI22" i="213"/>
  <c r="BJ22" i="213"/>
  <c r="BG22" i="213"/>
  <c r="BH22" i="213"/>
  <c r="BE22" i="213"/>
  <c r="BF22" i="213"/>
  <c r="BD22" i="213"/>
  <c r="BB22" i="213"/>
  <c r="BC22" i="213"/>
  <c r="AZ22" i="213"/>
  <c r="BA22" i="213"/>
  <c r="AY22" i="213"/>
  <c r="AW22" i="213"/>
  <c r="AX22" i="213"/>
  <c r="AU22" i="213"/>
  <c r="AV22" i="213"/>
  <c r="AS22" i="213"/>
  <c r="AT22" i="213"/>
  <c r="AQ22" i="213"/>
  <c r="AR22" i="213"/>
  <c r="AO22" i="213"/>
  <c r="AP22" i="213"/>
  <c r="AN22" i="213"/>
  <c r="AM22" i="213"/>
  <c r="AL22" i="213"/>
  <c r="AK22" i="213"/>
  <c r="AJ22" i="213"/>
  <c r="AI22" i="213"/>
  <c r="AG22" i="213"/>
  <c r="AH22" i="213"/>
  <c r="AE22" i="213"/>
  <c r="AF22" i="213"/>
  <c r="AD22" i="213"/>
  <c r="AC22" i="213"/>
  <c r="AB22" i="213"/>
  <c r="AA22" i="213"/>
  <c r="Y22" i="213"/>
  <c r="Z22" i="213"/>
  <c r="W22" i="213"/>
  <c r="X22" i="213"/>
  <c r="V22" i="213"/>
  <c r="U22" i="213"/>
  <c r="T22" i="213"/>
  <c r="S22" i="213"/>
  <c r="R22" i="213"/>
  <c r="P22" i="213"/>
  <c r="Q22" i="213"/>
  <c r="BR22" i="213" s="1"/>
  <c r="N22" i="213"/>
  <c r="O22" i="213"/>
  <c r="L22" i="213"/>
  <c r="M22" i="213"/>
  <c r="J22" i="213"/>
  <c r="K22" i="213"/>
  <c r="H22" i="213"/>
  <c r="I22" i="213"/>
  <c r="F22" i="213"/>
  <c r="G22" i="213"/>
  <c r="D22" i="213"/>
  <c r="E22" i="213"/>
  <c r="C22" i="213"/>
  <c r="BQ21" i="213"/>
  <c r="BP21" i="213"/>
  <c r="BO21" i="213"/>
  <c r="BN21" i="213"/>
  <c r="BM21" i="213"/>
  <c r="BL21" i="213"/>
  <c r="BJ21" i="213"/>
  <c r="BK21" i="213"/>
  <c r="BH21" i="213"/>
  <c r="BI21" i="213"/>
  <c r="BF21" i="213"/>
  <c r="BG21" i="213"/>
  <c r="BD21" i="213"/>
  <c r="BE21" i="213"/>
  <c r="BC21" i="213"/>
  <c r="BA21" i="213"/>
  <c r="BB21" i="213"/>
  <c r="AY21" i="213"/>
  <c r="AZ21" i="213"/>
  <c r="AX21" i="213"/>
  <c r="AV21" i="213"/>
  <c r="AW21" i="213"/>
  <c r="AT21" i="213"/>
  <c r="AU21" i="213"/>
  <c r="AR21" i="213"/>
  <c r="AS21" i="213"/>
  <c r="AP21" i="213"/>
  <c r="AQ21" i="213"/>
  <c r="AO21" i="213"/>
  <c r="AN21" i="213"/>
  <c r="AM21" i="213"/>
  <c r="AL21" i="213"/>
  <c r="AK21" i="213"/>
  <c r="AJ21" i="213"/>
  <c r="AH21" i="213"/>
  <c r="AI21" i="213"/>
  <c r="AF21" i="213"/>
  <c r="AG21" i="213"/>
  <c r="AE21" i="213"/>
  <c r="AD21" i="213"/>
  <c r="AC21" i="213"/>
  <c r="AB21" i="213"/>
  <c r="Z21" i="213"/>
  <c r="AA21" i="213"/>
  <c r="X21" i="213"/>
  <c r="Y21" i="213"/>
  <c r="W21" i="213"/>
  <c r="V21" i="213"/>
  <c r="U21" i="213"/>
  <c r="T21" i="213"/>
  <c r="S21" i="213"/>
  <c r="Q21" i="213"/>
  <c r="BR21" i="213" s="1"/>
  <c r="R21" i="213"/>
  <c r="O21" i="213"/>
  <c r="P21" i="213"/>
  <c r="M21" i="213"/>
  <c r="N21" i="213"/>
  <c r="K21" i="213"/>
  <c r="L21" i="213"/>
  <c r="I21" i="213"/>
  <c r="J21" i="213"/>
  <c r="G21" i="213"/>
  <c r="H21" i="213"/>
  <c r="E21" i="213"/>
  <c r="F21" i="213"/>
  <c r="C21" i="213"/>
  <c r="D21" i="213"/>
  <c r="BQ20" i="213"/>
  <c r="BP20" i="213"/>
  <c r="BO20" i="213"/>
  <c r="BN20" i="213"/>
  <c r="BM20" i="213"/>
  <c r="BL20" i="213"/>
  <c r="BK20" i="213"/>
  <c r="BI20" i="213"/>
  <c r="BJ20" i="213"/>
  <c r="BG20" i="213"/>
  <c r="BH20" i="213"/>
  <c r="BE20" i="213"/>
  <c r="BF20" i="213"/>
  <c r="BD20" i="213"/>
  <c r="BB20" i="213"/>
  <c r="BC20" i="213"/>
  <c r="AZ20" i="213"/>
  <c r="BA20" i="213"/>
  <c r="AY20" i="213"/>
  <c r="AW20" i="213"/>
  <c r="AX20" i="213"/>
  <c r="AU20" i="213"/>
  <c r="AV20" i="213"/>
  <c r="AS20" i="213"/>
  <c r="AT20" i="213"/>
  <c r="AQ20" i="213"/>
  <c r="AR20" i="213"/>
  <c r="AO20" i="213"/>
  <c r="AP20" i="213"/>
  <c r="AN20" i="213"/>
  <c r="AM20" i="213"/>
  <c r="AL20" i="213"/>
  <c r="AK20" i="213"/>
  <c r="AJ20" i="213"/>
  <c r="AI20" i="213"/>
  <c r="AG20" i="213"/>
  <c r="AH20" i="213"/>
  <c r="AE20" i="213"/>
  <c r="AF20" i="213"/>
  <c r="AD20" i="213"/>
  <c r="AC20" i="213"/>
  <c r="AB20" i="213"/>
  <c r="AA20" i="213"/>
  <c r="Y20" i="213"/>
  <c r="Z20" i="213"/>
  <c r="W20" i="213"/>
  <c r="X20" i="213"/>
  <c r="V20" i="213"/>
  <c r="U20" i="213"/>
  <c r="T20" i="213"/>
  <c r="S20" i="213"/>
  <c r="R20" i="213"/>
  <c r="P20" i="213"/>
  <c r="Q20" i="213"/>
  <c r="BR20" i="213" s="1"/>
  <c r="N20" i="213"/>
  <c r="O20" i="213"/>
  <c r="L20" i="213"/>
  <c r="M20" i="213"/>
  <c r="J20" i="213"/>
  <c r="K20" i="213"/>
  <c r="H20" i="213"/>
  <c r="I20" i="213"/>
  <c r="F20" i="213"/>
  <c r="G20" i="213"/>
  <c r="D20" i="213"/>
  <c r="E20" i="213"/>
  <c r="C20" i="213"/>
  <c r="BQ19" i="213"/>
  <c r="BP19" i="213"/>
  <c r="BO19" i="213"/>
  <c r="BN19" i="213"/>
  <c r="BM19" i="213"/>
  <c r="BL19" i="213"/>
  <c r="BJ19" i="213"/>
  <c r="BK19" i="213"/>
  <c r="BH19" i="213"/>
  <c r="BI19" i="213"/>
  <c r="BF19" i="213"/>
  <c r="BG19" i="213"/>
  <c r="BD19" i="213"/>
  <c r="BE19" i="213"/>
  <c r="BC19" i="213"/>
  <c r="BA19" i="213"/>
  <c r="BB19" i="213"/>
  <c r="AY19" i="213"/>
  <c r="AZ19" i="213"/>
  <c r="AX19" i="213"/>
  <c r="AV19" i="213"/>
  <c r="AW19" i="213"/>
  <c r="AT19" i="213"/>
  <c r="AU19" i="213"/>
  <c r="AR19" i="213"/>
  <c r="AS19" i="213"/>
  <c r="AP19" i="213"/>
  <c r="AQ19" i="213"/>
  <c r="AO19" i="213"/>
  <c r="AN19" i="213"/>
  <c r="AM19" i="213"/>
  <c r="AL19" i="213"/>
  <c r="AK19" i="213"/>
  <c r="AJ19" i="213"/>
  <c r="AH19" i="213"/>
  <c r="AI19" i="213"/>
  <c r="AF19" i="213"/>
  <c r="AG19" i="213"/>
  <c r="AE19" i="213"/>
  <c r="AD19" i="213"/>
  <c r="AC19" i="213"/>
  <c r="AB19" i="213"/>
  <c r="Z19" i="213"/>
  <c r="AA19" i="213"/>
  <c r="X19" i="213"/>
  <c r="Y19" i="213"/>
  <c r="W19" i="213"/>
  <c r="V19" i="213"/>
  <c r="U19" i="213"/>
  <c r="T19" i="213"/>
  <c r="S19" i="213"/>
  <c r="Q19" i="213"/>
  <c r="BR19" i="213" s="1"/>
  <c r="R19" i="213"/>
  <c r="O19" i="213"/>
  <c r="P19" i="213"/>
  <c r="M19" i="213"/>
  <c r="N19" i="213"/>
  <c r="K19" i="213"/>
  <c r="L19" i="213"/>
  <c r="I19" i="213"/>
  <c r="J19" i="213"/>
  <c r="G19" i="213"/>
  <c r="H19" i="213"/>
  <c r="E19" i="213"/>
  <c r="F19" i="213"/>
  <c r="C19" i="213"/>
  <c r="D19" i="213"/>
  <c r="BQ18" i="213"/>
  <c r="BP18" i="213"/>
  <c r="BO18" i="213"/>
  <c r="BN18" i="213"/>
  <c r="BM18" i="213"/>
  <c r="BL18" i="213"/>
  <c r="BK18" i="213"/>
  <c r="BI18" i="213"/>
  <c r="BJ18" i="213"/>
  <c r="BG18" i="213"/>
  <c r="BH18" i="213"/>
  <c r="BE18" i="213"/>
  <c r="BF18" i="213"/>
  <c r="BD18" i="213"/>
  <c r="BB18" i="213"/>
  <c r="BC18" i="213"/>
  <c r="AZ18" i="213"/>
  <c r="BA18" i="213"/>
  <c r="AY18" i="213"/>
  <c r="AW18" i="213"/>
  <c r="AX18" i="213"/>
  <c r="AU18" i="213"/>
  <c r="AV18" i="213"/>
  <c r="AS18" i="213"/>
  <c r="AT18" i="213"/>
  <c r="AQ18" i="213"/>
  <c r="AR18" i="213"/>
  <c r="AO18" i="213"/>
  <c r="AP18" i="213"/>
  <c r="AN18" i="213"/>
  <c r="AM18" i="213"/>
  <c r="AL18" i="213"/>
  <c r="AK18" i="213"/>
  <c r="AJ18" i="213"/>
  <c r="AI18" i="213"/>
  <c r="AG18" i="213"/>
  <c r="AH18" i="213"/>
  <c r="AE18" i="213"/>
  <c r="AF18" i="213"/>
  <c r="AD18" i="213"/>
  <c r="AC18" i="213"/>
  <c r="AB18" i="213"/>
  <c r="AA18" i="213"/>
  <c r="Y18" i="213"/>
  <c r="Z18" i="213"/>
  <c r="W18" i="213"/>
  <c r="X18" i="213"/>
  <c r="V18" i="213"/>
  <c r="U18" i="213"/>
  <c r="T18" i="213"/>
  <c r="S18" i="213"/>
  <c r="R18" i="213"/>
  <c r="P18" i="213"/>
  <c r="Q18" i="213"/>
  <c r="BR18" i="213" s="1"/>
  <c r="N18" i="213"/>
  <c r="O18" i="213"/>
  <c r="L18" i="213"/>
  <c r="M18" i="213"/>
  <c r="J18" i="213"/>
  <c r="K18" i="213"/>
  <c r="H18" i="213"/>
  <c r="I18" i="213"/>
  <c r="F18" i="213"/>
  <c r="G18" i="213"/>
  <c r="D18" i="213"/>
  <c r="E18" i="213"/>
  <c r="C18" i="213"/>
  <c r="BQ17" i="213"/>
  <c r="BP17" i="213"/>
  <c r="BO17" i="213"/>
  <c r="BN17" i="213"/>
  <c r="BM17" i="213"/>
  <c r="BL17" i="213"/>
  <c r="BJ17" i="213"/>
  <c r="BK17" i="213"/>
  <c r="BH17" i="213"/>
  <c r="BI17" i="213"/>
  <c r="BF17" i="213"/>
  <c r="BG17" i="213"/>
  <c r="BD17" i="213"/>
  <c r="BE17" i="213"/>
  <c r="BC17" i="213"/>
  <c r="BA17" i="213"/>
  <c r="BB17" i="213"/>
  <c r="AY17" i="213"/>
  <c r="AZ17" i="213"/>
  <c r="AX17" i="213"/>
  <c r="AV17" i="213"/>
  <c r="AW17" i="213"/>
  <c r="AT17" i="213"/>
  <c r="AU17" i="213"/>
  <c r="AR17" i="213"/>
  <c r="AS17" i="213"/>
  <c r="AP17" i="213"/>
  <c r="AQ17" i="213"/>
  <c r="AO17" i="213"/>
  <c r="AN17" i="213"/>
  <c r="AM17" i="213"/>
  <c r="AL17" i="213"/>
  <c r="AK17" i="213"/>
  <c r="AJ17" i="213"/>
  <c r="AH17" i="213"/>
  <c r="AI17" i="213"/>
  <c r="AF17" i="213"/>
  <c r="AG17" i="213"/>
  <c r="AE17" i="213"/>
  <c r="AD17" i="213"/>
  <c r="AC17" i="213"/>
  <c r="AB17" i="213"/>
  <c r="Z17" i="213"/>
  <c r="AA17" i="213"/>
  <c r="X17" i="213"/>
  <c r="Y17" i="213"/>
  <c r="W17" i="213"/>
  <c r="V17" i="213"/>
  <c r="U17" i="213"/>
  <c r="T17" i="213"/>
  <c r="S17" i="213"/>
  <c r="Q17" i="213"/>
  <c r="BR17" i="213" s="1"/>
  <c r="R17" i="213"/>
  <c r="O17" i="213"/>
  <c r="P17" i="213"/>
  <c r="M17" i="213"/>
  <c r="N17" i="213"/>
  <c r="K17" i="213"/>
  <c r="L17" i="213"/>
  <c r="I17" i="213"/>
  <c r="J17" i="213"/>
  <c r="G17" i="213"/>
  <c r="H17" i="213"/>
  <c r="E17" i="213"/>
  <c r="F17" i="213"/>
  <c r="C17" i="213"/>
  <c r="D17" i="213"/>
  <c r="BQ16" i="213"/>
  <c r="BP16" i="213"/>
  <c r="BO16" i="213"/>
  <c r="BN16" i="213"/>
  <c r="BM16" i="213"/>
  <c r="BL16" i="213"/>
  <c r="BK16" i="213"/>
  <c r="BI16" i="213"/>
  <c r="BJ16" i="213"/>
  <c r="BG16" i="213"/>
  <c r="BH16" i="213"/>
  <c r="BE16" i="213"/>
  <c r="BF16" i="213"/>
  <c r="BD16" i="213"/>
  <c r="BB16" i="213"/>
  <c r="BC16" i="213"/>
  <c r="AZ16" i="213"/>
  <c r="BA16" i="213"/>
  <c r="AY16" i="213"/>
  <c r="AW16" i="213"/>
  <c r="AX16" i="213"/>
  <c r="AU16" i="213"/>
  <c r="AV16" i="213"/>
  <c r="AS16" i="213"/>
  <c r="AT16" i="213"/>
  <c r="AQ16" i="213"/>
  <c r="AR16" i="213"/>
  <c r="AO16" i="213"/>
  <c r="AP16" i="213"/>
  <c r="AN16" i="213"/>
  <c r="AM16" i="213"/>
  <c r="AL16" i="213"/>
  <c r="AK16" i="213"/>
  <c r="AJ16" i="213"/>
  <c r="AI16" i="213"/>
  <c r="AG16" i="213"/>
  <c r="AH16" i="213"/>
  <c r="AE16" i="213"/>
  <c r="AF16" i="213"/>
  <c r="AD16" i="213"/>
  <c r="AC16" i="213"/>
  <c r="AB16" i="213"/>
  <c r="AA16" i="213"/>
  <c r="Y16" i="213"/>
  <c r="Z16" i="213"/>
  <c r="W16" i="213"/>
  <c r="X16" i="213"/>
  <c r="V16" i="213"/>
  <c r="U16" i="213"/>
  <c r="T16" i="213"/>
  <c r="S16" i="213"/>
  <c r="R16" i="213"/>
  <c r="P16" i="213"/>
  <c r="Q16" i="213"/>
  <c r="BR16" i="213" s="1"/>
  <c r="N16" i="213"/>
  <c r="O16" i="213"/>
  <c r="L16" i="213"/>
  <c r="M16" i="213"/>
  <c r="J16" i="213"/>
  <c r="K16" i="213"/>
  <c r="H16" i="213"/>
  <c r="I16" i="213"/>
  <c r="F16" i="213"/>
  <c r="G16" i="213"/>
  <c r="D16" i="213"/>
  <c r="E16" i="213"/>
  <c r="C16" i="213"/>
  <c r="BQ15" i="213"/>
  <c r="BP15" i="213"/>
  <c r="BO15" i="213"/>
  <c r="BN15" i="213"/>
  <c r="BM15" i="213"/>
  <c r="BL15" i="213"/>
  <c r="BJ15" i="213"/>
  <c r="BK15" i="213"/>
  <c r="BH15" i="213"/>
  <c r="BI15" i="213"/>
  <c r="BF15" i="213"/>
  <c r="BG15" i="213"/>
  <c r="BD15" i="213"/>
  <c r="BE15" i="213"/>
  <c r="BC15" i="213"/>
  <c r="BA15" i="213"/>
  <c r="BB15" i="213"/>
  <c r="AY15" i="213"/>
  <c r="AZ15" i="213"/>
  <c r="AX15" i="213"/>
  <c r="AV15" i="213"/>
  <c r="AW15" i="213"/>
  <c r="AT15" i="213"/>
  <c r="AU15" i="213"/>
  <c r="AR15" i="213"/>
  <c r="AS15" i="213"/>
  <c r="AP15" i="213"/>
  <c r="AQ15" i="213"/>
  <c r="AO15" i="213"/>
  <c r="AN15" i="213"/>
  <c r="AM15" i="213"/>
  <c r="AL15" i="213"/>
  <c r="AK15" i="213"/>
  <c r="AJ15" i="213"/>
  <c r="AH15" i="213"/>
  <c r="AI15" i="213"/>
  <c r="AF15" i="213"/>
  <c r="AG15" i="213"/>
  <c r="AE15" i="213"/>
  <c r="AD15" i="213"/>
  <c r="AC15" i="213"/>
  <c r="AB15" i="213"/>
  <c r="Z15" i="213"/>
  <c r="AA15" i="213"/>
  <c r="X15" i="213"/>
  <c r="Y15" i="213"/>
  <c r="W15" i="213"/>
  <c r="V15" i="213"/>
  <c r="U15" i="213"/>
  <c r="T15" i="213"/>
  <c r="S15" i="213"/>
  <c r="Q15" i="213"/>
  <c r="BR15" i="213" s="1"/>
  <c r="R15" i="213"/>
  <c r="O15" i="213"/>
  <c r="P15" i="213"/>
  <c r="M15" i="213"/>
  <c r="N15" i="213"/>
  <c r="K15" i="213"/>
  <c r="L15" i="213"/>
  <c r="I15" i="213"/>
  <c r="J15" i="213"/>
  <c r="G15" i="213"/>
  <c r="H15" i="213"/>
  <c r="E15" i="213"/>
  <c r="F15" i="213"/>
  <c r="C15" i="213"/>
  <c r="D15" i="213"/>
  <c r="BQ14" i="213"/>
  <c r="BP14" i="213"/>
  <c r="BO14" i="213"/>
  <c r="BN14" i="213"/>
  <c r="BM14" i="213"/>
  <c r="BL14" i="213"/>
  <c r="BK14" i="213"/>
  <c r="BI14" i="213"/>
  <c r="BJ14" i="213"/>
  <c r="BG14" i="213"/>
  <c r="BH14" i="213"/>
  <c r="BE14" i="213"/>
  <c r="BF14" i="213"/>
  <c r="BD14" i="213"/>
  <c r="BB14" i="213"/>
  <c r="BC14" i="213"/>
  <c r="AZ14" i="213"/>
  <c r="BA14" i="213"/>
  <c r="AY14" i="213"/>
  <c r="AW14" i="213"/>
  <c r="AX14" i="213"/>
  <c r="AU14" i="213"/>
  <c r="AV14" i="213"/>
  <c r="AS14" i="213"/>
  <c r="AT14" i="213"/>
  <c r="AQ14" i="213"/>
  <c r="AR14" i="213"/>
  <c r="AO14" i="213"/>
  <c r="AP14" i="213"/>
  <c r="AN14" i="213"/>
  <c r="AM14" i="213"/>
  <c r="AL14" i="213"/>
  <c r="AK14" i="213"/>
  <c r="AJ14" i="213"/>
  <c r="AI14" i="213"/>
  <c r="AG14" i="213"/>
  <c r="AH14" i="213"/>
  <c r="AE14" i="213"/>
  <c r="AF14" i="213"/>
  <c r="AD14" i="213"/>
  <c r="AC14" i="213"/>
  <c r="AB14" i="213"/>
  <c r="AA14" i="213"/>
  <c r="Y14" i="213"/>
  <c r="Z14" i="213"/>
  <c r="W14" i="213"/>
  <c r="X14" i="213"/>
  <c r="V14" i="213"/>
  <c r="U14" i="213"/>
  <c r="T14" i="213"/>
  <c r="S14" i="213"/>
  <c r="R14" i="213"/>
  <c r="P14" i="213"/>
  <c r="Q14" i="213"/>
  <c r="BR14" i="213" s="1"/>
  <c r="N14" i="213"/>
  <c r="O14" i="213"/>
  <c r="L14" i="213"/>
  <c r="M14" i="213"/>
  <c r="J14" i="213"/>
  <c r="K14" i="213"/>
  <c r="H14" i="213"/>
  <c r="I14" i="213"/>
  <c r="F14" i="213"/>
  <c r="G14" i="213"/>
  <c r="D14" i="213"/>
  <c r="E14" i="213"/>
  <c r="C14" i="213"/>
  <c r="BQ13" i="213"/>
  <c r="BP13" i="213"/>
  <c r="BO13" i="213"/>
  <c r="BN13" i="213"/>
  <c r="BM13" i="213"/>
  <c r="BL13" i="213"/>
  <c r="BJ13" i="213"/>
  <c r="BK13" i="213"/>
  <c r="BH13" i="213"/>
  <c r="BI13" i="213"/>
  <c r="BF13" i="213"/>
  <c r="BG13" i="213"/>
  <c r="BD13" i="213"/>
  <c r="BE13" i="213"/>
  <c r="BC13" i="213"/>
  <c r="BA13" i="213"/>
  <c r="BB13" i="213"/>
  <c r="AY13" i="213"/>
  <c r="AZ13" i="213"/>
  <c r="AX13" i="213"/>
  <c r="AV13" i="213"/>
  <c r="AW13" i="213"/>
  <c r="AT13" i="213"/>
  <c r="AU13" i="213"/>
  <c r="AR13" i="213"/>
  <c r="AS13" i="213"/>
  <c r="AP13" i="213"/>
  <c r="AQ13" i="213"/>
  <c r="AO13" i="213"/>
  <c r="AN13" i="213"/>
  <c r="AM13" i="213"/>
  <c r="AL13" i="213"/>
  <c r="AK13" i="213"/>
  <c r="AJ13" i="213"/>
  <c r="AH13" i="213"/>
  <c r="AI13" i="213"/>
  <c r="AF13" i="213"/>
  <c r="AG13" i="213"/>
  <c r="AE13" i="213"/>
  <c r="AD13" i="213"/>
  <c r="AC13" i="213"/>
  <c r="AB13" i="213"/>
  <c r="Z13" i="213"/>
  <c r="AA13" i="213"/>
  <c r="X13" i="213"/>
  <c r="Y13" i="213"/>
  <c r="W13" i="213"/>
  <c r="V13" i="213"/>
  <c r="U13" i="213"/>
  <c r="T13" i="213"/>
  <c r="S13" i="213"/>
  <c r="Q13" i="213"/>
  <c r="BR13" i="213" s="1"/>
  <c r="R13" i="213"/>
  <c r="O13" i="213"/>
  <c r="P13" i="213"/>
  <c r="M13" i="213"/>
  <c r="N13" i="213"/>
  <c r="K13" i="213"/>
  <c r="L13" i="213"/>
  <c r="I13" i="213"/>
  <c r="J13" i="213"/>
  <c r="G13" i="213"/>
  <c r="H13" i="213"/>
  <c r="E13" i="213"/>
  <c r="F13" i="213"/>
  <c r="C13" i="213"/>
  <c r="D13" i="213"/>
  <c r="AT52" i="213"/>
  <c r="AT53" i="213"/>
  <c r="AT50" i="213"/>
  <c r="AT51" i="213"/>
  <c r="AT48" i="213"/>
  <c r="AT49" i="213"/>
  <c r="AT46" i="213"/>
  <c r="AT47" i="213"/>
  <c r="AT44" i="213"/>
  <c r="AT45" i="213"/>
  <c r="C10" i="214"/>
  <c r="D10" i="214"/>
  <c r="E10" i="214"/>
  <c r="F10" i="214"/>
  <c r="J10" i="214"/>
  <c r="G10" i="214"/>
  <c r="I10" i="214"/>
  <c r="P10" i="214"/>
  <c r="K10" i="214"/>
  <c r="L10" i="214"/>
  <c r="U10" i="214"/>
  <c r="N10" i="214"/>
  <c r="O10" i="214"/>
  <c r="V10" i="214"/>
  <c r="X10" i="214"/>
  <c r="Y10" i="214"/>
  <c r="Z10" i="214"/>
  <c r="AF10" i="214"/>
  <c r="AG10" i="214"/>
  <c r="D11" i="214"/>
  <c r="E11" i="214"/>
  <c r="AJ10" i="214"/>
  <c r="G11" i="214"/>
  <c r="I11" i="214"/>
  <c r="C11" i="214"/>
  <c r="J11" i="214"/>
  <c r="K11" i="214"/>
  <c r="F11" i="214"/>
  <c r="L11" i="214"/>
  <c r="N11" i="214"/>
  <c r="O11" i="214"/>
  <c r="X11" i="214"/>
  <c r="P11" i="214"/>
  <c r="U11" i="214"/>
  <c r="Z11" i="214"/>
  <c r="AF11" i="214"/>
  <c r="V11" i="214"/>
  <c r="AG11" i="214"/>
  <c r="AJ11" i="214"/>
  <c r="Y11" i="214"/>
  <c r="G12" i="214"/>
  <c r="C12" i="214"/>
  <c r="D12" i="214"/>
  <c r="I12" i="214"/>
  <c r="E12" i="214"/>
  <c r="F12" i="214"/>
  <c r="N12" i="214"/>
  <c r="J12" i="214"/>
  <c r="K12" i="214"/>
  <c r="O12" i="214"/>
  <c r="P12" i="214"/>
  <c r="L12" i="214"/>
  <c r="Z12" i="214"/>
  <c r="U12" i="214"/>
  <c r="V12" i="214"/>
  <c r="AJ12" i="214"/>
  <c r="X12" i="214"/>
  <c r="Y12" i="214"/>
  <c r="C13" i="214"/>
  <c r="AF12" i="214"/>
  <c r="AG12" i="214"/>
  <c r="D13" i="214"/>
  <c r="E13" i="214"/>
  <c r="F13" i="214"/>
  <c r="J13" i="214"/>
  <c r="G13" i="214"/>
  <c r="I13" i="214"/>
  <c r="P13" i="214"/>
  <c r="K13" i="214"/>
  <c r="L13" i="214"/>
  <c r="U13" i="214"/>
  <c r="N13" i="214"/>
  <c r="O13" i="214"/>
  <c r="V13" i="214"/>
  <c r="X13" i="214"/>
  <c r="Y13" i="214"/>
  <c r="Z13" i="214"/>
  <c r="AF13" i="214"/>
  <c r="AG13" i="214"/>
  <c r="D14" i="214"/>
  <c r="E14" i="214"/>
  <c r="AJ13" i="214"/>
  <c r="G14" i="214"/>
  <c r="I14" i="214"/>
  <c r="C14" i="214"/>
  <c r="J14" i="214"/>
  <c r="K14" i="214"/>
  <c r="F14" i="214"/>
  <c r="L14" i="214"/>
  <c r="N14" i="214"/>
  <c r="O14" i="214"/>
  <c r="X14" i="214"/>
  <c r="P14" i="214"/>
  <c r="U14" i="214"/>
  <c r="Z14" i="214"/>
  <c r="AF14" i="214"/>
  <c r="V14" i="214"/>
  <c r="AG14" i="214"/>
  <c r="AJ14" i="214"/>
  <c r="Y14" i="214"/>
  <c r="G15" i="214"/>
  <c r="C15" i="214"/>
  <c r="D15" i="214"/>
  <c r="I15" i="214"/>
  <c r="E15" i="214"/>
  <c r="F15" i="214"/>
  <c r="N15" i="214"/>
  <c r="J15" i="214"/>
  <c r="K15" i="214"/>
  <c r="O15" i="214"/>
  <c r="P15" i="214"/>
  <c r="L15" i="214"/>
  <c r="Z15" i="214"/>
  <c r="U15" i="214"/>
  <c r="V15" i="214"/>
  <c r="AJ15" i="214"/>
  <c r="X15" i="214"/>
  <c r="Y15" i="214"/>
  <c r="C16" i="214"/>
  <c r="AF15" i="214"/>
  <c r="AG15" i="214"/>
  <c r="D16" i="214"/>
  <c r="E16" i="214"/>
  <c r="F16" i="214"/>
  <c r="J16" i="214"/>
  <c r="G16" i="214"/>
  <c r="I16" i="214"/>
  <c r="P16" i="214"/>
  <c r="K16" i="214"/>
  <c r="L16" i="214"/>
  <c r="U16" i="214"/>
  <c r="N16" i="214"/>
  <c r="O16" i="214"/>
  <c r="V16" i="214"/>
  <c r="X16" i="214"/>
  <c r="Y16" i="214"/>
  <c r="Z16" i="214"/>
  <c r="AF16" i="214"/>
  <c r="AG16" i="214"/>
  <c r="D17" i="214"/>
  <c r="E17" i="214"/>
  <c r="AJ16" i="214"/>
  <c r="G17" i="214"/>
  <c r="I17" i="214"/>
  <c r="C17" i="214"/>
  <c r="J17" i="214"/>
  <c r="K17" i="214"/>
  <c r="F17" i="214"/>
  <c r="L17" i="214"/>
  <c r="N17" i="214"/>
  <c r="O17" i="214"/>
  <c r="X17" i="214"/>
  <c r="P17" i="214"/>
  <c r="U17" i="214"/>
  <c r="Z17" i="214"/>
  <c r="AF17" i="214"/>
  <c r="V17" i="214"/>
  <c r="AG17" i="214"/>
  <c r="AJ17" i="214"/>
  <c r="Y17" i="214"/>
  <c r="G18" i="214"/>
  <c r="C18" i="214"/>
  <c r="D18" i="214"/>
  <c r="I18" i="214"/>
  <c r="E18" i="214"/>
  <c r="F18" i="214"/>
  <c r="N18" i="214"/>
  <c r="J18" i="214"/>
  <c r="K18" i="214"/>
  <c r="O18" i="214"/>
  <c r="P18" i="214"/>
  <c r="L18" i="214"/>
  <c r="Z18" i="214"/>
  <c r="U18" i="214"/>
  <c r="V18" i="214"/>
  <c r="AJ18" i="214"/>
  <c r="X18" i="214"/>
  <c r="Y18" i="214"/>
  <c r="C19" i="214"/>
  <c r="AF18" i="214"/>
  <c r="AG18" i="214"/>
  <c r="D19" i="214"/>
  <c r="E19" i="214"/>
  <c r="F19" i="214"/>
  <c r="J19" i="214"/>
  <c r="G19" i="214"/>
  <c r="I19" i="214"/>
  <c r="P19" i="214"/>
  <c r="K19" i="214"/>
  <c r="L19" i="214"/>
  <c r="U19" i="214"/>
  <c r="N19" i="214"/>
  <c r="O19" i="214"/>
  <c r="V19" i="214"/>
  <c r="X19" i="214"/>
  <c r="Y19" i="214"/>
  <c r="Z19" i="214"/>
  <c r="AF19" i="214"/>
  <c r="AG19" i="214"/>
  <c r="D20" i="214"/>
  <c r="E20" i="214"/>
  <c r="AJ19" i="214"/>
  <c r="G20" i="214"/>
  <c r="I20" i="214"/>
  <c r="C20" i="214"/>
  <c r="J20" i="214"/>
  <c r="K20" i="214"/>
  <c r="F20" i="214"/>
  <c r="L20" i="214"/>
  <c r="N20" i="214"/>
  <c r="O20" i="214"/>
  <c r="X20" i="214"/>
  <c r="P20" i="214"/>
  <c r="U20" i="214"/>
  <c r="Z20" i="214"/>
  <c r="AF20" i="214"/>
  <c r="V20" i="214"/>
  <c r="AG20" i="214"/>
  <c r="AJ20" i="214"/>
  <c r="Y20" i="214"/>
  <c r="G21" i="214"/>
  <c r="C21" i="214"/>
  <c r="D21" i="214"/>
  <c r="I21" i="214"/>
  <c r="E21" i="214"/>
  <c r="F21" i="214"/>
  <c r="N21" i="214"/>
  <c r="J21" i="214"/>
  <c r="K21" i="214"/>
  <c r="O21" i="214"/>
  <c r="P21" i="214"/>
  <c r="L21" i="214"/>
  <c r="Z21" i="214"/>
  <c r="U21" i="214"/>
  <c r="V21" i="214"/>
  <c r="AJ21" i="214"/>
  <c r="X21" i="214"/>
  <c r="Y21" i="214"/>
  <c r="C22" i="214"/>
  <c r="AF21" i="214"/>
  <c r="AG21" i="214"/>
  <c r="D22" i="214"/>
  <c r="E22" i="214"/>
  <c r="F22" i="214"/>
  <c r="J22" i="214"/>
  <c r="G22" i="214"/>
  <c r="I22" i="214"/>
  <c r="P22" i="214"/>
  <c r="K22" i="214"/>
  <c r="L22" i="214"/>
  <c r="U22" i="214"/>
  <c r="N22" i="214"/>
  <c r="O22" i="214"/>
  <c r="V22" i="214"/>
  <c r="X22" i="214"/>
  <c r="Y22" i="214"/>
  <c r="Z22" i="214"/>
  <c r="AF22" i="214"/>
  <c r="AG22" i="214"/>
  <c r="D23" i="214"/>
  <c r="E23" i="214"/>
  <c r="AJ22" i="214"/>
  <c r="G23" i="214"/>
  <c r="I23" i="214"/>
  <c r="C23" i="214"/>
  <c r="J23" i="214"/>
  <c r="K23" i="214"/>
  <c r="F23" i="214"/>
  <c r="L23" i="214"/>
  <c r="N23" i="214"/>
  <c r="O23" i="214"/>
  <c r="X23" i="214"/>
  <c r="P23" i="214"/>
  <c r="U23" i="214"/>
  <c r="Z23" i="214"/>
  <c r="AF23" i="214"/>
  <c r="V23" i="214"/>
  <c r="AG23" i="214"/>
  <c r="AJ23" i="214"/>
  <c r="Y23" i="214"/>
  <c r="G24" i="214"/>
  <c r="C24" i="214"/>
  <c r="D24" i="214"/>
  <c r="I24" i="214"/>
  <c r="E24" i="214"/>
  <c r="F24" i="214"/>
  <c r="N24" i="214"/>
  <c r="J24" i="214"/>
  <c r="K24" i="214"/>
  <c r="O24" i="214"/>
  <c r="P24" i="214"/>
  <c r="L24" i="214"/>
  <c r="Z24" i="214"/>
  <c r="U24" i="214"/>
  <c r="V24" i="214"/>
  <c r="AJ24" i="214"/>
  <c r="X24" i="214"/>
  <c r="Y24" i="214"/>
  <c r="C25" i="214"/>
  <c r="AF24" i="214"/>
  <c r="AG24" i="214"/>
  <c r="D25" i="214"/>
  <c r="E25" i="214"/>
  <c r="F25" i="214"/>
  <c r="J25" i="214"/>
  <c r="G25" i="214"/>
  <c r="I25" i="214"/>
  <c r="P25" i="214"/>
  <c r="K25" i="214"/>
  <c r="L25" i="214"/>
  <c r="U25" i="214"/>
  <c r="N25" i="214"/>
  <c r="O25" i="214"/>
  <c r="V25" i="214"/>
  <c r="X25" i="214"/>
  <c r="Y25" i="214"/>
  <c r="Z25" i="214"/>
  <c r="AF25" i="214"/>
  <c r="AG25" i="214"/>
  <c r="D26" i="214"/>
  <c r="E26" i="214"/>
  <c r="AJ25" i="214"/>
  <c r="G26" i="214"/>
  <c r="I26" i="214"/>
  <c r="C26" i="214"/>
  <c r="J26" i="214"/>
  <c r="K26" i="214"/>
  <c r="F26" i="214"/>
  <c r="L26" i="214"/>
  <c r="N26" i="214"/>
  <c r="O26" i="214"/>
  <c r="X26" i="214"/>
  <c r="P26" i="214"/>
  <c r="U26" i="214"/>
  <c r="Z26" i="214"/>
  <c r="AF26" i="214"/>
  <c r="V26" i="214"/>
  <c r="AG26" i="214"/>
  <c r="AJ26" i="214"/>
  <c r="Y26" i="214"/>
  <c r="G27" i="214"/>
  <c r="C27" i="214"/>
  <c r="D27" i="214"/>
  <c r="I27" i="214"/>
  <c r="E27" i="214"/>
  <c r="F27" i="214"/>
  <c r="N27" i="214"/>
  <c r="J27" i="214"/>
  <c r="K27" i="214"/>
  <c r="O27" i="214"/>
  <c r="P27" i="214"/>
  <c r="L27" i="214"/>
  <c r="Z27" i="214"/>
  <c r="U27" i="214"/>
  <c r="V27" i="214"/>
  <c r="AJ27" i="214"/>
  <c r="X27" i="214"/>
  <c r="Y27" i="214"/>
  <c r="C28" i="214"/>
  <c r="AF27" i="214"/>
  <c r="AG27" i="214"/>
  <c r="D28" i="214"/>
  <c r="E28" i="214"/>
  <c r="F28" i="214"/>
  <c r="J28" i="214"/>
  <c r="G28" i="214"/>
  <c r="I28" i="214"/>
  <c r="P28" i="214"/>
  <c r="K28" i="214"/>
  <c r="L28" i="214"/>
  <c r="U28" i="214"/>
  <c r="N28" i="214"/>
  <c r="O28" i="214"/>
  <c r="V28" i="214"/>
  <c r="X28" i="214"/>
  <c r="Y28" i="214"/>
  <c r="Z28" i="214"/>
  <c r="AF28" i="214"/>
  <c r="AG28" i="214"/>
  <c r="D29" i="214"/>
  <c r="E29" i="214"/>
  <c r="AJ28" i="214"/>
  <c r="G29" i="214"/>
  <c r="I29" i="214"/>
  <c r="C29" i="214"/>
  <c r="J29" i="214"/>
  <c r="K29" i="214"/>
  <c r="F29" i="214"/>
  <c r="L29" i="214"/>
  <c r="N29" i="214"/>
  <c r="O29" i="214"/>
  <c r="X29" i="214"/>
  <c r="P29" i="214"/>
  <c r="U29" i="214"/>
  <c r="Z29" i="214"/>
  <c r="AF29" i="214"/>
  <c r="V29" i="214"/>
  <c r="AG29" i="214"/>
  <c r="AJ29" i="214"/>
  <c r="Y29" i="214"/>
  <c r="J44" i="213"/>
  <c r="J45" i="213"/>
  <c r="J46" i="213"/>
  <c r="J47" i="213"/>
  <c r="J48" i="213"/>
  <c r="J49" i="213"/>
  <c r="J50" i="213"/>
  <c r="J51" i="213"/>
  <c r="J52" i="213"/>
  <c r="D57" i="213"/>
  <c r="J53" i="213"/>
  <c r="D59" i="213"/>
  <c r="D58" i="213"/>
  <c r="D61" i="213"/>
  <c r="D60" i="213"/>
  <c r="D63" i="213"/>
  <c r="D62" i="213"/>
  <c r="D65" i="213"/>
  <c r="D64" i="213"/>
  <c r="D67" i="213"/>
  <c r="D66" i="213"/>
  <c r="C74" i="213"/>
  <c r="C71" i="213"/>
  <c r="E67" i="213"/>
  <c r="E66" i="213"/>
  <c r="E65" i="213"/>
  <c r="E64" i="213"/>
  <c r="E63" i="213"/>
  <c r="E62" i="213"/>
  <c r="E61" i="213"/>
  <c r="E60" i="213"/>
  <c r="E59" i="213"/>
  <c r="E58" i="213"/>
  <c r="E57" i="213"/>
  <c r="S46" i="213"/>
  <c r="BR46" i="213"/>
  <c r="S42" i="213"/>
  <c r="BR42" i="213"/>
  <c r="S40" i="213"/>
  <c r="BR40" i="213"/>
  <c r="S39" i="213"/>
  <c r="BR39" i="213"/>
  <c r="S35" i="213"/>
  <c r="BR35" i="213"/>
  <c r="S34" i="213"/>
  <c r="BR34" i="213"/>
  <c r="S33" i="213"/>
  <c r="BR33" i="213"/>
  <c r="S32" i="213"/>
  <c r="BR32" i="213"/>
  <c r="S30" i="213"/>
  <c r="BR30" i="213"/>
  <c r="S27" i="213"/>
  <c r="BR27" i="213"/>
  <c r="S25" i="213"/>
  <c r="BR25" i="213"/>
  <c r="S23" i="213"/>
  <c r="BR23" i="213"/>
  <c r="B8" i="88"/>
  <c r="B9" i="88" s="1"/>
  <c r="B10" i="88" s="1"/>
  <c r="B11" i="88" s="1"/>
  <c r="B12" i="88" s="1"/>
  <c r="B13" i="88" s="1"/>
  <c r="B14" i="88" s="1"/>
  <c r="B15" i="88" s="1"/>
  <c r="B16" i="88" s="1"/>
  <c r="B17" i="88" s="1"/>
  <c r="B18" i="88" s="1"/>
  <c r="B19" i="88" s="1"/>
  <c r="B20" i="88" s="1"/>
  <c r="B21" i="88" s="1"/>
  <c r="B22" i="88" s="1"/>
  <c r="B7" i="304"/>
  <c r="C7" i="304"/>
  <c r="D7" i="304"/>
  <c r="E7" i="304"/>
  <c r="F7" i="304"/>
  <c r="G7" i="304"/>
  <c r="H7" i="304"/>
  <c r="I7" i="304"/>
  <c r="J7" i="304"/>
  <c r="K7" i="304"/>
  <c r="L7" i="304"/>
  <c r="B14" i="304"/>
  <c r="B17" i="304"/>
  <c r="B26" i="304"/>
  <c r="B34" i="304"/>
  <c r="B40" i="304"/>
  <c r="B42" i="304"/>
  <c r="B10" i="304"/>
  <c r="C14" i="304"/>
  <c r="C17" i="304"/>
  <c r="C26" i="304"/>
  <c r="C34" i="304"/>
  <c r="C10" i="304" s="1"/>
  <c r="C40" i="304"/>
  <c r="C42" i="304"/>
  <c r="D14" i="304"/>
  <c r="D10" i="304" s="1"/>
  <c r="D17" i="304"/>
  <c r="D26" i="304"/>
  <c r="D34" i="304"/>
  <c r="D40" i="304"/>
  <c r="D42" i="304"/>
  <c r="E14" i="304"/>
  <c r="E17" i="304"/>
  <c r="E26" i="304"/>
  <c r="E34" i="304"/>
  <c r="E40" i="304"/>
  <c r="E46" i="304"/>
  <c r="E47" i="304" s="1"/>
  <c r="E48" i="304"/>
  <c r="E49" i="304"/>
  <c r="E50" i="304"/>
  <c r="E51" i="304" s="1"/>
  <c r="E52" i="304"/>
  <c r="E53" i="304"/>
  <c r="F14" i="304"/>
  <c r="F18" i="304"/>
  <c r="F17" i="304" s="1"/>
  <c r="F19" i="304"/>
  <c r="F28" i="304"/>
  <c r="F26" i="304"/>
  <c r="F34" i="304"/>
  <c r="F40" i="304"/>
  <c r="F48" i="304"/>
  <c r="F49" i="304" s="1"/>
  <c r="F52" i="304"/>
  <c r="F53" i="304" s="1"/>
  <c r="G14" i="304"/>
  <c r="G18" i="304"/>
  <c r="G19" i="304" s="1"/>
  <c r="G20" i="304"/>
  <c r="G28" i="304"/>
  <c r="G26" i="304" s="1"/>
  <c r="G34" i="304"/>
  <c r="G40" i="304"/>
  <c r="G48" i="304"/>
  <c r="H48" i="304" s="1"/>
  <c r="G52" i="304"/>
  <c r="H52" i="304" s="1"/>
  <c r="H14" i="304"/>
  <c r="H18" i="304"/>
  <c r="H19" i="304" s="1"/>
  <c r="H20" i="304"/>
  <c r="H28" i="304"/>
  <c r="H26" i="304" s="1"/>
  <c r="H34" i="304"/>
  <c r="H40" i="304"/>
  <c r="I14" i="304"/>
  <c r="I18" i="304"/>
  <c r="I19" i="304" s="1"/>
  <c r="I67" i="304" s="1"/>
  <c r="I307" i="304" s="1"/>
  <c r="I305" i="304" s="1"/>
  <c r="I20" i="304"/>
  <c r="I28" i="304"/>
  <c r="I26" i="304" s="1"/>
  <c r="I34" i="304"/>
  <c r="I40" i="304"/>
  <c r="J14" i="304"/>
  <c r="J20" i="304"/>
  <c r="J34" i="304"/>
  <c r="J40" i="304"/>
  <c r="K14" i="304"/>
  <c r="K20" i="304"/>
  <c r="L20" i="304" s="1"/>
  <c r="L68" i="304" s="1"/>
  <c r="L308" i="304" s="1"/>
  <c r="K34" i="304"/>
  <c r="K40" i="304"/>
  <c r="L14" i="304"/>
  <c r="L34" i="304"/>
  <c r="L40" i="304"/>
  <c r="B59" i="304"/>
  <c r="C59" i="304"/>
  <c r="D59" i="304"/>
  <c r="E59" i="304"/>
  <c r="F59" i="304"/>
  <c r="G59" i="304"/>
  <c r="H59" i="304"/>
  <c r="I59" i="304"/>
  <c r="J59" i="304"/>
  <c r="K59" i="304"/>
  <c r="L59" i="304"/>
  <c r="B60" i="304"/>
  <c r="C60" i="304"/>
  <c r="D60" i="304"/>
  <c r="E60" i="304"/>
  <c r="F60" i="304"/>
  <c r="G60" i="304"/>
  <c r="H60" i="304"/>
  <c r="I60" i="304"/>
  <c r="J60" i="304"/>
  <c r="K60" i="304"/>
  <c r="L60" i="304"/>
  <c r="B61" i="304"/>
  <c r="C61" i="304"/>
  <c r="D61" i="304"/>
  <c r="E61" i="304"/>
  <c r="F61" i="304"/>
  <c r="G61" i="304"/>
  <c r="H61" i="304"/>
  <c r="I61" i="304"/>
  <c r="J61" i="304"/>
  <c r="K61" i="304"/>
  <c r="L61" i="304"/>
  <c r="B63" i="304"/>
  <c r="C63" i="304"/>
  <c r="D63" i="304"/>
  <c r="E63" i="304"/>
  <c r="F63" i="304"/>
  <c r="G63" i="304"/>
  <c r="H63" i="304"/>
  <c r="I63" i="304"/>
  <c r="J63" i="304"/>
  <c r="K63" i="304"/>
  <c r="L63" i="304"/>
  <c r="B64" i="304"/>
  <c r="C64" i="304"/>
  <c r="D64" i="304"/>
  <c r="E64" i="304"/>
  <c r="F64" i="304"/>
  <c r="G64" i="304"/>
  <c r="H64" i="304"/>
  <c r="I64" i="304"/>
  <c r="J64" i="304"/>
  <c r="K64" i="304"/>
  <c r="L64" i="304"/>
  <c r="B66" i="304"/>
  <c r="C66" i="304"/>
  <c r="D66" i="304"/>
  <c r="E66" i="304"/>
  <c r="F66" i="304"/>
  <c r="G66" i="304"/>
  <c r="H66" i="304"/>
  <c r="I66" i="304"/>
  <c r="B67" i="304"/>
  <c r="C67" i="304"/>
  <c r="D67" i="304"/>
  <c r="E67" i="304"/>
  <c r="F67" i="304"/>
  <c r="B68" i="304"/>
  <c r="C68" i="304"/>
  <c r="D68" i="304"/>
  <c r="E68" i="304"/>
  <c r="F68" i="304"/>
  <c r="G68" i="304"/>
  <c r="H68" i="304"/>
  <c r="I68" i="304"/>
  <c r="J68" i="304"/>
  <c r="K68" i="304"/>
  <c r="B69" i="304"/>
  <c r="C69" i="304"/>
  <c r="D69" i="304"/>
  <c r="E69" i="304"/>
  <c r="F69" i="304"/>
  <c r="G69" i="304"/>
  <c r="H69" i="304"/>
  <c r="I69" i="304"/>
  <c r="J69" i="304"/>
  <c r="K69" i="304"/>
  <c r="L69" i="304"/>
  <c r="B70" i="304"/>
  <c r="C70" i="304"/>
  <c r="D70" i="304"/>
  <c r="E70" i="304"/>
  <c r="F70" i="304"/>
  <c r="G70" i="304"/>
  <c r="H70" i="304"/>
  <c r="I70" i="304"/>
  <c r="J70" i="304"/>
  <c r="K70" i="304"/>
  <c r="L70" i="304"/>
  <c r="B71" i="304"/>
  <c r="C71" i="304"/>
  <c r="D71" i="304"/>
  <c r="E71" i="304"/>
  <c r="F71" i="304"/>
  <c r="G71" i="304"/>
  <c r="H71" i="304"/>
  <c r="I71" i="304"/>
  <c r="J71" i="304"/>
  <c r="K71" i="304"/>
  <c r="L71" i="304"/>
  <c r="B72" i="304"/>
  <c r="C72" i="304"/>
  <c r="D72" i="304"/>
  <c r="E72" i="304"/>
  <c r="F72" i="304"/>
  <c r="G72" i="304"/>
  <c r="H72" i="304"/>
  <c r="I72" i="304"/>
  <c r="J72" i="304"/>
  <c r="K72" i="304"/>
  <c r="L72" i="304"/>
  <c r="B73" i="304"/>
  <c r="C73" i="304"/>
  <c r="D73" i="304"/>
  <c r="E73" i="304"/>
  <c r="F73" i="304"/>
  <c r="G73" i="304"/>
  <c r="H73" i="304"/>
  <c r="I73" i="304"/>
  <c r="J73" i="304"/>
  <c r="K73" i="304"/>
  <c r="L73" i="304"/>
  <c r="B75" i="304"/>
  <c r="C75" i="304"/>
  <c r="D75" i="304"/>
  <c r="E75" i="304"/>
  <c r="F75" i="304"/>
  <c r="G75" i="304"/>
  <c r="H75" i="304"/>
  <c r="I75" i="304"/>
  <c r="J75" i="304"/>
  <c r="K75" i="304"/>
  <c r="L75" i="304"/>
  <c r="B76" i="304"/>
  <c r="C76" i="304"/>
  <c r="D76" i="304"/>
  <c r="E76" i="304"/>
  <c r="F76" i="304"/>
  <c r="G76" i="304"/>
  <c r="H76" i="304"/>
  <c r="I76" i="304"/>
  <c r="B77" i="304"/>
  <c r="C77" i="304"/>
  <c r="D77" i="304"/>
  <c r="E77" i="304"/>
  <c r="F77" i="304"/>
  <c r="G77" i="304"/>
  <c r="H77" i="304"/>
  <c r="I77" i="304"/>
  <c r="J77" i="304"/>
  <c r="K77" i="304"/>
  <c r="L77" i="304"/>
  <c r="B78" i="304"/>
  <c r="C78" i="304"/>
  <c r="D78" i="304"/>
  <c r="E78" i="304"/>
  <c r="F78" i="304"/>
  <c r="G78" i="304"/>
  <c r="H78" i="304"/>
  <c r="I78" i="304"/>
  <c r="J78" i="304"/>
  <c r="K78" i="304"/>
  <c r="L78" i="304"/>
  <c r="B79" i="304"/>
  <c r="C79" i="304"/>
  <c r="D79" i="304"/>
  <c r="E79" i="304"/>
  <c r="F79" i="304"/>
  <c r="G79" i="304"/>
  <c r="H79" i="304"/>
  <c r="I79" i="304"/>
  <c r="J79" i="304"/>
  <c r="K79" i="304"/>
  <c r="L79" i="304"/>
  <c r="B80" i="304"/>
  <c r="C80" i="304"/>
  <c r="D80" i="304"/>
  <c r="E80" i="304"/>
  <c r="F80" i="304"/>
  <c r="G80" i="304"/>
  <c r="H80" i="304"/>
  <c r="I80" i="304"/>
  <c r="J80" i="304"/>
  <c r="K80" i="304"/>
  <c r="L80" i="304"/>
  <c r="B81" i="304"/>
  <c r="C81" i="304"/>
  <c r="D81" i="304"/>
  <c r="E81" i="304"/>
  <c r="F81" i="304"/>
  <c r="G81" i="304"/>
  <c r="H81" i="304"/>
  <c r="I81" i="304"/>
  <c r="J81" i="304"/>
  <c r="K81" i="304"/>
  <c r="L81" i="304"/>
  <c r="B83" i="304"/>
  <c r="C83" i="304"/>
  <c r="D83" i="304"/>
  <c r="E83" i="304"/>
  <c r="F83" i="304"/>
  <c r="G83" i="304"/>
  <c r="H83" i="304"/>
  <c r="I83" i="304"/>
  <c r="J83" i="304"/>
  <c r="K83" i="304"/>
  <c r="L83" i="304"/>
  <c r="B84" i="304"/>
  <c r="C84" i="304"/>
  <c r="D84" i="304"/>
  <c r="E84" i="304"/>
  <c r="F84" i="304"/>
  <c r="G84" i="304"/>
  <c r="H84" i="304"/>
  <c r="I84" i="304"/>
  <c r="J84" i="304"/>
  <c r="K84" i="304"/>
  <c r="L84" i="304"/>
  <c r="B85" i="304"/>
  <c r="C85" i="304"/>
  <c r="D85" i="304"/>
  <c r="E85" i="304"/>
  <c r="F85" i="304"/>
  <c r="G85" i="304"/>
  <c r="H85" i="304"/>
  <c r="I85" i="304"/>
  <c r="J85" i="304"/>
  <c r="K85" i="304"/>
  <c r="L85" i="304"/>
  <c r="B86" i="304"/>
  <c r="C86" i="304"/>
  <c r="D86" i="304"/>
  <c r="E86" i="304"/>
  <c r="F86" i="304"/>
  <c r="G86" i="304"/>
  <c r="H86" i="304"/>
  <c r="I86" i="304"/>
  <c r="J86" i="304"/>
  <c r="K86" i="304"/>
  <c r="L86" i="304"/>
  <c r="B87" i="304"/>
  <c r="C87" i="304"/>
  <c r="D87" i="304"/>
  <c r="E87" i="304"/>
  <c r="F87" i="304"/>
  <c r="G87" i="304"/>
  <c r="H87" i="304"/>
  <c r="I87" i="304"/>
  <c r="J87" i="304"/>
  <c r="K87" i="304"/>
  <c r="L87" i="304"/>
  <c r="B89" i="304"/>
  <c r="C89" i="304"/>
  <c r="D89" i="304"/>
  <c r="E89" i="304"/>
  <c r="F89" i="304"/>
  <c r="G89" i="304"/>
  <c r="H89" i="304"/>
  <c r="I89" i="304"/>
  <c r="J89" i="304"/>
  <c r="K89" i="304"/>
  <c r="L89" i="304"/>
  <c r="B91" i="304"/>
  <c r="C91" i="304"/>
  <c r="D91" i="304"/>
  <c r="E91" i="304"/>
  <c r="F91" i="304"/>
  <c r="G91" i="304"/>
  <c r="H91" i="304"/>
  <c r="I91" i="304"/>
  <c r="J91" i="304"/>
  <c r="K91" i="304"/>
  <c r="L91" i="304"/>
  <c r="B92" i="304"/>
  <c r="C92" i="304"/>
  <c r="D92" i="304"/>
  <c r="E92" i="304"/>
  <c r="F92" i="304"/>
  <c r="G92" i="304"/>
  <c r="H92" i="304"/>
  <c r="I92" i="304"/>
  <c r="J92" i="304"/>
  <c r="K92" i="304"/>
  <c r="L92" i="304"/>
  <c r="B93" i="304"/>
  <c r="C93" i="304"/>
  <c r="D93" i="304"/>
  <c r="E93" i="304"/>
  <c r="F93" i="304"/>
  <c r="G93" i="304"/>
  <c r="H93" i="304"/>
  <c r="I93" i="304"/>
  <c r="J93" i="304"/>
  <c r="K93" i="304"/>
  <c r="L93" i="304"/>
  <c r="B94" i="304"/>
  <c r="C94" i="304"/>
  <c r="D94" i="304"/>
  <c r="E94" i="304"/>
  <c r="B95" i="304"/>
  <c r="C95" i="304"/>
  <c r="D95" i="304"/>
  <c r="B96" i="304"/>
  <c r="C96" i="304"/>
  <c r="D96" i="304"/>
  <c r="E96" i="304"/>
  <c r="F96" i="304"/>
  <c r="G96" i="304"/>
  <c r="B97" i="304"/>
  <c r="C97" i="304"/>
  <c r="D97" i="304"/>
  <c r="E97" i="304"/>
  <c r="B98" i="304"/>
  <c r="C98" i="304"/>
  <c r="D98" i="304"/>
  <c r="E98" i="304"/>
  <c r="B99" i="304"/>
  <c r="C99" i="304"/>
  <c r="D99" i="304"/>
  <c r="B100" i="304"/>
  <c r="C100" i="304"/>
  <c r="D100" i="304"/>
  <c r="E100" i="304"/>
  <c r="F100" i="304"/>
  <c r="G100" i="304"/>
  <c r="B101" i="304"/>
  <c r="C101" i="304"/>
  <c r="D101" i="304"/>
  <c r="E101" i="304"/>
  <c r="B102" i="304"/>
  <c r="C102" i="304"/>
  <c r="D102" i="304"/>
  <c r="E102" i="304"/>
  <c r="F102" i="304"/>
  <c r="G102" i="304"/>
  <c r="H102" i="304"/>
  <c r="I102" i="304"/>
  <c r="J102" i="304"/>
  <c r="K102" i="304"/>
  <c r="L102" i="304"/>
  <c r="B103" i="304"/>
  <c r="C103" i="304"/>
  <c r="D103" i="304"/>
  <c r="E103" i="304"/>
  <c r="F103" i="304"/>
  <c r="G103" i="304"/>
  <c r="H103" i="304"/>
  <c r="I103" i="304"/>
  <c r="J103" i="304"/>
  <c r="K103" i="304"/>
  <c r="L103" i="304"/>
  <c r="B104" i="304"/>
  <c r="C104" i="304"/>
  <c r="D104" i="304"/>
  <c r="E104" i="304"/>
  <c r="F104" i="304"/>
  <c r="G104" i="304"/>
  <c r="H104" i="304"/>
  <c r="I104" i="304"/>
  <c r="J104" i="304"/>
  <c r="K104" i="304"/>
  <c r="L104" i="304"/>
  <c r="B105" i="304"/>
  <c r="C105" i="304"/>
  <c r="D105" i="304"/>
  <c r="E105" i="304"/>
  <c r="F105" i="304"/>
  <c r="G105" i="304"/>
  <c r="H105" i="304"/>
  <c r="I105" i="304"/>
  <c r="J105" i="304"/>
  <c r="K105" i="304"/>
  <c r="L105" i="304"/>
  <c r="C107" i="304"/>
  <c r="D107" i="304"/>
  <c r="E107" i="304"/>
  <c r="F107" i="304"/>
  <c r="G107" i="304"/>
  <c r="H107" i="304"/>
  <c r="I107" i="304"/>
  <c r="J107" i="304"/>
  <c r="K107" i="304"/>
  <c r="L107" i="304"/>
  <c r="C108" i="304"/>
  <c r="D108" i="304"/>
  <c r="E108" i="304"/>
  <c r="F108" i="304"/>
  <c r="G108" i="304"/>
  <c r="H108" i="304"/>
  <c r="I108" i="304"/>
  <c r="J108" i="304"/>
  <c r="K108" i="304"/>
  <c r="L108" i="304"/>
  <c r="C109" i="304"/>
  <c r="D109" i="304"/>
  <c r="E109" i="304"/>
  <c r="F109" i="304"/>
  <c r="G109" i="304"/>
  <c r="H109" i="304"/>
  <c r="I109" i="304"/>
  <c r="J109" i="304"/>
  <c r="K109" i="304"/>
  <c r="L109" i="304"/>
  <c r="C111" i="304"/>
  <c r="D111" i="304"/>
  <c r="E111" i="304"/>
  <c r="F111" i="304"/>
  <c r="G111" i="304"/>
  <c r="H111" i="304"/>
  <c r="I111" i="304"/>
  <c r="J111" i="304"/>
  <c r="K111" i="304"/>
  <c r="L111" i="304"/>
  <c r="C112" i="304"/>
  <c r="D112" i="304"/>
  <c r="E112" i="304"/>
  <c r="F112" i="304"/>
  <c r="G112" i="304"/>
  <c r="H112" i="304"/>
  <c r="I112" i="304"/>
  <c r="J112" i="304"/>
  <c r="K112" i="304"/>
  <c r="L112" i="304"/>
  <c r="C114" i="304"/>
  <c r="D114" i="304"/>
  <c r="E114" i="304"/>
  <c r="F114" i="304"/>
  <c r="G114" i="304"/>
  <c r="H114" i="304"/>
  <c r="I114" i="304"/>
  <c r="J114" i="304"/>
  <c r="K114" i="304"/>
  <c r="L114" i="304"/>
  <c r="C115" i="304"/>
  <c r="D115" i="304"/>
  <c r="E115" i="304"/>
  <c r="F115" i="304"/>
  <c r="G115" i="304"/>
  <c r="H115" i="304"/>
  <c r="I115" i="304"/>
  <c r="J115" i="304"/>
  <c r="K115" i="304"/>
  <c r="L115" i="304"/>
  <c r="C116" i="304"/>
  <c r="D116" i="304"/>
  <c r="E116" i="304"/>
  <c r="F116" i="304"/>
  <c r="G116" i="304"/>
  <c r="H116" i="304"/>
  <c r="I116" i="304"/>
  <c r="J116" i="304"/>
  <c r="K116" i="304"/>
  <c r="L116" i="304"/>
  <c r="C117" i="304"/>
  <c r="D117" i="304"/>
  <c r="E117" i="304"/>
  <c r="F117" i="304"/>
  <c r="G117" i="304"/>
  <c r="H117" i="304"/>
  <c r="I117" i="304"/>
  <c r="J117" i="304"/>
  <c r="K117" i="304"/>
  <c r="L117" i="304"/>
  <c r="C118" i="304"/>
  <c r="D118" i="304"/>
  <c r="E118" i="304"/>
  <c r="F118" i="304"/>
  <c r="G118" i="304"/>
  <c r="H118" i="304"/>
  <c r="I118" i="304"/>
  <c r="J118" i="304"/>
  <c r="K118" i="304"/>
  <c r="L118" i="304"/>
  <c r="C119" i="304"/>
  <c r="D119" i="304"/>
  <c r="E119" i="304"/>
  <c r="F119" i="304"/>
  <c r="G119" i="304"/>
  <c r="H119" i="304"/>
  <c r="I119" i="304"/>
  <c r="J119" i="304"/>
  <c r="K119" i="304"/>
  <c r="L119" i="304"/>
  <c r="C120" i="304"/>
  <c r="D120" i="304"/>
  <c r="E120" i="304"/>
  <c r="F120" i="304"/>
  <c r="G120" i="304"/>
  <c r="H120" i="304"/>
  <c r="I120" i="304"/>
  <c r="J120" i="304"/>
  <c r="K120" i="304"/>
  <c r="L120" i="304"/>
  <c r="C121" i="304"/>
  <c r="D121" i="304"/>
  <c r="E121" i="304"/>
  <c r="F121" i="304"/>
  <c r="G121" i="304"/>
  <c r="H121" i="304"/>
  <c r="I121" i="304"/>
  <c r="J121" i="304"/>
  <c r="K121" i="304"/>
  <c r="L121" i="304"/>
  <c r="C123" i="304"/>
  <c r="D123" i="304"/>
  <c r="E123" i="304"/>
  <c r="F123" i="304"/>
  <c r="G123" i="304"/>
  <c r="H123" i="304"/>
  <c r="I123" i="304"/>
  <c r="J123" i="304"/>
  <c r="K123" i="304"/>
  <c r="L123" i="304"/>
  <c r="C124" i="304"/>
  <c r="D124" i="304"/>
  <c r="E124" i="304"/>
  <c r="F124" i="304"/>
  <c r="G124" i="304"/>
  <c r="H124" i="304"/>
  <c r="I124" i="304"/>
  <c r="J124" i="304"/>
  <c r="K124" i="304"/>
  <c r="L124" i="304"/>
  <c r="C125" i="304"/>
  <c r="D125" i="304"/>
  <c r="E125" i="304"/>
  <c r="F125" i="304"/>
  <c r="G125" i="304"/>
  <c r="H125" i="304"/>
  <c r="I125" i="304"/>
  <c r="J125" i="304"/>
  <c r="K125" i="304"/>
  <c r="L125" i="304"/>
  <c r="C126" i="304"/>
  <c r="D126" i="304"/>
  <c r="E126" i="304"/>
  <c r="F126" i="304"/>
  <c r="G126" i="304"/>
  <c r="H126" i="304"/>
  <c r="I126" i="304"/>
  <c r="J126" i="304"/>
  <c r="K126" i="304"/>
  <c r="L126" i="304"/>
  <c r="C127" i="304"/>
  <c r="D127" i="304"/>
  <c r="E127" i="304"/>
  <c r="F127" i="304"/>
  <c r="G127" i="304"/>
  <c r="H127" i="304"/>
  <c r="I127" i="304"/>
  <c r="J127" i="304"/>
  <c r="K127" i="304"/>
  <c r="L127" i="304"/>
  <c r="C128" i="304"/>
  <c r="D128" i="304"/>
  <c r="E128" i="304"/>
  <c r="F128" i="304"/>
  <c r="G128" i="304"/>
  <c r="H128" i="304"/>
  <c r="I128" i="304"/>
  <c r="J128" i="304"/>
  <c r="K128" i="304"/>
  <c r="L128" i="304"/>
  <c r="C129" i="304"/>
  <c r="D129" i="304"/>
  <c r="E129" i="304"/>
  <c r="F129" i="304"/>
  <c r="G129" i="304"/>
  <c r="H129" i="304"/>
  <c r="I129" i="304"/>
  <c r="J129" i="304"/>
  <c r="K129" i="304"/>
  <c r="L129" i="304"/>
  <c r="C131" i="304"/>
  <c r="D131" i="304"/>
  <c r="E131" i="304"/>
  <c r="F131" i="304"/>
  <c r="G131" i="304"/>
  <c r="H131" i="304"/>
  <c r="I131" i="304"/>
  <c r="J131" i="304"/>
  <c r="K131" i="304"/>
  <c r="L131" i="304"/>
  <c r="C132" i="304"/>
  <c r="D132" i="304"/>
  <c r="E132" i="304"/>
  <c r="F132" i="304"/>
  <c r="G132" i="304"/>
  <c r="H132" i="304"/>
  <c r="I132" i="304"/>
  <c r="J132" i="304"/>
  <c r="K132" i="304"/>
  <c r="L132" i="304"/>
  <c r="C133" i="304"/>
  <c r="D133" i="304"/>
  <c r="E133" i="304"/>
  <c r="F133" i="304"/>
  <c r="G133" i="304"/>
  <c r="H133" i="304"/>
  <c r="I133" i="304"/>
  <c r="J133" i="304"/>
  <c r="K133" i="304"/>
  <c r="L133" i="304"/>
  <c r="C134" i="304"/>
  <c r="D134" i="304"/>
  <c r="E134" i="304"/>
  <c r="F134" i="304"/>
  <c r="G134" i="304"/>
  <c r="H134" i="304"/>
  <c r="I134" i="304"/>
  <c r="J134" i="304"/>
  <c r="K134" i="304"/>
  <c r="L134" i="304"/>
  <c r="C135" i="304"/>
  <c r="D135" i="304"/>
  <c r="E135" i="304"/>
  <c r="F135" i="304"/>
  <c r="G135" i="304"/>
  <c r="H135" i="304"/>
  <c r="I135" i="304"/>
  <c r="J135" i="304"/>
  <c r="K135" i="304"/>
  <c r="L135" i="304"/>
  <c r="C137" i="304"/>
  <c r="D137" i="304"/>
  <c r="E137" i="304"/>
  <c r="F137" i="304"/>
  <c r="G137" i="304"/>
  <c r="H137" i="304"/>
  <c r="I137" i="304"/>
  <c r="J137" i="304"/>
  <c r="K137" i="304"/>
  <c r="L137" i="304"/>
  <c r="C139" i="304"/>
  <c r="D139" i="304"/>
  <c r="E139" i="304"/>
  <c r="F139" i="304"/>
  <c r="G139" i="304"/>
  <c r="H139" i="304"/>
  <c r="I139" i="304"/>
  <c r="J139" i="304"/>
  <c r="K139" i="304"/>
  <c r="L139" i="304"/>
  <c r="C140" i="304"/>
  <c r="D140" i="304"/>
  <c r="E140" i="304"/>
  <c r="F140" i="304"/>
  <c r="G140" i="304"/>
  <c r="H140" i="304"/>
  <c r="I140" i="304"/>
  <c r="J140" i="304"/>
  <c r="K140" i="304"/>
  <c r="L140" i="304"/>
  <c r="C141" i="304"/>
  <c r="D141" i="304"/>
  <c r="E141" i="304"/>
  <c r="F141" i="304"/>
  <c r="G141" i="304"/>
  <c r="H141" i="304"/>
  <c r="I141" i="304"/>
  <c r="J141" i="304"/>
  <c r="K141" i="304"/>
  <c r="L141" i="304"/>
  <c r="C142" i="304"/>
  <c r="D142" i="304"/>
  <c r="E142" i="304"/>
  <c r="F142" i="304"/>
  <c r="G142" i="304"/>
  <c r="H142" i="304"/>
  <c r="I142" i="304"/>
  <c r="J142" i="304"/>
  <c r="K142" i="304"/>
  <c r="L142" i="304"/>
  <c r="C143" i="304"/>
  <c r="D143" i="304"/>
  <c r="E143" i="304"/>
  <c r="F143" i="304"/>
  <c r="G143" i="304"/>
  <c r="H143" i="304"/>
  <c r="I143" i="304"/>
  <c r="J143" i="304"/>
  <c r="K143" i="304"/>
  <c r="L143" i="304"/>
  <c r="C144" i="304"/>
  <c r="D144" i="304"/>
  <c r="E144" i="304"/>
  <c r="F144" i="304"/>
  <c r="G144" i="304"/>
  <c r="H144" i="304"/>
  <c r="I144" i="304"/>
  <c r="J144" i="304"/>
  <c r="K144" i="304"/>
  <c r="L144" i="304"/>
  <c r="C145" i="304"/>
  <c r="D145" i="304"/>
  <c r="E145" i="304"/>
  <c r="F145" i="304"/>
  <c r="G145" i="304"/>
  <c r="H145" i="304"/>
  <c r="I145" i="304"/>
  <c r="J145" i="304"/>
  <c r="K145" i="304"/>
  <c r="L145" i="304"/>
  <c r="C146" i="304"/>
  <c r="D146" i="304"/>
  <c r="E146" i="304"/>
  <c r="F146" i="304"/>
  <c r="G146" i="304"/>
  <c r="H146" i="304"/>
  <c r="I146" i="304"/>
  <c r="J146" i="304"/>
  <c r="K146" i="304"/>
  <c r="L146" i="304"/>
  <c r="C147" i="304"/>
  <c r="D147" i="304"/>
  <c r="E147" i="304"/>
  <c r="F147" i="304"/>
  <c r="G147" i="304"/>
  <c r="H147" i="304"/>
  <c r="I147" i="304"/>
  <c r="J147" i="304"/>
  <c r="K147" i="304"/>
  <c r="L147" i="304"/>
  <c r="C148" i="304"/>
  <c r="D148" i="304"/>
  <c r="E148" i="304"/>
  <c r="F148" i="304"/>
  <c r="G148" i="304"/>
  <c r="H148" i="304"/>
  <c r="I148" i="304"/>
  <c r="J148" i="304"/>
  <c r="K148" i="304"/>
  <c r="L148" i="304"/>
  <c r="C149" i="304"/>
  <c r="D149" i="304"/>
  <c r="E149" i="304"/>
  <c r="F149" i="304"/>
  <c r="G149" i="304"/>
  <c r="H149" i="304"/>
  <c r="I149" i="304"/>
  <c r="J149" i="304"/>
  <c r="K149" i="304"/>
  <c r="L149" i="304"/>
  <c r="C150" i="304"/>
  <c r="D150" i="304"/>
  <c r="E150" i="304"/>
  <c r="F150" i="304"/>
  <c r="G150" i="304"/>
  <c r="H150" i="304"/>
  <c r="I150" i="304"/>
  <c r="J150" i="304"/>
  <c r="K150" i="304"/>
  <c r="L150" i="304"/>
  <c r="C151" i="304"/>
  <c r="D151" i="304"/>
  <c r="E151" i="304"/>
  <c r="F151" i="304"/>
  <c r="G151" i="304"/>
  <c r="H151" i="304"/>
  <c r="I151" i="304"/>
  <c r="J151" i="304"/>
  <c r="K151" i="304"/>
  <c r="L151" i="304"/>
  <c r="C152" i="304"/>
  <c r="D152" i="304"/>
  <c r="E152" i="304"/>
  <c r="F152" i="304"/>
  <c r="G152" i="304"/>
  <c r="H152" i="304"/>
  <c r="I152" i="304"/>
  <c r="J152" i="304"/>
  <c r="K152" i="304"/>
  <c r="L152" i="304"/>
  <c r="C153" i="304"/>
  <c r="D153" i="304"/>
  <c r="E153" i="304"/>
  <c r="F153" i="304"/>
  <c r="G153" i="304"/>
  <c r="H153" i="304"/>
  <c r="I153" i="304"/>
  <c r="J153" i="304"/>
  <c r="K153" i="304"/>
  <c r="L153" i="304"/>
  <c r="B203" i="304"/>
  <c r="C203" i="304"/>
  <c r="D203" i="304"/>
  <c r="E203" i="304"/>
  <c r="F203" i="304"/>
  <c r="G203" i="304"/>
  <c r="H203" i="304"/>
  <c r="I203" i="304"/>
  <c r="J203" i="304"/>
  <c r="K203" i="304"/>
  <c r="L203" i="304"/>
  <c r="B204" i="304"/>
  <c r="C204" i="304"/>
  <c r="D204" i="304"/>
  <c r="E204" i="304"/>
  <c r="F204" i="304"/>
  <c r="G204" i="304"/>
  <c r="H204" i="304"/>
  <c r="I204" i="304"/>
  <c r="J204" i="304"/>
  <c r="K204" i="304"/>
  <c r="L204" i="304"/>
  <c r="B205" i="304"/>
  <c r="C205" i="304"/>
  <c r="D205" i="304"/>
  <c r="E205" i="304"/>
  <c r="F205" i="304"/>
  <c r="G205" i="304"/>
  <c r="H205" i="304"/>
  <c r="I205" i="304"/>
  <c r="J205" i="304"/>
  <c r="K205" i="304"/>
  <c r="L205" i="304"/>
  <c r="B207" i="304"/>
  <c r="C207" i="304"/>
  <c r="D207" i="304"/>
  <c r="E207" i="304"/>
  <c r="F207" i="304"/>
  <c r="G207" i="304"/>
  <c r="H207" i="304"/>
  <c r="I207" i="304"/>
  <c r="J207" i="304"/>
  <c r="K207" i="304"/>
  <c r="L207" i="304"/>
  <c r="B208" i="304"/>
  <c r="C208" i="304"/>
  <c r="D208" i="304"/>
  <c r="E208" i="304"/>
  <c r="F208" i="304"/>
  <c r="G208" i="304"/>
  <c r="H208" i="304"/>
  <c r="I208" i="304"/>
  <c r="J208" i="304"/>
  <c r="K208" i="304"/>
  <c r="L208" i="304"/>
  <c r="B210" i="304"/>
  <c r="C210" i="304"/>
  <c r="D210" i="304"/>
  <c r="E210" i="304"/>
  <c r="F210" i="304"/>
  <c r="G210" i="304"/>
  <c r="H210" i="304"/>
  <c r="I210" i="304"/>
  <c r="J210" i="304"/>
  <c r="K210" i="304"/>
  <c r="L210" i="304"/>
  <c r="B211" i="304"/>
  <c r="C211" i="304"/>
  <c r="D211" i="304"/>
  <c r="E211" i="304"/>
  <c r="F211" i="304"/>
  <c r="G211" i="304"/>
  <c r="H211" i="304"/>
  <c r="I211" i="304"/>
  <c r="J211" i="304"/>
  <c r="K211" i="304"/>
  <c r="L211" i="304"/>
  <c r="B212" i="304"/>
  <c r="C212" i="304"/>
  <c r="D212" i="304"/>
  <c r="E212" i="304"/>
  <c r="F212" i="304"/>
  <c r="G212" i="304"/>
  <c r="H212" i="304"/>
  <c r="I212" i="304"/>
  <c r="J212" i="304"/>
  <c r="K212" i="304"/>
  <c r="L212" i="304"/>
  <c r="B213" i="304"/>
  <c r="C213" i="304"/>
  <c r="D213" i="304"/>
  <c r="E213" i="304"/>
  <c r="F213" i="304"/>
  <c r="G213" i="304"/>
  <c r="H213" i="304"/>
  <c r="I213" i="304"/>
  <c r="J213" i="304"/>
  <c r="K213" i="304"/>
  <c r="L213" i="304"/>
  <c r="B214" i="304"/>
  <c r="C214" i="304"/>
  <c r="D214" i="304"/>
  <c r="E214" i="304"/>
  <c r="F214" i="304"/>
  <c r="G214" i="304"/>
  <c r="H214" i="304"/>
  <c r="I214" i="304"/>
  <c r="J214" i="304"/>
  <c r="K214" i="304"/>
  <c r="L214" i="304"/>
  <c r="B215" i="304"/>
  <c r="C215" i="304"/>
  <c r="D215" i="304"/>
  <c r="E215" i="304"/>
  <c r="F215" i="304"/>
  <c r="G215" i="304"/>
  <c r="H215" i="304"/>
  <c r="I215" i="304"/>
  <c r="J215" i="304"/>
  <c r="K215" i="304"/>
  <c r="L215" i="304"/>
  <c r="B216" i="304"/>
  <c r="C216" i="304"/>
  <c r="D216" i="304"/>
  <c r="E216" i="304"/>
  <c r="F216" i="304"/>
  <c r="G216" i="304"/>
  <c r="H216" i="304"/>
  <c r="I216" i="304"/>
  <c r="J216" i="304"/>
  <c r="K216" i="304"/>
  <c r="L216" i="304"/>
  <c r="B217" i="304"/>
  <c r="C217" i="304"/>
  <c r="D217" i="304"/>
  <c r="E217" i="304"/>
  <c r="F217" i="304"/>
  <c r="G217" i="304"/>
  <c r="H217" i="304"/>
  <c r="I217" i="304"/>
  <c r="J217" i="304"/>
  <c r="K217" i="304"/>
  <c r="L217" i="304"/>
  <c r="B219" i="304"/>
  <c r="C219" i="304"/>
  <c r="D219" i="304"/>
  <c r="E219" i="304"/>
  <c r="F219" i="304"/>
  <c r="G219" i="304"/>
  <c r="H219" i="304"/>
  <c r="I219" i="304"/>
  <c r="J219" i="304"/>
  <c r="K219" i="304"/>
  <c r="L219" i="304"/>
  <c r="B220" i="304"/>
  <c r="C220" i="304"/>
  <c r="D220" i="304"/>
  <c r="E220" i="304"/>
  <c r="F220" i="304"/>
  <c r="G220" i="304"/>
  <c r="H220" i="304"/>
  <c r="I220" i="304"/>
  <c r="J220" i="304"/>
  <c r="K220" i="304"/>
  <c r="L220" i="304"/>
  <c r="B221" i="304"/>
  <c r="C221" i="304"/>
  <c r="D221" i="304"/>
  <c r="E221" i="304"/>
  <c r="F221" i="304"/>
  <c r="G221" i="304"/>
  <c r="H221" i="304"/>
  <c r="I221" i="304"/>
  <c r="J221" i="304"/>
  <c r="K221" i="304"/>
  <c r="L221" i="304"/>
  <c r="B222" i="304"/>
  <c r="C222" i="304"/>
  <c r="D222" i="304"/>
  <c r="E222" i="304"/>
  <c r="F222" i="304"/>
  <c r="G222" i="304"/>
  <c r="H222" i="304"/>
  <c r="I222" i="304"/>
  <c r="J222" i="304"/>
  <c r="K222" i="304"/>
  <c r="L222" i="304"/>
  <c r="B223" i="304"/>
  <c r="C223" i="304"/>
  <c r="D223" i="304"/>
  <c r="E223" i="304"/>
  <c r="F223" i="304"/>
  <c r="G223" i="304"/>
  <c r="H223" i="304"/>
  <c r="I223" i="304"/>
  <c r="J223" i="304"/>
  <c r="K223" i="304"/>
  <c r="L223" i="304"/>
  <c r="B224" i="304"/>
  <c r="C224" i="304"/>
  <c r="D224" i="304"/>
  <c r="E224" i="304"/>
  <c r="F224" i="304"/>
  <c r="G224" i="304"/>
  <c r="H224" i="304"/>
  <c r="I224" i="304"/>
  <c r="J224" i="304"/>
  <c r="K224" i="304"/>
  <c r="L224" i="304"/>
  <c r="B225" i="304"/>
  <c r="C225" i="304"/>
  <c r="D225" i="304"/>
  <c r="E225" i="304"/>
  <c r="F225" i="304"/>
  <c r="G225" i="304"/>
  <c r="H225" i="304"/>
  <c r="I225" i="304"/>
  <c r="J225" i="304"/>
  <c r="K225" i="304"/>
  <c r="L225" i="304"/>
  <c r="B227" i="304"/>
  <c r="C227" i="304"/>
  <c r="D227" i="304"/>
  <c r="E227" i="304"/>
  <c r="F227" i="304"/>
  <c r="G227" i="304"/>
  <c r="H227" i="304"/>
  <c r="I227" i="304"/>
  <c r="J227" i="304"/>
  <c r="K227" i="304"/>
  <c r="L227" i="304"/>
  <c r="B228" i="304"/>
  <c r="C228" i="304"/>
  <c r="D228" i="304"/>
  <c r="E228" i="304"/>
  <c r="F228" i="304"/>
  <c r="G228" i="304"/>
  <c r="H228" i="304"/>
  <c r="I228" i="304"/>
  <c r="J228" i="304"/>
  <c r="K228" i="304"/>
  <c r="L228" i="304"/>
  <c r="B229" i="304"/>
  <c r="C229" i="304"/>
  <c r="D229" i="304"/>
  <c r="E229" i="304"/>
  <c r="F229" i="304"/>
  <c r="G229" i="304"/>
  <c r="H229" i="304"/>
  <c r="I229" i="304"/>
  <c r="J229" i="304"/>
  <c r="K229" i="304"/>
  <c r="L229" i="304"/>
  <c r="B230" i="304"/>
  <c r="C230" i="304"/>
  <c r="D230" i="304"/>
  <c r="E230" i="304"/>
  <c r="F230" i="304"/>
  <c r="G230" i="304"/>
  <c r="H230" i="304"/>
  <c r="I230" i="304"/>
  <c r="J230" i="304"/>
  <c r="K230" i="304"/>
  <c r="L230" i="304"/>
  <c r="B231" i="304"/>
  <c r="C231" i="304"/>
  <c r="D231" i="304"/>
  <c r="E231" i="304"/>
  <c r="F231" i="304"/>
  <c r="G231" i="304"/>
  <c r="H231" i="304"/>
  <c r="I231" i="304"/>
  <c r="J231" i="304"/>
  <c r="K231" i="304"/>
  <c r="L231" i="304"/>
  <c r="B233" i="304"/>
  <c r="C233" i="304"/>
  <c r="D233" i="304"/>
  <c r="E233" i="304"/>
  <c r="F233" i="304"/>
  <c r="G233" i="304"/>
  <c r="H233" i="304"/>
  <c r="I233" i="304"/>
  <c r="J233" i="304"/>
  <c r="K233" i="304"/>
  <c r="L233" i="304"/>
  <c r="B235" i="304"/>
  <c r="C235" i="304"/>
  <c r="D235" i="304"/>
  <c r="E235" i="304"/>
  <c r="F235" i="304"/>
  <c r="G235" i="304"/>
  <c r="H235" i="304"/>
  <c r="I235" i="304"/>
  <c r="J235" i="304"/>
  <c r="K235" i="304"/>
  <c r="L235" i="304"/>
  <c r="B236" i="304"/>
  <c r="C236" i="304"/>
  <c r="D236" i="304"/>
  <c r="E236" i="304"/>
  <c r="F236" i="304"/>
  <c r="G236" i="304"/>
  <c r="H236" i="304"/>
  <c r="I236" i="304"/>
  <c r="J236" i="304"/>
  <c r="K236" i="304"/>
  <c r="L236" i="304"/>
  <c r="B237" i="304"/>
  <c r="C237" i="304"/>
  <c r="D237" i="304"/>
  <c r="E237" i="304"/>
  <c r="F237" i="304"/>
  <c r="G237" i="304"/>
  <c r="H237" i="304"/>
  <c r="I237" i="304"/>
  <c r="J237" i="304"/>
  <c r="K237" i="304"/>
  <c r="L237" i="304"/>
  <c r="B238" i="304"/>
  <c r="C238" i="304"/>
  <c r="D238" i="304"/>
  <c r="E238" i="304"/>
  <c r="F238" i="304"/>
  <c r="G238" i="304"/>
  <c r="H238" i="304"/>
  <c r="I238" i="304"/>
  <c r="J238" i="304"/>
  <c r="K238" i="304"/>
  <c r="L238" i="304"/>
  <c r="B239" i="304"/>
  <c r="C239" i="304"/>
  <c r="D239" i="304"/>
  <c r="E239" i="304"/>
  <c r="F239" i="304"/>
  <c r="G239" i="304"/>
  <c r="H239" i="304"/>
  <c r="I239" i="304"/>
  <c r="J239" i="304"/>
  <c r="K239" i="304"/>
  <c r="L239" i="304"/>
  <c r="B240" i="304"/>
  <c r="C240" i="304"/>
  <c r="D240" i="304"/>
  <c r="E240" i="304"/>
  <c r="F240" i="304"/>
  <c r="G240" i="304"/>
  <c r="H240" i="304"/>
  <c r="I240" i="304"/>
  <c r="J240" i="304"/>
  <c r="K240" i="304"/>
  <c r="L240" i="304"/>
  <c r="B241" i="304"/>
  <c r="C241" i="304"/>
  <c r="D241" i="304"/>
  <c r="E241" i="304"/>
  <c r="F241" i="304"/>
  <c r="G241" i="304"/>
  <c r="H241" i="304"/>
  <c r="I241" i="304"/>
  <c r="J241" i="304"/>
  <c r="K241" i="304"/>
  <c r="L241" i="304"/>
  <c r="B242" i="304"/>
  <c r="C242" i="304"/>
  <c r="D242" i="304"/>
  <c r="E242" i="304"/>
  <c r="F242" i="304"/>
  <c r="G242" i="304"/>
  <c r="H242" i="304"/>
  <c r="I242" i="304"/>
  <c r="J242" i="304"/>
  <c r="K242" i="304"/>
  <c r="L242" i="304"/>
  <c r="B243" i="304"/>
  <c r="C243" i="304"/>
  <c r="D243" i="304"/>
  <c r="E243" i="304"/>
  <c r="F243" i="304"/>
  <c r="G243" i="304"/>
  <c r="H243" i="304"/>
  <c r="I243" i="304"/>
  <c r="J243" i="304"/>
  <c r="K243" i="304"/>
  <c r="L243" i="304"/>
  <c r="B244" i="304"/>
  <c r="C244" i="304"/>
  <c r="D244" i="304"/>
  <c r="E244" i="304"/>
  <c r="F244" i="304"/>
  <c r="G244" i="304"/>
  <c r="H244" i="304"/>
  <c r="I244" i="304"/>
  <c r="J244" i="304"/>
  <c r="K244" i="304"/>
  <c r="L244" i="304"/>
  <c r="B245" i="304"/>
  <c r="C245" i="304"/>
  <c r="D245" i="304"/>
  <c r="E245" i="304"/>
  <c r="F245" i="304"/>
  <c r="G245" i="304"/>
  <c r="H245" i="304"/>
  <c r="I245" i="304"/>
  <c r="J245" i="304"/>
  <c r="K245" i="304"/>
  <c r="L245" i="304"/>
  <c r="B246" i="304"/>
  <c r="C246" i="304"/>
  <c r="D246" i="304"/>
  <c r="E246" i="304"/>
  <c r="F246" i="304"/>
  <c r="G246" i="304"/>
  <c r="H246" i="304"/>
  <c r="I246" i="304"/>
  <c r="J246" i="304"/>
  <c r="K246" i="304"/>
  <c r="L246" i="304"/>
  <c r="B247" i="304"/>
  <c r="C247" i="304"/>
  <c r="D247" i="304"/>
  <c r="E247" i="304"/>
  <c r="F247" i="304"/>
  <c r="G247" i="304"/>
  <c r="H247" i="304"/>
  <c r="I247" i="304"/>
  <c r="J247" i="304"/>
  <c r="K247" i="304"/>
  <c r="L247" i="304"/>
  <c r="B248" i="304"/>
  <c r="C248" i="304"/>
  <c r="D248" i="304"/>
  <c r="E248" i="304"/>
  <c r="F248" i="304"/>
  <c r="G248" i="304"/>
  <c r="H248" i="304"/>
  <c r="I248" i="304"/>
  <c r="J248" i="304"/>
  <c r="K248" i="304"/>
  <c r="L248" i="304"/>
  <c r="B249" i="304"/>
  <c r="C249" i="304"/>
  <c r="D249" i="304"/>
  <c r="E249" i="304"/>
  <c r="F249" i="304"/>
  <c r="G249" i="304"/>
  <c r="H249" i="304"/>
  <c r="I249" i="304"/>
  <c r="J249" i="304"/>
  <c r="K249" i="304"/>
  <c r="L249" i="304"/>
  <c r="B299" i="304"/>
  <c r="B300" i="304"/>
  <c r="B301" i="304"/>
  <c r="B303" i="304"/>
  <c r="B302" i="304" s="1"/>
  <c r="B298" i="304" s="1"/>
  <c r="B304" i="304"/>
  <c r="B306" i="304"/>
  <c r="B307" i="304"/>
  <c r="B308" i="304"/>
  <c r="B309" i="304"/>
  <c r="B310" i="304"/>
  <c r="B311" i="304"/>
  <c r="B312" i="304"/>
  <c r="B313" i="304"/>
  <c r="B305" i="304"/>
  <c r="B315" i="304"/>
  <c r="B316" i="304"/>
  <c r="B317" i="304"/>
  <c r="B318" i="304"/>
  <c r="B319" i="304"/>
  <c r="B320" i="304"/>
  <c r="B321" i="304"/>
  <c r="B314" i="304"/>
  <c r="B323" i="304"/>
  <c r="B324" i="304"/>
  <c r="B325" i="304"/>
  <c r="B326" i="304"/>
  <c r="B327" i="304"/>
  <c r="B322" i="304"/>
  <c r="B329" i="304"/>
  <c r="B328" i="304" s="1"/>
  <c r="B331" i="304"/>
  <c r="B332" i="304"/>
  <c r="B333" i="304"/>
  <c r="B334" i="304"/>
  <c r="B335" i="304"/>
  <c r="B336" i="304"/>
  <c r="B337" i="304"/>
  <c r="B338" i="304"/>
  <c r="B339" i="304"/>
  <c r="B340" i="304"/>
  <c r="B341" i="304"/>
  <c r="B342" i="304"/>
  <c r="B343" i="304"/>
  <c r="B344" i="304"/>
  <c r="B345" i="304"/>
  <c r="B330" i="304"/>
  <c r="C299" i="304"/>
  <c r="C300" i="304"/>
  <c r="C301" i="304"/>
  <c r="C303" i="304"/>
  <c r="C302" i="304" s="1"/>
  <c r="C304" i="304"/>
  <c r="C306" i="304"/>
  <c r="C307" i="304"/>
  <c r="C308" i="304"/>
  <c r="C309" i="304"/>
  <c r="C310" i="304"/>
  <c r="C311" i="304"/>
  <c r="C312" i="304"/>
  <c r="C313" i="304"/>
  <c r="C305" i="304"/>
  <c r="C315" i="304"/>
  <c r="C316" i="304"/>
  <c r="C317" i="304"/>
  <c r="C318" i="304"/>
  <c r="C319" i="304"/>
  <c r="C320" i="304"/>
  <c r="C321" i="304"/>
  <c r="C314" i="304"/>
  <c r="C323" i="304"/>
  <c r="C322" i="304" s="1"/>
  <c r="C324" i="304"/>
  <c r="C325" i="304"/>
  <c r="C326" i="304"/>
  <c r="C327" i="304"/>
  <c r="C329" i="304"/>
  <c r="C328" i="304"/>
  <c r="C331" i="304"/>
  <c r="C332" i="304"/>
  <c r="C333" i="304"/>
  <c r="C334" i="304"/>
  <c r="C335" i="304"/>
  <c r="C336" i="304"/>
  <c r="C337" i="304"/>
  <c r="C338" i="304"/>
  <c r="C339" i="304"/>
  <c r="C340" i="304"/>
  <c r="C341" i="304"/>
  <c r="C342" i="304"/>
  <c r="C343" i="304"/>
  <c r="C344" i="304"/>
  <c r="C345" i="304"/>
  <c r="C330" i="304"/>
  <c r="D299" i="304"/>
  <c r="D300" i="304"/>
  <c r="D301" i="304"/>
  <c r="D303" i="304"/>
  <c r="D302" i="304" s="1"/>
  <c r="D298" i="304" s="1"/>
  <c r="D304" i="304"/>
  <c r="D306" i="304"/>
  <c r="D307" i="304"/>
  <c r="D308" i="304"/>
  <c r="D309" i="304"/>
  <c r="D310" i="304"/>
  <c r="D311" i="304"/>
  <c r="D312" i="304"/>
  <c r="D313" i="304"/>
  <c r="D305" i="304"/>
  <c r="D315" i="304"/>
  <c r="D316" i="304"/>
  <c r="D317" i="304"/>
  <c r="D318" i="304"/>
  <c r="D319" i="304"/>
  <c r="D320" i="304"/>
  <c r="D321" i="304"/>
  <c r="D314" i="304"/>
  <c r="D323" i="304"/>
  <c r="D322" i="304" s="1"/>
  <c r="D324" i="304"/>
  <c r="D325" i="304"/>
  <c r="D326" i="304"/>
  <c r="D327" i="304"/>
  <c r="D329" i="304"/>
  <c r="D328" i="304"/>
  <c r="D331" i="304"/>
  <c r="D332" i="304"/>
  <c r="D333" i="304"/>
  <c r="D334" i="304"/>
  <c r="D335" i="304"/>
  <c r="D336" i="304"/>
  <c r="D337" i="304"/>
  <c r="D338" i="304"/>
  <c r="D339" i="304"/>
  <c r="D340" i="304"/>
  <c r="D341" i="304"/>
  <c r="D342" i="304"/>
  <c r="D343" i="304"/>
  <c r="D344" i="304"/>
  <c r="D345" i="304"/>
  <c r="D330" i="304"/>
  <c r="E299" i="304"/>
  <c r="E300" i="304"/>
  <c r="E301" i="304"/>
  <c r="E303" i="304"/>
  <c r="E302" i="304" s="1"/>
  <c r="E304" i="304"/>
  <c r="E306" i="304"/>
  <c r="E307" i="304"/>
  <c r="E308" i="304"/>
  <c r="E309" i="304"/>
  <c r="E310" i="304"/>
  <c r="E311" i="304"/>
  <c r="E312" i="304"/>
  <c r="E313" i="304"/>
  <c r="E305" i="304"/>
  <c r="E315" i="304"/>
  <c r="E316" i="304"/>
  <c r="E317" i="304"/>
  <c r="E318" i="304"/>
  <c r="E319" i="304"/>
  <c r="E320" i="304"/>
  <c r="E321" i="304"/>
  <c r="E314" i="304"/>
  <c r="E323" i="304"/>
  <c r="E322" i="304" s="1"/>
  <c r="E324" i="304"/>
  <c r="E325" i="304"/>
  <c r="E326" i="304"/>
  <c r="E327" i="304"/>
  <c r="E329" i="304"/>
  <c r="E328" i="304"/>
  <c r="E331" i="304"/>
  <c r="E332" i="304"/>
  <c r="E333" i="304"/>
  <c r="E334" i="304"/>
  <c r="E336" i="304"/>
  <c r="E337" i="304"/>
  <c r="E338" i="304"/>
  <c r="E340" i="304"/>
  <c r="E341" i="304"/>
  <c r="E342" i="304"/>
  <c r="E343" i="304"/>
  <c r="E344" i="304"/>
  <c r="E345" i="304"/>
  <c r="F299" i="304"/>
  <c r="F300" i="304"/>
  <c r="F301" i="304"/>
  <c r="F303" i="304"/>
  <c r="F302" i="304" s="1"/>
  <c r="F304" i="304"/>
  <c r="F306" i="304"/>
  <c r="F307" i="304"/>
  <c r="F308" i="304"/>
  <c r="F309" i="304"/>
  <c r="F310" i="304"/>
  <c r="F311" i="304"/>
  <c r="F305" i="304" s="1"/>
  <c r="F312" i="304"/>
  <c r="F313" i="304"/>
  <c r="F315" i="304"/>
  <c r="F316" i="304"/>
  <c r="F317" i="304"/>
  <c r="F318" i="304"/>
  <c r="F319" i="304"/>
  <c r="F320" i="304"/>
  <c r="F321" i="304"/>
  <c r="F314" i="304"/>
  <c r="F323" i="304"/>
  <c r="F322" i="304" s="1"/>
  <c r="F324" i="304"/>
  <c r="F325" i="304"/>
  <c r="F326" i="304"/>
  <c r="F327" i="304"/>
  <c r="F329" i="304"/>
  <c r="F328" i="304"/>
  <c r="F331" i="304"/>
  <c r="F332" i="304"/>
  <c r="F333" i="304"/>
  <c r="F336" i="304"/>
  <c r="F340" i="304"/>
  <c r="F342" i="304"/>
  <c r="F343" i="304"/>
  <c r="F344" i="304"/>
  <c r="F345" i="304"/>
  <c r="G299" i="304"/>
  <c r="G300" i="304"/>
  <c r="G301" i="304"/>
  <c r="G303" i="304"/>
  <c r="G302" i="304" s="1"/>
  <c r="G304" i="304"/>
  <c r="G306" i="304"/>
  <c r="G308" i="304"/>
  <c r="G309" i="304"/>
  <c r="G310" i="304"/>
  <c r="G311" i="304"/>
  <c r="G312" i="304"/>
  <c r="G313" i="304"/>
  <c r="G315" i="304"/>
  <c r="G316" i="304"/>
  <c r="G317" i="304"/>
  <c r="G318" i="304"/>
  <c r="G319" i="304"/>
  <c r="G320" i="304"/>
  <c r="G321" i="304"/>
  <c r="G314" i="304"/>
  <c r="G323" i="304"/>
  <c r="G322" i="304" s="1"/>
  <c r="G324" i="304"/>
  <c r="G325" i="304"/>
  <c r="G326" i="304"/>
  <c r="G327" i="304"/>
  <c r="G329" i="304"/>
  <c r="G328" i="304"/>
  <c r="G331" i="304"/>
  <c r="G332" i="304"/>
  <c r="G333" i="304"/>
  <c r="G336" i="304"/>
  <c r="G340" i="304"/>
  <c r="G342" i="304"/>
  <c r="G343" i="304"/>
  <c r="G344" i="304"/>
  <c r="G345" i="304"/>
  <c r="H299" i="304"/>
  <c r="H300" i="304"/>
  <c r="H301" i="304"/>
  <c r="H303" i="304"/>
  <c r="H302" i="304" s="1"/>
  <c r="H304" i="304"/>
  <c r="H306" i="304"/>
  <c r="H308" i="304"/>
  <c r="H309" i="304"/>
  <c r="H310" i="304"/>
  <c r="H311" i="304"/>
  <c r="H312" i="304"/>
  <c r="H313" i="304"/>
  <c r="H315" i="304"/>
  <c r="H316" i="304"/>
  <c r="H317" i="304"/>
  <c r="H318" i="304"/>
  <c r="H319" i="304"/>
  <c r="H320" i="304"/>
  <c r="H321" i="304"/>
  <c r="H314" i="304"/>
  <c r="H323" i="304"/>
  <c r="H322" i="304" s="1"/>
  <c r="H324" i="304"/>
  <c r="H325" i="304"/>
  <c r="H326" i="304"/>
  <c r="H327" i="304"/>
  <c r="H329" i="304"/>
  <c r="H328" i="304"/>
  <c r="H331" i="304"/>
  <c r="H332" i="304"/>
  <c r="H333" i="304"/>
  <c r="H342" i="304"/>
  <c r="H343" i="304"/>
  <c r="H344" i="304"/>
  <c r="H345" i="304"/>
  <c r="I299" i="304"/>
  <c r="I300" i="304"/>
  <c r="I301" i="304"/>
  <c r="I303" i="304"/>
  <c r="I302" i="304" s="1"/>
  <c r="I304" i="304"/>
  <c r="I306" i="304"/>
  <c r="I308" i="304"/>
  <c r="I309" i="304"/>
  <c r="I310" i="304"/>
  <c r="I311" i="304"/>
  <c r="I312" i="304"/>
  <c r="I313" i="304"/>
  <c r="I315" i="304"/>
  <c r="I316" i="304"/>
  <c r="I317" i="304"/>
  <c r="I318" i="304"/>
  <c r="I319" i="304"/>
  <c r="I320" i="304"/>
  <c r="I321" i="304"/>
  <c r="I314" i="304"/>
  <c r="I323" i="304"/>
  <c r="I322" i="304" s="1"/>
  <c r="I324" i="304"/>
  <c r="I325" i="304"/>
  <c r="I326" i="304"/>
  <c r="I327" i="304"/>
  <c r="I329" i="304"/>
  <c r="I328" i="304"/>
  <c r="I331" i="304"/>
  <c r="I332" i="304"/>
  <c r="I333" i="304"/>
  <c r="I342" i="304"/>
  <c r="I343" i="304"/>
  <c r="I344" i="304"/>
  <c r="I345" i="304"/>
  <c r="J299" i="304"/>
  <c r="J300" i="304"/>
  <c r="J301" i="304"/>
  <c r="J303" i="304"/>
  <c r="J302" i="304" s="1"/>
  <c r="J304" i="304"/>
  <c r="J308" i="304"/>
  <c r="J309" i="304"/>
  <c r="J310" i="304"/>
  <c r="J311" i="304"/>
  <c r="J312" i="304"/>
  <c r="J313" i="304"/>
  <c r="J315" i="304"/>
  <c r="J317" i="304"/>
  <c r="J318" i="304"/>
  <c r="J319" i="304"/>
  <c r="J320" i="304"/>
  <c r="J321" i="304"/>
  <c r="J323" i="304"/>
  <c r="J322" i="304" s="1"/>
  <c r="J324" i="304"/>
  <c r="J325" i="304"/>
  <c r="J326" i="304"/>
  <c r="J327" i="304"/>
  <c r="J329" i="304"/>
  <c r="J328" i="304"/>
  <c r="J331" i="304"/>
  <c r="J332" i="304"/>
  <c r="J333" i="304"/>
  <c r="J342" i="304"/>
  <c r="J343" i="304"/>
  <c r="J344" i="304"/>
  <c r="J345" i="304"/>
  <c r="K299" i="304"/>
  <c r="K300" i="304"/>
  <c r="K301" i="304"/>
  <c r="K303" i="304"/>
  <c r="K302" i="304" s="1"/>
  <c r="K304" i="304"/>
  <c r="K308" i="304"/>
  <c r="K309" i="304"/>
  <c r="K310" i="304"/>
  <c r="K311" i="304"/>
  <c r="K312" i="304"/>
  <c r="K313" i="304"/>
  <c r="K315" i="304"/>
  <c r="K317" i="304"/>
  <c r="K318" i="304"/>
  <c r="K319" i="304"/>
  <c r="K320" i="304"/>
  <c r="K321" i="304"/>
  <c r="K323" i="304"/>
  <c r="K322" i="304" s="1"/>
  <c r="K324" i="304"/>
  <c r="K325" i="304"/>
  <c r="K326" i="304"/>
  <c r="K327" i="304"/>
  <c r="K329" i="304"/>
  <c r="K328" i="304"/>
  <c r="K331" i="304"/>
  <c r="K332" i="304"/>
  <c r="K333" i="304"/>
  <c r="K342" i="304"/>
  <c r="K343" i="304"/>
  <c r="K344" i="304"/>
  <c r="K345" i="304"/>
  <c r="L299" i="304"/>
  <c r="L300" i="304"/>
  <c r="L301" i="304"/>
  <c r="L303" i="304"/>
  <c r="L302" i="304" s="1"/>
  <c r="L304" i="304"/>
  <c r="L309" i="304"/>
  <c r="L310" i="304"/>
  <c r="L311" i="304"/>
  <c r="L312" i="304"/>
  <c r="L313" i="304"/>
  <c r="L315" i="304"/>
  <c r="L317" i="304"/>
  <c r="L318" i="304"/>
  <c r="L319" i="304"/>
  <c r="L320" i="304"/>
  <c r="L321" i="304"/>
  <c r="L323" i="304"/>
  <c r="L322" i="304" s="1"/>
  <c r="M322" i="304" s="1"/>
  <c r="L324" i="304"/>
  <c r="L325" i="304"/>
  <c r="L326" i="304"/>
  <c r="L327" i="304"/>
  <c r="L329" i="304"/>
  <c r="L328" i="304"/>
  <c r="L331" i="304"/>
  <c r="L332" i="304"/>
  <c r="L333" i="304"/>
  <c r="L342" i="304"/>
  <c r="L343" i="304"/>
  <c r="L344" i="304"/>
  <c r="L345" i="304"/>
  <c r="M299" i="304"/>
  <c r="M300" i="304"/>
  <c r="M301" i="304"/>
  <c r="M303" i="304"/>
  <c r="M304" i="304"/>
  <c r="M308" i="304"/>
  <c r="M309" i="304"/>
  <c r="M310" i="304"/>
  <c r="M311" i="304"/>
  <c r="M315" i="304"/>
  <c r="M317" i="304"/>
  <c r="M318" i="304"/>
  <c r="M319" i="304"/>
  <c r="M321" i="304"/>
  <c r="M323" i="304"/>
  <c r="M324" i="304"/>
  <c r="M328" i="304"/>
  <c r="M329" i="304"/>
  <c r="M331" i="304"/>
  <c r="M332" i="304"/>
  <c r="M333" i="304"/>
  <c r="M342" i="304"/>
  <c r="M343" i="304"/>
  <c r="B1" i="213"/>
  <c r="L2" i="213" s="1"/>
  <c r="B2" i="213"/>
  <c r="B3" i="213"/>
  <c r="L3" i="213"/>
  <c r="B4" i="213"/>
  <c r="L4" i="213"/>
  <c r="B5" i="213"/>
  <c r="L5" i="213"/>
  <c r="B6" i="213"/>
  <c r="L6" i="213"/>
  <c r="B7" i="213"/>
  <c r="B8" i="213"/>
  <c r="A10" i="213"/>
  <c r="AX10" i="213"/>
  <c r="BC10" i="213" s="1"/>
  <c r="AY10" i="213"/>
  <c r="BD10" i="213"/>
  <c r="R11" i="213"/>
  <c r="S11" i="213"/>
  <c r="T11" i="213"/>
  <c r="U11" i="213"/>
  <c r="V11" i="213"/>
  <c r="W11" i="213"/>
  <c r="BS11" i="213"/>
  <c r="BT11" i="213"/>
  <c r="BU11" i="213"/>
  <c r="BV11" i="213"/>
  <c r="BW11" i="213"/>
  <c r="BX11" i="213"/>
  <c r="BY11" i="213"/>
  <c r="BZ11" i="213"/>
  <c r="B13" i="213"/>
  <c r="A13" i="213"/>
  <c r="C298" i="304" l="1"/>
  <c r="E99" i="304"/>
  <c r="E339" i="304" s="1"/>
  <c r="M302" i="304"/>
  <c r="I52" i="304"/>
  <c r="H100" i="304"/>
  <c r="H340" i="304" s="1"/>
  <c r="G53" i="304"/>
  <c r="F101" i="304"/>
  <c r="F341" i="304" s="1"/>
  <c r="I48" i="304"/>
  <c r="H96" i="304"/>
  <c r="H336" i="304" s="1"/>
  <c r="G49" i="304"/>
  <c r="F97" i="304"/>
  <c r="F337" i="304" s="1"/>
  <c r="H67" i="304"/>
  <c r="H307" i="304" s="1"/>
  <c r="H305" i="304" s="1"/>
  <c r="H17" i="304"/>
  <c r="G17" i="304"/>
  <c r="G67" i="304"/>
  <c r="G307" i="304" s="1"/>
  <c r="G305" i="304" s="1"/>
  <c r="E42" i="304"/>
  <c r="E10" i="304" s="1"/>
  <c r="E95" i="304"/>
  <c r="E335" i="304" s="1"/>
  <c r="E330" i="304" s="1"/>
  <c r="E298" i="304" s="1"/>
  <c r="J28" i="304"/>
  <c r="J18" i="304"/>
  <c r="I17" i="304"/>
  <c r="F50" i="304"/>
  <c r="F51" i="304" s="1"/>
  <c r="F99" i="304" s="1"/>
  <c r="F339" i="304" s="1"/>
  <c r="F46" i="304"/>
  <c r="F47" i="304" s="1"/>
  <c r="F95" i="304" s="1"/>
  <c r="F335" i="304" s="1"/>
  <c r="BS13" i="213"/>
  <c r="BT13" i="213"/>
  <c r="BU13" i="213"/>
  <c r="BV13" i="213"/>
  <c r="BW13" i="213"/>
  <c r="BX13" i="213"/>
  <c r="BY13" i="213"/>
  <c r="BZ13" i="213"/>
  <c r="CE13" i="213"/>
  <c r="B14" i="213"/>
  <c r="A14" i="213"/>
  <c r="J76" i="304" l="1"/>
  <c r="J316" i="304" s="1"/>
  <c r="J314" i="304" s="1"/>
  <c r="K28" i="304"/>
  <c r="J26" i="304"/>
  <c r="J17" i="304"/>
  <c r="K18" i="304"/>
  <c r="J66" i="304"/>
  <c r="J306" i="304" s="1"/>
  <c r="J305" i="304" s="1"/>
  <c r="J19" i="304"/>
  <c r="J67" i="304" s="1"/>
  <c r="J307" i="304" s="1"/>
  <c r="J52" i="304"/>
  <c r="I100" i="304"/>
  <c r="I340" i="304" s="1"/>
  <c r="G46" i="304"/>
  <c r="G47" i="304" s="1"/>
  <c r="G95" i="304" s="1"/>
  <c r="G335" i="304" s="1"/>
  <c r="F94" i="304"/>
  <c r="F334" i="304" s="1"/>
  <c r="F42" i="304"/>
  <c r="F10" i="304" s="1"/>
  <c r="J48" i="304"/>
  <c r="I96" i="304"/>
  <c r="I336" i="304" s="1"/>
  <c r="H53" i="304"/>
  <c r="G101" i="304"/>
  <c r="G341" i="304" s="1"/>
  <c r="G50" i="304"/>
  <c r="F98" i="304"/>
  <c r="F338" i="304" s="1"/>
  <c r="G51" i="304"/>
  <c r="G99" i="304" s="1"/>
  <c r="G339" i="304" s="1"/>
  <c r="H49" i="304"/>
  <c r="G97" i="304"/>
  <c r="G337" i="304" s="1"/>
  <c r="BS14" i="213"/>
  <c r="BT14" i="213"/>
  <c r="BU14" i="213"/>
  <c r="BV14" i="213"/>
  <c r="BW14" i="213"/>
  <c r="BX14" i="213"/>
  <c r="BY14" i="213"/>
  <c r="BZ14" i="213"/>
  <c r="CE14" i="213"/>
  <c r="B15" i="213"/>
  <c r="A15" i="213"/>
  <c r="L28" i="304" l="1"/>
  <c r="K76" i="304"/>
  <c r="K316" i="304" s="1"/>
  <c r="K314" i="304" s="1"/>
  <c r="K26" i="304"/>
  <c r="H101" i="304"/>
  <c r="H341" i="304" s="1"/>
  <c r="I53" i="304"/>
  <c r="H97" i="304"/>
  <c r="H337" i="304" s="1"/>
  <c r="I49" i="304"/>
  <c r="K48" i="304"/>
  <c r="J96" i="304"/>
  <c r="J336" i="304" s="1"/>
  <c r="H46" i="304"/>
  <c r="H47" i="304" s="1"/>
  <c r="H95" i="304" s="1"/>
  <c r="H335" i="304" s="1"/>
  <c r="G42" i="304"/>
  <c r="G10" i="304" s="1"/>
  <c r="G94" i="304"/>
  <c r="G334" i="304" s="1"/>
  <c r="H50" i="304"/>
  <c r="H51" i="304" s="1"/>
  <c r="H99" i="304" s="1"/>
  <c r="H339" i="304" s="1"/>
  <c r="G98" i="304"/>
  <c r="G338" i="304" s="1"/>
  <c r="F330" i="304"/>
  <c r="F298" i="304" s="1"/>
  <c r="K52" i="304"/>
  <c r="J100" i="304"/>
  <c r="J340" i="304" s="1"/>
  <c r="K17" i="304"/>
  <c r="L18" i="304"/>
  <c r="K19" i="304"/>
  <c r="K67" i="304" s="1"/>
  <c r="K307" i="304" s="1"/>
  <c r="K66" i="304"/>
  <c r="K306" i="304" s="1"/>
  <c r="BS15" i="213"/>
  <c r="BT15" i="213"/>
  <c r="BU15" i="213"/>
  <c r="BV15" i="213"/>
  <c r="BW15" i="213"/>
  <c r="BX15" i="213"/>
  <c r="BY15" i="213"/>
  <c r="BZ15" i="213"/>
  <c r="CE15" i="213"/>
  <c r="B16" i="213"/>
  <c r="A16" i="213"/>
  <c r="G330" i="304" l="1"/>
  <c r="G298" i="304" s="1"/>
  <c r="I97" i="304"/>
  <c r="I337" i="304" s="1"/>
  <c r="J49" i="304"/>
  <c r="K305" i="304"/>
  <c r="K96" i="304"/>
  <c r="K336" i="304" s="1"/>
  <c r="L48" i="304"/>
  <c r="L96" i="304" s="1"/>
  <c r="L336" i="304" s="1"/>
  <c r="M336" i="304" s="1"/>
  <c r="K100" i="304"/>
  <c r="K340" i="304" s="1"/>
  <c r="L52" i="304"/>
  <c r="L100" i="304" s="1"/>
  <c r="L340" i="304" s="1"/>
  <c r="M340" i="304" s="1"/>
  <c r="I101" i="304"/>
  <c r="I341" i="304" s="1"/>
  <c r="J53" i="304"/>
  <c r="L26" i="304"/>
  <c r="L76" i="304"/>
  <c r="L316" i="304" s="1"/>
  <c r="L19" i="304"/>
  <c r="L67" i="304" s="1"/>
  <c r="L307" i="304" s="1"/>
  <c r="M307" i="304" s="1"/>
  <c r="L17" i="304"/>
  <c r="L66" i="304"/>
  <c r="L306" i="304" s="1"/>
  <c r="I51" i="304"/>
  <c r="I99" i="304" s="1"/>
  <c r="I339" i="304" s="1"/>
  <c r="I50" i="304"/>
  <c r="H98" i="304"/>
  <c r="H338" i="304" s="1"/>
  <c r="H42" i="304"/>
  <c r="H10" i="304" s="1"/>
  <c r="I47" i="304"/>
  <c r="I95" i="304" s="1"/>
  <c r="I335" i="304" s="1"/>
  <c r="I46" i="304"/>
  <c r="H94" i="304"/>
  <c r="H334" i="304" s="1"/>
  <c r="H330" i="304" s="1"/>
  <c r="H298" i="304" s="1"/>
  <c r="BS16" i="213"/>
  <c r="BT16" i="213"/>
  <c r="BU16" i="213"/>
  <c r="BV16" i="213"/>
  <c r="BW16" i="213"/>
  <c r="BX16" i="213"/>
  <c r="BY16" i="213"/>
  <c r="BZ16" i="213"/>
  <c r="CE16" i="213"/>
  <c r="B17" i="213"/>
  <c r="A17" i="213"/>
  <c r="J101" i="304" l="1"/>
  <c r="J341" i="304" s="1"/>
  <c r="K53" i="304"/>
  <c r="I94" i="304"/>
  <c r="I334" i="304" s="1"/>
  <c r="J46" i="304"/>
  <c r="I42" i="304"/>
  <c r="I10" i="304" s="1"/>
  <c r="J47" i="304"/>
  <c r="J95" i="304" s="1"/>
  <c r="J335" i="304" s="1"/>
  <c r="I98" i="304"/>
  <c r="I338" i="304" s="1"/>
  <c r="J50" i="304"/>
  <c r="J51" i="304"/>
  <c r="J99" i="304" s="1"/>
  <c r="J339" i="304" s="1"/>
  <c r="J97" i="304"/>
  <c r="J337" i="304" s="1"/>
  <c r="K49" i="304"/>
  <c r="M316" i="304"/>
  <c r="L314" i="304"/>
  <c r="M314" i="304" s="1"/>
  <c r="L305" i="304"/>
  <c r="M306" i="304"/>
  <c r="BS17" i="213"/>
  <c r="BT17" i="213"/>
  <c r="BU17" i="213"/>
  <c r="BV17" i="213"/>
  <c r="BW17" i="213"/>
  <c r="BX17" i="213"/>
  <c r="BY17" i="213"/>
  <c r="BZ17" i="213"/>
  <c r="CE17" i="213"/>
  <c r="B18" i="213"/>
  <c r="A18" i="213"/>
  <c r="I330" i="304" l="1"/>
  <c r="I298" i="304" s="1"/>
  <c r="M305" i="304"/>
  <c r="K97" i="304"/>
  <c r="K337" i="304" s="1"/>
  <c r="L49" i="304"/>
  <c r="L97" i="304" s="1"/>
  <c r="L337" i="304" s="1"/>
  <c r="M337" i="304" s="1"/>
  <c r="K101" i="304"/>
  <c r="K341" i="304" s="1"/>
  <c r="L53" i="304"/>
  <c r="L101" i="304" s="1"/>
  <c r="L341" i="304" s="1"/>
  <c r="M341" i="304" s="1"/>
  <c r="K50" i="304"/>
  <c r="J98" i="304"/>
  <c r="J338" i="304" s="1"/>
  <c r="K46" i="304"/>
  <c r="J94" i="304"/>
  <c r="J334" i="304" s="1"/>
  <c r="J42" i="304"/>
  <c r="J10" i="304" s="1"/>
  <c r="BS18" i="213"/>
  <c r="BT18" i="213"/>
  <c r="BU18" i="213"/>
  <c r="BV18" i="213"/>
  <c r="BW18" i="213"/>
  <c r="BX18" i="213"/>
  <c r="BY18" i="213"/>
  <c r="BZ18" i="213"/>
  <c r="CE18" i="213"/>
  <c r="B19" i="213"/>
  <c r="A19" i="213"/>
  <c r="J330" i="304" l="1"/>
  <c r="J298" i="304" s="1"/>
  <c r="L50" i="304"/>
  <c r="L98" i="304" s="1"/>
  <c r="L338" i="304" s="1"/>
  <c r="M338" i="304" s="1"/>
  <c r="K98" i="304"/>
  <c r="K338" i="304" s="1"/>
  <c r="L46" i="304"/>
  <c r="K94" i="304"/>
  <c r="K334" i="304" s="1"/>
  <c r="K47" i="304"/>
  <c r="K95" i="304" s="1"/>
  <c r="K335" i="304" s="1"/>
  <c r="K51" i="304"/>
  <c r="K99" i="304" s="1"/>
  <c r="K339" i="304" s="1"/>
  <c r="BS19" i="213"/>
  <c r="BT19" i="213"/>
  <c r="BU19" i="213"/>
  <c r="BV19" i="213"/>
  <c r="BW19" i="213"/>
  <c r="BX19" i="213"/>
  <c r="BY19" i="213"/>
  <c r="BZ19" i="213"/>
  <c r="CE19" i="213"/>
  <c r="B20" i="213"/>
  <c r="A20" i="213"/>
  <c r="K330" i="304" l="1"/>
  <c r="K298" i="304" s="1"/>
  <c r="L94" i="304"/>
  <c r="L334" i="304" s="1"/>
  <c r="L47" i="304"/>
  <c r="L95" i="304" s="1"/>
  <c r="L335" i="304" s="1"/>
  <c r="M335" i="304" s="1"/>
  <c r="L51" i="304"/>
  <c r="L99" i="304" s="1"/>
  <c r="L339" i="304" s="1"/>
  <c r="M339" i="304" s="1"/>
  <c r="K42" i="304"/>
  <c r="K10" i="304" s="1"/>
  <c r="BS20" i="213"/>
  <c r="BT20" i="213"/>
  <c r="BU20" i="213"/>
  <c r="BV20" i="213"/>
  <c r="BW20" i="213"/>
  <c r="BX20" i="213"/>
  <c r="BY20" i="213"/>
  <c r="BZ20" i="213"/>
  <c r="CE20" i="213"/>
  <c r="B21" i="213"/>
  <c r="A21" i="213"/>
  <c r="L330" i="304" l="1"/>
  <c r="M334" i="304"/>
  <c r="L42" i="304"/>
  <c r="L10" i="304" s="1"/>
  <c r="BS21" i="213"/>
  <c r="BT21" i="213"/>
  <c r="BU21" i="213"/>
  <c r="BV21" i="213"/>
  <c r="BW21" i="213"/>
  <c r="BX21" i="213"/>
  <c r="BY21" i="213"/>
  <c r="BZ21" i="213"/>
  <c r="CE21" i="213"/>
  <c r="B22" i="213"/>
  <c r="A22" i="213"/>
  <c r="M330" i="304" l="1"/>
  <c r="L298" i="304"/>
  <c r="M298" i="304" s="1"/>
  <c r="BS22" i="213"/>
  <c r="BT22" i="213"/>
  <c r="BU22" i="213"/>
  <c r="BV22" i="213"/>
  <c r="BW22" i="213"/>
  <c r="BX22" i="213"/>
  <c r="BY22" i="213"/>
  <c r="BZ22" i="213"/>
  <c r="CE22" i="213"/>
  <c r="B23" i="213"/>
  <c r="A23" i="213"/>
  <c r="BS23" i="213"/>
  <c r="BT23" i="213"/>
  <c r="BU23" i="213"/>
  <c r="BV23" i="213"/>
  <c r="BW23" i="213"/>
  <c r="BX23" i="213"/>
  <c r="BY23" i="213"/>
  <c r="BZ23" i="213"/>
  <c r="CE23" i="213"/>
  <c r="B24" i="213"/>
  <c r="A24" i="213"/>
  <c r="BS24" i="213"/>
  <c r="BT24" i="213"/>
  <c r="BU24" i="213"/>
  <c r="BV24" i="213"/>
  <c r="BW24" i="213"/>
  <c r="BX24" i="213"/>
  <c r="BY24" i="213"/>
  <c r="BZ24" i="213"/>
  <c r="CE24" i="213"/>
  <c r="B25" i="213"/>
  <c r="A25" i="213"/>
  <c r="BS25" i="213"/>
  <c r="BT25" i="213"/>
  <c r="BU25" i="213"/>
  <c r="BV25" i="213"/>
  <c r="BW25" i="213"/>
  <c r="BX25" i="213"/>
  <c r="BY25" i="213"/>
  <c r="BZ25" i="213"/>
  <c r="CE25" i="213"/>
  <c r="B26" i="213"/>
  <c r="A26" i="213"/>
  <c r="BS26" i="213"/>
  <c r="BT26" i="213"/>
  <c r="BU26" i="213"/>
  <c r="BV26" i="213"/>
  <c r="BW26" i="213"/>
  <c r="BX26" i="213"/>
  <c r="BY26" i="213"/>
  <c r="BZ26" i="213"/>
  <c r="CE26" i="213"/>
  <c r="B27" i="213"/>
  <c r="A27" i="213"/>
  <c r="BS27" i="213"/>
  <c r="BT27" i="213"/>
  <c r="BU27" i="213"/>
  <c r="BV27" i="213"/>
  <c r="BW27" i="213"/>
  <c r="BX27" i="213"/>
  <c r="BY27" i="213"/>
  <c r="BZ27" i="213"/>
  <c r="CE27" i="213"/>
  <c r="B28" i="213"/>
  <c r="A28" i="213"/>
  <c r="BS28" i="213"/>
  <c r="BT28" i="213"/>
  <c r="BU28" i="213"/>
  <c r="BV28" i="213"/>
  <c r="BW28" i="213"/>
  <c r="BX28" i="213"/>
  <c r="BY28" i="213"/>
  <c r="BZ28" i="213"/>
  <c r="CE28" i="213"/>
  <c r="B29" i="213"/>
  <c r="A29" i="213"/>
  <c r="BS29" i="213"/>
  <c r="BT29" i="213"/>
  <c r="BU29" i="213"/>
  <c r="BV29" i="213"/>
  <c r="BW29" i="213"/>
  <c r="BX29" i="213"/>
  <c r="BY29" i="213"/>
  <c r="BZ29" i="213"/>
  <c r="CE29" i="213"/>
  <c r="B30" i="213"/>
  <c r="A30" i="213"/>
  <c r="BS30" i="213"/>
  <c r="BT30" i="213"/>
  <c r="BU30" i="213"/>
  <c r="BV30" i="213"/>
  <c r="BW30" i="213"/>
  <c r="BX30" i="213"/>
  <c r="BY30" i="213"/>
  <c r="BZ30" i="213"/>
  <c r="CE30" i="213"/>
  <c r="B31" i="213"/>
  <c r="A31" i="213"/>
  <c r="BS31" i="213"/>
  <c r="BT31" i="213"/>
  <c r="BU31" i="213"/>
  <c r="BV31" i="213"/>
  <c r="BW31" i="213"/>
  <c r="BX31" i="213"/>
  <c r="BY31" i="213"/>
  <c r="BZ31" i="213"/>
  <c r="CE31" i="213"/>
  <c r="B32" i="213"/>
  <c r="A32" i="213"/>
  <c r="BS32" i="213"/>
  <c r="BT32" i="213"/>
  <c r="BU32" i="213"/>
  <c r="BV32" i="213"/>
  <c r="BW32" i="213"/>
  <c r="BX32" i="213"/>
  <c r="BY32" i="213"/>
  <c r="BZ32" i="213"/>
  <c r="CE32" i="213"/>
  <c r="B33" i="213"/>
  <c r="A33" i="213"/>
  <c r="BS33" i="213"/>
  <c r="BT33" i="213"/>
  <c r="BU33" i="213"/>
  <c r="BV33" i="213"/>
  <c r="BW33" i="213"/>
  <c r="BX33" i="213"/>
  <c r="BY33" i="213"/>
  <c r="BZ33" i="213"/>
  <c r="CE33" i="213"/>
  <c r="B34" i="213"/>
  <c r="A34" i="213"/>
  <c r="BS34" i="213"/>
  <c r="BT34" i="213"/>
  <c r="BU34" i="213"/>
  <c r="BV34" i="213"/>
  <c r="BW34" i="213"/>
  <c r="BX34" i="213"/>
  <c r="BY34" i="213"/>
  <c r="BZ34" i="213"/>
  <c r="CE34" i="213"/>
  <c r="B35" i="213"/>
  <c r="A35" i="213"/>
  <c r="BS35" i="213"/>
  <c r="BT35" i="213"/>
  <c r="BU35" i="213"/>
  <c r="BV35" i="213"/>
  <c r="BW35" i="213"/>
  <c r="BX35" i="213"/>
  <c r="BY35" i="213"/>
  <c r="BZ35" i="213"/>
  <c r="CE35" i="213"/>
  <c r="B36" i="213"/>
  <c r="A36" i="213"/>
  <c r="BS36" i="213"/>
  <c r="BT36" i="213"/>
  <c r="BU36" i="213"/>
  <c r="BV36" i="213"/>
  <c r="BW36" i="213"/>
  <c r="BX36" i="213"/>
  <c r="BY36" i="213"/>
  <c r="BZ36" i="213"/>
  <c r="CE36" i="213"/>
  <c r="B37" i="213"/>
  <c r="A37" i="213"/>
  <c r="BS37" i="213"/>
  <c r="BT37" i="213"/>
  <c r="BU37" i="213"/>
  <c r="BV37" i="213"/>
  <c r="BW37" i="213"/>
  <c r="BX37" i="213"/>
  <c r="BY37" i="213"/>
  <c r="BZ37" i="213"/>
  <c r="CE37" i="213"/>
  <c r="B38" i="213"/>
  <c r="A38" i="213"/>
  <c r="BS38" i="213"/>
  <c r="BT38" i="213"/>
  <c r="BU38" i="213"/>
  <c r="BV38" i="213"/>
  <c r="BW38" i="213"/>
  <c r="BX38" i="213"/>
  <c r="BY38" i="213"/>
  <c r="BZ38" i="213"/>
  <c r="CE38" i="213"/>
  <c r="B39" i="213"/>
  <c r="A39" i="213"/>
  <c r="BS39" i="213"/>
  <c r="BT39" i="213"/>
  <c r="BU39" i="213"/>
  <c r="BV39" i="213"/>
  <c r="BW39" i="213"/>
  <c r="BX39" i="213"/>
  <c r="BY39" i="213"/>
  <c r="BZ39" i="213"/>
  <c r="CE39" i="213"/>
  <c r="B40" i="213"/>
  <c r="A40" i="213"/>
  <c r="BS40" i="213"/>
  <c r="BT40" i="213"/>
  <c r="BU40" i="213"/>
  <c r="BV40" i="213"/>
  <c r="BW40" i="213"/>
  <c r="BX40" i="213"/>
  <c r="BY40" i="213"/>
  <c r="BZ40" i="213"/>
  <c r="CE40" i="213"/>
  <c r="B41" i="213"/>
  <c r="A41" i="213"/>
  <c r="BS41" i="213"/>
  <c r="BT41" i="213"/>
  <c r="BU41" i="213"/>
  <c r="BV41" i="213"/>
  <c r="BW41" i="213"/>
  <c r="BX41" i="213"/>
  <c r="BY41" i="213"/>
  <c r="BZ41" i="213"/>
  <c r="CE41" i="213"/>
  <c r="B42" i="213"/>
  <c r="A42" i="213"/>
  <c r="BS42" i="213"/>
  <c r="BT42" i="213"/>
  <c r="BU42" i="213"/>
  <c r="BV42" i="213"/>
  <c r="BW42" i="213"/>
  <c r="BX42" i="213"/>
  <c r="BY42" i="213"/>
  <c r="BZ42" i="213"/>
  <c r="CE42" i="213"/>
  <c r="A43" i="213"/>
  <c r="B44" i="213"/>
  <c r="A44" i="213"/>
  <c r="BS44" i="213"/>
  <c r="BT44" i="213"/>
  <c r="BU44" i="213"/>
  <c r="BV44" i="213"/>
  <c r="BW44" i="213"/>
  <c r="BX44" i="213"/>
  <c r="BY44" i="213"/>
  <c r="BZ44" i="213"/>
  <c r="B45" i="213"/>
  <c r="A45" i="213"/>
  <c r="BS45" i="213"/>
  <c r="BT45" i="213"/>
  <c r="BU45" i="213"/>
  <c r="BV45" i="213"/>
  <c r="BW45" i="213"/>
  <c r="BX45" i="213"/>
  <c r="BY45" i="213"/>
  <c r="BZ45" i="213"/>
  <c r="B46" i="213"/>
  <c r="A46" i="213"/>
  <c r="BS46" i="213"/>
  <c r="BT46" i="213"/>
  <c r="BU46" i="213"/>
  <c r="BV46" i="213"/>
  <c r="BW46" i="213"/>
  <c r="BX46" i="213"/>
  <c r="BY46" i="213"/>
  <c r="BZ46" i="213"/>
  <c r="B47" i="213"/>
  <c r="A47" i="213"/>
  <c r="BS47" i="213"/>
  <c r="BT47" i="213"/>
  <c r="BU47" i="213"/>
  <c r="BV47" i="213"/>
  <c r="BW47" i="213"/>
  <c r="BX47" i="213"/>
  <c r="BY47" i="213"/>
  <c r="BZ47" i="213"/>
  <c r="B48" i="213"/>
  <c r="A48" i="213"/>
  <c r="G48" i="213"/>
  <c r="BS48" i="213"/>
  <c r="BT48" i="213"/>
  <c r="BU48" i="213"/>
  <c r="BV48" i="213"/>
  <c r="BW48" i="213"/>
  <c r="BX48" i="213"/>
  <c r="BY48" i="213"/>
  <c r="BZ48" i="213"/>
  <c r="B49" i="213"/>
  <c r="A49" i="213"/>
  <c r="G49" i="213"/>
  <c r="BS49" i="213"/>
  <c r="BT49" i="213"/>
  <c r="BU49" i="213"/>
  <c r="BV49" i="213"/>
  <c r="BW49" i="213"/>
  <c r="BX49" i="213"/>
  <c r="BY49" i="213"/>
  <c r="BZ49" i="213"/>
  <c r="B50" i="213"/>
  <c r="A50" i="213"/>
  <c r="G50" i="213"/>
  <c r="BS50" i="213"/>
  <c r="BT50" i="213"/>
  <c r="BU50" i="213"/>
  <c r="BV50" i="213"/>
  <c r="BW50" i="213"/>
  <c r="BX50" i="213"/>
  <c r="BY50" i="213"/>
  <c r="BZ50" i="213"/>
  <c r="B51" i="213"/>
  <c r="A51" i="213"/>
  <c r="G51" i="213"/>
  <c r="BS51" i="213"/>
  <c r="BT51" i="213"/>
  <c r="BU51" i="213"/>
  <c r="BV51" i="213"/>
  <c r="BW51" i="213"/>
  <c r="BX51" i="213"/>
  <c r="BY51" i="213"/>
  <c r="BZ51" i="213"/>
  <c r="B52" i="213"/>
  <c r="A52" i="213"/>
  <c r="G52" i="213"/>
  <c r="BS52" i="213"/>
  <c r="BT52" i="213"/>
  <c r="BU52" i="213"/>
  <c r="BV52" i="213"/>
  <c r="BW52" i="213"/>
  <c r="BX52" i="213"/>
  <c r="BY52" i="213"/>
  <c r="BZ52" i="213"/>
  <c r="B53" i="213"/>
  <c r="A53" i="213"/>
  <c r="G53" i="213"/>
  <c r="BS53" i="213"/>
  <c r="BT53" i="213"/>
  <c r="BU53" i="213"/>
  <c r="BV53" i="213"/>
  <c r="BW53" i="213"/>
  <c r="BX53" i="213"/>
  <c r="BY53" i="213"/>
  <c r="BZ53" i="213"/>
  <c r="C57" i="213"/>
  <c r="C58" i="213"/>
  <c r="C59" i="213"/>
  <c r="AJ2" i="214"/>
  <c r="AI10" i="214"/>
  <c r="AI11" i="214"/>
  <c r="AI12" i="214"/>
  <c r="AI13" i="214"/>
  <c r="AI14" i="214"/>
  <c r="AI15" i="214"/>
  <c r="AI16" i="214"/>
  <c r="AI17" i="214"/>
  <c r="AI18" i="214"/>
  <c r="AI19" i="214"/>
  <c r="AI20" i="214"/>
  <c r="AI21" i="214"/>
  <c r="AI22" i="214"/>
  <c r="AI23" i="214"/>
  <c r="AI24" i="214"/>
  <c r="AI25" i="214"/>
  <c r="AI26" i="214"/>
  <c r="AI27" i="214"/>
  <c r="AI28" i="214"/>
  <c r="AI29" i="214"/>
  <c r="AI30" i="214"/>
  <c r="AI31" i="214"/>
  <c r="AI32" i="214"/>
  <c r="AI33" i="214"/>
  <c r="AI34" i="214"/>
  <c r="AI35" i="214"/>
  <c r="AI36" i="214"/>
  <c r="AI37" i="214"/>
  <c r="AI38" i="214"/>
  <c r="AI39" i="214"/>
  <c r="AI40" i="214"/>
  <c r="B5" i="273"/>
  <c r="B6" i="273"/>
  <c r="B3" i="273" s="1"/>
  <c r="E3" i="273" s="1"/>
  <c r="B7" i="273"/>
  <c r="B8" i="273"/>
  <c r="B9" i="273"/>
  <c r="B10" i="273"/>
  <c r="C9" i="273"/>
  <c r="C10" i="273"/>
  <c r="C3" i="273"/>
  <c r="E8" i="271"/>
  <c r="E16" i="271"/>
  <c r="G3" i="270"/>
  <c r="F4" i="270"/>
  <c r="G4" i="270" s="1"/>
  <c r="F5" i="270"/>
  <c r="G5" i="270" s="1"/>
  <c r="F6" i="270"/>
  <c r="G6" i="270" s="1"/>
  <c r="F7" i="270"/>
  <c r="G7" i="270" s="1"/>
  <c r="F8" i="270"/>
  <c r="G8" i="270" s="1"/>
  <c r="E14" i="270"/>
  <c r="E31" i="270"/>
  <c r="G13" i="269"/>
  <c r="G19" i="269"/>
  <c r="G51" i="269"/>
  <c r="D4" i="267"/>
  <c r="D5" i="267"/>
  <c r="D6" i="267"/>
  <c r="D7" i="267"/>
  <c r="D17" i="267" s="1"/>
  <c r="B4" i="273" s="1"/>
  <c r="D8" i="267"/>
  <c r="D9" i="267"/>
  <c r="D10" i="267"/>
  <c r="D11" i="267"/>
  <c r="D12" i="267"/>
  <c r="D13" i="267"/>
  <c r="D14" i="267"/>
  <c r="D15" i="267"/>
  <c r="D16" i="267"/>
  <c r="N4" i="266"/>
  <c r="N5" i="266"/>
  <c r="G6" i="266"/>
  <c r="N6" i="266"/>
  <c r="G7" i="266"/>
  <c r="N7" i="266"/>
  <c r="N8" i="266"/>
  <c r="N9" i="266"/>
  <c r="N10" i="266"/>
  <c r="N11" i="266"/>
  <c r="N14" i="266"/>
  <c r="N15" i="266"/>
  <c r="N16" i="266"/>
  <c r="N17" i="266"/>
  <c r="N18" i="266"/>
  <c r="N19" i="266"/>
  <c r="N20" i="266"/>
  <c r="N21" i="266"/>
  <c r="N22" i="266"/>
  <c r="N23" i="266"/>
  <c r="N24" i="266"/>
  <c r="N25" i="266"/>
  <c r="N26" i="266"/>
  <c r="N27" i="266"/>
  <c r="N28" i="266"/>
  <c r="N29" i="266"/>
  <c r="N30" i="266"/>
  <c r="N31" i="266"/>
  <c r="N32" i="266"/>
  <c r="N33" i="266"/>
  <c r="N34" i="266"/>
  <c r="N35" i="266"/>
  <c r="N36" i="266"/>
  <c r="N50" i="266"/>
  <c r="N55" i="266" s="1"/>
  <c r="N56" i="266" s="1"/>
  <c r="N51" i="266"/>
  <c r="N52" i="266"/>
  <c r="N53" i="266"/>
  <c r="N54" i="266"/>
  <c r="O56" i="266"/>
  <c r="C5" i="282"/>
  <c r="B8" i="282"/>
  <c r="B14" i="282" s="1"/>
  <c r="C9" i="282"/>
  <c r="D9" i="282"/>
  <c r="E9" i="282" s="1"/>
  <c r="F9" i="282"/>
  <c r="G9" i="282" s="1"/>
  <c r="H9" i="282" s="1"/>
  <c r="I9" i="282" s="1"/>
  <c r="J9" i="282" s="1"/>
  <c r="K9" i="282" s="1"/>
  <c r="L9" i="282" s="1"/>
  <c r="M9" i="282" s="1"/>
  <c r="N9" i="282" s="1"/>
  <c r="O9" i="282" s="1"/>
  <c r="P9" i="282" s="1"/>
  <c r="Q9" i="282" s="1"/>
  <c r="R9" i="282" s="1"/>
  <c r="S9" i="282" s="1"/>
  <c r="T9" i="282" s="1"/>
  <c r="C10" i="282"/>
  <c r="D10" i="282"/>
  <c r="E10" i="282" s="1"/>
  <c r="F10" i="282"/>
  <c r="G10" i="282" s="1"/>
  <c r="H10" i="282" s="1"/>
  <c r="I10" i="282" s="1"/>
  <c r="J10" i="282" s="1"/>
  <c r="K10" i="282" s="1"/>
  <c r="L10" i="282" s="1"/>
  <c r="M10" i="282" s="1"/>
  <c r="N10" i="282" s="1"/>
  <c r="O10" i="282" s="1"/>
  <c r="P10" i="282" s="1"/>
  <c r="Q10" i="282" s="1"/>
  <c r="R10" i="282" s="1"/>
  <c r="S10" i="282" s="1"/>
  <c r="T10" i="282" s="1"/>
  <c r="C15" i="282"/>
  <c r="D15" i="282"/>
  <c r="E15" i="282" s="1"/>
  <c r="F15" i="282" s="1"/>
  <c r="G15" i="282" s="1"/>
  <c r="H15" i="282" s="1"/>
  <c r="I15" i="282" s="1"/>
  <c r="J15" i="282" s="1"/>
  <c r="K15" i="282" s="1"/>
  <c r="L15" i="282" s="1"/>
  <c r="M15" i="282" s="1"/>
  <c r="N15" i="282" s="1"/>
  <c r="O15" i="282" s="1"/>
  <c r="P15" i="282" s="1"/>
  <c r="Q15" i="282" s="1"/>
  <c r="R15" i="282" s="1"/>
  <c r="S15" i="282" s="1"/>
  <c r="T15" i="282" s="1"/>
  <c r="G16" i="282"/>
  <c r="H16" i="282"/>
  <c r="I16" i="282" s="1"/>
  <c r="J16" i="282" s="1"/>
  <c r="K16" i="282" s="1"/>
  <c r="L16" i="282" s="1"/>
  <c r="M16" i="282" s="1"/>
  <c r="N16" i="282" s="1"/>
  <c r="O16" i="282" s="1"/>
  <c r="P16" i="282" s="1"/>
  <c r="Q16" i="282" s="1"/>
  <c r="R16" i="282" s="1"/>
  <c r="S16" i="282" s="1"/>
  <c r="T16" i="282" s="1"/>
  <c r="U18" i="282"/>
  <c r="F46" i="282"/>
  <c r="F19" i="282"/>
  <c r="G46" i="282"/>
  <c r="H46" i="282" s="1"/>
  <c r="G19" i="282"/>
  <c r="F22" i="282"/>
  <c r="G22" i="282"/>
  <c r="H49" i="282"/>
  <c r="H22" i="282"/>
  <c r="I49" i="282"/>
  <c r="J49" i="282" s="1"/>
  <c r="I22" i="282"/>
  <c r="K48" i="282"/>
  <c r="L48" i="282"/>
  <c r="F33" i="282"/>
  <c r="G33" i="282"/>
  <c r="H33" i="282"/>
  <c r="I33" i="282"/>
  <c r="J33" i="282"/>
  <c r="K33" i="282"/>
  <c r="L33" i="282"/>
  <c r="M33" i="282"/>
  <c r="N33" i="282"/>
  <c r="O33" i="282"/>
  <c r="P33" i="282"/>
  <c r="Q33" i="282"/>
  <c r="R33" i="282"/>
  <c r="S33" i="282"/>
  <c r="T33" i="282"/>
  <c r="U33" i="282"/>
  <c r="F34" i="282"/>
  <c r="G34" i="282"/>
  <c r="H34" i="282"/>
  <c r="I34" i="282"/>
  <c r="J34" i="282"/>
  <c r="K34" i="282"/>
  <c r="L34" i="282"/>
  <c r="M34" i="282"/>
  <c r="N34" i="282"/>
  <c r="O34" i="282"/>
  <c r="P34" i="282"/>
  <c r="Q34" i="282"/>
  <c r="R34" i="282"/>
  <c r="S34" i="282"/>
  <c r="T34" i="282"/>
  <c r="U34" i="282"/>
  <c r="F63" i="282"/>
  <c r="G63" i="282"/>
  <c r="F64" i="282"/>
  <c r="G64" i="282"/>
  <c r="B14" i="265"/>
  <c r="C15" i="265"/>
  <c r="M6" i="265"/>
  <c r="E6" i="265"/>
  <c r="H7" i="265"/>
  <c r="I7" i="265"/>
  <c r="I9" i="265"/>
  <c r="I11" i="265"/>
  <c r="G10" i="265"/>
  <c r="P10" i="265"/>
  <c r="G11" i="265"/>
  <c r="N11" i="265"/>
  <c r="D13" i="265"/>
  <c r="H13" i="265"/>
  <c r="B79" i="264"/>
  <c r="B51" i="264" s="1"/>
  <c r="B52" i="264"/>
  <c r="B53" i="264" s="1"/>
  <c r="C4" i="264"/>
  <c r="D4" i="264"/>
  <c r="D5" i="264"/>
  <c r="D6" i="264"/>
  <c r="D8" i="264"/>
  <c r="D9" i="264"/>
  <c r="D10" i="264"/>
  <c r="D11" i="264"/>
  <c r="D12" i="264"/>
  <c r="H52" i="264"/>
  <c r="I4" i="264"/>
  <c r="M35" i="264"/>
  <c r="K10" i="265" s="1"/>
  <c r="M36" i="264"/>
  <c r="K11" i="265" s="1"/>
  <c r="T4" i="264"/>
  <c r="S4" i="264" s="1"/>
  <c r="R5" i="264"/>
  <c r="T5" i="264"/>
  <c r="T6" i="264"/>
  <c r="T7" i="264"/>
  <c r="R8" i="264"/>
  <c r="T8" i="264"/>
  <c r="R9" i="264"/>
  <c r="T9" i="264" s="1"/>
  <c r="R10" i="264"/>
  <c r="T10" i="264"/>
  <c r="T12" i="264"/>
  <c r="T13" i="264"/>
  <c r="T14" i="264"/>
  <c r="T15" i="264"/>
  <c r="T16" i="264"/>
  <c r="T17" i="264"/>
  <c r="T19" i="264"/>
  <c r="T20" i="264"/>
  <c r="T21" i="264"/>
  <c r="T22" i="264"/>
  <c r="T24" i="264"/>
  <c r="R25" i="264"/>
  <c r="T25" i="264" s="1"/>
  <c r="T26" i="264"/>
  <c r="T29" i="264"/>
  <c r="T30" i="264"/>
  <c r="T31" i="264"/>
  <c r="Y38" i="264"/>
  <c r="Y39" i="264"/>
  <c r="Y40" i="264"/>
  <c r="Y52" i="264" s="1"/>
  <c r="Y41" i="264"/>
  <c r="Y42" i="264"/>
  <c r="AE4" i="264"/>
  <c r="AD22" i="264"/>
  <c r="AD38" i="264"/>
  <c r="AD39" i="264"/>
  <c r="AD40" i="264"/>
  <c r="AD41" i="264"/>
  <c r="AD42" i="264"/>
  <c r="AD43" i="264"/>
  <c r="AD44" i="264"/>
  <c r="AD45" i="264"/>
  <c r="AD46" i="264"/>
  <c r="AD47" i="264"/>
  <c r="AD48" i="264"/>
  <c r="AD49" i="264"/>
  <c r="AD52" i="264"/>
  <c r="C5" i="264"/>
  <c r="I5" i="264"/>
  <c r="S5" i="264"/>
  <c r="AE5" i="264"/>
  <c r="C6" i="264"/>
  <c r="I6" i="264"/>
  <c r="S6" i="264"/>
  <c r="AE6" i="264"/>
  <c r="S7" i="264"/>
  <c r="AE7" i="264"/>
  <c r="C8" i="264"/>
  <c r="I8" i="264"/>
  <c r="S8" i="264"/>
  <c r="AE8" i="264"/>
  <c r="C9" i="264"/>
  <c r="I9" i="264"/>
  <c r="C10" i="264"/>
  <c r="I10" i="264"/>
  <c r="S10" i="264"/>
  <c r="AE10" i="264"/>
  <c r="C11" i="264"/>
  <c r="I11" i="264"/>
  <c r="AE11" i="264"/>
  <c r="I12" i="264"/>
  <c r="S12" i="264"/>
  <c r="AE12" i="264"/>
  <c r="C13" i="264"/>
  <c r="S13" i="264"/>
  <c r="AE13" i="264"/>
  <c r="S14" i="264"/>
  <c r="AE14" i="264"/>
  <c r="C15" i="264"/>
  <c r="S15" i="264"/>
  <c r="AE15" i="264"/>
  <c r="C16" i="264"/>
  <c r="S16" i="264"/>
  <c r="AE16" i="264"/>
  <c r="C17" i="264"/>
  <c r="S17" i="264"/>
  <c r="AE17" i="264"/>
  <c r="C18" i="264"/>
  <c r="AE18" i="264"/>
  <c r="C19" i="264"/>
  <c r="S19" i="264"/>
  <c r="AE19" i="264"/>
  <c r="C20" i="264"/>
  <c r="S20" i="264"/>
  <c r="AE20" i="264"/>
  <c r="C21" i="264"/>
  <c r="S21" i="264"/>
  <c r="AE21" i="264"/>
  <c r="S22" i="264"/>
  <c r="AC22" i="264"/>
  <c r="AE22" i="264"/>
  <c r="C23" i="264"/>
  <c r="AE23" i="264"/>
  <c r="I24" i="264"/>
  <c r="S24" i="264"/>
  <c r="AE24" i="264"/>
  <c r="I25" i="264"/>
  <c r="I26" i="264"/>
  <c r="S26" i="264"/>
  <c r="AE26" i="264"/>
  <c r="S29" i="264"/>
  <c r="S30" i="264"/>
  <c r="AE30" i="264"/>
  <c r="S31" i="264"/>
  <c r="AE35" i="264"/>
  <c r="AE36" i="264"/>
  <c r="X38" i="264"/>
  <c r="AC38" i="264"/>
  <c r="AE38" i="264"/>
  <c r="X39" i="264"/>
  <c r="AC39" i="264"/>
  <c r="AE39" i="264"/>
  <c r="X40" i="264"/>
  <c r="AC40" i="264"/>
  <c r="AE40" i="264"/>
  <c r="X41" i="264"/>
  <c r="AC41" i="264"/>
  <c r="AE41" i="264"/>
  <c r="X42" i="264"/>
  <c r="AC42" i="264"/>
  <c r="AE42" i="264"/>
  <c r="AC43" i="264"/>
  <c r="AE43" i="264"/>
  <c r="AC44" i="264"/>
  <c r="AE44" i="264"/>
  <c r="AC45" i="264"/>
  <c r="AE45" i="264"/>
  <c r="AC46" i="264"/>
  <c r="AE46" i="264"/>
  <c r="AC47" i="264"/>
  <c r="AE47" i="264"/>
  <c r="AC48" i="264"/>
  <c r="AE48" i="264"/>
  <c r="AC49" i="264"/>
  <c r="AE49" i="264"/>
  <c r="AE50" i="264"/>
  <c r="AE51" i="264"/>
  <c r="C52" i="264"/>
  <c r="E52" i="264"/>
  <c r="F52" i="264"/>
  <c r="I52" i="264"/>
  <c r="R52" i="264"/>
  <c r="X52" i="264"/>
  <c r="AC52" i="264"/>
  <c r="B75" i="264"/>
  <c r="B82" i="264"/>
  <c r="B83" i="264"/>
  <c r="B87" i="264"/>
  <c r="D4" i="290"/>
  <c r="D5" i="290"/>
  <c r="D6" i="290"/>
  <c r="D7" i="290"/>
  <c r="D8" i="290"/>
  <c r="D9" i="290"/>
  <c r="D10" i="290"/>
  <c r="D11" i="290"/>
  <c r="D12" i="290"/>
  <c r="D13" i="290"/>
  <c r="D14" i="290"/>
  <c r="D15" i="290"/>
  <c r="D16" i="290"/>
  <c r="D17" i="290"/>
  <c r="D18" i="290"/>
  <c r="D19" i="290"/>
  <c r="D20" i="290"/>
  <c r="D21" i="290"/>
  <c r="D22" i="290"/>
  <c r="D23" i="290"/>
  <c r="D24" i="290"/>
  <c r="D25" i="290"/>
  <c r="D26" i="290"/>
  <c r="D27" i="290"/>
  <c r="D28" i="290"/>
  <c r="D29" i="290"/>
  <c r="D30" i="290"/>
  <c r="D31" i="290"/>
  <c r="D32" i="290"/>
  <c r="D33" i="290"/>
  <c r="D34" i="290"/>
  <c r="D35" i="290"/>
  <c r="D36" i="290"/>
  <c r="D37" i="290"/>
  <c r="D38" i="290"/>
  <c r="D39" i="290"/>
  <c r="D40" i="290"/>
  <c r="D41" i="290"/>
  <c r="D42" i="290"/>
  <c r="D43" i="290"/>
  <c r="D44" i="290"/>
  <c r="D45" i="290"/>
  <c r="D46" i="290"/>
  <c r="D47" i="290"/>
  <c r="D48" i="290"/>
  <c r="D49" i="290"/>
  <c r="D50" i="290"/>
  <c r="D51" i="290"/>
  <c r="D52" i="290"/>
  <c r="D53" i="290"/>
  <c r="D54" i="290"/>
  <c r="D55" i="290"/>
  <c r="D56" i="290"/>
  <c r="D57" i="290"/>
  <c r="D58" i="290"/>
  <c r="D59" i="290"/>
  <c r="D60" i="290"/>
  <c r="D61" i="290"/>
  <c r="D62" i="290"/>
  <c r="D63" i="290"/>
  <c r="D64" i="290"/>
  <c r="D65" i="290"/>
  <c r="D66" i="290"/>
  <c r="D67" i="290"/>
  <c r="D68" i="290"/>
  <c r="D69" i="290"/>
  <c r="D70" i="290"/>
  <c r="D71" i="290"/>
  <c r="D72" i="290"/>
  <c r="D73" i="290"/>
  <c r="D74" i="290"/>
  <c r="D75" i="290"/>
  <c r="D76" i="290"/>
  <c r="D77" i="290"/>
  <c r="D78" i="290"/>
  <c r="D79" i="290"/>
  <c r="D80" i="290"/>
  <c r="D81" i="290"/>
  <c r="D82" i="290"/>
  <c r="D83" i="290"/>
  <c r="D84" i="290"/>
  <c r="E84" i="290"/>
  <c r="J84" i="290"/>
  <c r="O84" i="290"/>
  <c r="T84" i="290"/>
  <c r="Y84" i="290"/>
  <c r="AD84" i="290"/>
  <c r="AI84" i="290"/>
  <c r="AN84" i="290"/>
  <c r="AS84" i="290"/>
  <c r="AX84" i="290"/>
  <c r="E88" i="290"/>
  <c r="F88" i="290"/>
  <c r="G88" i="290"/>
  <c r="H88" i="290"/>
  <c r="I88" i="290"/>
  <c r="J88" i="290"/>
  <c r="K88" i="290"/>
  <c r="L88" i="290"/>
  <c r="M88" i="290"/>
  <c r="N88" i="290"/>
  <c r="E89" i="290"/>
  <c r="F89" i="290"/>
  <c r="G89" i="290"/>
  <c r="H89" i="290"/>
  <c r="I89" i="290"/>
  <c r="O89" i="290" s="1"/>
  <c r="J89" i="290"/>
  <c r="K89" i="290"/>
  <c r="L89" i="290"/>
  <c r="M89" i="290"/>
  <c r="N89" i="290"/>
  <c r="E90" i="290"/>
  <c r="F90" i="290"/>
  <c r="O90" i="290" s="1"/>
  <c r="G90" i="290"/>
  <c r="H90" i="290"/>
  <c r="I90" i="290"/>
  <c r="J90" i="290"/>
  <c r="K90" i="290"/>
  <c r="L90" i="290"/>
  <c r="M90" i="290"/>
  <c r="N90" i="290"/>
  <c r="E91" i="290"/>
  <c r="F91" i="290"/>
  <c r="G91" i="290"/>
  <c r="H91" i="290"/>
  <c r="I91" i="290"/>
  <c r="J91" i="290"/>
  <c r="K91" i="290"/>
  <c r="L91" i="290"/>
  <c r="M91" i="290"/>
  <c r="N91" i="290"/>
  <c r="O91" i="290"/>
  <c r="E92" i="290"/>
  <c r="F92" i="290"/>
  <c r="G92" i="290"/>
  <c r="H92" i="290"/>
  <c r="O92" i="290" s="1"/>
  <c r="I92" i="290"/>
  <c r="J92" i="290"/>
  <c r="K92" i="290"/>
  <c r="L92" i="290"/>
  <c r="M92" i="290"/>
  <c r="N92" i="290"/>
  <c r="E93" i="290"/>
  <c r="O93" i="290" s="1"/>
  <c r="F93" i="290"/>
  <c r="G93" i="290"/>
  <c r="H93" i="290"/>
  <c r="I93" i="290"/>
  <c r="I95" i="290" s="1"/>
  <c r="I96" i="290" s="1"/>
  <c r="J93" i="290"/>
  <c r="K93" i="290"/>
  <c r="L93" i="290"/>
  <c r="M93" i="290"/>
  <c r="M95" i="290" s="1"/>
  <c r="M96" i="290" s="1"/>
  <c r="N93" i="290"/>
  <c r="E94" i="290"/>
  <c r="F94" i="290"/>
  <c r="O94" i="290" s="1"/>
  <c r="G94" i="290"/>
  <c r="H94" i="290"/>
  <c r="I94" i="290"/>
  <c r="J94" i="290"/>
  <c r="J95" i="290" s="1"/>
  <c r="J96" i="290" s="1"/>
  <c r="K94" i="290"/>
  <c r="L94" i="290"/>
  <c r="M94" i="290"/>
  <c r="N94" i="290"/>
  <c r="N95" i="290" s="1"/>
  <c r="E95" i="290"/>
  <c r="G95" i="290"/>
  <c r="G96" i="290" s="1"/>
  <c r="H95" i="290"/>
  <c r="K95" i="290"/>
  <c r="K96" i="290" s="1"/>
  <c r="L95" i="290"/>
  <c r="E96" i="290"/>
  <c r="H96" i="290"/>
  <c r="L96" i="290"/>
  <c r="F3" i="322"/>
  <c r="F4" i="322"/>
  <c r="F5" i="322"/>
  <c r="F6" i="322"/>
  <c r="F7" i="322"/>
  <c r="F8" i="322"/>
  <c r="F9" i="322"/>
  <c r="F10" i="322"/>
  <c r="F11" i="322"/>
  <c r="F12" i="322"/>
  <c r="F13" i="322"/>
  <c r="F14" i="322"/>
  <c r="F15" i="322"/>
  <c r="F16" i="322"/>
  <c r="F17" i="322"/>
  <c r="E18" i="322"/>
  <c r="G18" i="322"/>
  <c r="E24" i="321"/>
  <c r="F31" i="321"/>
  <c r="F32" i="321"/>
  <c r="F33" i="321"/>
  <c r="G37" i="321" s="1"/>
  <c r="F34" i="321"/>
  <c r="F35" i="321"/>
  <c r="F36" i="321"/>
  <c r="F37" i="321"/>
  <c r="E38" i="321"/>
  <c r="B14" i="311"/>
  <c r="E5" i="311"/>
  <c r="E13" i="311" s="1"/>
  <c r="H5" i="311"/>
  <c r="H13" i="311" s="1"/>
  <c r="N5" i="311"/>
  <c r="C15" i="311"/>
  <c r="K6" i="311"/>
  <c r="L6" i="311" s="1"/>
  <c r="H6" i="311"/>
  <c r="G7" i="311"/>
  <c r="H7" i="311"/>
  <c r="L7" i="311" s="1"/>
  <c r="H8" i="311"/>
  <c r="L8" i="311" s="1"/>
  <c r="H9" i="311"/>
  <c r="L9" i="311" s="1"/>
  <c r="E6" i="311"/>
  <c r="H10" i="311"/>
  <c r="L10" i="311" s="1"/>
  <c r="H11" i="311"/>
  <c r="L11" i="311" s="1"/>
  <c r="H12" i="311"/>
  <c r="E10" i="311"/>
  <c r="E12" i="311"/>
  <c r="L12" i="311"/>
  <c r="D13" i="311"/>
  <c r="F13" i="311"/>
  <c r="G13" i="311"/>
  <c r="B79" i="310"/>
  <c r="B51" i="310" s="1"/>
  <c r="D4" i="310"/>
  <c r="D5" i="310"/>
  <c r="D6" i="310"/>
  <c r="D52" i="310" s="1"/>
  <c r="D8" i="310"/>
  <c r="D9" i="310"/>
  <c r="D10" i="310"/>
  <c r="D11" i="310"/>
  <c r="D12" i="310"/>
  <c r="H52" i="310"/>
  <c r="I4" i="310" s="1"/>
  <c r="M33" i="310"/>
  <c r="M34" i="310"/>
  <c r="T4" i="310"/>
  <c r="S4" i="310"/>
  <c r="R5" i="310"/>
  <c r="T5" i="310" s="1"/>
  <c r="T6" i="310"/>
  <c r="T7" i="310"/>
  <c r="R8" i="310"/>
  <c r="T8" i="310" s="1"/>
  <c r="R9" i="310"/>
  <c r="T9" i="310"/>
  <c r="R10" i="310"/>
  <c r="T10" i="310" s="1"/>
  <c r="T12" i="310"/>
  <c r="T13" i="310"/>
  <c r="T14" i="310"/>
  <c r="T15" i="310"/>
  <c r="T16" i="310"/>
  <c r="T17" i="310"/>
  <c r="T19" i="310"/>
  <c r="T20" i="310"/>
  <c r="T21" i="310"/>
  <c r="T22" i="310"/>
  <c r="T24" i="310"/>
  <c r="T28" i="310"/>
  <c r="T31" i="310"/>
  <c r="T32" i="310"/>
  <c r="Y36" i="310"/>
  <c r="Y52" i="310" s="1"/>
  <c r="Y37" i="310"/>
  <c r="Y38" i="310"/>
  <c r="Y39" i="310"/>
  <c r="Y40" i="310"/>
  <c r="AE4" i="310"/>
  <c r="AD22" i="310"/>
  <c r="AD52" i="310" s="1"/>
  <c r="AD36" i="310"/>
  <c r="AD37" i="310"/>
  <c r="AD38" i="310"/>
  <c r="AD39" i="310"/>
  <c r="AD40" i="310"/>
  <c r="AD43" i="310"/>
  <c r="AD44" i="310"/>
  <c r="AD45" i="310"/>
  <c r="AD46" i="310"/>
  <c r="AD47" i="310"/>
  <c r="AD48" i="310"/>
  <c r="AD49" i="310"/>
  <c r="I6" i="310"/>
  <c r="S6" i="310"/>
  <c r="AE6" i="310"/>
  <c r="S7" i="310"/>
  <c r="AE7" i="310"/>
  <c r="I8" i="310"/>
  <c r="I9" i="310"/>
  <c r="S9" i="310"/>
  <c r="AE9" i="310"/>
  <c r="I10" i="310"/>
  <c r="I11" i="310"/>
  <c r="AE11" i="310"/>
  <c r="I12" i="310"/>
  <c r="S12" i="310"/>
  <c r="AE12" i="310"/>
  <c r="S13" i="310"/>
  <c r="AE13" i="310"/>
  <c r="S14" i="310"/>
  <c r="AE14" i="310"/>
  <c r="S15" i="310"/>
  <c r="AE15" i="310"/>
  <c r="S16" i="310"/>
  <c r="AE16" i="310"/>
  <c r="S17" i="310"/>
  <c r="AE17" i="310"/>
  <c r="AE18" i="310"/>
  <c r="S19" i="310"/>
  <c r="AE19" i="310"/>
  <c r="S20" i="310"/>
  <c r="AE20" i="310"/>
  <c r="S21" i="310"/>
  <c r="AE21" i="310"/>
  <c r="S22" i="310"/>
  <c r="AC22" i="310"/>
  <c r="AE22" i="310"/>
  <c r="AE23" i="310"/>
  <c r="I24" i="310"/>
  <c r="S24" i="310"/>
  <c r="AE24" i="310"/>
  <c r="I25" i="310"/>
  <c r="AE25" i="310"/>
  <c r="R26" i="310"/>
  <c r="S26" i="310"/>
  <c r="AE26" i="310"/>
  <c r="S27" i="310"/>
  <c r="AE27" i="310"/>
  <c r="I28" i="310"/>
  <c r="S28" i="310"/>
  <c r="AE28" i="310"/>
  <c r="S31" i="310"/>
  <c r="S32" i="310"/>
  <c r="AE32" i="310"/>
  <c r="AE33" i="310"/>
  <c r="AE34" i="310"/>
  <c r="X36" i="310"/>
  <c r="AC36" i="310"/>
  <c r="AE36" i="310"/>
  <c r="X37" i="310"/>
  <c r="AC37" i="310"/>
  <c r="AE37" i="310"/>
  <c r="X38" i="310"/>
  <c r="AC38" i="310"/>
  <c r="AE38" i="310"/>
  <c r="X39" i="310"/>
  <c r="AC39" i="310"/>
  <c r="AE39" i="310"/>
  <c r="X40" i="310"/>
  <c r="AC40" i="310"/>
  <c r="AE40" i="310"/>
  <c r="X41" i="310"/>
  <c r="AC41" i="310"/>
  <c r="AE41" i="310"/>
  <c r="X42" i="310"/>
  <c r="AC42" i="310"/>
  <c r="AE42" i="310"/>
  <c r="AC43" i="310"/>
  <c r="AE43" i="310"/>
  <c r="AE44" i="310"/>
  <c r="AE45" i="310"/>
  <c r="AC46" i="310"/>
  <c r="AE46" i="310"/>
  <c r="AC47" i="310"/>
  <c r="AE47" i="310"/>
  <c r="AC48" i="310"/>
  <c r="AE48" i="310"/>
  <c r="AC49" i="310"/>
  <c r="AE49" i="310"/>
  <c r="AE50" i="310"/>
  <c r="E52" i="310"/>
  <c r="F52" i="310"/>
  <c r="R52" i="310"/>
  <c r="X52" i="310"/>
  <c r="B82" i="310"/>
  <c r="B83" i="310"/>
  <c r="D4" i="323"/>
  <c r="D5" i="323"/>
  <c r="D6" i="323"/>
  <c r="D7" i="323"/>
  <c r="D8" i="323"/>
  <c r="D9" i="323"/>
  <c r="D10" i="323"/>
  <c r="D11" i="323"/>
  <c r="D12" i="323"/>
  <c r="D13" i="323"/>
  <c r="D14" i="323"/>
  <c r="D15" i="323"/>
  <c r="D16" i="323"/>
  <c r="D17" i="323"/>
  <c r="D18" i="323"/>
  <c r="D19" i="323"/>
  <c r="D20" i="323"/>
  <c r="D21" i="323"/>
  <c r="D22" i="323"/>
  <c r="D23" i="323"/>
  <c r="D24" i="323"/>
  <c r="D25" i="323"/>
  <c r="D26" i="323"/>
  <c r="D27" i="323"/>
  <c r="D28" i="323"/>
  <c r="D29" i="323"/>
  <c r="D30" i="323"/>
  <c r="D31" i="323"/>
  <c r="D32" i="323"/>
  <c r="D33" i="323"/>
  <c r="D34" i="323"/>
  <c r="D35" i="323"/>
  <c r="D36" i="323"/>
  <c r="D37" i="323"/>
  <c r="D38" i="323"/>
  <c r="D39" i="323"/>
  <c r="D40" i="323"/>
  <c r="D41" i="323"/>
  <c r="D42" i="323"/>
  <c r="D43" i="323"/>
  <c r="D44" i="323"/>
  <c r="D45" i="323"/>
  <c r="D46" i="323"/>
  <c r="D47" i="323"/>
  <c r="D48" i="323"/>
  <c r="D49" i="323"/>
  <c r="D50" i="323"/>
  <c r="D51" i="323"/>
  <c r="D52" i="323"/>
  <c r="D53" i="323"/>
  <c r="D54" i="323"/>
  <c r="D55" i="323"/>
  <c r="D56" i="323"/>
  <c r="D57" i="323"/>
  <c r="D58" i="323"/>
  <c r="D59" i="323"/>
  <c r="D60" i="323"/>
  <c r="D61" i="323"/>
  <c r="D62" i="323"/>
  <c r="D63" i="323"/>
  <c r="D64" i="323"/>
  <c r="D65" i="323"/>
  <c r="D66" i="323"/>
  <c r="D67" i="323"/>
  <c r="D68" i="323"/>
  <c r="D69" i="323"/>
  <c r="D70" i="323"/>
  <c r="D71" i="323"/>
  <c r="D72" i="323"/>
  <c r="D73" i="323"/>
  <c r="D74" i="323"/>
  <c r="D75" i="323"/>
  <c r="D76" i="323"/>
  <c r="D77" i="323"/>
  <c r="D78" i="323"/>
  <c r="D79" i="323"/>
  <c r="D80" i="323"/>
  <c r="D81" i="323"/>
  <c r="E81" i="323"/>
  <c r="F81" i="323"/>
  <c r="K81" i="323"/>
  <c r="P81" i="323"/>
  <c r="U81" i="323"/>
  <c r="Z81" i="323"/>
  <c r="AE81" i="323"/>
  <c r="AJ81" i="323"/>
  <c r="AO81" i="323"/>
  <c r="AT81" i="323"/>
  <c r="AY81" i="323"/>
  <c r="F88" i="323"/>
  <c r="G88" i="323"/>
  <c r="H88" i="323"/>
  <c r="I88" i="323"/>
  <c r="J88" i="323"/>
  <c r="K88" i="323"/>
  <c r="L88" i="323"/>
  <c r="M88" i="323"/>
  <c r="N88" i="323"/>
  <c r="O88" i="323"/>
  <c r="F89" i="323"/>
  <c r="G89" i="323"/>
  <c r="H89" i="323"/>
  <c r="I89" i="323"/>
  <c r="J89" i="323"/>
  <c r="K89" i="323"/>
  <c r="L89" i="323"/>
  <c r="M89" i="323"/>
  <c r="N89" i="323"/>
  <c r="P89" i="323" s="1"/>
  <c r="O89" i="323"/>
  <c r="F90" i="323"/>
  <c r="G90" i="323"/>
  <c r="H90" i="323"/>
  <c r="I90" i="323"/>
  <c r="J90" i="323"/>
  <c r="K90" i="323"/>
  <c r="L90" i="323"/>
  <c r="M90" i="323"/>
  <c r="P90" i="323" s="1"/>
  <c r="N90" i="323"/>
  <c r="O90" i="323"/>
  <c r="F91" i="323"/>
  <c r="G91" i="323"/>
  <c r="H91" i="323"/>
  <c r="I91" i="323"/>
  <c r="J91" i="323"/>
  <c r="K91" i="323"/>
  <c r="L91" i="323"/>
  <c r="M91" i="323"/>
  <c r="N91" i="323"/>
  <c r="P91" i="323" s="1"/>
  <c r="O91" i="323"/>
  <c r="F92" i="323"/>
  <c r="G92" i="323"/>
  <c r="H92" i="323"/>
  <c r="I92" i="323"/>
  <c r="J92" i="323"/>
  <c r="K92" i="323"/>
  <c r="L92" i="323"/>
  <c r="M92" i="323"/>
  <c r="N92" i="323"/>
  <c r="O92" i="323"/>
  <c r="P92" i="323"/>
  <c r="F93" i="323"/>
  <c r="G93" i="323"/>
  <c r="H93" i="323"/>
  <c r="I93" i="323"/>
  <c r="J93" i="323"/>
  <c r="P93" i="323" s="1"/>
  <c r="K93" i="323"/>
  <c r="L93" i="323"/>
  <c r="M93" i="323"/>
  <c r="N93" i="323"/>
  <c r="O93" i="323"/>
  <c r="F94" i="323"/>
  <c r="G94" i="323"/>
  <c r="P94" i="323" s="1"/>
  <c r="H94" i="323"/>
  <c r="I94" i="323"/>
  <c r="J94" i="323"/>
  <c r="K94" i="323"/>
  <c r="L94" i="323"/>
  <c r="M94" i="323"/>
  <c r="M95" i="323" s="1"/>
  <c r="N94" i="323"/>
  <c r="N95" i="323" s="1"/>
  <c r="N96" i="323" s="1"/>
  <c r="O94" i="323"/>
  <c r="O95" i="323" s="1"/>
  <c r="F95" i="323"/>
  <c r="F96" i="323" s="1"/>
  <c r="G95" i="323"/>
  <c r="G96" i="323" s="1"/>
  <c r="H95" i="323"/>
  <c r="H96" i="323" s="1"/>
  <c r="I95" i="323"/>
  <c r="J95" i="323"/>
  <c r="J96" i="323" s="1"/>
  <c r="K95" i="323"/>
  <c r="K96" i="323" s="1"/>
  <c r="L95" i="323"/>
  <c r="L96" i="323" s="1"/>
  <c r="I96" i="323"/>
  <c r="B14" i="326"/>
  <c r="H6" i="326" s="1"/>
  <c r="G7" i="326"/>
  <c r="H7" i="326" s="1"/>
  <c r="H10" i="326"/>
  <c r="L10" i="326" s="1"/>
  <c r="J5" i="326"/>
  <c r="J6" i="326"/>
  <c r="R6" i="326"/>
  <c r="E10" i="326"/>
  <c r="D13" i="326"/>
  <c r="F13" i="326"/>
  <c r="C15" i="326"/>
  <c r="B55" i="325"/>
  <c r="B56" i="325"/>
  <c r="C4" i="325"/>
  <c r="D4" i="325"/>
  <c r="D5" i="325"/>
  <c r="D6" i="325"/>
  <c r="D8" i="325"/>
  <c r="D9" i="325"/>
  <c r="D10" i="325"/>
  <c r="F11" i="325"/>
  <c r="D11" i="325" s="1"/>
  <c r="S11" i="325" s="1"/>
  <c r="D12" i="325"/>
  <c r="H55" i="325"/>
  <c r="I4" i="325" s="1"/>
  <c r="J29" i="325"/>
  <c r="M29" i="325"/>
  <c r="J30" i="325"/>
  <c r="M30" i="325" s="1"/>
  <c r="J31" i="325"/>
  <c r="M31" i="325"/>
  <c r="M33" i="325"/>
  <c r="M34" i="325"/>
  <c r="J35" i="325"/>
  <c r="M35" i="325"/>
  <c r="S4" i="325"/>
  <c r="Q4" i="325"/>
  <c r="S5" i="325"/>
  <c r="Q5" i="325"/>
  <c r="S6" i="325"/>
  <c r="Q6" i="325"/>
  <c r="S7" i="325"/>
  <c r="Q7" i="325"/>
  <c r="S8" i="325"/>
  <c r="Q8" i="325"/>
  <c r="S9" i="325"/>
  <c r="Q9" i="325"/>
  <c r="S10" i="325"/>
  <c r="Q10" i="325"/>
  <c r="S12" i="325"/>
  <c r="Q12" i="325"/>
  <c r="S13" i="325"/>
  <c r="Q13" i="325" s="1"/>
  <c r="S14" i="325"/>
  <c r="Q14" i="325"/>
  <c r="S15" i="325"/>
  <c r="Q15" i="325" s="1"/>
  <c r="S16" i="325"/>
  <c r="Q16" i="325"/>
  <c r="S17" i="325"/>
  <c r="Q17" i="325" s="1"/>
  <c r="S18" i="325"/>
  <c r="Q18" i="325"/>
  <c r="S19" i="325"/>
  <c r="Q19" i="325" s="1"/>
  <c r="S20" i="325"/>
  <c r="Q20" i="325"/>
  <c r="S21" i="325"/>
  <c r="Q21" i="325" s="1"/>
  <c r="S22" i="325"/>
  <c r="Q22" i="325"/>
  <c r="S23" i="325"/>
  <c r="Q23" i="325" s="1"/>
  <c r="S24" i="325"/>
  <c r="Q24" i="325"/>
  <c r="S25" i="325"/>
  <c r="Q25" i="325" s="1"/>
  <c r="S26" i="325"/>
  <c r="Q26" i="325"/>
  <c r="S27" i="325"/>
  <c r="Q27" i="325" s="1"/>
  <c r="S28" i="325"/>
  <c r="Q28" i="325"/>
  <c r="S29" i="325"/>
  <c r="Q29" i="325" s="1"/>
  <c r="Q30" i="325"/>
  <c r="Q31" i="325"/>
  <c r="Q32" i="325"/>
  <c r="Q33" i="325"/>
  <c r="Q34" i="325"/>
  <c r="Q35" i="325"/>
  <c r="S31" i="325"/>
  <c r="W4" i="325"/>
  <c r="X4" i="325" s="1"/>
  <c r="V4" i="325"/>
  <c r="U5" i="325"/>
  <c r="W5" i="325"/>
  <c r="X5" i="325"/>
  <c r="W6" i="325"/>
  <c r="X6" i="325" s="1"/>
  <c r="Z6" i="325" s="1"/>
  <c r="W7" i="325"/>
  <c r="X7" i="325"/>
  <c r="U8" i="325"/>
  <c r="W8" i="325" s="1"/>
  <c r="X8" i="325" s="1"/>
  <c r="U9" i="325"/>
  <c r="W9" i="325" s="1"/>
  <c r="X9" i="325" s="1"/>
  <c r="Z9" i="325" s="1"/>
  <c r="U10" i="325"/>
  <c r="W10" i="325"/>
  <c r="X10" i="325" s="1"/>
  <c r="Z10" i="325" s="1"/>
  <c r="W12" i="325"/>
  <c r="X12" i="325"/>
  <c r="W13" i="325"/>
  <c r="X13" i="325" s="1"/>
  <c r="Z13" i="325" s="1"/>
  <c r="W14" i="325"/>
  <c r="X14" i="325" s="1"/>
  <c r="Z14" i="325" s="1"/>
  <c r="X15" i="325"/>
  <c r="X16" i="325"/>
  <c r="X17" i="325"/>
  <c r="Z17" i="325" s="1"/>
  <c r="X18" i="325"/>
  <c r="Z18" i="325" s="1"/>
  <c r="W19" i="325"/>
  <c r="X19" i="325" s="1"/>
  <c r="W20" i="325"/>
  <c r="X20" i="325" s="1"/>
  <c r="W21" i="325"/>
  <c r="X21" i="325" s="1"/>
  <c r="Z21" i="325" s="1"/>
  <c r="W22" i="325"/>
  <c r="X22" i="325" s="1"/>
  <c r="Z22" i="325" s="1"/>
  <c r="X23" i="325"/>
  <c r="W24" i="325"/>
  <c r="X24" i="325"/>
  <c r="Z24" i="325" s="1"/>
  <c r="X25" i="325"/>
  <c r="Z25" i="325" s="1"/>
  <c r="X26" i="325"/>
  <c r="X27" i="325"/>
  <c r="W28" i="325"/>
  <c r="X28" i="325" s="1"/>
  <c r="X29" i="325"/>
  <c r="W31" i="325"/>
  <c r="X31" i="325"/>
  <c r="Z31" i="325" s="1"/>
  <c r="W32" i="325"/>
  <c r="X32" i="325" s="1"/>
  <c r="X33" i="325"/>
  <c r="X34" i="325"/>
  <c r="Z34" i="325" s="1"/>
  <c r="X35" i="325"/>
  <c r="Z4" i="325"/>
  <c r="Z5" i="325"/>
  <c r="Z7" i="325"/>
  <c r="Z8" i="325"/>
  <c r="Z12" i="325"/>
  <c r="Z15" i="325"/>
  <c r="Z16" i="325"/>
  <c r="Z19" i="325"/>
  <c r="Z20" i="325"/>
  <c r="Z23" i="325"/>
  <c r="Z26" i="325"/>
  <c r="Z27" i="325"/>
  <c r="Z29" i="325"/>
  <c r="Z32" i="325"/>
  <c r="Z33" i="325"/>
  <c r="Z35" i="325"/>
  <c r="W55" i="325"/>
  <c r="AG4" i="325" s="1"/>
  <c r="AF36" i="325"/>
  <c r="AF55" i="325" s="1"/>
  <c r="AF37" i="325"/>
  <c r="AF38" i="325"/>
  <c r="AF40" i="325"/>
  <c r="AF41" i="325"/>
  <c r="AI4" i="325"/>
  <c r="AI5" i="325"/>
  <c r="AI6" i="325"/>
  <c r="AI7" i="325"/>
  <c r="AI8" i="325"/>
  <c r="AI9" i="325"/>
  <c r="AI10" i="325"/>
  <c r="AI12" i="325"/>
  <c r="AI13" i="325"/>
  <c r="AI14" i="325"/>
  <c r="AI15" i="325"/>
  <c r="AI16" i="325"/>
  <c r="AI17" i="325"/>
  <c r="AI18" i="325"/>
  <c r="AI19" i="325"/>
  <c r="AI20" i="325"/>
  <c r="AI21" i="325"/>
  <c r="AL22" i="325"/>
  <c r="AI22" i="325" s="1"/>
  <c r="AI23" i="325"/>
  <c r="AI25" i="325"/>
  <c r="AI26" i="325"/>
  <c r="AI27" i="325"/>
  <c r="AI29" i="325"/>
  <c r="AI32" i="325"/>
  <c r="AI33" i="325"/>
  <c r="AI34" i="325"/>
  <c r="AI35" i="325"/>
  <c r="AL36" i="325"/>
  <c r="AI36" i="325" s="1"/>
  <c r="AL37" i="325"/>
  <c r="AI37" i="325" s="1"/>
  <c r="AL38" i="325"/>
  <c r="AI38" i="325" s="1"/>
  <c r="AI39" i="325"/>
  <c r="AL40" i="325"/>
  <c r="AI40" i="325"/>
  <c r="AL41" i="325"/>
  <c r="AI41" i="325" s="1"/>
  <c r="AI42" i="325"/>
  <c r="AI43" i="325"/>
  <c r="AL48" i="325"/>
  <c r="AI48" i="325" s="1"/>
  <c r="AL49" i="325"/>
  <c r="AI49" i="325"/>
  <c r="AL50" i="325"/>
  <c r="AI50" i="325" s="1"/>
  <c r="AM4" i="325"/>
  <c r="AM5" i="325"/>
  <c r="AM6" i="325"/>
  <c r="AM7" i="325"/>
  <c r="AM8" i="325"/>
  <c r="AM9" i="325"/>
  <c r="AM10" i="325"/>
  <c r="AM12" i="325"/>
  <c r="AM13" i="325"/>
  <c r="AM14" i="325"/>
  <c r="AM15" i="325"/>
  <c r="AM16" i="325"/>
  <c r="AM17" i="325"/>
  <c r="AM18" i="325"/>
  <c r="AM19" i="325"/>
  <c r="AM20" i="325"/>
  <c r="AM21" i="325"/>
  <c r="AM22" i="325"/>
  <c r="AM23" i="325"/>
  <c r="AM25" i="325"/>
  <c r="AM26" i="325"/>
  <c r="AM27" i="325"/>
  <c r="AM29" i="325"/>
  <c r="AM32" i="325"/>
  <c r="AM33" i="325"/>
  <c r="AM34" i="325"/>
  <c r="AM35" i="325"/>
  <c r="AM36" i="325"/>
  <c r="AM37" i="325"/>
  <c r="AM38" i="325"/>
  <c r="AM39" i="325"/>
  <c r="AM40" i="325"/>
  <c r="AM41" i="325"/>
  <c r="AM42" i="325"/>
  <c r="AM43" i="325"/>
  <c r="AL44" i="325"/>
  <c r="AM44" i="325" s="1"/>
  <c r="AL45" i="325"/>
  <c r="AM45" i="325"/>
  <c r="AL46" i="325"/>
  <c r="AM46" i="325" s="1"/>
  <c r="AL47" i="325"/>
  <c r="AM47" i="325"/>
  <c r="AM48" i="325"/>
  <c r="AM49" i="325"/>
  <c r="AM50" i="325"/>
  <c r="AO4" i="325"/>
  <c r="AO5" i="325"/>
  <c r="AO6" i="325"/>
  <c r="AO7" i="325"/>
  <c r="AO8" i="325"/>
  <c r="AO9" i="325"/>
  <c r="AO10" i="325"/>
  <c r="AO12" i="325"/>
  <c r="AO13" i="325"/>
  <c r="AO14" i="325"/>
  <c r="AO15" i="325"/>
  <c r="AO16" i="325"/>
  <c r="AO17" i="325"/>
  <c r="AO18" i="325"/>
  <c r="AO19" i="325"/>
  <c r="AO20" i="325"/>
  <c r="AO21" i="325"/>
  <c r="AO22" i="325"/>
  <c r="AO23" i="325"/>
  <c r="AO25" i="325"/>
  <c r="AO26" i="325"/>
  <c r="AO27" i="325"/>
  <c r="AO29" i="325"/>
  <c r="AO32" i="325"/>
  <c r="AO33" i="325"/>
  <c r="AO34" i="325"/>
  <c r="AO35" i="325"/>
  <c r="AO36" i="325"/>
  <c r="AO37" i="325"/>
  <c r="AO38" i="325"/>
  <c r="AO39" i="325"/>
  <c r="AO40" i="325"/>
  <c r="AO41" i="325"/>
  <c r="AO42" i="325"/>
  <c r="AO43" i="325"/>
  <c r="AO45" i="325"/>
  <c r="AO47" i="325"/>
  <c r="AO48" i="325"/>
  <c r="AO49" i="325"/>
  <c r="AO50" i="325"/>
  <c r="AQ4" i="325"/>
  <c r="AQ5" i="325"/>
  <c r="AQ6" i="325"/>
  <c r="AQ7" i="325"/>
  <c r="AQ8" i="325"/>
  <c r="AQ9" i="325"/>
  <c r="AQ10" i="325"/>
  <c r="AQ12" i="325"/>
  <c r="AQ13" i="325"/>
  <c r="AQ14" i="325"/>
  <c r="AQ15" i="325"/>
  <c r="AQ16" i="325"/>
  <c r="AQ17" i="325"/>
  <c r="AQ18" i="325"/>
  <c r="AQ19" i="325"/>
  <c r="AQ20" i="325"/>
  <c r="AQ21" i="325"/>
  <c r="AQ22" i="325"/>
  <c r="AQ23" i="325"/>
  <c r="AQ25" i="325"/>
  <c r="AQ26" i="325"/>
  <c r="AQ27" i="325"/>
  <c r="AQ29" i="325"/>
  <c r="AQ32" i="325"/>
  <c r="AQ33" i="325"/>
  <c r="AQ34" i="325"/>
  <c r="AQ35" i="325"/>
  <c r="AQ36" i="325"/>
  <c r="AQ37" i="325"/>
  <c r="AQ38" i="325"/>
  <c r="AQ39" i="325"/>
  <c r="AQ40" i="325"/>
  <c r="AQ41" i="325"/>
  <c r="AQ42" i="325"/>
  <c r="AQ43" i="325"/>
  <c r="AQ45" i="325"/>
  <c r="AQ47" i="325"/>
  <c r="AQ48" i="325"/>
  <c r="AQ49" i="325"/>
  <c r="AQ50" i="325"/>
  <c r="C5" i="325"/>
  <c r="I5" i="325"/>
  <c r="V5" i="325"/>
  <c r="AB5" i="325"/>
  <c r="C6" i="325"/>
  <c r="I6" i="325"/>
  <c r="V6" i="325"/>
  <c r="AB6" i="325"/>
  <c r="V7" i="325"/>
  <c r="AB7" i="325"/>
  <c r="C8" i="325"/>
  <c r="I8" i="325"/>
  <c r="V8" i="325"/>
  <c r="AB8" i="325"/>
  <c r="C9" i="325"/>
  <c r="I9" i="325"/>
  <c r="V9" i="325"/>
  <c r="AB9" i="325"/>
  <c r="C10" i="325"/>
  <c r="I10" i="325"/>
  <c r="V10" i="325"/>
  <c r="AB10" i="325"/>
  <c r="C11" i="325"/>
  <c r="I11" i="325"/>
  <c r="I12" i="325"/>
  <c r="V12" i="325"/>
  <c r="AB12" i="325"/>
  <c r="C13" i="325"/>
  <c r="V13" i="325"/>
  <c r="AB13" i="325"/>
  <c r="V14" i="325"/>
  <c r="AB14" i="325"/>
  <c r="C15" i="325"/>
  <c r="V15" i="325"/>
  <c r="AB15" i="325"/>
  <c r="C16" i="325"/>
  <c r="V16" i="325"/>
  <c r="AB16" i="325"/>
  <c r="C17" i="325"/>
  <c r="V17" i="325"/>
  <c r="AB17" i="325"/>
  <c r="C18" i="325"/>
  <c r="C19" i="325"/>
  <c r="V19" i="325"/>
  <c r="AB19" i="325"/>
  <c r="C20" i="325"/>
  <c r="C55" i="325" s="1"/>
  <c r="V20" i="325"/>
  <c r="AB20" i="325"/>
  <c r="C21" i="325"/>
  <c r="V21" i="325"/>
  <c r="AB21" i="325"/>
  <c r="V22" i="325"/>
  <c r="AB22" i="325"/>
  <c r="AK22" i="325"/>
  <c r="C23" i="325"/>
  <c r="I24" i="325"/>
  <c r="V24" i="325"/>
  <c r="AB24" i="325"/>
  <c r="I25" i="325"/>
  <c r="U26" i="325"/>
  <c r="V26" i="325"/>
  <c r="AB26" i="325"/>
  <c r="V27" i="325"/>
  <c r="AB27" i="325"/>
  <c r="I28" i="325"/>
  <c r="V28" i="325"/>
  <c r="AB28" i="325"/>
  <c r="J55" i="325"/>
  <c r="K29" i="325" s="1"/>
  <c r="V31" i="325"/>
  <c r="AB31" i="325"/>
  <c r="V32" i="325"/>
  <c r="AB32" i="325"/>
  <c r="K33" i="325"/>
  <c r="AH33" i="325"/>
  <c r="AH56" i="325" s="1"/>
  <c r="AH57" i="325" s="1"/>
  <c r="AH34" i="325"/>
  <c r="K35" i="325"/>
  <c r="AH35" i="325"/>
  <c r="AE36" i="325"/>
  <c r="AE55" i="325" s="1"/>
  <c r="AK36" i="325"/>
  <c r="AE37" i="325"/>
  <c r="AK37" i="325"/>
  <c r="AE38" i="325"/>
  <c r="AK38" i="325"/>
  <c r="AE40" i="325"/>
  <c r="AK40" i="325"/>
  <c r="AE41" i="325"/>
  <c r="AK41" i="325"/>
  <c r="AE42" i="325"/>
  <c r="AK42" i="325"/>
  <c r="AE43" i="325"/>
  <c r="AK43" i="325"/>
  <c r="AK44" i="325"/>
  <c r="AK47" i="325"/>
  <c r="AK48" i="325"/>
  <c r="AK49" i="325"/>
  <c r="AK50" i="325"/>
  <c r="C51" i="325"/>
  <c r="E55" i="325"/>
  <c r="F55" i="325"/>
  <c r="I55" i="325"/>
  <c r="U55" i="325"/>
  <c r="V55" i="325"/>
  <c r="AE62" i="325" s="1"/>
  <c r="AL55" i="325"/>
  <c r="AK55" i="325" s="1"/>
  <c r="B90" i="325" s="1"/>
  <c r="B82" i="325"/>
  <c r="B85" i="325"/>
  <c r="B86" i="325"/>
  <c r="B3" i="327"/>
  <c r="B4" i="327"/>
  <c r="B5" i="327"/>
  <c r="B6" i="327"/>
  <c r="B7" i="327"/>
  <c r="B8" i="327"/>
  <c r="B9" i="327"/>
  <c r="B10" i="327"/>
  <c r="B11" i="327"/>
  <c r="B12" i="327"/>
  <c r="B13" i="327"/>
  <c r="B14" i="327"/>
  <c r="B15" i="327"/>
  <c r="B16" i="327"/>
  <c r="B17" i="327"/>
  <c r="B19" i="327"/>
  <c r="B103" i="327" s="1"/>
  <c r="B20" i="327"/>
  <c r="B21" i="327"/>
  <c r="B26" i="327"/>
  <c r="B27" i="327"/>
  <c r="B30" i="327"/>
  <c r="B31" i="327"/>
  <c r="B32" i="327"/>
  <c r="B33" i="327"/>
  <c r="B34" i="327"/>
  <c r="B35" i="327"/>
  <c r="B36" i="327"/>
  <c r="B37" i="327"/>
  <c r="B38" i="327"/>
  <c r="B39" i="327"/>
  <c r="B40" i="327"/>
  <c r="B41" i="327"/>
  <c r="B42" i="327"/>
  <c r="B43" i="327"/>
  <c r="B44" i="327"/>
  <c r="B46" i="327"/>
  <c r="B47" i="327"/>
  <c r="B48" i="327"/>
  <c r="B49" i="327"/>
  <c r="B50" i="327"/>
  <c r="B51" i="327"/>
  <c r="B52" i="327"/>
  <c r="B53" i="327"/>
  <c r="B54" i="327"/>
  <c r="B56" i="327"/>
  <c r="B57" i="327"/>
  <c r="B58" i="327"/>
  <c r="B59" i="327"/>
  <c r="B60" i="327"/>
  <c r="B61" i="327"/>
  <c r="B62" i="327"/>
  <c r="B63" i="327"/>
  <c r="B64" i="327"/>
  <c r="B66" i="327"/>
  <c r="B67" i="327"/>
  <c r="B68" i="327"/>
  <c r="B69" i="327"/>
  <c r="B70" i="327"/>
  <c r="B71" i="327"/>
  <c r="B72" i="327"/>
  <c r="B73" i="327"/>
  <c r="B74" i="327"/>
  <c r="B76" i="327"/>
  <c r="B77" i="327"/>
  <c r="B78" i="327"/>
  <c r="B79" i="327"/>
  <c r="B80" i="327"/>
  <c r="B81" i="327"/>
  <c r="B82" i="327"/>
  <c r="B83" i="327"/>
  <c r="B84" i="327"/>
  <c r="B85" i="327"/>
  <c r="B86" i="327"/>
  <c r="B87" i="327"/>
  <c r="B88" i="327"/>
  <c r="B89" i="327"/>
  <c r="B90" i="327"/>
  <c r="B91" i="327"/>
  <c r="B92" i="327"/>
  <c r="B93" i="327"/>
  <c r="B94" i="327"/>
  <c r="B95" i="327"/>
  <c r="B96" i="327"/>
  <c r="B97" i="327"/>
  <c r="B98" i="327"/>
  <c r="B99" i="327"/>
  <c r="B100" i="327"/>
  <c r="B101" i="327"/>
  <c r="B102" i="327"/>
  <c r="C103" i="327"/>
  <c r="H103" i="327"/>
  <c r="M103" i="327"/>
  <c r="R103" i="327"/>
  <c r="W103" i="327"/>
  <c r="AB103" i="327"/>
  <c r="AG103" i="327"/>
  <c r="AL103" i="327"/>
  <c r="AQ103" i="327"/>
  <c r="AV103" i="327"/>
  <c r="BA103" i="327"/>
  <c r="BF103" i="327"/>
  <c r="I110" i="327"/>
  <c r="I111" i="327"/>
  <c r="I112" i="327"/>
  <c r="H115" i="327"/>
  <c r="I115" i="327"/>
  <c r="J115" i="327"/>
  <c r="K115" i="327"/>
  <c r="L115" i="327"/>
  <c r="M115" i="327"/>
  <c r="N115" i="327"/>
  <c r="O115" i="327"/>
  <c r="P115" i="327"/>
  <c r="Q115" i="327"/>
  <c r="R115" i="327"/>
  <c r="S115" i="327"/>
  <c r="H116" i="327"/>
  <c r="I116" i="327"/>
  <c r="J116" i="327"/>
  <c r="K116" i="327"/>
  <c r="L116" i="327"/>
  <c r="M116" i="327"/>
  <c r="N116" i="327"/>
  <c r="O116" i="327"/>
  <c r="P116" i="327"/>
  <c r="Q116" i="327"/>
  <c r="R116" i="327"/>
  <c r="U116" i="327" s="1"/>
  <c r="S116" i="327"/>
  <c r="T116" i="327"/>
  <c r="H117" i="327"/>
  <c r="U117" i="327" s="1"/>
  <c r="I117" i="327"/>
  <c r="J117" i="327"/>
  <c r="K117" i="327"/>
  <c r="L117" i="327"/>
  <c r="M117" i="327"/>
  <c r="N117" i="327"/>
  <c r="O117" i="327"/>
  <c r="P117" i="327"/>
  <c r="Q117" i="327"/>
  <c r="R117" i="327"/>
  <c r="S117" i="327"/>
  <c r="T117" i="327"/>
  <c r="H118" i="327"/>
  <c r="I118" i="327"/>
  <c r="J118" i="327"/>
  <c r="K118" i="327"/>
  <c r="L118" i="327"/>
  <c r="M118" i="327"/>
  <c r="N118" i="327"/>
  <c r="O118" i="327"/>
  <c r="P118" i="327"/>
  <c r="Q118" i="327"/>
  <c r="R118" i="327"/>
  <c r="U118" i="327" s="1"/>
  <c r="S118" i="327"/>
  <c r="T118" i="327"/>
  <c r="H119" i="327"/>
  <c r="U119" i="327" s="1"/>
  <c r="I119" i="327"/>
  <c r="J119" i="327"/>
  <c r="K119" i="327"/>
  <c r="L119" i="327"/>
  <c r="M119" i="327"/>
  <c r="N119" i="327"/>
  <c r="O119" i="327"/>
  <c r="P119" i="327"/>
  <c r="Q119" i="327"/>
  <c r="R119" i="327"/>
  <c r="S119" i="327"/>
  <c r="T119" i="327"/>
  <c r="H120" i="327"/>
  <c r="I120" i="327"/>
  <c r="J120" i="327"/>
  <c r="K120" i="327"/>
  <c r="L120" i="327"/>
  <c r="M120" i="327"/>
  <c r="N120" i="327"/>
  <c r="O120" i="327"/>
  <c r="P120" i="327"/>
  <c r="U120" i="327" s="1"/>
  <c r="Q120" i="327"/>
  <c r="R120" i="327"/>
  <c r="S120" i="327"/>
  <c r="T120" i="327"/>
  <c r="H121" i="327"/>
  <c r="U121" i="327" s="1"/>
  <c r="I121" i="327"/>
  <c r="J121" i="327"/>
  <c r="K121" i="327"/>
  <c r="L121" i="327"/>
  <c r="M121" i="327"/>
  <c r="N121" i="327"/>
  <c r="O121" i="327"/>
  <c r="P121" i="327"/>
  <c r="Q121" i="327"/>
  <c r="R121" i="327"/>
  <c r="S121" i="327"/>
  <c r="T121" i="327"/>
  <c r="H122" i="327"/>
  <c r="U122" i="327" s="1"/>
  <c r="I122" i="327"/>
  <c r="J122" i="327"/>
  <c r="K122" i="327"/>
  <c r="L122" i="327"/>
  <c r="M122" i="327"/>
  <c r="N122" i="327"/>
  <c r="O122" i="327"/>
  <c r="P122" i="327"/>
  <c r="Q122" i="327"/>
  <c r="R122" i="327"/>
  <c r="S122" i="327"/>
  <c r="T122" i="327"/>
  <c r="H123" i="327"/>
  <c r="U123" i="327" s="1"/>
  <c r="I123" i="327"/>
  <c r="J123" i="327"/>
  <c r="K123" i="327"/>
  <c r="L123" i="327"/>
  <c r="M123" i="327"/>
  <c r="N123" i="327"/>
  <c r="O123" i="327"/>
  <c r="O124" i="327" s="1"/>
  <c r="O125" i="327" s="1"/>
  <c r="P123" i="327"/>
  <c r="Q123" i="327"/>
  <c r="R123" i="327"/>
  <c r="S123" i="327"/>
  <c r="S124" i="327" s="1"/>
  <c r="S125" i="327" s="1"/>
  <c r="T123" i="327"/>
  <c r="T124" i="327" s="1"/>
  <c r="H124" i="327"/>
  <c r="H125" i="327" s="1"/>
  <c r="I124" i="327"/>
  <c r="J124" i="327"/>
  <c r="J125" i="327" s="1"/>
  <c r="K124" i="327"/>
  <c r="L124" i="327"/>
  <c r="L125" i="327" s="1"/>
  <c r="M124" i="327"/>
  <c r="N124" i="327"/>
  <c r="N125" i="327" s="1"/>
  <c r="P124" i="327"/>
  <c r="P125" i="327" s="1"/>
  <c r="Q124" i="327"/>
  <c r="R124" i="327"/>
  <c r="R125" i="327" s="1"/>
  <c r="I125" i="327"/>
  <c r="K125" i="327"/>
  <c r="M125" i="327"/>
  <c r="Q125" i="327"/>
  <c r="E12" i="324"/>
  <c r="E24" i="324" s="1"/>
  <c r="D13" i="324"/>
  <c r="E13" i="324"/>
  <c r="E14" i="324"/>
  <c r="E15" i="324"/>
  <c r="E16" i="324"/>
  <c r="E17" i="324"/>
  <c r="E18" i="324"/>
  <c r="E19" i="324"/>
  <c r="E20" i="324"/>
  <c r="E21" i="324"/>
  <c r="D22" i="324"/>
  <c r="E22" i="324"/>
  <c r="E23" i="324"/>
  <c r="I5" i="341"/>
  <c r="J5" i="341"/>
  <c r="I6" i="341"/>
  <c r="J6" i="341"/>
  <c r="I7" i="341"/>
  <c r="J7" i="341"/>
  <c r="I8" i="341"/>
  <c r="J8" i="341"/>
  <c r="I9" i="341"/>
  <c r="J9" i="341"/>
  <c r="I10" i="341"/>
  <c r="J10" i="341"/>
  <c r="J11" i="341"/>
  <c r="J12" i="341"/>
  <c r="I13" i="341"/>
  <c r="J13" i="341"/>
  <c r="I14" i="341"/>
  <c r="J14" i="341"/>
  <c r="G19" i="337"/>
  <c r="H19" i="337"/>
  <c r="G21" i="337"/>
  <c r="H21" i="337"/>
  <c r="B2" i="334"/>
  <c r="E4" i="334"/>
  <c r="C7" i="334"/>
  <c r="C12" i="334"/>
  <c r="D11" i="334"/>
  <c r="E12" i="334"/>
  <c r="C67" i="334"/>
  <c r="D19" i="334"/>
  <c r="E22" i="334"/>
  <c r="C26" i="334"/>
  <c r="E26" i="334" s="1"/>
  <c r="C27" i="334"/>
  <c r="E27" i="334" s="1"/>
  <c r="E34" i="334"/>
  <c r="D38" i="334"/>
  <c r="E41" i="334"/>
  <c r="B49" i="334"/>
  <c r="B50" i="334"/>
  <c r="B51" i="334"/>
  <c r="C54" i="334"/>
  <c r="E54" i="334"/>
  <c r="C56" i="334"/>
  <c r="E56" i="334"/>
  <c r="C59" i="334"/>
  <c r="E59" i="334"/>
  <c r="C60" i="334"/>
  <c r="E60" i="334"/>
  <c r="C61" i="334"/>
  <c r="E61" i="334"/>
  <c r="C62" i="334"/>
  <c r="E62" i="334"/>
  <c r="E67" i="334"/>
  <c r="N4" i="305"/>
  <c r="D6" i="305"/>
  <c r="E6" i="305" s="1"/>
  <c r="F6" i="305" s="1"/>
  <c r="G6" i="305" s="1"/>
  <c r="H6" i="305" s="1"/>
  <c r="I6" i="305" s="1"/>
  <c r="J6" i="305" s="1"/>
  <c r="K6" i="305" s="1"/>
  <c r="L6" i="305" s="1"/>
  <c r="M6" i="305" s="1"/>
  <c r="B12" i="305"/>
  <c r="C12" i="305"/>
  <c r="D12" i="305"/>
  <c r="E12" i="305"/>
  <c r="F12" i="305"/>
  <c r="G12" i="305"/>
  <c r="H12" i="305"/>
  <c r="I12" i="305"/>
  <c r="J12" i="305"/>
  <c r="K12" i="305"/>
  <c r="L12" i="305"/>
  <c r="M12" i="305"/>
  <c r="N12" i="305"/>
  <c r="B14" i="305"/>
  <c r="C14" i="305"/>
  <c r="D14" i="305"/>
  <c r="E14" i="305"/>
  <c r="F14" i="305"/>
  <c r="G14" i="305"/>
  <c r="H14" i="305"/>
  <c r="I14" i="305"/>
  <c r="J14" i="305"/>
  <c r="K14" i="305"/>
  <c r="L14" i="305"/>
  <c r="M14" i="305"/>
  <c r="N14" i="305"/>
  <c r="B16" i="305"/>
  <c r="C16" i="305"/>
  <c r="D16" i="305"/>
  <c r="E16" i="305"/>
  <c r="F16" i="305"/>
  <c r="G16" i="305"/>
  <c r="H16" i="305"/>
  <c r="I16" i="305"/>
  <c r="J16" i="305"/>
  <c r="K16" i="305"/>
  <c r="L16" i="305"/>
  <c r="M16" i="305"/>
  <c r="N16" i="305"/>
  <c r="B18" i="305"/>
  <c r="C19" i="305"/>
  <c r="C20" i="305"/>
  <c r="C18" i="305"/>
  <c r="D19" i="305"/>
  <c r="D20" i="305"/>
  <c r="D18" i="305" s="1"/>
  <c r="E19" i="305"/>
  <c r="E18" i="305" s="1"/>
  <c r="E20" i="305"/>
  <c r="F19" i="305"/>
  <c r="F18" i="305" s="1"/>
  <c r="F20" i="305"/>
  <c r="G19" i="305"/>
  <c r="G20" i="305"/>
  <c r="G18" i="305"/>
  <c r="H19" i="305"/>
  <c r="H20" i="305"/>
  <c r="H18" i="305" s="1"/>
  <c r="I19" i="305"/>
  <c r="I18" i="305" s="1"/>
  <c r="I20" i="305"/>
  <c r="J19" i="305"/>
  <c r="J18" i="305" s="1"/>
  <c r="J20" i="305"/>
  <c r="K19" i="305"/>
  <c r="K20" i="305"/>
  <c r="K18" i="305"/>
  <c r="L19" i="305"/>
  <c r="L20" i="305"/>
  <c r="L18" i="305" s="1"/>
  <c r="M19" i="305"/>
  <c r="M18" i="305" s="1"/>
  <c r="M20" i="305"/>
  <c r="N18" i="305"/>
  <c r="B19" i="305"/>
  <c r="N19" i="305"/>
  <c r="B20" i="305"/>
  <c r="N20" i="305"/>
  <c r="B22" i="305"/>
  <c r="C23" i="305"/>
  <c r="C24" i="305"/>
  <c r="C22" i="305" s="1"/>
  <c r="C25" i="305"/>
  <c r="C26" i="305"/>
  <c r="C27" i="305"/>
  <c r="C28" i="305"/>
  <c r="C29" i="305"/>
  <c r="C30" i="305"/>
  <c r="D23" i="305"/>
  <c r="D24" i="305"/>
  <c r="D25" i="305"/>
  <c r="D22" i="305" s="1"/>
  <c r="D26" i="305"/>
  <c r="D27" i="305"/>
  <c r="D28" i="305"/>
  <c r="D29" i="305"/>
  <c r="D30" i="305"/>
  <c r="E23" i="305"/>
  <c r="E24" i="305"/>
  <c r="E22" i="305" s="1"/>
  <c r="E25" i="305"/>
  <c r="E26" i="305"/>
  <c r="E27" i="305"/>
  <c r="E28" i="305"/>
  <c r="E29" i="305"/>
  <c r="E30" i="305"/>
  <c r="F23" i="305"/>
  <c r="F24" i="305"/>
  <c r="F25" i="305"/>
  <c r="F26" i="305"/>
  <c r="F27" i="305"/>
  <c r="F28" i="305"/>
  <c r="F29" i="305"/>
  <c r="F30" i="305"/>
  <c r="F22" i="305"/>
  <c r="G23" i="305"/>
  <c r="G24" i="305"/>
  <c r="G22" i="305" s="1"/>
  <c r="G25" i="305"/>
  <c r="G26" i="305"/>
  <c r="G27" i="305"/>
  <c r="G28" i="305"/>
  <c r="G29" i="305"/>
  <c r="G30" i="305"/>
  <c r="H23" i="305"/>
  <c r="H24" i="305"/>
  <c r="H25" i="305"/>
  <c r="H22" i="305" s="1"/>
  <c r="H26" i="305"/>
  <c r="H27" i="305"/>
  <c r="H28" i="305"/>
  <c r="H29" i="305"/>
  <c r="H30" i="305"/>
  <c r="I23" i="305"/>
  <c r="I24" i="305"/>
  <c r="I22" i="305" s="1"/>
  <c r="I25" i="305"/>
  <c r="I26" i="305"/>
  <c r="I27" i="305"/>
  <c r="I28" i="305"/>
  <c r="I29" i="305"/>
  <c r="I30" i="305"/>
  <c r="J23" i="305"/>
  <c r="J24" i="305"/>
  <c r="J25" i="305"/>
  <c r="J26" i="305"/>
  <c r="J27" i="305"/>
  <c r="J28" i="305"/>
  <c r="J29" i="305"/>
  <c r="J30" i="305"/>
  <c r="J22" i="305"/>
  <c r="K23" i="305"/>
  <c r="K24" i="305"/>
  <c r="K22" i="305" s="1"/>
  <c r="K25" i="305"/>
  <c r="K26" i="305"/>
  <c r="K27" i="305"/>
  <c r="K28" i="305"/>
  <c r="K29" i="305"/>
  <c r="K30" i="305"/>
  <c r="L23" i="305"/>
  <c r="L24" i="305"/>
  <c r="L25" i="305"/>
  <c r="L22" i="305" s="1"/>
  <c r="L26" i="305"/>
  <c r="L27" i="305"/>
  <c r="L28" i="305"/>
  <c r="L29" i="305"/>
  <c r="L30" i="305"/>
  <c r="M23" i="305"/>
  <c r="M24" i="305"/>
  <c r="M22" i="305" s="1"/>
  <c r="M25" i="305"/>
  <c r="M26" i="305"/>
  <c r="M27" i="305"/>
  <c r="M28" i="305"/>
  <c r="M29" i="305"/>
  <c r="M30" i="305"/>
  <c r="N22" i="305"/>
  <c r="B23" i="305"/>
  <c r="N23" i="305"/>
  <c r="B24" i="305"/>
  <c r="N24" i="305"/>
  <c r="B25" i="305"/>
  <c r="N25" i="305"/>
  <c r="B26" i="305"/>
  <c r="N26" i="305"/>
  <c r="B27" i="305"/>
  <c r="N27" i="305"/>
  <c r="B28" i="305"/>
  <c r="N28" i="305"/>
  <c r="B29" i="305"/>
  <c r="N29" i="305"/>
  <c r="B30" i="305"/>
  <c r="N30" i="305"/>
  <c r="B32" i="305"/>
  <c r="C33" i="305"/>
  <c r="C34" i="305"/>
  <c r="C32" i="305" s="1"/>
  <c r="C35" i="305"/>
  <c r="C36" i="305"/>
  <c r="C37" i="305"/>
  <c r="C38" i="305"/>
  <c r="C39" i="305"/>
  <c r="D33" i="305"/>
  <c r="D34" i="305"/>
  <c r="D32" i="305" s="1"/>
  <c r="D35" i="305"/>
  <c r="D36" i="305"/>
  <c r="D37" i="305"/>
  <c r="D38" i="305"/>
  <c r="D39" i="305"/>
  <c r="E33" i="305"/>
  <c r="E34" i="305"/>
  <c r="E32" i="305" s="1"/>
  <c r="E35" i="305"/>
  <c r="E36" i="305"/>
  <c r="E37" i="305"/>
  <c r="E38" i="305"/>
  <c r="E39" i="305"/>
  <c r="F33" i="305"/>
  <c r="F34" i="305"/>
  <c r="F32" i="305" s="1"/>
  <c r="F35" i="305"/>
  <c r="F36" i="305"/>
  <c r="F37" i="305"/>
  <c r="F38" i="305"/>
  <c r="F39" i="305"/>
  <c r="G33" i="305"/>
  <c r="G34" i="305"/>
  <c r="G32" i="305" s="1"/>
  <c r="G35" i="305"/>
  <c r="G36" i="305"/>
  <c r="G37" i="305"/>
  <c r="G38" i="305"/>
  <c r="G39" i="305"/>
  <c r="H33" i="305"/>
  <c r="H34" i="305"/>
  <c r="H35" i="305"/>
  <c r="H36" i="305"/>
  <c r="H37" i="305"/>
  <c r="H38" i="305"/>
  <c r="H39" i="305"/>
  <c r="I33" i="305"/>
  <c r="I34" i="305"/>
  <c r="I35" i="305"/>
  <c r="I36" i="305"/>
  <c r="I37" i="305"/>
  <c r="I38" i="305"/>
  <c r="I39" i="305"/>
  <c r="J33" i="305"/>
  <c r="J34" i="305"/>
  <c r="J32" i="305" s="1"/>
  <c r="J74" i="305" s="1"/>
  <c r="J35" i="305"/>
  <c r="J36" i="305"/>
  <c r="J37" i="305"/>
  <c r="J38" i="305"/>
  <c r="J39" i="305"/>
  <c r="K33" i="305"/>
  <c r="K32" i="305" s="1"/>
  <c r="K74" i="305" s="1"/>
  <c r="K34" i="305"/>
  <c r="K35" i="305"/>
  <c r="K36" i="305"/>
  <c r="K37" i="305"/>
  <c r="K38" i="305"/>
  <c r="K39" i="305"/>
  <c r="L33" i="305"/>
  <c r="L32" i="305" s="1"/>
  <c r="L74" i="305" s="1"/>
  <c r="L34" i="305"/>
  <c r="L35" i="305"/>
  <c r="L36" i="305"/>
  <c r="L37" i="305"/>
  <c r="L38" i="305"/>
  <c r="L39" i="305"/>
  <c r="M33" i="305"/>
  <c r="M32" i="305" s="1"/>
  <c r="M74" i="305" s="1"/>
  <c r="M34" i="305"/>
  <c r="M35" i="305"/>
  <c r="M36" i="305"/>
  <c r="M37" i="305"/>
  <c r="M38" i="305"/>
  <c r="M39" i="305"/>
  <c r="N32" i="305"/>
  <c r="B33" i="305"/>
  <c r="N33" i="305"/>
  <c r="B34" i="305"/>
  <c r="N34" i="305"/>
  <c r="B35" i="305"/>
  <c r="N35" i="305"/>
  <c r="B36" i="305"/>
  <c r="N36" i="305"/>
  <c r="B37" i="305"/>
  <c r="N37" i="305"/>
  <c r="B38" i="305"/>
  <c r="N38" i="305"/>
  <c r="B39" i="305"/>
  <c r="N39" i="305"/>
  <c r="B41" i="305"/>
  <c r="C42" i="305"/>
  <c r="C43" i="305"/>
  <c r="C44" i="305"/>
  <c r="C41" i="305" s="1"/>
  <c r="C75" i="305" s="1"/>
  <c r="C45" i="305"/>
  <c r="C46" i="305"/>
  <c r="D42" i="305"/>
  <c r="D41" i="305" s="1"/>
  <c r="D75" i="305" s="1"/>
  <c r="D43" i="305"/>
  <c r="D44" i="305"/>
  <c r="D45" i="305"/>
  <c r="D46" i="305"/>
  <c r="E42" i="305"/>
  <c r="E43" i="305"/>
  <c r="E44" i="305"/>
  <c r="E41" i="305" s="1"/>
  <c r="E75" i="305" s="1"/>
  <c r="E45" i="305"/>
  <c r="E46" i="305"/>
  <c r="F42" i="305"/>
  <c r="F41" i="305" s="1"/>
  <c r="F75" i="305" s="1"/>
  <c r="F43" i="305"/>
  <c r="F44" i="305"/>
  <c r="F45" i="305"/>
  <c r="F46" i="305"/>
  <c r="G42" i="305"/>
  <c r="G43" i="305"/>
  <c r="G44" i="305"/>
  <c r="G41" i="305" s="1"/>
  <c r="G75" i="305" s="1"/>
  <c r="G45" i="305"/>
  <c r="G46" i="305"/>
  <c r="H42" i="305"/>
  <c r="H41" i="305" s="1"/>
  <c r="H75" i="305" s="1"/>
  <c r="H43" i="305"/>
  <c r="H44" i="305"/>
  <c r="H45" i="305"/>
  <c r="H46" i="305"/>
  <c r="I42" i="305"/>
  <c r="I43" i="305"/>
  <c r="I44" i="305"/>
  <c r="I41" i="305" s="1"/>
  <c r="I75" i="305" s="1"/>
  <c r="I45" i="305"/>
  <c r="I46" i="305"/>
  <c r="J42" i="305"/>
  <c r="J41" i="305" s="1"/>
  <c r="J75" i="305" s="1"/>
  <c r="J43" i="305"/>
  <c r="J44" i="305"/>
  <c r="J45" i="305"/>
  <c r="J46" i="305"/>
  <c r="K42" i="305"/>
  <c r="K43" i="305"/>
  <c r="K44" i="305"/>
  <c r="K41" i="305" s="1"/>
  <c r="K75" i="305" s="1"/>
  <c r="K45" i="305"/>
  <c r="K46" i="305"/>
  <c r="L42" i="305"/>
  <c r="L41" i="305" s="1"/>
  <c r="L75" i="305" s="1"/>
  <c r="L43" i="305"/>
  <c r="L44" i="305"/>
  <c r="L45" i="305"/>
  <c r="L46" i="305"/>
  <c r="M42" i="305"/>
  <c r="M43" i="305"/>
  <c r="M44" i="305"/>
  <c r="M41" i="305" s="1"/>
  <c r="M75" i="305" s="1"/>
  <c r="M45" i="305"/>
  <c r="M46" i="305"/>
  <c r="N41" i="305"/>
  <c r="B42" i="305"/>
  <c r="N42" i="305"/>
  <c r="B43" i="305"/>
  <c r="N43" i="305"/>
  <c r="B44" i="305"/>
  <c r="N44" i="305"/>
  <c r="B45" i="305"/>
  <c r="N45" i="305"/>
  <c r="B46" i="305"/>
  <c r="N46" i="305"/>
  <c r="B48" i="305"/>
  <c r="C49" i="305"/>
  <c r="C48" i="305" s="1"/>
  <c r="C76" i="305" s="1"/>
  <c r="D49" i="305"/>
  <c r="D48" i="305"/>
  <c r="E49" i="305"/>
  <c r="E48" i="305" s="1"/>
  <c r="E76" i="305" s="1"/>
  <c r="F49" i="305"/>
  <c r="F48" i="305"/>
  <c r="G49" i="305"/>
  <c r="G48" i="305" s="1"/>
  <c r="G76" i="305" s="1"/>
  <c r="H49" i="305"/>
  <c r="H48" i="305"/>
  <c r="I49" i="305"/>
  <c r="I48" i="305" s="1"/>
  <c r="I76" i="305" s="1"/>
  <c r="J49" i="305"/>
  <c r="J48" i="305"/>
  <c r="K49" i="305"/>
  <c r="K48" i="305" s="1"/>
  <c r="K76" i="305" s="1"/>
  <c r="L49" i="305"/>
  <c r="L48" i="305"/>
  <c r="M49" i="305"/>
  <c r="M48" i="305" s="1"/>
  <c r="M76" i="305" s="1"/>
  <c r="N48" i="305"/>
  <c r="B49" i="305"/>
  <c r="N49" i="305"/>
  <c r="B51" i="305"/>
  <c r="C52" i="305"/>
  <c r="C51" i="305" s="1"/>
  <c r="C77" i="305" s="1"/>
  <c r="C53" i="305"/>
  <c r="C54" i="305"/>
  <c r="C55" i="305"/>
  <c r="C56" i="305"/>
  <c r="C57" i="305"/>
  <c r="C58" i="305"/>
  <c r="C59" i="305"/>
  <c r="C60" i="305"/>
  <c r="C61" i="305"/>
  <c r="C62" i="305"/>
  <c r="C63" i="305"/>
  <c r="C64" i="305"/>
  <c r="C65" i="305"/>
  <c r="C66" i="305"/>
  <c r="D52" i="305"/>
  <c r="D51" i="305" s="1"/>
  <c r="D77" i="305" s="1"/>
  <c r="D53" i="305"/>
  <c r="D54" i="305"/>
  <c r="D55" i="305"/>
  <c r="D56" i="305"/>
  <c r="D57" i="305"/>
  <c r="D58" i="305"/>
  <c r="D59" i="305"/>
  <c r="D60" i="305"/>
  <c r="D61" i="305"/>
  <c r="D62" i="305"/>
  <c r="D63" i="305"/>
  <c r="D64" i="305"/>
  <c r="D65" i="305"/>
  <c r="D66" i="305"/>
  <c r="E52" i="305"/>
  <c r="E51" i="305" s="1"/>
  <c r="E77" i="305" s="1"/>
  <c r="E53" i="305"/>
  <c r="E54" i="305"/>
  <c r="E55" i="305"/>
  <c r="E56" i="305"/>
  <c r="E57" i="305"/>
  <c r="E58" i="305"/>
  <c r="E59" i="305"/>
  <c r="E60" i="305"/>
  <c r="E61" i="305"/>
  <c r="E62" i="305"/>
  <c r="E63" i="305"/>
  <c r="E64" i="305"/>
  <c r="E65" i="305"/>
  <c r="E66" i="305"/>
  <c r="F52" i="305"/>
  <c r="F51" i="305" s="1"/>
  <c r="F77" i="305" s="1"/>
  <c r="F53" i="305"/>
  <c r="F54" i="305"/>
  <c r="F55" i="305"/>
  <c r="F56" i="305"/>
  <c r="F57" i="305"/>
  <c r="F58" i="305"/>
  <c r="F59" i="305"/>
  <c r="F60" i="305"/>
  <c r="F61" i="305"/>
  <c r="F62" i="305"/>
  <c r="F63" i="305"/>
  <c r="F64" i="305"/>
  <c r="F65" i="305"/>
  <c r="F66" i="305"/>
  <c r="G52" i="305"/>
  <c r="G51" i="305" s="1"/>
  <c r="G77" i="305" s="1"/>
  <c r="G53" i="305"/>
  <c r="G54" i="305"/>
  <c r="G55" i="305"/>
  <c r="G56" i="305"/>
  <c r="G57" i="305"/>
  <c r="G58" i="305"/>
  <c r="G59" i="305"/>
  <c r="G60" i="305"/>
  <c r="G61" i="305"/>
  <c r="G62" i="305"/>
  <c r="G63" i="305"/>
  <c r="G64" i="305"/>
  <c r="G65" i="305"/>
  <c r="G66" i="305"/>
  <c r="H52" i="305"/>
  <c r="H51" i="305" s="1"/>
  <c r="H77" i="305" s="1"/>
  <c r="H53" i="305"/>
  <c r="H54" i="305"/>
  <c r="H55" i="305"/>
  <c r="H56" i="305"/>
  <c r="H57" i="305"/>
  <c r="H58" i="305"/>
  <c r="H59" i="305"/>
  <c r="H60" i="305"/>
  <c r="H61" i="305"/>
  <c r="H62" i="305"/>
  <c r="H63" i="305"/>
  <c r="H64" i="305"/>
  <c r="H65" i="305"/>
  <c r="H66" i="305"/>
  <c r="I52" i="305"/>
  <c r="I51" i="305" s="1"/>
  <c r="I77" i="305" s="1"/>
  <c r="I53" i="305"/>
  <c r="I54" i="305"/>
  <c r="I55" i="305"/>
  <c r="I56" i="305"/>
  <c r="I57" i="305"/>
  <c r="I58" i="305"/>
  <c r="I59" i="305"/>
  <c r="I60" i="305"/>
  <c r="I61" i="305"/>
  <c r="I62" i="305"/>
  <c r="I63" i="305"/>
  <c r="I64" i="305"/>
  <c r="I65" i="305"/>
  <c r="I66" i="305"/>
  <c r="J52" i="305"/>
  <c r="J51" i="305" s="1"/>
  <c r="J77" i="305" s="1"/>
  <c r="J53" i="305"/>
  <c r="J54" i="305"/>
  <c r="J55" i="305"/>
  <c r="J56" i="305"/>
  <c r="J57" i="305"/>
  <c r="J58" i="305"/>
  <c r="J59" i="305"/>
  <c r="J60" i="305"/>
  <c r="J61" i="305"/>
  <c r="J62" i="305"/>
  <c r="J63" i="305"/>
  <c r="J64" i="305"/>
  <c r="J65" i="305"/>
  <c r="J66" i="305"/>
  <c r="K52" i="305"/>
  <c r="K51" i="305" s="1"/>
  <c r="K77" i="305" s="1"/>
  <c r="K53" i="305"/>
  <c r="K54" i="305"/>
  <c r="K55" i="305"/>
  <c r="K56" i="305"/>
  <c r="K57" i="305"/>
  <c r="K58" i="305"/>
  <c r="K59" i="305"/>
  <c r="K60" i="305"/>
  <c r="K61" i="305"/>
  <c r="K62" i="305"/>
  <c r="K63" i="305"/>
  <c r="K64" i="305"/>
  <c r="K65" i="305"/>
  <c r="K66" i="305"/>
  <c r="L52" i="305"/>
  <c r="L51" i="305" s="1"/>
  <c r="L77" i="305" s="1"/>
  <c r="L53" i="305"/>
  <c r="L54" i="305"/>
  <c r="L55" i="305"/>
  <c r="L56" i="305"/>
  <c r="L57" i="305"/>
  <c r="L58" i="305"/>
  <c r="L59" i="305"/>
  <c r="L60" i="305"/>
  <c r="L61" i="305"/>
  <c r="L62" i="305"/>
  <c r="L63" i="305"/>
  <c r="L64" i="305"/>
  <c r="L65" i="305"/>
  <c r="L66" i="305"/>
  <c r="M52" i="305"/>
  <c r="M51" i="305" s="1"/>
  <c r="M77" i="305" s="1"/>
  <c r="M82" i="305" s="1" a="1"/>
  <c r="M82" i="305" s="1"/>
  <c r="M83" i="305" s="1"/>
  <c r="M53" i="305"/>
  <c r="M54" i="305"/>
  <c r="M55" i="305"/>
  <c r="M56" i="305"/>
  <c r="M57" i="305"/>
  <c r="M58" i="305"/>
  <c r="M59" i="305"/>
  <c r="M60" i="305"/>
  <c r="M61" i="305"/>
  <c r="M62" i="305"/>
  <c r="M63" i="305"/>
  <c r="M64" i="305"/>
  <c r="M65" i="305"/>
  <c r="M66" i="305"/>
  <c r="N51" i="305"/>
  <c r="B52" i="305"/>
  <c r="N52" i="305"/>
  <c r="B53" i="305"/>
  <c r="N53" i="305"/>
  <c r="B54" i="305"/>
  <c r="N54" i="305"/>
  <c r="B55" i="305"/>
  <c r="N55" i="305"/>
  <c r="B56" i="305"/>
  <c r="N56" i="305"/>
  <c r="B57" i="305"/>
  <c r="N57" i="305"/>
  <c r="B58" i="305"/>
  <c r="N58" i="305"/>
  <c r="B59" i="305"/>
  <c r="N59" i="305"/>
  <c r="B60" i="305"/>
  <c r="N60" i="305"/>
  <c r="B61" i="305"/>
  <c r="N61" i="305"/>
  <c r="B62" i="305"/>
  <c r="N62" i="305"/>
  <c r="B63" i="305"/>
  <c r="N63" i="305"/>
  <c r="B64" i="305"/>
  <c r="N64" i="305"/>
  <c r="B65" i="305"/>
  <c r="B66" i="305"/>
  <c r="B69" i="305"/>
  <c r="C69" i="305"/>
  <c r="D69" i="305"/>
  <c r="E69" i="305"/>
  <c r="F69" i="305"/>
  <c r="F78" i="305" s="1"/>
  <c r="G69" i="305"/>
  <c r="H69" i="305"/>
  <c r="I69" i="305"/>
  <c r="J69" i="305"/>
  <c r="J78" i="305" s="1"/>
  <c r="K69" i="305"/>
  <c r="L69" i="305"/>
  <c r="M69" i="305"/>
  <c r="B70" i="305"/>
  <c r="C70" i="305"/>
  <c r="D70" i="305"/>
  <c r="E70" i="305"/>
  <c r="F70" i="305"/>
  <c r="G70" i="305"/>
  <c r="H70" i="305"/>
  <c r="I70" i="305"/>
  <c r="J70" i="305"/>
  <c r="K70" i="305"/>
  <c r="L70" i="305"/>
  <c r="M70" i="305"/>
  <c r="B71" i="305"/>
  <c r="C71" i="305"/>
  <c r="D71" i="305"/>
  <c r="E71" i="305"/>
  <c r="F71" i="305"/>
  <c r="G71" i="305"/>
  <c r="H71" i="305"/>
  <c r="I71" i="305"/>
  <c r="J71" i="305"/>
  <c r="K71" i="305"/>
  <c r="L71" i="305"/>
  <c r="M71" i="305"/>
  <c r="B72" i="305"/>
  <c r="C72" i="305"/>
  <c r="D72" i="305"/>
  <c r="E72" i="305"/>
  <c r="F72" i="305"/>
  <c r="G72" i="305"/>
  <c r="H72" i="305"/>
  <c r="I72" i="305"/>
  <c r="J72" i="305"/>
  <c r="K72" i="305"/>
  <c r="L72" i="305"/>
  <c r="M72" i="305"/>
  <c r="B73" i="305"/>
  <c r="C73" i="305"/>
  <c r="D73" i="305"/>
  <c r="E73" i="305"/>
  <c r="F73" i="305"/>
  <c r="G73" i="305"/>
  <c r="H73" i="305"/>
  <c r="I73" i="305"/>
  <c r="J73" i="305"/>
  <c r="K73" i="305"/>
  <c r="L73" i="305"/>
  <c r="M73" i="305"/>
  <c r="B74" i="305"/>
  <c r="C74" i="305"/>
  <c r="D74" i="305"/>
  <c r="E74" i="305"/>
  <c r="F74" i="305"/>
  <c r="G74" i="305"/>
  <c r="B75" i="305"/>
  <c r="B76" i="305"/>
  <c r="D76" i="305"/>
  <c r="F76" i="305"/>
  <c r="H76" i="305"/>
  <c r="J76" i="305"/>
  <c r="L76" i="305"/>
  <c r="B77" i="305"/>
  <c r="C89" i="305"/>
  <c r="D89" i="305"/>
  <c r="E89" i="305"/>
  <c r="F89" i="305"/>
  <c r="G89" i="305"/>
  <c r="H89" i="305"/>
  <c r="I89" i="305"/>
  <c r="J89" i="305"/>
  <c r="K89" i="305"/>
  <c r="L89" i="305"/>
  <c r="M89" i="305"/>
  <c r="N89" i="305"/>
  <c r="B2" i="301"/>
  <c r="AA3" i="301"/>
  <c r="R4" i="301"/>
  <c r="AA4" i="301"/>
  <c r="AA5" i="301"/>
  <c r="K11" i="301"/>
  <c r="L11" i="301"/>
  <c r="O11" i="301" s="1"/>
  <c r="M11" i="301"/>
  <c r="N11" i="301"/>
  <c r="Q11" i="301"/>
  <c r="AA11" i="301"/>
  <c r="K12" i="301"/>
  <c r="L12" i="301"/>
  <c r="M12" i="301"/>
  <c r="N12" i="301"/>
  <c r="Q12" i="301"/>
  <c r="AA12" i="301"/>
  <c r="K13" i="301"/>
  <c r="L13" i="301"/>
  <c r="M13" i="301"/>
  <c r="N13" i="301"/>
  <c r="Q13" i="301"/>
  <c r="AA13" i="301"/>
  <c r="K14" i="301"/>
  <c r="L14" i="301"/>
  <c r="M14" i="301"/>
  <c r="V14" i="301" s="1"/>
  <c r="N14" i="301"/>
  <c r="P14" i="301"/>
  <c r="R14" i="301" s="1"/>
  <c r="Q14" i="301"/>
  <c r="AA14" i="301"/>
  <c r="AB14" i="301"/>
  <c r="K15" i="301"/>
  <c r="L15" i="301"/>
  <c r="M15" i="301"/>
  <c r="N15" i="301"/>
  <c r="Q15" i="301"/>
  <c r="AA15" i="301"/>
  <c r="K16" i="301"/>
  <c r="L16" i="301"/>
  <c r="M16" i="301"/>
  <c r="N16" i="301"/>
  <c r="Q16" i="301"/>
  <c r="AA16" i="301"/>
  <c r="K17" i="301"/>
  <c r="L17" i="301"/>
  <c r="M17" i="301"/>
  <c r="N17" i="301"/>
  <c r="Q17" i="301"/>
  <c r="AA17" i="301"/>
  <c r="K18" i="301"/>
  <c r="L18" i="301"/>
  <c r="M18" i="301"/>
  <c r="N18" i="301"/>
  <c r="P18" i="301"/>
  <c r="R18" i="301" s="1"/>
  <c r="Q18" i="301"/>
  <c r="AA18" i="301"/>
  <c r="K19" i="301"/>
  <c r="L19" i="301"/>
  <c r="M19" i="301"/>
  <c r="N19" i="301"/>
  <c r="Q19" i="301"/>
  <c r="AA19" i="301"/>
  <c r="K29" i="301"/>
  <c r="L29" i="301"/>
  <c r="M29" i="301"/>
  <c r="N29" i="301"/>
  <c r="Q29" i="301"/>
  <c r="AA29" i="301"/>
  <c r="K30" i="301"/>
  <c r="L30" i="301"/>
  <c r="M30" i="301"/>
  <c r="N30" i="301"/>
  <c r="Q30" i="301"/>
  <c r="AA30" i="301"/>
  <c r="K31" i="301"/>
  <c r="L31" i="301"/>
  <c r="M31" i="301"/>
  <c r="O31" i="301" s="1"/>
  <c r="N31" i="301"/>
  <c r="P31" i="301"/>
  <c r="R31" i="301" s="1"/>
  <c r="Q31" i="301"/>
  <c r="AA31" i="301"/>
  <c r="K32" i="301"/>
  <c r="L32" i="301"/>
  <c r="M32" i="301"/>
  <c r="N32" i="301"/>
  <c r="Q32" i="301"/>
  <c r="AA32" i="301"/>
  <c r="K33" i="301"/>
  <c r="L33" i="301"/>
  <c r="M33" i="301"/>
  <c r="N33" i="301"/>
  <c r="P33" i="301"/>
  <c r="R33" i="301" s="1"/>
  <c r="AB33" i="301" s="1"/>
  <c r="Q33" i="301"/>
  <c r="AA33" i="301"/>
  <c r="K34" i="301"/>
  <c r="L34" i="301"/>
  <c r="M34" i="301"/>
  <c r="N34" i="301"/>
  <c r="Q34" i="301"/>
  <c r="AA34" i="301"/>
  <c r="K35" i="301"/>
  <c r="L35" i="301"/>
  <c r="M35" i="301"/>
  <c r="O35" i="301" s="1"/>
  <c r="N35" i="301"/>
  <c r="Q35" i="301"/>
  <c r="AA35" i="301"/>
  <c r="K36" i="301"/>
  <c r="L36" i="301"/>
  <c r="M36" i="301"/>
  <c r="N36" i="301"/>
  <c r="Q36" i="301"/>
  <c r="AA36" i="301"/>
  <c r="K37" i="301"/>
  <c r="L37" i="301"/>
  <c r="M37" i="301"/>
  <c r="O37" i="301" s="1"/>
  <c r="N37" i="301"/>
  <c r="Q37" i="301"/>
  <c r="AA37" i="301"/>
  <c r="K38" i="301"/>
  <c r="L38" i="301"/>
  <c r="M38" i="301"/>
  <c r="N38" i="301"/>
  <c r="Q38" i="301"/>
  <c r="AA38" i="301"/>
  <c r="K39" i="301"/>
  <c r="L39" i="301"/>
  <c r="M39" i="301"/>
  <c r="N39" i="301"/>
  <c r="P39" i="301"/>
  <c r="R39" i="301" s="1"/>
  <c r="AB39" i="301" s="1"/>
  <c r="Q39" i="301"/>
  <c r="AA39" i="301"/>
  <c r="K40" i="301"/>
  <c r="L40" i="301"/>
  <c r="M40" i="301"/>
  <c r="N40" i="301"/>
  <c r="Q40" i="301"/>
  <c r="AA40" i="301"/>
  <c r="K41" i="301"/>
  <c r="L41" i="301"/>
  <c r="M41" i="301"/>
  <c r="N41" i="301"/>
  <c r="P41" i="301"/>
  <c r="R41" i="301" s="1"/>
  <c r="Q41" i="301"/>
  <c r="AA41" i="301"/>
  <c r="K42" i="301"/>
  <c r="L42" i="301"/>
  <c r="M42" i="301"/>
  <c r="N42" i="301"/>
  <c r="Q42" i="301"/>
  <c r="AA42" i="301"/>
  <c r="K43" i="301"/>
  <c r="L43" i="301"/>
  <c r="M43" i="301"/>
  <c r="O43" i="301" s="1"/>
  <c r="N43" i="301"/>
  <c r="Q43" i="301"/>
  <c r="AA43" i="301"/>
  <c r="K44" i="301"/>
  <c r="L44" i="301"/>
  <c r="M44" i="301"/>
  <c r="N44" i="301"/>
  <c r="Q44" i="301"/>
  <c r="AA44" i="301"/>
  <c r="K45" i="301"/>
  <c r="L45" i="301"/>
  <c r="M45" i="301"/>
  <c r="O45" i="301" s="1"/>
  <c r="N45" i="301"/>
  <c r="Q45" i="301"/>
  <c r="AA45" i="301"/>
  <c r="K46" i="301"/>
  <c r="L46" i="301"/>
  <c r="M46" i="301"/>
  <c r="N46" i="301"/>
  <c r="Q46" i="301"/>
  <c r="AA46" i="301"/>
  <c r="K47" i="301"/>
  <c r="L47" i="301"/>
  <c r="M47" i="301"/>
  <c r="O47" i="301" s="1"/>
  <c r="N47" i="301"/>
  <c r="P47" i="301"/>
  <c r="R47" i="301" s="1"/>
  <c r="Q47" i="301"/>
  <c r="AA47" i="301"/>
  <c r="K48" i="301"/>
  <c r="L48" i="301"/>
  <c r="M48" i="301"/>
  <c r="N48" i="301"/>
  <c r="Q48" i="301"/>
  <c r="AA48" i="301"/>
  <c r="K49" i="301"/>
  <c r="L49" i="301"/>
  <c r="M49" i="301"/>
  <c r="N49" i="301"/>
  <c r="P49" i="301"/>
  <c r="R49" i="301" s="1"/>
  <c r="AB49" i="301" s="1"/>
  <c r="Q49" i="301"/>
  <c r="AA49" i="301"/>
  <c r="K50" i="301"/>
  <c r="L50" i="301"/>
  <c r="M50" i="301"/>
  <c r="N50" i="301"/>
  <c r="Q50" i="301"/>
  <c r="AA50" i="301"/>
  <c r="K51" i="301"/>
  <c r="L51" i="301"/>
  <c r="M51" i="301"/>
  <c r="O51" i="301" s="1"/>
  <c r="N51" i="301"/>
  <c r="Q51" i="301"/>
  <c r="AA51" i="301"/>
  <c r="K52" i="301"/>
  <c r="L52" i="301"/>
  <c r="M52" i="301"/>
  <c r="N52" i="301"/>
  <c r="Q52" i="301"/>
  <c r="AA52" i="301"/>
  <c r="B10" i="301"/>
  <c r="H11" i="301"/>
  <c r="AC11" i="301"/>
  <c r="H12" i="301"/>
  <c r="O12" i="301"/>
  <c r="AC12" i="301"/>
  <c r="H13" i="301"/>
  <c r="AC13" i="301"/>
  <c r="H14" i="301"/>
  <c r="W14" i="301"/>
  <c r="O14" i="301"/>
  <c r="AC14" i="301"/>
  <c r="H15" i="301"/>
  <c r="AC15" i="301"/>
  <c r="H16" i="301"/>
  <c r="O16" i="301"/>
  <c r="AC16" i="301"/>
  <c r="H17" i="301"/>
  <c r="AC17" i="301"/>
  <c r="H18" i="301"/>
  <c r="O18" i="301"/>
  <c r="AC18" i="301"/>
  <c r="H19" i="301"/>
  <c r="AC19" i="301"/>
  <c r="H21" i="301"/>
  <c r="K21" i="301"/>
  <c r="M21" i="301"/>
  <c r="Q21" i="301"/>
  <c r="K22" i="301"/>
  <c r="M22" i="301"/>
  <c r="Q22" i="301"/>
  <c r="H23" i="301"/>
  <c r="K23" i="301"/>
  <c r="M23" i="301"/>
  <c r="Q23" i="301"/>
  <c r="H24" i="301"/>
  <c r="K24" i="301"/>
  <c r="M24" i="301"/>
  <c r="Q24" i="301"/>
  <c r="H25" i="301"/>
  <c r="K25" i="301"/>
  <c r="M25" i="301"/>
  <c r="Q25" i="301"/>
  <c r="H26" i="301"/>
  <c r="K26" i="301"/>
  <c r="M26" i="301"/>
  <c r="Q26" i="301"/>
  <c r="B28" i="301"/>
  <c r="H29" i="301"/>
  <c r="AC29" i="301"/>
  <c r="H30" i="301"/>
  <c r="O30" i="301"/>
  <c r="AC30" i="301"/>
  <c r="H31" i="301"/>
  <c r="V31" i="301"/>
  <c r="W31" i="301" s="1"/>
  <c r="AC31" i="301"/>
  <c r="AC32" i="301"/>
  <c r="O33" i="301"/>
  <c r="V33" i="301"/>
  <c r="W33" i="301" s="1"/>
  <c r="AC33" i="301"/>
  <c r="H34" i="301"/>
  <c r="O34" i="301"/>
  <c r="AC34" i="301"/>
  <c r="H35" i="301"/>
  <c r="AC35" i="301"/>
  <c r="H36" i="301"/>
  <c r="O36" i="301"/>
  <c r="AC36" i="301"/>
  <c r="H37" i="301"/>
  <c r="AC37" i="301"/>
  <c r="AC38" i="301"/>
  <c r="O39" i="301"/>
  <c r="V39" i="301"/>
  <c r="W39" i="301" s="1"/>
  <c r="AC39" i="301"/>
  <c r="AC40" i="301"/>
  <c r="O41" i="301"/>
  <c r="V41" i="301"/>
  <c r="W41" i="301" s="1"/>
  <c r="AC41" i="301"/>
  <c r="H42" i="301"/>
  <c r="O42" i="301"/>
  <c r="AC42" i="301"/>
  <c r="H43" i="301"/>
  <c r="AC43" i="301"/>
  <c r="H44" i="301"/>
  <c r="O44" i="301"/>
  <c r="AC44" i="301"/>
  <c r="H45" i="301"/>
  <c r="AC45" i="301"/>
  <c r="H46" i="301"/>
  <c r="O46" i="301"/>
  <c r="AC46" i="301"/>
  <c r="H47" i="301"/>
  <c r="V47" i="301"/>
  <c r="W47" i="301" s="1"/>
  <c r="AC47" i="301"/>
  <c r="H48" i="301"/>
  <c r="O48" i="301"/>
  <c r="AC48" i="301"/>
  <c r="O49" i="301"/>
  <c r="V49" i="301"/>
  <c r="W49" i="301" s="1"/>
  <c r="AC49" i="301"/>
  <c r="AC50" i="301"/>
  <c r="H51" i="301"/>
  <c r="AC51" i="301"/>
  <c r="H52" i="301"/>
  <c r="O52" i="301"/>
  <c r="AC52" i="301"/>
  <c r="H53" i="301"/>
  <c r="L53" i="301"/>
  <c r="M53" i="301"/>
  <c r="K53" i="301"/>
  <c r="P53" i="301" s="1"/>
  <c r="R53" i="301" s="1"/>
  <c r="AB53" i="301" s="1"/>
  <c r="N53" i="301"/>
  <c r="O53" i="301"/>
  <c r="Q53" i="301"/>
  <c r="AA53" i="301"/>
  <c r="AC53" i="301"/>
  <c r="L55" i="301"/>
  <c r="N55" i="301"/>
  <c r="L56" i="301"/>
  <c r="N56" i="301"/>
  <c r="L57" i="301"/>
  <c r="N57" i="301"/>
  <c r="L58" i="301"/>
  <c r="N58" i="301"/>
  <c r="L59" i="301"/>
  <c r="M59" i="301"/>
  <c r="N59" i="301"/>
  <c r="Q59" i="301"/>
  <c r="H60" i="301"/>
  <c r="K60" i="301"/>
  <c r="L60" i="301"/>
  <c r="M60" i="301"/>
  <c r="N60" i="301"/>
  <c r="Q60" i="301"/>
  <c r="K63" i="301" a="1"/>
  <c r="K63" i="301" s="1"/>
  <c r="M63" i="301" a="1"/>
  <c r="M63" i="301" s="1"/>
  <c r="Q63" i="301" a="1"/>
  <c r="Q63" i="301" s="1"/>
  <c r="K64" i="301" a="1"/>
  <c r="K64" i="301" s="1"/>
  <c r="M64" i="301" a="1"/>
  <c r="M64" i="301" s="1"/>
  <c r="Q64" i="301" a="1"/>
  <c r="Q64" i="301" s="1"/>
  <c r="K65" i="301" a="1"/>
  <c r="K65" i="301" s="1"/>
  <c r="M65" i="301" a="1"/>
  <c r="M65" i="301" s="1"/>
  <c r="Q65" i="301" a="1"/>
  <c r="Q65" i="301" s="1"/>
  <c r="K66" i="301" a="1"/>
  <c r="K66" i="301" s="1"/>
  <c r="M66" i="301" a="1"/>
  <c r="M66" i="301" s="1"/>
  <c r="Q66" i="301" a="1"/>
  <c r="Q66" i="301" s="1"/>
  <c r="K67" i="301" a="1"/>
  <c r="K67" i="301" s="1"/>
  <c r="M67" i="301" a="1"/>
  <c r="M67" i="301" s="1"/>
  <c r="Q67" i="301" a="1"/>
  <c r="Q67" i="301" s="1"/>
  <c r="K68" i="301" a="1"/>
  <c r="K68" i="301" s="1"/>
  <c r="M68" i="301" a="1"/>
  <c r="M68" i="301" s="1"/>
  <c r="Q68" i="301" a="1"/>
  <c r="Q68" i="301" s="1"/>
  <c r="E80" i="301"/>
  <c r="B2" i="300"/>
  <c r="M7" i="300"/>
  <c r="M18" i="300"/>
  <c r="H18" i="300" s="1"/>
  <c r="H27" i="300"/>
  <c r="H31" i="300"/>
  <c r="B2" i="281"/>
  <c r="B2" i="306"/>
  <c r="X3" i="306"/>
  <c r="J4" i="306"/>
  <c r="T4" i="306"/>
  <c r="X4" i="306"/>
  <c r="X5" i="306"/>
  <c r="D11" i="306"/>
  <c r="E11" i="306"/>
  <c r="M11" i="306" s="1"/>
  <c r="F11" i="306"/>
  <c r="H11" i="306"/>
  <c r="I11" i="306"/>
  <c r="J11" i="306"/>
  <c r="J25" i="306" s="1"/>
  <c r="P11" i="306"/>
  <c r="D12" i="306"/>
  <c r="E12" i="306"/>
  <c r="F12" i="306"/>
  <c r="Q12" i="306" s="1"/>
  <c r="T12" i="306" s="1"/>
  <c r="H12" i="306"/>
  <c r="I12" i="306"/>
  <c r="J12" i="306"/>
  <c r="L12" i="306"/>
  <c r="N12" i="306"/>
  <c r="D13" i="306"/>
  <c r="E13" i="306"/>
  <c r="Q13" i="306" s="1"/>
  <c r="F13" i="306"/>
  <c r="H13" i="306"/>
  <c r="L13" i="306" s="1"/>
  <c r="I13" i="306"/>
  <c r="J13" i="306"/>
  <c r="M13" i="306"/>
  <c r="P13" i="306"/>
  <c r="S13" i="306"/>
  <c r="D14" i="306"/>
  <c r="P14" i="306" s="1"/>
  <c r="E14" i="306"/>
  <c r="F14" i="306"/>
  <c r="N14" i="306" s="1"/>
  <c r="H14" i="306"/>
  <c r="I14" i="306"/>
  <c r="J14" i="306"/>
  <c r="Q14" i="306"/>
  <c r="T14" i="306" s="1"/>
  <c r="D15" i="306"/>
  <c r="E15" i="306"/>
  <c r="Q15" i="306" s="1"/>
  <c r="F15" i="306"/>
  <c r="H15" i="306"/>
  <c r="L15" i="306" s="1"/>
  <c r="I15" i="306"/>
  <c r="J15" i="306"/>
  <c r="D16" i="306"/>
  <c r="P16" i="306" s="1"/>
  <c r="E16" i="306"/>
  <c r="F16" i="306"/>
  <c r="H16" i="306"/>
  <c r="I16" i="306"/>
  <c r="J16" i="306"/>
  <c r="N16" i="306"/>
  <c r="Q16" i="306"/>
  <c r="T16" i="306"/>
  <c r="D17" i="306"/>
  <c r="E17" i="306"/>
  <c r="Q17" i="306" s="1"/>
  <c r="F17" i="306"/>
  <c r="H17" i="306"/>
  <c r="L17" i="306" s="1"/>
  <c r="I17" i="306"/>
  <c r="J17" i="306"/>
  <c r="M17" i="306"/>
  <c r="D18" i="306"/>
  <c r="P18" i="306" s="1"/>
  <c r="E18" i="306"/>
  <c r="F18" i="306"/>
  <c r="N18" i="306" s="1"/>
  <c r="H18" i="306"/>
  <c r="I18" i="306"/>
  <c r="J18" i="306"/>
  <c r="L18" i="306"/>
  <c r="D19" i="306"/>
  <c r="E19" i="306"/>
  <c r="Q19" i="306" s="1"/>
  <c r="F19" i="306"/>
  <c r="H19" i="306"/>
  <c r="L19" i="306" s="1"/>
  <c r="I19" i="306"/>
  <c r="J19" i="306"/>
  <c r="P19" i="306"/>
  <c r="S19" i="306" s="1"/>
  <c r="H21" i="306"/>
  <c r="E23" i="306"/>
  <c r="I24" i="306"/>
  <c r="F26" i="306"/>
  <c r="D29" i="306"/>
  <c r="P29" i="306" s="1"/>
  <c r="E29" i="306"/>
  <c r="F29" i="306"/>
  <c r="N29" i="306" s="1"/>
  <c r="H29" i="306"/>
  <c r="I29" i="306"/>
  <c r="J29" i="306"/>
  <c r="L29" i="306"/>
  <c r="D30" i="306"/>
  <c r="E30" i="306"/>
  <c r="Q30" i="306" s="1"/>
  <c r="F30" i="306"/>
  <c r="H30" i="306"/>
  <c r="L30" i="306" s="1"/>
  <c r="I30" i="306"/>
  <c r="J30" i="306"/>
  <c r="J55" i="306" s="1"/>
  <c r="P30" i="306"/>
  <c r="S30" i="306" s="1"/>
  <c r="D31" i="306"/>
  <c r="P31" i="306" s="1"/>
  <c r="E31" i="306"/>
  <c r="F31" i="306"/>
  <c r="Q31" i="306" s="1"/>
  <c r="T31" i="306" s="1"/>
  <c r="H31" i="306"/>
  <c r="I31" i="306"/>
  <c r="J31" i="306"/>
  <c r="L31" i="306"/>
  <c r="N31" i="306"/>
  <c r="D32" i="306"/>
  <c r="E32" i="306"/>
  <c r="Q32" i="306" s="1"/>
  <c r="F32" i="306"/>
  <c r="H32" i="306"/>
  <c r="L32" i="306" s="1"/>
  <c r="I32" i="306"/>
  <c r="J32" i="306"/>
  <c r="M32" i="306"/>
  <c r="P32" i="306"/>
  <c r="S32" i="306"/>
  <c r="D33" i="306"/>
  <c r="P33" i="306" s="1"/>
  <c r="E33" i="306"/>
  <c r="F33" i="306"/>
  <c r="N33" i="306" s="1"/>
  <c r="H33" i="306"/>
  <c r="I33" i="306"/>
  <c r="J33" i="306"/>
  <c r="Q33" i="306"/>
  <c r="T33" i="306" s="1"/>
  <c r="D34" i="306"/>
  <c r="E34" i="306"/>
  <c r="Q34" i="306" s="1"/>
  <c r="F34" i="306"/>
  <c r="H34" i="306"/>
  <c r="L34" i="306" s="1"/>
  <c r="I34" i="306"/>
  <c r="J34" i="306"/>
  <c r="D35" i="306"/>
  <c r="P35" i="306" s="1"/>
  <c r="E35" i="306"/>
  <c r="F35" i="306"/>
  <c r="H35" i="306"/>
  <c r="I35" i="306"/>
  <c r="J35" i="306"/>
  <c r="N35" i="306"/>
  <c r="Q35" i="306"/>
  <c r="T35" i="306"/>
  <c r="D36" i="306"/>
  <c r="E36" i="306"/>
  <c r="Q36" i="306" s="1"/>
  <c r="F36" i="306"/>
  <c r="H36" i="306"/>
  <c r="L36" i="306" s="1"/>
  <c r="I36" i="306"/>
  <c r="J36" i="306"/>
  <c r="M36" i="306"/>
  <c r="D37" i="306"/>
  <c r="P37" i="306" s="1"/>
  <c r="E37" i="306"/>
  <c r="F37" i="306"/>
  <c r="N37" i="306" s="1"/>
  <c r="H37" i="306"/>
  <c r="I37" i="306"/>
  <c r="J37" i="306"/>
  <c r="L37" i="306"/>
  <c r="D38" i="306"/>
  <c r="E38" i="306"/>
  <c r="Q38" i="306" s="1"/>
  <c r="F38" i="306"/>
  <c r="H38" i="306"/>
  <c r="L38" i="306" s="1"/>
  <c r="I38" i="306"/>
  <c r="J38" i="306"/>
  <c r="P38" i="306"/>
  <c r="S38" i="306" s="1"/>
  <c r="D39" i="306"/>
  <c r="P39" i="306" s="1"/>
  <c r="E39" i="306"/>
  <c r="F39" i="306"/>
  <c r="Q39" i="306" s="1"/>
  <c r="T39" i="306" s="1"/>
  <c r="H39" i="306"/>
  <c r="I39" i="306"/>
  <c r="J39" i="306"/>
  <c r="L39" i="306"/>
  <c r="N39" i="306"/>
  <c r="D40" i="306"/>
  <c r="E40" i="306"/>
  <c r="Q40" i="306" s="1"/>
  <c r="F40" i="306"/>
  <c r="H40" i="306"/>
  <c r="L40" i="306" s="1"/>
  <c r="I40" i="306"/>
  <c r="J40" i="306"/>
  <c r="M40" i="306"/>
  <c r="P40" i="306"/>
  <c r="S40" i="306"/>
  <c r="D41" i="306"/>
  <c r="P41" i="306" s="1"/>
  <c r="E41" i="306"/>
  <c r="F41" i="306"/>
  <c r="H41" i="306"/>
  <c r="I41" i="306"/>
  <c r="I59" i="306" s="1"/>
  <c r="J41" i="306"/>
  <c r="N41" i="306"/>
  <c r="Q41" i="306"/>
  <c r="T41" i="306"/>
  <c r="D42" i="306"/>
  <c r="E42" i="306"/>
  <c r="Q42" i="306" s="1"/>
  <c r="F42" i="306"/>
  <c r="H42" i="306"/>
  <c r="L42" i="306" s="1"/>
  <c r="I42" i="306"/>
  <c r="J42" i="306"/>
  <c r="J58" i="306" s="1"/>
  <c r="P42" i="306"/>
  <c r="S42" i="306" s="1"/>
  <c r="D43" i="306"/>
  <c r="P43" i="306" s="1"/>
  <c r="E43" i="306"/>
  <c r="F43" i="306"/>
  <c r="N43" i="306" s="1"/>
  <c r="H43" i="306"/>
  <c r="I43" i="306"/>
  <c r="M43" i="306" s="1"/>
  <c r="J43" i="306"/>
  <c r="L43" i="306"/>
  <c r="Q43" i="306"/>
  <c r="T43" i="306" s="1"/>
  <c r="D44" i="306"/>
  <c r="E44" i="306"/>
  <c r="Q44" i="306" s="1"/>
  <c r="F44" i="306"/>
  <c r="H44" i="306"/>
  <c r="H60" i="306" s="1"/>
  <c r="I44" i="306"/>
  <c r="J44" i="306"/>
  <c r="N44" i="306" s="1"/>
  <c r="M44" i="306"/>
  <c r="P44" i="306"/>
  <c r="S44" i="306"/>
  <c r="D45" i="306"/>
  <c r="P45" i="306" s="1"/>
  <c r="E45" i="306"/>
  <c r="F45" i="306"/>
  <c r="H45" i="306"/>
  <c r="I45" i="306"/>
  <c r="M45" i="306" s="1"/>
  <c r="J45" i="306"/>
  <c r="N45" i="306"/>
  <c r="Q45" i="306"/>
  <c r="T45" i="306"/>
  <c r="D46" i="306"/>
  <c r="E46" i="306"/>
  <c r="Q46" i="306" s="1"/>
  <c r="F46" i="306"/>
  <c r="H46" i="306"/>
  <c r="L46" i="306" s="1"/>
  <c r="I46" i="306"/>
  <c r="J46" i="306"/>
  <c r="N46" i="306" s="1"/>
  <c r="P46" i="306"/>
  <c r="S46" i="306" s="1"/>
  <c r="D47" i="306"/>
  <c r="P47" i="306" s="1"/>
  <c r="E47" i="306"/>
  <c r="F47" i="306"/>
  <c r="N47" i="306" s="1"/>
  <c r="H47" i="306"/>
  <c r="I47" i="306"/>
  <c r="M47" i="306" s="1"/>
  <c r="J47" i="306"/>
  <c r="L47" i="306"/>
  <c r="Q47" i="306"/>
  <c r="T47" i="306" s="1"/>
  <c r="D48" i="306"/>
  <c r="E48" i="306"/>
  <c r="Q48" i="306" s="1"/>
  <c r="F48" i="306"/>
  <c r="H48" i="306"/>
  <c r="L48" i="306" s="1"/>
  <c r="I48" i="306"/>
  <c r="J48" i="306"/>
  <c r="N48" i="306" s="1"/>
  <c r="M48" i="306"/>
  <c r="P48" i="306"/>
  <c r="S48" i="306"/>
  <c r="D49" i="306"/>
  <c r="P49" i="306" s="1"/>
  <c r="E49" i="306"/>
  <c r="F49" i="306"/>
  <c r="H49" i="306"/>
  <c r="I49" i="306"/>
  <c r="M49" i="306" s="1"/>
  <c r="J49" i="306"/>
  <c r="N49" i="306"/>
  <c r="Q49" i="306"/>
  <c r="T49" i="306"/>
  <c r="D50" i="306"/>
  <c r="E50" i="306"/>
  <c r="Q50" i="306" s="1"/>
  <c r="F50" i="306"/>
  <c r="H50" i="306"/>
  <c r="L50" i="306" s="1"/>
  <c r="I50" i="306"/>
  <c r="J50" i="306"/>
  <c r="N50" i="306" s="1"/>
  <c r="P50" i="306"/>
  <c r="S50" i="306" s="1"/>
  <c r="D51" i="306"/>
  <c r="P51" i="306" s="1"/>
  <c r="E51" i="306"/>
  <c r="F51" i="306"/>
  <c r="N51" i="306" s="1"/>
  <c r="H51" i="306"/>
  <c r="I51" i="306"/>
  <c r="M51" i="306" s="1"/>
  <c r="J51" i="306"/>
  <c r="L51" i="306"/>
  <c r="Q51" i="306"/>
  <c r="T51" i="306" s="1"/>
  <c r="D52" i="306"/>
  <c r="E52" i="306"/>
  <c r="Q52" i="306" s="1"/>
  <c r="F52" i="306"/>
  <c r="H52" i="306"/>
  <c r="L52" i="306" s="1"/>
  <c r="I52" i="306"/>
  <c r="J52" i="306"/>
  <c r="N52" i="306" s="1"/>
  <c r="M52" i="306"/>
  <c r="P52" i="306"/>
  <c r="S52" i="306"/>
  <c r="D53" i="306"/>
  <c r="P53" i="306" s="1"/>
  <c r="E53" i="306"/>
  <c r="F53" i="306"/>
  <c r="H53" i="306"/>
  <c r="I53" i="306"/>
  <c r="M53" i="306" s="1"/>
  <c r="J53" i="306"/>
  <c r="N53" i="306"/>
  <c r="Q53" i="306"/>
  <c r="T53" i="306"/>
  <c r="F55" i="306"/>
  <c r="E56" i="306"/>
  <c r="J56" i="306"/>
  <c r="D57" i="306"/>
  <c r="I57" i="306"/>
  <c r="H58" i="306"/>
  <c r="F59" i="306"/>
  <c r="E60" i="306"/>
  <c r="J60" i="306"/>
  <c r="G64" i="306" a="1"/>
  <c r="G64" i="306" s="1"/>
  <c r="R67" i="306" a="1"/>
  <c r="R67" i="306" s="1"/>
  <c r="B2" i="280"/>
  <c r="L4" i="280"/>
  <c r="U4" i="280" s="1"/>
  <c r="E6" i="280"/>
  <c r="E39" i="280" s="1"/>
  <c r="E43" i="280" s="1"/>
  <c r="F6" i="280"/>
  <c r="G6" i="280"/>
  <c r="H6" i="280"/>
  <c r="I6" i="280"/>
  <c r="J6" i="280"/>
  <c r="K6" i="280"/>
  <c r="L6" i="280"/>
  <c r="M6" i="280"/>
  <c r="N6" i="280"/>
  <c r="O6" i="280"/>
  <c r="P6" i="280"/>
  <c r="Q6" i="280"/>
  <c r="R6" i="280"/>
  <c r="S6" i="280"/>
  <c r="F9" i="280"/>
  <c r="G9" i="280"/>
  <c r="H9" i="280"/>
  <c r="I9" i="280"/>
  <c r="J9" i="280"/>
  <c r="K9" i="280"/>
  <c r="L9" i="280"/>
  <c r="M9" i="280"/>
  <c r="N9" i="280"/>
  <c r="O9" i="280"/>
  <c r="P9" i="280"/>
  <c r="Q9" i="280"/>
  <c r="R9" i="280"/>
  <c r="S9" i="280"/>
  <c r="E10" i="280"/>
  <c r="F10" i="280"/>
  <c r="AA15" i="280"/>
  <c r="Z15" i="280"/>
  <c r="Y16" i="280"/>
  <c r="Z23" i="280"/>
  <c r="Y23" i="280"/>
  <c r="Y18" i="280"/>
  <c r="Z16" i="280"/>
  <c r="AA16" i="280"/>
  <c r="E15" i="280"/>
  <c r="F15" i="280"/>
  <c r="G15" i="280"/>
  <c r="H15" i="280"/>
  <c r="Y15" i="280"/>
  <c r="G92" i="280"/>
  <c r="H92" i="280"/>
  <c r="I92" i="280"/>
  <c r="J92" i="280"/>
  <c r="K92" i="280"/>
  <c r="L92" i="280"/>
  <c r="M92" i="280"/>
  <c r="N92" i="280"/>
  <c r="N93" i="280"/>
  <c r="O93" i="280" s="1"/>
  <c r="O92" i="280"/>
  <c r="P92" i="280"/>
  <c r="P93" i="280"/>
  <c r="Q93" i="280" s="1"/>
  <c r="Q92" i="280"/>
  <c r="R92" i="280"/>
  <c r="R93" i="280"/>
  <c r="S93" i="280" s="1"/>
  <c r="T93" i="280" s="1"/>
  <c r="S92" i="280"/>
  <c r="G17" i="280"/>
  <c r="H17" i="280"/>
  <c r="I17" i="280"/>
  <c r="J17" i="280"/>
  <c r="K17" i="280"/>
  <c r="L17" i="280"/>
  <c r="M17" i="280"/>
  <c r="N17" i="280"/>
  <c r="O17" i="280"/>
  <c r="P17" i="280"/>
  <c r="Q17" i="280"/>
  <c r="R17" i="280"/>
  <c r="S17" i="280"/>
  <c r="U17" i="280"/>
  <c r="C18" i="280"/>
  <c r="E24" i="280"/>
  <c r="C30" i="280"/>
  <c r="E34" i="280"/>
  <c r="F34" i="280"/>
  <c r="G39" i="280"/>
  <c r="H39" i="280" s="1"/>
  <c r="I39" i="280" s="1"/>
  <c r="J39" i="280" s="1"/>
  <c r="K39" i="280" s="1"/>
  <c r="L39" i="280" s="1"/>
  <c r="M39" i="280" s="1"/>
  <c r="N39" i="280" s="1"/>
  <c r="O39" i="280" s="1"/>
  <c r="P39" i="280" s="1"/>
  <c r="Q39" i="280" s="1"/>
  <c r="R39" i="280" s="1"/>
  <c r="S39" i="280" s="1"/>
  <c r="U39" i="280" s="1"/>
  <c r="X39" i="280"/>
  <c r="F43" i="280"/>
  <c r="G43" i="280" s="1"/>
  <c r="H43" i="280" s="1"/>
  <c r="I43" i="280" s="1"/>
  <c r="J43" i="280" s="1"/>
  <c r="K43" i="280" s="1"/>
  <c r="L43" i="280" s="1"/>
  <c r="M43" i="280" s="1"/>
  <c r="N43" i="280" s="1"/>
  <c r="O43" i="280" s="1"/>
  <c r="P43" i="280" s="1"/>
  <c r="Q43" i="280" s="1"/>
  <c r="R43" i="280" s="1"/>
  <c r="S43" i="280" s="1"/>
  <c r="N48" i="280"/>
  <c r="P48" i="280"/>
  <c r="N49" i="280"/>
  <c r="N50" i="280"/>
  <c r="N51" i="280"/>
  <c r="M53" i="280"/>
  <c r="M54" i="280"/>
  <c r="M55" i="280"/>
  <c r="M56" i="280"/>
  <c r="M58" i="280"/>
  <c r="M61" i="280"/>
  <c r="E66" i="280"/>
  <c r="F66" i="280"/>
  <c r="G66" i="280"/>
  <c r="H66" i="280"/>
  <c r="I66" i="280"/>
  <c r="J66" i="280"/>
  <c r="K66" i="280"/>
  <c r="L66" i="280"/>
  <c r="M66" i="280"/>
  <c r="N66" i="280"/>
  <c r="O66" i="280"/>
  <c r="P66" i="280"/>
  <c r="Q66" i="280"/>
  <c r="R66" i="280"/>
  <c r="S66" i="280"/>
  <c r="E92" i="280"/>
  <c r="E94" i="280" s="1"/>
  <c r="F92" i="280"/>
  <c r="F94" i="280" s="1"/>
  <c r="G94" i="280"/>
  <c r="H94" i="280"/>
  <c r="I94" i="280"/>
  <c r="J94" i="280"/>
  <c r="K94" i="280"/>
  <c r="L94" i="280"/>
  <c r="M94" i="280"/>
  <c r="N94" i="280"/>
  <c r="P94" i="280"/>
  <c r="R94" i="280"/>
  <c r="B2" i="284"/>
  <c r="D9" i="283"/>
  <c r="D13" i="283"/>
  <c r="D15" i="283"/>
  <c r="J20" i="283"/>
  <c r="D20" i="283" s="1"/>
  <c r="B2" i="233"/>
  <c r="X2" i="233"/>
  <c r="T4" i="233"/>
  <c r="W4" i="233"/>
  <c r="K11" i="233"/>
  <c r="N11" i="233" s="1"/>
  <c r="O11" i="233"/>
  <c r="W11" i="233"/>
  <c r="X11" i="233"/>
  <c r="K12" i="233"/>
  <c r="N12" i="233" s="1"/>
  <c r="O12" i="233"/>
  <c r="W12" i="233"/>
  <c r="X12" i="233"/>
  <c r="K13" i="233"/>
  <c r="N13" i="233" s="1"/>
  <c r="O13" i="233"/>
  <c r="W13" i="233"/>
  <c r="X13" i="233"/>
  <c r="K14" i="233"/>
  <c r="N14" i="233" s="1"/>
  <c r="O14" i="233"/>
  <c r="W14" i="233"/>
  <c r="X14" i="233"/>
  <c r="K15" i="233"/>
  <c r="N15" i="233" s="1"/>
  <c r="O15" i="233"/>
  <c r="W15" i="233"/>
  <c r="X15" i="233"/>
  <c r="K16" i="233"/>
  <c r="N16" i="233" s="1"/>
  <c r="O16" i="233"/>
  <c r="W16" i="233"/>
  <c r="X16" i="233"/>
  <c r="K17" i="233"/>
  <c r="N17" i="233" s="1"/>
  <c r="O17" i="233"/>
  <c r="W17" i="233"/>
  <c r="X17" i="233" s="1"/>
  <c r="K18" i="233"/>
  <c r="N18" i="233" s="1"/>
  <c r="O18" i="233"/>
  <c r="W18" i="233"/>
  <c r="X18" i="233" s="1"/>
  <c r="K19" i="233"/>
  <c r="N19" i="233" s="1"/>
  <c r="O19" i="233"/>
  <c r="W19" i="233"/>
  <c r="X19" i="233" s="1"/>
  <c r="K20" i="233"/>
  <c r="N20" i="233" s="1"/>
  <c r="O20" i="233"/>
  <c r="W20" i="233"/>
  <c r="X20" i="233" s="1"/>
  <c r="K21" i="233"/>
  <c r="N21" i="233" s="1"/>
  <c r="O21" i="233"/>
  <c r="W21" i="233"/>
  <c r="X21" i="233" s="1"/>
  <c r="K22" i="233"/>
  <c r="N22" i="233" s="1"/>
  <c r="O22" i="233"/>
  <c r="W22" i="233"/>
  <c r="X22" i="233" s="1"/>
  <c r="K23" i="233"/>
  <c r="N23" i="233" s="1"/>
  <c r="O23" i="233"/>
  <c r="W23" i="233"/>
  <c r="X23" i="233" s="1"/>
  <c r="K24" i="233"/>
  <c r="N24" i="233" s="1"/>
  <c r="O24" i="233"/>
  <c r="W24" i="233"/>
  <c r="X24" i="233" s="1"/>
  <c r="K25" i="233"/>
  <c r="N25" i="233" s="1"/>
  <c r="O25" i="233"/>
  <c r="W25" i="233"/>
  <c r="X25" i="233" s="1"/>
  <c r="K26" i="233"/>
  <c r="N26" i="233" s="1"/>
  <c r="O26" i="233"/>
  <c r="W26" i="233"/>
  <c r="X26" i="233" s="1"/>
  <c r="K27" i="233"/>
  <c r="N27" i="233" s="1"/>
  <c r="O27" i="233"/>
  <c r="W27" i="233"/>
  <c r="X27" i="233" s="1"/>
  <c r="K28" i="233"/>
  <c r="N28" i="233" s="1"/>
  <c r="O28" i="233"/>
  <c r="W28" i="233"/>
  <c r="X28" i="233" s="1"/>
  <c r="K29" i="233"/>
  <c r="N29" i="233" s="1"/>
  <c r="O29" i="233"/>
  <c r="W29" i="233"/>
  <c r="W42" i="233" s="1"/>
  <c r="K30" i="233"/>
  <c r="N30" i="233" s="1"/>
  <c r="O30" i="233"/>
  <c r="W30" i="233"/>
  <c r="X30" i="233" s="1"/>
  <c r="K31" i="233"/>
  <c r="N31" i="233" s="1"/>
  <c r="O31" i="233"/>
  <c r="W31" i="233"/>
  <c r="X31" i="233" s="1"/>
  <c r="K32" i="233"/>
  <c r="N32" i="233" s="1"/>
  <c r="O32" i="233"/>
  <c r="W32" i="233"/>
  <c r="X32" i="233" s="1"/>
  <c r="K33" i="233"/>
  <c r="N33" i="233" s="1"/>
  <c r="O33" i="233"/>
  <c r="W33" i="233"/>
  <c r="X33" i="233" s="1"/>
  <c r="K34" i="233"/>
  <c r="N34" i="233" s="1"/>
  <c r="O34" i="233"/>
  <c r="W34" i="233"/>
  <c r="X34" i="233" s="1"/>
  <c r="K35" i="233"/>
  <c r="N35" i="233" s="1"/>
  <c r="O35" i="233"/>
  <c r="W35" i="233"/>
  <c r="X35" i="233" s="1"/>
  <c r="K36" i="233"/>
  <c r="N36" i="233" s="1"/>
  <c r="O36" i="233"/>
  <c r="W36" i="233"/>
  <c r="X36" i="233" s="1"/>
  <c r="K37" i="233"/>
  <c r="N37" i="233" s="1"/>
  <c r="O37" i="233"/>
  <c r="W37" i="233"/>
  <c r="X37" i="233" s="1"/>
  <c r="S39" i="233"/>
  <c r="T39" i="233"/>
  <c r="W39" i="233"/>
  <c r="S40" i="233"/>
  <c r="T40" i="233"/>
  <c r="S41" i="233"/>
  <c r="T41" i="233"/>
  <c r="W41" i="233"/>
  <c r="S42" i="233"/>
  <c r="T42" i="233"/>
  <c r="S43" i="233"/>
  <c r="T43" i="233"/>
  <c r="W43" i="233"/>
  <c r="S44" i="233"/>
  <c r="T44" i="233"/>
  <c r="K47" i="233"/>
  <c r="N47" i="233" s="1"/>
  <c r="O47" i="233"/>
  <c r="W47" i="233"/>
  <c r="X47" i="233" s="1"/>
  <c r="K48" i="233"/>
  <c r="N48" i="233" s="1"/>
  <c r="O48" i="233"/>
  <c r="W48" i="233"/>
  <c r="X48" i="233" s="1"/>
  <c r="K49" i="233"/>
  <c r="N49" i="233" s="1"/>
  <c r="O49" i="233"/>
  <c r="W49" i="233"/>
  <c r="X49" i="233" s="1"/>
  <c r="K50" i="233"/>
  <c r="N50" i="233" s="1"/>
  <c r="O50" i="233"/>
  <c r="W50" i="233"/>
  <c r="X50" i="233" s="1"/>
  <c r="K51" i="233"/>
  <c r="N51" i="233" s="1"/>
  <c r="O51" i="233"/>
  <c r="W51" i="233"/>
  <c r="X51" i="233" s="1"/>
  <c r="K52" i="233"/>
  <c r="N52" i="233" s="1"/>
  <c r="O52" i="233"/>
  <c r="W52" i="233"/>
  <c r="X52" i="233" s="1"/>
  <c r="K53" i="233"/>
  <c r="N53" i="233" s="1"/>
  <c r="O53" i="233"/>
  <c r="W53" i="233"/>
  <c r="X53" i="233" s="1"/>
  <c r="K54" i="233"/>
  <c r="N54" i="233" s="1"/>
  <c r="O54" i="233"/>
  <c r="W54" i="233"/>
  <c r="X54" i="233" s="1"/>
  <c r="K55" i="233"/>
  <c r="N55" i="233" s="1"/>
  <c r="O55" i="233"/>
  <c r="W55" i="233"/>
  <c r="X55" i="233" s="1"/>
  <c r="K56" i="233"/>
  <c r="N56" i="233" s="1"/>
  <c r="O56" i="233"/>
  <c r="W56" i="233"/>
  <c r="X56" i="233" s="1"/>
  <c r="K57" i="233"/>
  <c r="N57" i="233" s="1"/>
  <c r="O57" i="233"/>
  <c r="W57" i="233"/>
  <c r="X57" i="233" s="1"/>
  <c r="K58" i="233"/>
  <c r="N58" i="233" s="1"/>
  <c r="O58" i="233"/>
  <c r="W58" i="233"/>
  <c r="X58" i="233" s="1"/>
  <c r="K59" i="233"/>
  <c r="N59" i="233" s="1"/>
  <c r="O59" i="233"/>
  <c r="W59" i="233"/>
  <c r="X59" i="233" s="1"/>
  <c r="K60" i="233"/>
  <c r="N60" i="233" s="1"/>
  <c r="O60" i="233"/>
  <c r="W60" i="233"/>
  <c r="X60" i="233" s="1"/>
  <c r="K61" i="233"/>
  <c r="N61" i="233" s="1"/>
  <c r="O61" i="233"/>
  <c r="W61" i="233"/>
  <c r="X61" i="233" s="1"/>
  <c r="K62" i="233"/>
  <c r="N62" i="233" s="1"/>
  <c r="O62" i="233"/>
  <c r="W62" i="233"/>
  <c r="X62" i="233" s="1"/>
  <c r="K63" i="233"/>
  <c r="N63" i="233" s="1"/>
  <c r="O63" i="233"/>
  <c r="W63" i="233"/>
  <c r="X63" i="233" s="1"/>
  <c r="K64" i="233"/>
  <c r="N64" i="233" s="1"/>
  <c r="O64" i="233"/>
  <c r="W64" i="233"/>
  <c r="X64" i="233" s="1"/>
  <c r="K65" i="233"/>
  <c r="N65" i="233" s="1"/>
  <c r="O65" i="233"/>
  <c r="W65" i="233"/>
  <c r="X65" i="233" s="1"/>
  <c r="K66" i="233"/>
  <c r="N66" i="233" s="1"/>
  <c r="O66" i="233"/>
  <c r="W66" i="233"/>
  <c r="X66" i="233" s="1"/>
  <c r="K67" i="233"/>
  <c r="N67" i="233" s="1"/>
  <c r="O67" i="233"/>
  <c r="W67" i="233"/>
  <c r="X67" i="233" s="1"/>
  <c r="M68" i="233"/>
  <c r="K68" i="233" s="1"/>
  <c r="N68" i="233" s="1"/>
  <c r="L68" i="233"/>
  <c r="O68" i="233"/>
  <c r="W68" i="233"/>
  <c r="X68" i="233" s="1"/>
  <c r="M69" i="233"/>
  <c r="L69" i="233"/>
  <c r="K69" i="233"/>
  <c r="N69" i="233" s="1"/>
  <c r="O69" i="233"/>
  <c r="W69" i="233"/>
  <c r="X69" i="233" s="1"/>
  <c r="K70" i="233"/>
  <c r="N70" i="233" s="1"/>
  <c r="O70" i="233"/>
  <c r="W70" i="233"/>
  <c r="X70" i="233" s="1"/>
  <c r="K71" i="233"/>
  <c r="N71" i="233" s="1"/>
  <c r="O71" i="233"/>
  <c r="W71" i="233"/>
  <c r="X71" i="233" s="1"/>
  <c r="K72" i="233"/>
  <c r="N72" i="233" s="1"/>
  <c r="O72" i="233"/>
  <c r="W72" i="233"/>
  <c r="X72" i="233" s="1"/>
  <c r="K73" i="233"/>
  <c r="N73" i="233" s="1"/>
  <c r="O73" i="233"/>
  <c r="W73" i="233"/>
  <c r="X73" i="233" s="1"/>
  <c r="K74" i="233"/>
  <c r="N74" i="233" s="1"/>
  <c r="O74" i="233"/>
  <c r="W74" i="233"/>
  <c r="X74" i="233" s="1"/>
  <c r="K75" i="233"/>
  <c r="N75" i="233" s="1"/>
  <c r="O75" i="233"/>
  <c r="W75" i="233"/>
  <c r="X75" i="233" s="1"/>
  <c r="K76" i="233"/>
  <c r="N76" i="233" s="1"/>
  <c r="O76" i="233"/>
  <c r="W76" i="233"/>
  <c r="X76" i="233" s="1"/>
  <c r="K77" i="233"/>
  <c r="N77" i="233" s="1"/>
  <c r="O77" i="233"/>
  <c r="W77" i="233"/>
  <c r="X77" i="233" s="1"/>
  <c r="K78" i="233"/>
  <c r="N78" i="233" s="1"/>
  <c r="O78" i="233"/>
  <c r="W78" i="233"/>
  <c r="X78" i="233" s="1"/>
  <c r="K79" i="233"/>
  <c r="N79" i="233" s="1"/>
  <c r="O79" i="233"/>
  <c r="W79" i="233"/>
  <c r="X79" i="233" s="1"/>
  <c r="K80" i="233"/>
  <c r="N80" i="233" s="1"/>
  <c r="O80" i="233"/>
  <c r="W80" i="233"/>
  <c r="X80" i="233" s="1"/>
  <c r="K81" i="233"/>
  <c r="N81" i="233" s="1"/>
  <c r="O81" i="233"/>
  <c r="W81" i="233"/>
  <c r="X81" i="233" s="1"/>
  <c r="K82" i="233"/>
  <c r="N82" i="233" s="1"/>
  <c r="O82" i="233"/>
  <c r="W82" i="233"/>
  <c r="X82" i="233" s="1"/>
  <c r="K83" i="233"/>
  <c r="N83" i="233" s="1"/>
  <c r="O83" i="233"/>
  <c r="W83" i="233"/>
  <c r="X83" i="233" s="1"/>
  <c r="K84" i="233"/>
  <c r="N84" i="233" s="1"/>
  <c r="O84" i="233"/>
  <c r="W84" i="233"/>
  <c r="X84" i="233" s="1"/>
  <c r="K85" i="233"/>
  <c r="N85" i="233" s="1"/>
  <c r="O85" i="233"/>
  <c r="W85" i="233"/>
  <c r="X85" i="233" s="1"/>
  <c r="K86" i="233"/>
  <c r="N86" i="233" s="1"/>
  <c r="O86" i="233"/>
  <c r="W86" i="233"/>
  <c r="X86" i="233" s="1"/>
  <c r="K87" i="233"/>
  <c r="N87" i="233" s="1"/>
  <c r="O87" i="233"/>
  <c r="W87" i="233"/>
  <c r="X87" i="233" s="1"/>
  <c r="K88" i="233"/>
  <c r="N88" i="233" s="1"/>
  <c r="O88" i="233"/>
  <c r="W88" i="233"/>
  <c r="X88" i="233" s="1"/>
  <c r="K89" i="233"/>
  <c r="N89" i="233" s="1"/>
  <c r="O89" i="233"/>
  <c r="W89" i="233"/>
  <c r="X89" i="233" s="1"/>
  <c r="K90" i="233"/>
  <c r="N90" i="233" s="1"/>
  <c r="O90" i="233"/>
  <c r="W90" i="233"/>
  <c r="X90" i="233" s="1"/>
  <c r="K91" i="233"/>
  <c r="N91" i="233" s="1"/>
  <c r="O91" i="233"/>
  <c r="W91" i="233"/>
  <c r="X91" i="233" s="1"/>
  <c r="K92" i="233"/>
  <c r="N92" i="233" s="1"/>
  <c r="O92" i="233"/>
  <c r="W92" i="233"/>
  <c r="X92" i="233" s="1"/>
  <c r="K93" i="233"/>
  <c r="N93" i="233" s="1"/>
  <c r="O93" i="233"/>
  <c r="W93" i="233"/>
  <c r="X93" i="233" s="1"/>
  <c r="K94" i="233"/>
  <c r="N94" i="233" s="1"/>
  <c r="O94" i="233"/>
  <c r="W94" i="233"/>
  <c r="X94" i="233" s="1"/>
  <c r="K95" i="233"/>
  <c r="N95" i="233" s="1"/>
  <c r="O95" i="233"/>
  <c r="W95" i="233"/>
  <c r="X95" i="233" s="1"/>
  <c r="K96" i="233"/>
  <c r="N96" i="233" s="1"/>
  <c r="O96" i="233"/>
  <c r="W96" i="233"/>
  <c r="X96" i="233" s="1"/>
  <c r="K97" i="233"/>
  <c r="N97" i="233" s="1"/>
  <c r="O97" i="233"/>
  <c r="W97" i="233"/>
  <c r="X97" i="233" s="1"/>
  <c r="K98" i="233"/>
  <c r="N98" i="233" s="1"/>
  <c r="O98" i="233"/>
  <c r="W98" i="233"/>
  <c r="X98" i="233" s="1"/>
  <c r="K99" i="233"/>
  <c r="N99" i="233" s="1"/>
  <c r="O99" i="233"/>
  <c r="W99" i="233"/>
  <c r="X99" i="233" s="1"/>
  <c r="K100" i="233"/>
  <c r="N100" i="233" s="1"/>
  <c r="O100" i="233"/>
  <c r="W100" i="233"/>
  <c r="X100" i="233" s="1"/>
  <c r="K101" i="233"/>
  <c r="N101" i="233" s="1"/>
  <c r="O101" i="233"/>
  <c r="W101" i="233"/>
  <c r="X101" i="233" s="1"/>
  <c r="K102" i="233"/>
  <c r="N102" i="233" s="1"/>
  <c r="O102" i="233"/>
  <c r="W102" i="233"/>
  <c r="X102" i="233" s="1"/>
  <c r="K103" i="233"/>
  <c r="N103" i="233" s="1"/>
  <c r="O103" i="233"/>
  <c r="W103" i="233"/>
  <c r="X103" i="233" s="1"/>
  <c r="K104" i="233"/>
  <c r="N104" i="233" s="1"/>
  <c r="O104" i="233"/>
  <c r="W104" i="233"/>
  <c r="X104" i="233" s="1"/>
  <c r="K105" i="233"/>
  <c r="N105" i="233" s="1"/>
  <c r="O105" i="233"/>
  <c r="W105" i="233"/>
  <c r="X105" i="233" s="1"/>
  <c r="K106" i="233"/>
  <c r="N106" i="233" s="1"/>
  <c r="O106" i="233"/>
  <c r="W106" i="233"/>
  <c r="X106" i="233" s="1"/>
  <c r="S108" i="233"/>
  <c r="T108" i="233"/>
  <c r="W108" i="233"/>
  <c r="S109" i="233"/>
  <c r="T109" i="233"/>
  <c r="S110" i="233"/>
  <c r="T110" i="233"/>
  <c r="W110" i="233"/>
  <c r="S111" i="233"/>
  <c r="T111" i="233"/>
  <c r="W111" i="233"/>
  <c r="S112" i="233"/>
  <c r="T112" i="233"/>
  <c r="W112" i="233"/>
  <c r="S113" i="233"/>
  <c r="T113" i="233"/>
  <c r="W113" i="233"/>
  <c r="K116" i="233"/>
  <c r="N116" i="233" s="1"/>
  <c r="O116" i="233"/>
  <c r="W116" i="233"/>
  <c r="X116" i="233"/>
  <c r="K117" i="233"/>
  <c r="N117" i="233" s="1"/>
  <c r="O117" i="233"/>
  <c r="W117" i="233"/>
  <c r="X117" i="233"/>
  <c r="K118" i="233"/>
  <c r="N118" i="233" s="1"/>
  <c r="O118" i="233"/>
  <c r="W118" i="233"/>
  <c r="X118" i="233"/>
  <c r="K119" i="233"/>
  <c r="N119" i="233" s="1"/>
  <c r="O119" i="233"/>
  <c r="W119" i="233"/>
  <c r="X119" i="233"/>
  <c r="K120" i="233"/>
  <c r="N120" i="233" s="1"/>
  <c r="O120" i="233"/>
  <c r="W120" i="233"/>
  <c r="X120" i="233"/>
  <c r="K121" i="233"/>
  <c r="N121" i="233" s="1"/>
  <c r="O121" i="233"/>
  <c r="W121" i="233"/>
  <c r="X121" i="233"/>
  <c r="K122" i="233"/>
  <c r="N122" i="233" s="1"/>
  <c r="O122" i="233"/>
  <c r="W122" i="233"/>
  <c r="X122" i="233"/>
  <c r="K123" i="233"/>
  <c r="N123" i="233" s="1"/>
  <c r="O123" i="233"/>
  <c r="W123" i="233"/>
  <c r="X123" i="233"/>
  <c r="K124" i="233"/>
  <c r="N124" i="233" s="1"/>
  <c r="O124" i="233"/>
  <c r="W124" i="233"/>
  <c r="X124" i="233"/>
  <c r="K125" i="233"/>
  <c r="N125" i="233" s="1"/>
  <c r="O125" i="233"/>
  <c r="W125" i="233"/>
  <c r="X125" i="233"/>
  <c r="K126" i="233"/>
  <c r="N126" i="233" s="1"/>
  <c r="O126" i="233"/>
  <c r="W126" i="233"/>
  <c r="X126" i="233"/>
  <c r="K127" i="233"/>
  <c r="N127" i="233" s="1"/>
  <c r="O127" i="233"/>
  <c r="W127" i="233"/>
  <c r="X127" i="233"/>
  <c r="K128" i="233"/>
  <c r="N128" i="233" s="1"/>
  <c r="O128" i="233"/>
  <c r="W128" i="233"/>
  <c r="X128" i="233"/>
  <c r="K129" i="233"/>
  <c r="N129" i="233" s="1"/>
  <c r="O129" i="233"/>
  <c r="W129" i="233"/>
  <c r="X129" i="233"/>
  <c r="K130" i="233"/>
  <c r="N130" i="233" s="1"/>
  <c r="O130" i="233"/>
  <c r="W130" i="233"/>
  <c r="X130" i="233"/>
  <c r="K131" i="233"/>
  <c r="N131" i="233" s="1"/>
  <c r="O131" i="233"/>
  <c r="W131" i="233"/>
  <c r="X131" i="233"/>
  <c r="K132" i="233"/>
  <c r="N132" i="233" s="1"/>
  <c r="O132" i="233"/>
  <c r="W132" i="233"/>
  <c r="X132" i="233"/>
  <c r="K133" i="233"/>
  <c r="N133" i="233" s="1"/>
  <c r="O133" i="233"/>
  <c r="W133" i="233"/>
  <c r="X133" i="233"/>
  <c r="K134" i="233"/>
  <c r="N134" i="233" s="1"/>
  <c r="O134" i="233"/>
  <c r="W134" i="233"/>
  <c r="X134" i="233"/>
  <c r="K135" i="233"/>
  <c r="N135" i="233" s="1"/>
  <c r="O135" i="233"/>
  <c r="W135" i="233"/>
  <c r="X135" i="233"/>
  <c r="K136" i="233"/>
  <c r="N136" i="233" s="1"/>
  <c r="O136" i="233"/>
  <c r="W136" i="233"/>
  <c r="X136" i="233"/>
  <c r="K137" i="233"/>
  <c r="N137" i="233" s="1"/>
  <c r="O137" i="233"/>
  <c r="W137" i="233"/>
  <c r="X137" i="233"/>
  <c r="K138" i="233"/>
  <c r="N138" i="233" s="1"/>
  <c r="O138" i="233"/>
  <c r="W138" i="233"/>
  <c r="X138" i="233"/>
  <c r="K139" i="233"/>
  <c r="N139" i="233" s="1"/>
  <c r="O139" i="233"/>
  <c r="W139" i="233"/>
  <c r="X139" i="233"/>
  <c r="K140" i="233"/>
  <c r="N140" i="233" s="1"/>
  <c r="O140" i="233"/>
  <c r="W140" i="233"/>
  <c r="X140" i="233"/>
  <c r="M141" i="233"/>
  <c r="K141" i="233" s="1"/>
  <c r="N141" i="233" s="1"/>
  <c r="L141" i="233"/>
  <c r="O141" i="233"/>
  <c r="W141" i="233"/>
  <c r="X141" i="233" s="1"/>
  <c r="K142" i="233"/>
  <c r="N142" i="233" s="1"/>
  <c r="O142" i="233"/>
  <c r="W142" i="233"/>
  <c r="X142" i="233" s="1"/>
  <c r="K143" i="233"/>
  <c r="N143" i="233" s="1"/>
  <c r="O143" i="233"/>
  <c r="W143" i="233"/>
  <c r="X143" i="233" s="1"/>
  <c r="K144" i="233"/>
  <c r="N144" i="233" s="1"/>
  <c r="O144" i="233"/>
  <c r="W144" i="233"/>
  <c r="X144" i="233" s="1"/>
  <c r="K145" i="233"/>
  <c r="N145" i="233" s="1"/>
  <c r="O145" i="233"/>
  <c r="W145" i="233"/>
  <c r="X145" i="233" s="1"/>
  <c r="K146" i="233"/>
  <c r="N146" i="233" s="1"/>
  <c r="O146" i="233"/>
  <c r="W146" i="233"/>
  <c r="X146" i="233" s="1"/>
  <c r="K147" i="233"/>
  <c r="N147" i="233" s="1"/>
  <c r="O147" i="233"/>
  <c r="W147" i="233"/>
  <c r="X147" i="233" s="1"/>
  <c r="K148" i="233"/>
  <c r="N148" i="233" s="1"/>
  <c r="O148" i="233"/>
  <c r="W148" i="233"/>
  <c r="X148" i="233" s="1"/>
  <c r="K149" i="233"/>
  <c r="N149" i="233" s="1"/>
  <c r="O149" i="233"/>
  <c r="W149" i="233"/>
  <c r="X149" i="233" s="1"/>
  <c r="K150" i="233"/>
  <c r="N150" i="233" s="1"/>
  <c r="O150" i="233"/>
  <c r="W150" i="233"/>
  <c r="X150" i="233" s="1"/>
  <c r="K151" i="233"/>
  <c r="N151" i="233" s="1"/>
  <c r="O151" i="233"/>
  <c r="W151" i="233"/>
  <c r="X151" i="233" s="1"/>
  <c r="K152" i="233"/>
  <c r="N152" i="233" s="1"/>
  <c r="O152" i="233"/>
  <c r="W152" i="233"/>
  <c r="X152" i="233" s="1"/>
  <c r="K153" i="233"/>
  <c r="N153" i="233" s="1"/>
  <c r="O153" i="233"/>
  <c r="W153" i="233"/>
  <c r="X153" i="233" s="1"/>
  <c r="K154" i="233"/>
  <c r="N154" i="233" s="1"/>
  <c r="O154" i="233"/>
  <c r="W154" i="233"/>
  <c r="X154" i="233" s="1"/>
  <c r="K155" i="233"/>
  <c r="N155" i="233" s="1"/>
  <c r="O155" i="233"/>
  <c r="W155" i="233"/>
  <c r="X155" i="233" s="1"/>
  <c r="K156" i="233"/>
  <c r="N156" i="233" s="1"/>
  <c r="O156" i="233"/>
  <c r="W156" i="233"/>
  <c r="X156" i="233" s="1"/>
  <c r="K157" i="233"/>
  <c r="N157" i="233" s="1"/>
  <c r="O157" i="233"/>
  <c r="W157" i="233"/>
  <c r="X157" i="233" s="1"/>
  <c r="K158" i="233"/>
  <c r="N158" i="233" s="1"/>
  <c r="O158" i="233"/>
  <c r="W158" i="233"/>
  <c r="X158" i="233" s="1"/>
  <c r="K159" i="233"/>
  <c r="N159" i="233" s="1"/>
  <c r="O159" i="233"/>
  <c r="W159" i="233"/>
  <c r="X159" i="233" s="1"/>
  <c r="K160" i="233"/>
  <c r="N160" i="233" s="1"/>
  <c r="O160" i="233"/>
  <c r="W160" i="233"/>
  <c r="X160" i="233" s="1"/>
  <c r="K161" i="233"/>
  <c r="N161" i="233" s="1"/>
  <c r="O161" i="233"/>
  <c r="W161" i="233"/>
  <c r="X161" i="233" s="1"/>
  <c r="K162" i="233"/>
  <c r="N162" i="233" s="1"/>
  <c r="O162" i="233"/>
  <c r="W162" i="233"/>
  <c r="X162" i="233" s="1"/>
  <c r="K163" i="233"/>
  <c r="N163" i="233" s="1"/>
  <c r="O163" i="233"/>
  <c r="W163" i="233"/>
  <c r="X163" i="233" s="1"/>
  <c r="K164" i="233"/>
  <c r="N164" i="233" s="1"/>
  <c r="O164" i="233"/>
  <c r="W164" i="233"/>
  <c r="X164" i="233" s="1"/>
  <c r="K165" i="233"/>
  <c r="N165" i="233" s="1"/>
  <c r="O165" i="233"/>
  <c r="W165" i="233"/>
  <c r="X165" i="233" s="1"/>
  <c r="K166" i="233"/>
  <c r="N166" i="233" s="1"/>
  <c r="O166" i="233"/>
  <c r="W166" i="233"/>
  <c r="X166" i="233" s="1"/>
  <c r="K167" i="233"/>
  <c r="N167" i="233" s="1"/>
  <c r="O167" i="233"/>
  <c r="W167" i="233"/>
  <c r="X167" i="233" s="1"/>
  <c r="K168" i="233"/>
  <c r="N168" i="233" s="1"/>
  <c r="O168" i="233"/>
  <c r="W168" i="233"/>
  <c r="X168" i="233" s="1"/>
  <c r="K169" i="233"/>
  <c r="N169" i="233" s="1"/>
  <c r="O169" i="233"/>
  <c r="W169" i="233"/>
  <c r="X169" i="233" s="1"/>
  <c r="K170" i="233"/>
  <c r="N170" i="233" s="1"/>
  <c r="O170" i="233"/>
  <c r="W170" i="233"/>
  <c r="X170" i="233" s="1"/>
  <c r="K171" i="233"/>
  <c r="N171" i="233" s="1"/>
  <c r="O171" i="233"/>
  <c r="W171" i="233"/>
  <c r="X171" i="233" s="1"/>
  <c r="K172" i="233"/>
  <c r="N172" i="233" s="1"/>
  <c r="O172" i="233"/>
  <c r="W172" i="233"/>
  <c r="X172" i="233" s="1"/>
  <c r="K173" i="233"/>
  <c r="N173" i="233" s="1"/>
  <c r="O173" i="233"/>
  <c r="W173" i="233"/>
  <c r="X173" i="233" s="1"/>
  <c r="K174" i="233"/>
  <c r="N174" i="233" s="1"/>
  <c r="O174" i="233"/>
  <c r="W174" i="233"/>
  <c r="X174" i="233" s="1"/>
  <c r="K175" i="233"/>
  <c r="N175" i="233" s="1"/>
  <c r="O175" i="233"/>
  <c r="W175" i="233"/>
  <c r="X175" i="233" s="1"/>
  <c r="K176" i="233"/>
  <c r="N176" i="233" s="1"/>
  <c r="O176" i="233"/>
  <c r="W176" i="233"/>
  <c r="X176" i="233" s="1"/>
  <c r="K177" i="233"/>
  <c r="N177" i="233" s="1"/>
  <c r="O177" i="233"/>
  <c r="W177" i="233"/>
  <c r="X177" i="233" s="1"/>
  <c r="K178" i="233"/>
  <c r="N178" i="233" s="1"/>
  <c r="O178" i="233"/>
  <c r="W178" i="233"/>
  <c r="X178" i="233" s="1"/>
  <c r="S180" i="233"/>
  <c r="T180" i="233"/>
  <c r="W180" i="233"/>
  <c r="S181" i="233"/>
  <c r="T181" i="233"/>
  <c r="W181" i="233"/>
  <c r="S182" i="233"/>
  <c r="T182" i="233"/>
  <c r="W182" i="233"/>
  <c r="S183" i="233"/>
  <c r="T183" i="233"/>
  <c r="W183" i="233"/>
  <c r="S184" i="233"/>
  <c r="T184" i="233"/>
  <c r="W184" i="233"/>
  <c r="S185" i="233"/>
  <c r="T185" i="233"/>
  <c r="W185" i="233"/>
  <c r="K188" i="233"/>
  <c r="N188" i="233"/>
  <c r="P188" i="233" s="1"/>
  <c r="O188" i="233"/>
  <c r="K189" i="233"/>
  <c r="N189" i="233"/>
  <c r="P189" i="233" s="1"/>
  <c r="O189" i="233"/>
  <c r="K190" i="233"/>
  <c r="N190" i="233"/>
  <c r="P190" i="233" s="1"/>
  <c r="O190" i="233"/>
  <c r="K191" i="233"/>
  <c r="N191" i="233"/>
  <c r="P191" i="233" s="1"/>
  <c r="O191" i="233"/>
  <c r="K192" i="233"/>
  <c r="N192" i="233"/>
  <c r="P192" i="233" s="1"/>
  <c r="O192" i="233"/>
  <c r="W192" i="233"/>
  <c r="X192" i="233"/>
  <c r="K193" i="233"/>
  <c r="N193" i="233"/>
  <c r="P193" i="233" s="1"/>
  <c r="Y193" i="233" s="1"/>
  <c r="W193" i="233"/>
  <c r="X193" i="233"/>
  <c r="K194" i="233"/>
  <c r="N194" i="233"/>
  <c r="P194" i="233" s="1"/>
  <c r="Y194" i="233" s="1"/>
  <c r="O194" i="233"/>
  <c r="W194" i="233"/>
  <c r="X194" i="233"/>
  <c r="K195" i="233"/>
  <c r="N195" i="233"/>
  <c r="P195" i="233" s="1"/>
  <c r="Y195" i="233" s="1"/>
  <c r="O195" i="233"/>
  <c r="W195" i="233"/>
  <c r="X195" i="233"/>
  <c r="K196" i="233"/>
  <c r="N196" i="233"/>
  <c r="P196" i="233" s="1"/>
  <c r="Y196" i="233" s="1"/>
  <c r="O196" i="233"/>
  <c r="W196" i="233"/>
  <c r="X196" i="233"/>
  <c r="K197" i="233"/>
  <c r="N197" i="233"/>
  <c r="P197" i="233" s="1"/>
  <c r="Y197" i="233" s="1"/>
  <c r="O197" i="233"/>
  <c r="W197" i="233"/>
  <c r="X197" i="233"/>
  <c r="K198" i="233"/>
  <c r="N198" i="233"/>
  <c r="P198" i="233" s="1"/>
  <c r="Y198" i="233" s="1"/>
  <c r="O198" i="233"/>
  <c r="W198" i="233"/>
  <c r="X198" i="233"/>
  <c r="K199" i="233"/>
  <c r="N199" i="233"/>
  <c r="P199" i="233" s="1"/>
  <c r="Y199" i="233" s="1"/>
  <c r="O199" i="233"/>
  <c r="W199" i="233"/>
  <c r="X199" i="233"/>
  <c r="K200" i="233"/>
  <c r="N200" i="233"/>
  <c r="P200" i="233" s="1"/>
  <c r="Y200" i="233" s="1"/>
  <c r="O200" i="233"/>
  <c r="W200" i="233"/>
  <c r="X200" i="233"/>
  <c r="K201" i="233"/>
  <c r="N201" i="233"/>
  <c r="P201" i="233" s="1"/>
  <c r="Y201" i="233" s="1"/>
  <c r="O201" i="233"/>
  <c r="W201" i="233"/>
  <c r="X201" i="233"/>
  <c r="K202" i="233"/>
  <c r="N202" i="233"/>
  <c r="P202" i="233" s="1"/>
  <c r="Y202" i="233" s="1"/>
  <c r="O202" i="233"/>
  <c r="W202" i="233"/>
  <c r="X202" i="233"/>
  <c r="M203" i="233"/>
  <c r="L203" i="233"/>
  <c r="O203" i="233" s="1"/>
  <c r="K203" i="233"/>
  <c r="N203" i="233" s="1"/>
  <c r="W203" i="233"/>
  <c r="X203" i="233" s="1"/>
  <c r="K204" i="233"/>
  <c r="N204" i="233"/>
  <c r="P204" i="233" s="1"/>
  <c r="O204" i="233"/>
  <c r="W204" i="233"/>
  <c r="X204" i="233"/>
  <c r="K205" i="233"/>
  <c r="N205" i="233"/>
  <c r="P205" i="233" s="1"/>
  <c r="O205" i="233"/>
  <c r="W205" i="233"/>
  <c r="X205" i="233"/>
  <c r="Y205" i="233" s="1"/>
  <c r="K206" i="233"/>
  <c r="N206" i="233"/>
  <c r="P206" i="233" s="1"/>
  <c r="O206" i="233"/>
  <c r="W206" i="233"/>
  <c r="X206" i="233"/>
  <c r="K207" i="233"/>
  <c r="N207" i="233"/>
  <c r="P207" i="233" s="1"/>
  <c r="O207" i="233"/>
  <c r="W207" i="233"/>
  <c r="X207" i="233"/>
  <c r="Y207" i="233" s="1"/>
  <c r="K208" i="233"/>
  <c r="N208" i="233"/>
  <c r="P208" i="233" s="1"/>
  <c r="O208" i="233"/>
  <c r="W208" i="233"/>
  <c r="X208" i="233"/>
  <c r="K209" i="233"/>
  <c r="N209" i="233"/>
  <c r="P209" i="233" s="1"/>
  <c r="O209" i="233"/>
  <c r="W209" i="233"/>
  <c r="X209" i="233"/>
  <c r="Y209" i="233" s="1"/>
  <c r="K210" i="233"/>
  <c r="N210" i="233"/>
  <c r="P210" i="233" s="1"/>
  <c r="O210" i="233"/>
  <c r="W210" i="233"/>
  <c r="X210" i="233"/>
  <c r="K211" i="233"/>
  <c r="N211" i="233"/>
  <c r="P211" i="233" s="1"/>
  <c r="O211" i="233"/>
  <c r="W211" i="233"/>
  <c r="X211" i="233"/>
  <c r="Y211" i="233" s="1"/>
  <c r="K212" i="233"/>
  <c r="N212" i="233"/>
  <c r="P212" i="233" s="1"/>
  <c r="O212" i="233"/>
  <c r="W212" i="233"/>
  <c r="X212" i="233"/>
  <c r="K213" i="233"/>
  <c r="N213" i="233"/>
  <c r="P213" i="233" s="1"/>
  <c r="O213" i="233"/>
  <c r="W213" i="233"/>
  <c r="X213" i="233"/>
  <c r="Y213" i="233" s="1"/>
  <c r="K214" i="233"/>
  <c r="N214" i="233"/>
  <c r="P214" i="233" s="1"/>
  <c r="O214" i="233"/>
  <c r="W214" i="233"/>
  <c r="X214" i="233"/>
  <c r="K215" i="233"/>
  <c r="N215" i="233"/>
  <c r="P215" i="233" s="1"/>
  <c r="O215" i="233"/>
  <c r="W215" i="233"/>
  <c r="X215" i="233"/>
  <c r="Y215" i="233" s="1"/>
  <c r="K216" i="233"/>
  <c r="N216" i="233"/>
  <c r="P216" i="233" s="1"/>
  <c r="O216" i="233"/>
  <c r="W216" i="233"/>
  <c r="X216" i="233"/>
  <c r="K217" i="233"/>
  <c r="N217" i="233"/>
  <c r="P217" i="233" s="1"/>
  <c r="O217" i="233"/>
  <c r="W217" i="233"/>
  <c r="X217" i="233"/>
  <c r="Y217" i="233" s="1"/>
  <c r="K218" i="233"/>
  <c r="N218" i="233"/>
  <c r="P218" i="233" s="1"/>
  <c r="O218" i="233"/>
  <c r="W218" i="233"/>
  <c r="X218" i="233"/>
  <c r="K219" i="233"/>
  <c r="N219" i="233"/>
  <c r="P219" i="233" s="1"/>
  <c r="O219" i="233"/>
  <c r="W219" i="233"/>
  <c r="X219" i="233"/>
  <c r="Y219" i="233" s="1"/>
  <c r="K220" i="233"/>
  <c r="N220" i="233"/>
  <c r="P220" i="233" s="1"/>
  <c r="O220" i="233"/>
  <c r="W220" i="233"/>
  <c r="X220" i="233"/>
  <c r="K221" i="233"/>
  <c r="N221" i="233"/>
  <c r="P221" i="233" s="1"/>
  <c r="O221" i="233"/>
  <c r="W221" i="233"/>
  <c r="X221" i="233"/>
  <c r="Y221" i="233" s="1"/>
  <c r="K222" i="233"/>
  <c r="N222" i="233"/>
  <c r="P222" i="233" s="1"/>
  <c r="O222" i="233"/>
  <c r="W222" i="233"/>
  <c r="X222" i="233"/>
  <c r="K223" i="233"/>
  <c r="N223" i="233"/>
  <c r="P223" i="233" s="1"/>
  <c r="O223" i="233"/>
  <c r="W223" i="233"/>
  <c r="X223" i="233"/>
  <c r="Y223" i="233" s="1"/>
  <c r="K224" i="233"/>
  <c r="N224" i="233"/>
  <c r="P224" i="233" s="1"/>
  <c r="O224" i="233"/>
  <c r="W224" i="233"/>
  <c r="W245" i="233" s="1"/>
  <c r="X224" i="233"/>
  <c r="K225" i="233"/>
  <c r="N225" i="233"/>
  <c r="P225" i="233" s="1"/>
  <c r="O225" i="233"/>
  <c r="W225" i="233"/>
  <c r="X225" i="233"/>
  <c r="Y225" i="233" s="1"/>
  <c r="K226" i="233"/>
  <c r="N226" i="233"/>
  <c r="P226" i="233" s="1"/>
  <c r="O226" i="233"/>
  <c r="W226" i="233"/>
  <c r="X226" i="233"/>
  <c r="K227" i="233"/>
  <c r="N227" i="233"/>
  <c r="P227" i="233" s="1"/>
  <c r="O227" i="233"/>
  <c r="W227" i="233"/>
  <c r="X227" i="233"/>
  <c r="Y227" i="233" s="1"/>
  <c r="K228" i="233"/>
  <c r="N228" i="233"/>
  <c r="P228" i="233" s="1"/>
  <c r="O228" i="233"/>
  <c r="W228" i="233"/>
  <c r="X228" i="233"/>
  <c r="K229" i="233"/>
  <c r="N229" i="233"/>
  <c r="P229" i="233" s="1"/>
  <c r="O229" i="233"/>
  <c r="W229" i="233"/>
  <c r="X229" i="233"/>
  <c r="Y229" i="233" s="1"/>
  <c r="K230" i="233"/>
  <c r="N230" i="233"/>
  <c r="P230" i="233" s="1"/>
  <c r="O230" i="233"/>
  <c r="W230" i="233"/>
  <c r="X230" i="233"/>
  <c r="K231" i="233"/>
  <c r="N231" i="233"/>
  <c r="P231" i="233" s="1"/>
  <c r="O231" i="233"/>
  <c r="W231" i="233"/>
  <c r="X231" i="233"/>
  <c r="Y231" i="233" s="1"/>
  <c r="K232" i="233"/>
  <c r="N232" i="233"/>
  <c r="P232" i="233" s="1"/>
  <c r="O232" i="233"/>
  <c r="W232" i="233"/>
  <c r="X232" i="233"/>
  <c r="K233" i="233"/>
  <c r="N233" i="233"/>
  <c r="P233" i="233" s="1"/>
  <c r="O233" i="233"/>
  <c r="W233" i="233"/>
  <c r="X233" i="233"/>
  <c r="Y233" i="233" s="1"/>
  <c r="K234" i="233"/>
  <c r="N234" i="233"/>
  <c r="P234" i="233" s="1"/>
  <c r="O234" i="233"/>
  <c r="W234" i="233"/>
  <c r="X234" i="233"/>
  <c r="K235" i="233"/>
  <c r="N235" i="233"/>
  <c r="P235" i="233" s="1"/>
  <c r="O235" i="233"/>
  <c r="W235" i="233"/>
  <c r="X235" i="233"/>
  <c r="Y235" i="233" s="1"/>
  <c r="K236" i="233"/>
  <c r="N236" i="233"/>
  <c r="P236" i="233" s="1"/>
  <c r="O236" i="233"/>
  <c r="W236" i="233"/>
  <c r="X236" i="233"/>
  <c r="K237" i="233"/>
  <c r="N237" i="233"/>
  <c r="P237" i="233" s="1"/>
  <c r="O237" i="233"/>
  <c r="W237" i="233"/>
  <c r="X237" i="233"/>
  <c r="Y237" i="233" s="1"/>
  <c r="K238" i="233"/>
  <c r="N238" i="233"/>
  <c r="P238" i="233" s="1"/>
  <c r="O238" i="233"/>
  <c r="W238" i="233"/>
  <c r="X238" i="233"/>
  <c r="K239" i="233"/>
  <c r="N239" i="233"/>
  <c r="P239" i="233" s="1"/>
  <c r="O239" i="233"/>
  <c r="W239" i="233"/>
  <c r="X239" i="233"/>
  <c r="Y239" i="233" s="1"/>
  <c r="K240" i="233"/>
  <c r="N240" i="233"/>
  <c r="P240" i="233" s="1"/>
  <c r="O240" i="233"/>
  <c r="W240" i="233"/>
  <c r="X240" i="233"/>
  <c r="K241" i="233"/>
  <c r="N241" i="233"/>
  <c r="P241" i="233" s="1"/>
  <c r="O241" i="233"/>
  <c r="W241" i="233"/>
  <c r="X241" i="233"/>
  <c r="Y241" i="233" s="1"/>
  <c r="S243" i="233"/>
  <c r="T243" i="233"/>
  <c r="W243" i="233"/>
  <c r="S244" i="233"/>
  <c r="T244" i="233"/>
  <c r="W244" i="233"/>
  <c r="S245" i="233"/>
  <c r="T245" i="233"/>
  <c r="S246" i="233"/>
  <c r="T246" i="233"/>
  <c r="W246" i="233"/>
  <c r="S247" i="233"/>
  <c r="T247" i="233"/>
  <c r="W247" i="233"/>
  <c r="S248" i="233"/>
  <c r="T248" i="233"/>
  <c r="W248" i="233"/>
  <c r="S251" i="233" a="1"/>
  <c r="S251" i="233" s="1"/>
  <c r="T251" i="233" a="1"/>
  <c r="T251" i="233" s="1"/>
  <c r="S252" i="233" a="1"/>
  <c r="S252" i="233" s="1"/>
  <c r="T252" i="233" a="1"/>
  <c r="T252" i="233" s="1"/>
  <c r="S253" i="233" a="1"/>
  <c r="S253" i="233" s="1"/>
  <c r="T253" i="233" a="1"/>
  <c r="T253" i="233" s="1"/>
  <c r="S254" i="233" a="1"/>
  <c r="S254" i="233" s="1"/>
  <c r="T254" i="233" a="1"/>
  <c r="T254" i="233" s="1"/>
  <c r="S255" i="233" a="1"/>
  <c r="S255" i="233" s="1"/>
  <c r="T255" i="233" a="1"/>
  <c r="T255" i="233" s="1"/>
  <c r="S256" i="233" a="1"/>
  <c r="S256" i="233" s="1"/>
  <c r="T256" i="233" a="1"/>
  <c r="T256" i="233" s="1"/>
  <c r="B2" i="14"/>
  <c r="I5" i="14"/>
  <c r="B8" i="14"/>
  <c r="D8" i="14"/>
  <c r="E8" i="14"/>
  <c r="G8" i="14"/>
  <c r="D9" i="14"/>
  <c r="B9" i="14"/>
  <c r="E9" i="14"/>
  <c r="G9" i="14"/>
  <c r="I9" i="14"/>
  <c r="D10" i="14"/>
  <c r="B10" i="14"/>
  <c r="E10" i="14"/>
  <c r="G10" i="14"/>
  <c r="D11" i="14"/>
  <c r="B11" i="14"/>
  <c r="E11" i="14"/>
  <c r="G11" i="14"/>
  <c r="D12" i="14"/>
  <c r="B12" i="14"/>
  <c r="E12" i="14"/>
  <c r="G12" i="14"/>
  <c r="D13" i="14"/>
  <c r="B13" i="14"/>
  <c r="E13" i="14"/>
  <c r="G13" i="14"/>
  <c r="D14" i="14"/>
  <c r="B14" i="14"/>
  <c r="E14" i="14"/>
  <c r="G14" i="14"/>
  <c r="D15" i="14"/>
  <c r="B15" i="14"/>
  <c r="E15" i="14"/>
  <c r="G15" i="14"/>
  <c r="D16" i="14"/>
  <c r="B16" i="14"/>
  <c r="E16" i="14"/>
  <c r="G16" i="14"/>
  <c r="D17" i="14"/>
  <c r="B17" i="14"/>
  <c r="E17" i="14"/>
  <c r="G17" i="14"/>
  <c r="D18" i="14"/>
  <c r="J17" i="14" s="1"/>
  <c r="B18" i="14"/>
  <c r="E18" i="14"/>
  <c r="H30" i="300" s="1"/>
  <c r="G18" i="14"/>
  <c r="B2" i="13"/>
  <c r="N6" i="13"/>
  <c r="B10" i="13"/>
  <c r="D11" i="13"/>
  <c r="E11" i="13"/>
  <c r="F11" i="13"/>
  <c r="G11" i="13"/>
  <c r="H11" i="13"/>
  <c r="I11" i="13"/>
  <c r="J11" i="13"/>
  <c r="K11" i="13"/>
  <c r="O11" i="13"/>
  <c r="D12" i="13"/>
  <c r="E12" i="13"/>
  <c r="F12" i="13"/>
  <c r="F48" i="13" s="1"/>
  <c r="G12" i="13"/>
  <c r="H12" i="13"/>
  <c r="I12" i="13"/>
  <c r="J12" i="13"/>
  <c r="K12" i="13"/>
  <c r="O12" i="13"/>
  <c r="D13" i="13"/>
  <c r="E13" i="13"/>
  <c r="F13" i="13"/>
  <c r="G13" i="13"/>
  <c r="H13" i="13" s="1"/>
  <c r="I13" i="13" s="1"/>
  <c r="J13" i="13" s="1"/>
  <c r="K13" i="13" s="1"/>
  <c r="O13" i="13"/>
  <c r="D14" i="13"/>
  <c r="D48" i="13" s="1"/>
  <c r="E14" i="13"/>
  <c r="F14" i="13"/>
  <c r="G14" i="13"/>
  <c r="H14" i="13"/>
  <c r="I14" i="13" s="1"/>
  <c r="J14" i="13" s="1"/>
  <c r="K14" i="13" s="1"/>
  <c r="O14" i="13"/>
  <c r="D15" i="13"/>
  <c r="E15" i="13"/>
  <c r="F15" i="13"/>
  <c r="G15" i="13"/>
  <c r="H15" i="13"/>
  <c r="I15" i="13"/>
  <c r="J15" i="13" s="1"/>
  <c r="K15" i="13" s="1"/>
  <c r="O15" i="13"/>
  <c r="D16" i="13"/>
  <c r="E16" i="13"/>
  <c r="F16" i="13"/>
  <c r="G16" i="13"/>
  <c r="H16" i="13"/>
  <c r="I16" i="13"/>
  <c r="J16" i="13"/>
  <c r="K16" i="13"/>
  <c r="O16" i="13"/>
  <c r="D17" i="13"/>
  <c r="E17" i="13"/>
  <c r="F17" i="13"/>
  <c r="G17" i="13"/>
  <c r="H17" i="13"/>
  <c r="I17" i="13"/>
  <c r="J17" i="13"/>
  <c r="K17" i="13"/>
  <c r="O17" i="13"/>
  <c r="D18" i="13"/>
  <c r="E18" i="13"/>
  <c r="F18" i="13"/>
  <c r="G18" i="13"/>
  <c r="H18" i="13"/>
  <c r="I18" i="13"/>
  <c r="J18" i="13"/>
  <c r="K18" i="13"/>
  <c r="O18" i="13"/>
  <c r="D19" i="13"/>
  <c r="E19" i="13"/>
  <c r="F19" i="13"/>
  <c r="G19" i="13"/>
  <c r="H19" i="13"/>
  <c r="I19" i="13"/>
  <c r="J19" i="13"/>
  <c r="K19" i="13"/>
  <c r="O19" i="13"/>
  <c r="B21" i="13"/>
  <c r="D22" i="13"/>
  <c r="E22" i="13"/>
  <c r="F22" i="13"/>
  <c r="G22" i="13"/>
  <c r="H22" i="13"/>
  <c r="I22" i="13"/>
  <c r="J22" i="13"/>
  <c r="K22" i="13"/>
  <c r="O22" i="13"/>
  <c r="D23" i="13"/>
  <c r="E23" i="13"/>
  <c r="F23" i="13"/>
  <c r="G23" i="13" s="1"/>
  <c r="H23" i="13" s="1"/>
  <c r="O23" i="13"/>
  <c r="D24" i="13"/>
  <c r="E24" i="13"/>
  <c r="F24" i="13"/>
  <c r="G24" i="13"/>
  <c r="H24" i="13"/>
  <c r="I24" i="13"/>
  <c r="J24" i="13"/>
  <c r="K24" i="13"/>
  <c r="O24" i="13"/>
  <c r="E25" i="13"/>
  <c r="F25" i="13" s="1"/>
  <c r="G25" i="13" s="1"/>
  <c r="H25" i="13" s="1"/>
  <c r="I25" i="13" s="1"/>
  <c r="J25" i="13" s="1"/>
  <c r="K25" i="13" s="1"/>
  <c r="O25" i="13"/>
  <c r="E26" i="13"/>
  <c r="F26" i="13" s="1"/>
  <c r="G26" i="13" s="1"/>
  <c r="H26" i="13" s="1"/>
  <c r="I26" i="13" s="1"/>
  <c r="J26" i="13" s="1"/>
  <c r="K26" i="13" s="1"/>
  <c r="O26" i="13"/>
  <c r="D27" i="13"/>
  <c r="E27" i="13"/>
  <c r="F27" i="13"/>
  <c r="G27" i="13" s="1"/>
  <c r="H27" i="13" s="1"/>
  <c r="I27" i="13" s="1"/>
  <c r="J27" i="13" s="1"/>
  <c r="K27" i="13" s="1"/>
  <c r="O27" i="13"/>
  <c r="D28" i="13"/>
  <c r="E28" i="13"/>
  <c r="F28" i="13"/>
  <c r="G28" i="13"/>
  <c r="H28" i="13"/>
  <c r="I28" i="13"/>
  <c r="J28" i="13" s="1"/>
  <c r="K28" i="13" s="1"/>
  <c r="O28" i="13"/>
  <c r="D29" i="13"/>
  <c r="E29" i="13"/>
  <c r="F29" i="13"/>
  <c r="G29" i="13"/>
  <c r="H29" i="13"/>
  <c r="I29" i="13" s="1"/>
  <c r="J29" i="13"/>
  <c r="K29" i="13" s="1"/>
  <c r="O29" i="13"/>
  <c r="D30" i="13"/>
  <c r="E30" i="13"/>
  <c r="F30" i="13"/>
  <c r="G30" i="13"/>
  <c r="H30" i="13" s="1"/>
  <c r="I30" i="13"/>
  <c r="J30" i="13" s="1"/>
  <c r="K30" i="13" s="1"/>
  <c r="O30" i="13"/>
  <c r="E31" i="13"/>
  <c r="F31" i="13" s="1"/>
  <c r="G31" i="13"/>
  <c r="H31" i="13" s="1"/>
  <c r="I31" i="13" s="1"/>
  <c r="J31" i="13" s="1"/>
  <c r="K31" i="13" s="1"/>
  <c r="O31" i="13"/>
  <c r="E32" i="13"/>
  <c r="F32" i="13" s="1"/>
  <c r="G32" i="13" s="1"/>
  <c r="H32" i="13" s="1"/>
  <c r="I32" i="13" s="1"/>
  <c r="J32" i="13" s="1"/>
  <c r="K32" i="13" s="1"/>
  <c r="O32" i="13"/>
  <c r="E33" i="13"/>
  <c r="F33" i="13" s="1"/>
  <c r="G33" i="13" s="1"/>
  <c r="H33" i="13" s="1"/>
  <c r="I33" i="13" s="1"/>
  <c r="J33" i="13" s="1"/>
  <c r="K33" i="13" s="1"/>
  <c r="O33" i="13"/>
  <c r="D34" i="13"/>
  <c r="E34" i="13"/>
  <c r="F34" i="13"/>
  <c r="G34" i="13"/>
  <c r="H34" i="13"/>
  <c r="I34" i="13" s="1"/>
  <c r="J34" i="13" s="1"/>
  <c r="K34" i="13" s="1"/>
  <c r="O34" i="13"/>
  <c r="D35" i="13"/>
  <c r="E35" i="13"/>
  <c r="F35" i="13"/>
  <c r="G35" i="13"/>
  <c r="H35" i="13"/>
  <c r="I35" i="13"/>
  <c r="J35" i="13"/>
  <c r="K35" i="13"/>
  <c r="O35" i="13"/>
  <c r="D36" i="13"/>
  <c r="E36" i="13"/>
  <c r="F36" i="13"/>
  <c r="G36" i="13"/>
  <c r="H36" i="13"/>
  <c r="I36" i="13"/>
  <c r="J36" i="13"/>
  <c r="K36" i="13"/>
  <c r="O36" i="13"/>
  <c r="D37" i="13"/>
  <c r="E37" i="13"/>
  <c r="F37" i="13"/>
  <c r="G37" i="13"/>
  <c r="H37" i="13"/>
  <c r="I37" i="13"/>
  <c r="J37" i="13"/>
  <c r="K37" i="13"/>
  <c r="O37" i="13"/>
  <c r="D38" i="13"/>
  <c r="E38" i="13"/>
  <c r="F38" i="13"/>
  <c r="G38" i="13"/>
  <c r="H38" i="13"/>
  <c r="I38" i="13"/>
  <c r="J38" i="13"/>
  <c r="K38" i="13"/>
  <c r="O38" i="13"/>
  <c r="D39" i="13"/>
  <c r="E39" i="13"/>
  <c r="F39" i="13"/>
  <c r="G39" i="13"/>
  <c r="H39" i="13"/>
  <c r="I39" i="13"/>
  <c r="J39" i="13"/>
  <c r="K39" i="13"/>
  <c r="O39" i="13"/>
  <c r="D40" i="13"/>
  <c r="E40" i="13"/>
  <c r="F40" i="13"/>
  <c r="G40" i="13"/>
  <c r="H40" i="13"/>
  <c r="I40" i="13" s="1"/>
  <c r="J40" i="13" s="1"/>
  <c r="K40" i="13" s="1"/>
  <c r="O40" i="13"/>
  <c r="D41" i="13"/>
  <c r="E41" i="13"/>
  <c r="F41" i="13"/>
  <c r="G41" i="13"/>
  <c r="H41" i="13" s="1"/>
  <c r="I41" i="13" s="1"/>
  <c r="J41" i="13" s="1"/>
  <c r="K41" i="13" s="1"/>
  <c r="O41" i="13"/>
  <c r="D42" i="13"/>
  <c r="E42" i="13"/>
  <c r="F42" i="13"/>
  <c r="G42" i="13"/>
  <c r="H42" i="13"/>
  <c r="I42" i="13"/>
  <c r="J42" i="13"/>
  <c r="K42" i="13" s="1"/>
  <c r="O42" i="13"/>
  <c r="D43" i="13"/>
  <c r="E43" i="13"/>
  <c r="F43" i="13"/>
  <c r="G43" i="13"/>
  <c r="H43" i="13"/>
  <c r="I43" i="13"/>
  <c r="J43" i="13"/>
  <c r="K43" i="13"/>
  <c r="O43" i="13"/>
  <c r="D44" i="13"/>
  <c r="E44" i="13"/>
  <c r="F44" i="13"/>
  <c r="G44" i="13"/>
  <c r="H44" i="13"/>
  <c r="I44" i="13"/>
  <c r="J44" i="13"/>
  <c r="K44" i="13"/>
  <c r="O44" i="13"/>
  <c r="D45" i="13"/>
  <c r="E45" i="13"/>
  <c r="F45" i="13"/>
  <c r="G45" i="13"/>
  <c r="H45" i="13" s="1"/>
  <c r="I45" i="13" s="1"/>
  <c r="J45" i="13" s="1"/>
  <c r="K45" i="13" s="1"/>
  <c r="O45" i="13"/>
  <c r="D46" i="13"/>
  <c r="E46" i="13"/>
  <c r="F46" i="13"/>
  <c r="G46" i="13"/>
  <c r="H46" i="13"/>
  <c r="I46" i="13"/>
  <c r="J46" i="13"/>
  <c r="K46" i="13" s="1"/>
  <c r="O46" i="13"/>
  <c r="B57" i="13"/>
  <c r="B2" i="275"/>
  <c r="AC3" i="275"/>
  <c r="Y4" i="275"/>
  <c r="AC4" i="275"/>
  <c r="AC5" i="275"/>
  <c r="B10" i="275"/>
  <c r="D11" i="275"/>
  <c r="E11" i="275"/>
  <c r="E23" i="275" s="1"/>
  <c r="F11" i="275"/>
  <c r="G11" i="275"/>
  <c r="I11" i="275" s="1"/>
  <c r="J11" i="275"/>
  <c r="M11" i="275"/>
  <c r="AC11" i="275"/>
  <c r="D12" i="275"/>
  <c r="I12" i="275" s="1"/>
  <c r="K12" i="275" s="1"/>
  <c r="E12" i="275"/>
  <c r="F12" i="275"/>
  <c r="G12" i="275"/>
  <c r="H12" i="275"/>
  <c r="J12" i="275"/>
  <c r="J24" i="275" s="1"/>
  <c r="M12" i="275"/>
  <c r="AC12" i="275"/>
  <c r="D13" i="275"/>
  <c r="E13" i="275"/>
  <c r="H13" i="275" s="1"/>
  <c r="F13" i="275"/>
  <c r="G13" i="275"/>
  <c r="J13" i="275"/>
  <c r="M13" i="275"/>
  <c r="AC13" i="275"/>
  <c r="D14" i="275"/>
  <c r="E14" i="275"/>
  <c r="F14" i="275"/>
  <c r="F21" i="275" s="1"/>
  <c r="G14" i="275"/>
  <c r="J14" i="275"/>
  <c r="J22" i="275" s="1"/>
  <c r="M14" i="275"/>
  <c r="M23" i="275" s="1"/>
  <c r="AC14" i="275"/>
  <c r="D15" i="275"/>
  <c r="E15" i="275"/>
  <c r="F15" i="275"/>
  <c r="G15" i="275"/>
  <c r="I15" i="275" s="1"/>
  <c r="K15" i="275" s="1"/>
  <c r="J15" i="275"/>
  <c r="M15" i="275"/>
  <c r="AC15" i="275"/>
  <c r="D16" i="275"/>
  <c r="I16" i="275" s="1"/>
  <c r="K16" i="275" s="1"/>
  <c r="E16" i="275"/>
  <c r="F16" i="275"/>
  <c r="G16" i="275"/>
  <c r="H16" i="275"/>
  <c r="J16" i="275"/>
  <c r="M16" i="275"/>
  <c r="AC16" i="275"/>
  <c r="D17" i="275"/>
  <c r="E17" i="275"/>
  <c r="H17" i="275" s="1"/>
  <c r="F17" i="275"/>
  <c r="G17" i="275"/>
  <c r="J17" i="275"/>
  <c r="M17" i="275"/>
  <c r="AC17" i="275"/>
  <c r="D18" i="275"/>
  <c r="E18" i="275"/>
  <c r="F18" i="275"/>
  <c r="H18" i="275" s="1"/>
  <c r="G18" i="275"/>
  <c r="J18" i="275"/>
  <c r="M18" i="275"/>
  <c r="AC18" i="275"/>
  <c r="D19" i="275"/>
  <c r="I19" i="275" s="1"/>
  <c r="K19" i="275" s="1"/>
  <c r="E19" i="275"/>
  <c r="F19" i="275"/>
  <c r="F22" i="275" s="1"/>
  <c r="G19" i="275"/>
  <c r="J19" i="275"/>
  <c r="M19" i="275"/>
  <c r="AC19" i="275"/>
  <c r="D21" i="275"/>
  <c r="M21" i="275"/>
  <c r="E22" i="275"/>
  <c r="F23" i="275"/>
  <c r="J23" i="275"/>
  <c r="D24" i="275"/>
  <c r="G24" i="275"/>
  <c r="M24" i="275"/>
  <c r="D25" i="275"/>
  <c r="M25" i="275"/>
  <c r="E26" i="275"/>
  <c r="B28" i="275"/>
  <c r="D29" i="275"/>
  <c r="I29" i="275" s="1"/>
  <c r="E29" i="275"/>
  <c r="E59" i="275" s="1"/>
  <c r="F29" i="275"/>
  <c r="F59" i="275" s="1"/>
  <c r="G29" i="275"/>
  <c r="H29" i="275"/>
  <c r="J29" i="275"/>
  <c r="J59" i="275" s="1"/>
  <c r="M29" i="275"/>
  <c r="M55" i="275" s="1"/>
  <c r="AC29" i="275"/>
  <c r="D30" i="275"/>
  <c r="E30" i="275"/>
  <c r="H30" i="275" s="1"/>
  <c r="F30" i="275"/>
  <c r="F60" i="275" s="1"/>
  <c r="G30" i="275"/>
  <c r="G60" i="275" s="1"/>
  <c r="I30" i="275"/>
  <c r="K30" i="275" s="1"/>
  <c r="J30" i="275"/>
  <c r="J60" i="275" s="1"/>
  <c r="M30" i="275"/>
  <c r="AC30" i="275"/>
  <c r="D31" i="275"/>
  <c r="I31" i="275" s="1"/>
  <c r="K31" i="275" s="1"/>
  <c r="E31" i="275"/>
  <c r="F31" i="275"/>
  <c r="H31" i="275" s="1"/>
  <c r="G31" i="275"/>
  <c r="G58" i="275" s="1"/>
  <c r="J31" i="275"/>
  <c r="M31" i="275"/>
  <c r="AC31" i="275"/>
  <c r="D32" i="275"/>
  <c r="I32" i="275" s="1"/>
  <c r="K32" i="275" s="1"/>
  <c r="E32" i="275"/>
  <c r="F32" i="275"/>
  <c r="G32" i="275"/>
  <c r="H32" i="275" s="1"/>
  <c r="J32" i="275"/>
  <c r="M32" i="275"/>
  <c r="AC32" i="275"/>
  <c r="D33" i="275"/>
  <c r="I33" i="275" s="1"/>
  <c r="K33" i="275" s="1"/>
  <c r="E33" i="275"/>
  <c r="F33" i="275"/>
  <c r="G33" i="275"/>
  <c r="H33" i="275"/>
  <c r="J33" i="275"/>
  <c r="M33" i="275"/>
  <c r="AC33" i="275"/>
  <c r="D34" i="275"/>
  <c r="E34" i="275"/>
  <c r="H34" i="275" s="1"/>
  <c r="F34" i="275"/>
  <c r="G34" i="275"/>
  <c r="I34" i="275"/>
  <c r="K34" i="275" s="1"/>
  <c r="J34" i="275"/>
  <c r="M34" i="275"/>
  <c r="AC34" i="275"/>
  <c r="D35" i="275"/>
  <c r="I35" i="275" s="1"/>
  <c r="K35" i="275" s="1"/>
  <c r="E35" i="275"/>
  <c r="F35" i="275"/>
  <c r="F58" i="275" s="1"/>
  <c r="G35" i="275"/>
  <c r="J35" i="275"/>
  <c r="J58" i="275" s="1"/>
  <c r="M35" i="275"/>
  <c r="AC35" i="275"/>
  <c r="D36" i="275"/>
  <c r="I36" i="275" s="1"/>
  <c r="K36" i="275" s="1"/>
  <c r="E36" i="275"/>
  <c r="F36" i="275"/>
  <c r="G36" i="275"/>
  <c r="H36" i="275" s="1"/>
  <c r="J36" i="275"/>
  <c r="M36" i="275"/>
  <c r="AC36" i="275"/>
  <c r="D37" i="275"/>
  <c r="I37" i="275" s="1"/>
  <c r="K37" i="275" s="1"/>
  <c r="E37" i="275"/>
  <c r="F37" i="275"/>
  <c r="G37" i="275"/>
  <c r="H37" i="275"/>
  <c r="J37" i="275"/>
  <c r="M37" i="275"/>
  <c r="M59" i="275" s="1"/>
  <c r="AC37" i="275"/>
  <c r="D38" i="275"/>
  <c r="E38" i="275"/>
  <c r="E60" i="275" s="1"/>
  <c r="F38" i="275"/>
  <c r="G38" i="275"/>
  <c r="I38" i="275"/>
  <c r="K38" i="275" s="1"/>
  <c r="J38" i="275"/>
  <c r="M38" i="275"/>
  <c r="AC38" i="275"/>
  <c r="D39" i="275"/>
  <c r="I39" i="275" s="1"/>
  <c r="K39" i="275" s="1"/>
  <c r="E39" i="275"/>
  <c r="F39" i="275"/>
  <c r="H39" i="275" s="1"/>
  <c r="G39" i="275"/>
  <c r="J39" i="275"/>
  <c r="M39" i="275"/>
  <c r="AC39" i="275"/>
  <c r="D40" i="275"/>
  <c r="I40" i="275" s="1"/>
  <c r="K40" i="275" s="1"/>
  <c r="E40" i="275"/>
  <c r="F40" i="275"/>
  <c r="G40" i="275"/>
  <c r="H40" i="275" s="1"/>
  <c r="J40" i="275"/>
  <c r="M40" i="275"/>
  <c r="AC40" i="275"/>
  <c r="D41" i="275"/>
  <c r="I41" i="275" s="1"/>
  <c r="K41" i="275" s="1"/>
  <c r="E41" i="275"/>
  <c r="F41" i="275"/>
  <c r="G41" i="275"/>
  <c r="H41" i="275"/>
  <c r="J41" i="275"/>
  <c r="M41" i="275"/>
  <c r="AC41" i="275"/>
  <c r="D42" i="275"/>
  <c r="E42" i="275"/>
  <c r="H42" i="275" s="1"/>
  <c r="F42" i="275"/>
  <c r="G42" i="275"/>
  <c r="I42" i="275"/>
  <c r="K42" i="275" s="1"/>
  <c r="J42" i="275"/>
  <c r="M42" i="275"/>
  <c r="AC42" i="275"/>
  <c r="D43" i="275"/>
  <c r="I43" i="275" s="1"/>
  <c r="K43" i="275" s="1"/>
  <c r="E43" i="275"/>
  <c r="F43" i="275"/>
  <c r="H43" i="275" s="1"/>
  <c r="G43" i="275"/>
  <c r="J43" i="275"/>
  <c r="M43" i="275"/>
  <c r="AC43" i="275"/>
  <c r="D44" i="275"/>
  <c r="I44" i="275" s="1"/>
  <c r="K44" i="275" s="1"/>
  <c r="E44" i="275"/>
  <c r="F44" i="275"/>
  <c r="G44" i="275"/>
  <c r="H44" i="275" s="1"/>
  <c r="J44" i="275"/>
  <c r="M44" i="275"/>
  <c r="AC44" i="275"/>
  <c r="D45" i="275"/>
  <c r="I45" i="275" s="1"/>
  <c r="K45" i="275" s="1"/>
  <c r="E45" i="275"/>
  <c r="F45" i="275"/>
  <c r="G45" i="275"/>
  <c r="H45" i="275"/>
  <c r="J45" i="275"/>
  <c r="M45" i="275"/>
  <c r="AC45" i="275"/>
  <c r="D46" i="275"/>
  <c r="E46" i="275"/>
  <c r="H46" i="275" s="1"/>
  <c r="F46" i="275"/>
  <c r="G46" i="275"/>
  <c r="I46" i="275"/>
  <c r="K46" i="275" s="1"/>
  <c r="J46" i="275"/>
  <c r="M46" i="275"/>
  <c r="AC46" i="275"/>
  <c r="D47" i="275"/>
  <c r="I47" i="275" s="1"/>
  <c r="K47" i="275" s="1"/>
  <c r="E47" i="275"/>
  <c r="F47" i="275"/>
  <c r="H47" i="275" s="1"/>
  <c r="G47" i="275"/>
  <c r="J47" i="275"/>
  <c r="M47" i="275"/>
  <c r="AC47" i="275"/>
  <c r="D48" i="275"/>
  <c r="I48" i="275" s="1"/>
  <c r="K48" i="275" s="1"/>
  <c r="E48" i="275"/>
  <c r="F48" i="275"/>
  <c r="G48" i="275"/>
  <c r="H48" i="275" s="1"/>
  <c r="J48" i="275"/>
  <c r="M48" i="275"/>
  <c r="AC48" i="275"/>
  <c r="D49" i="275"/>
  <c r="I49" i="275" s="1"/>
  <c r="K49" i="275" s="1"/>
  <c r="E49" i="275"/>
  <c r="F49" i="275"/>
  <c r="G49" i="275"/>
  <c r="H49" i="275"/>
  <c r="J49" i="275"/>
  <c r="M49" i="275"/>
  <c r="AC49" i="275"/>
  <c r="D50" i="275"/>
  <c r="E50" i="275"/>
  <c r="H50" i="275" s="1"/>
  <c r="F50" i="275"/>
  <c r="G50" i="275"/>
  <c r="I50" i="275"/>
  <c r="K50" i="275" s="1"/>
  <c r="J50" i="275"/>
  <c r="M50" i="275"/>
  <c r="AC50" i="275"/>
  <c r="D51" i="275"/>
  <c r="I51" i="275" s="1"/>
  <c r="K51" i="275" s="1"/>
  <c r="E51" i="275"/>
  <c r="F51" i="275"/>
  <c r="H51" i="275" s="1"/>
  <c r="G51" i="275"/>
  <c r="J51" i="275"/>
  <c r="M51" i="275"/>
  <c r="AC51" i="275"/>
  <c r="D52" i="275"/>
  <c r="I52" i="275" s="1"/>
  <c r="K52" i="275" s="1"/>
  <c r="E52" i="275"/>
  <c r="F52" i="275"/>
  <c r="G52" i="275"/>
  <c r="H52" i="275" s="1"/>
  <c r="J52" i="275"/>
  <c r="M52" i="275"/>
  <c r="AC52" i="275"/>
  <c r="D53" i="275"/>
  <c r="I53" i="275" s="1"/>
  <c r="K53" i="275" s="1"/>
  <c r="E53" i="275"/>
  <c r="F53" i="275"/>
  <c r="G53" i="275"/>
  <c r="H53" i="275"/>
  <c r="J53" i="275"/>
  <c r="M53" i="275"/>
  <c r="AC53" i="275"/>
  <c r="F55" i="275"/>
  <c r="J55" i="275"/>
  <c r="B70" i="275"/>
  <c r="E70" i="275"/>
  <c r="H70" i="275" s="1"/>
  <c r="Y70" i="275" s="1"/>
  <c r="AC55" i="275" s="1"/>
  <c r="F56" i="275"/>
  <c r="J56" i="275"/>
  <c r="B72" i="275"/>
  <c r="F57" i="275"/>
  <c r="J57" i="275"/>
  <c r="E58" i="275"/>
  <c r="G59" i="275"/>
  <c r="D60" i="275"/>
  <c r="M60" i="275"/>
  <c r="M70" i="275"/>
  <c r="M72" i="275" s="1"/>
  <c r="S70" i="275"/>
  <c r="S72" i="275"/>
  <c r="AB72" i="275"/>
  <c r="AC72" i="275"/>
  <c r="AD72" i="275"/>
  <c r="AC74" i="275"/>
  <c r="AD74" i="275"/>
  <c r="B2" i="276"/>
  <c r="AC3" i="276"/>
  <c r="Y4" i="276"/>
  <c r="AC4" i="276"/>
  <c r="AC5" i="276"/>
  <c r="B10" i="276"/>
  <c r="D11" i="276"/>
  <c r="E11" i="276"/>
  <c r="F11" i="276"/>
  <c r="G11" i="276"/>
  <c r="J11" i="276"/>
  <c r="M11" i="276"/>
  <c r="AC11" i="276"/>
  <c r="D12" i="276"/>
  <c r="E12" i="276"/>
  <c r="F12" i="276"/>
  <c r="G12" i="276"/>
  <c r="I12" i="276"/>
  <c r="K12" i="276" s="1"/>
  <c r="J12" i="276"/>
  <c r="M12" i="276"/>
  <c r="AC12" i="276"/>
  <c r="D13" i="276"/>
  <c r="I13" i="276" s="1"/>
  <c r="K13" i="276" s="1"/>
  <c r="E13" i="276"/>
  <c r="F13" i="276"/>
  <c r="G13" i="276"/>
  <c r="H13" i="276"/>
  <c r="J13" i="276"/>
  <c r="M13" i="276"/>
  <c r="AC13" i="276"/>
  <c r="D14" i="276"/>
  <c r="E14" i="276"/>
  <c r="H14" i="276" s="1"/>
  <c r="F14" i="276"/>
  <c r="G14" i="276"/>
  <c r="J14" i="276"/>
  <c r="M14" i="276"/>
  <c r="AC14" i="276"/>
  <c r="D15" i="276"/>
  <c r="E15" i="276"/>
  <c r="F15" i="276"/>
  <c r="H15" i="276" s="1"/>
  <c r="G15" i="276"/>
  <c r="J15" i="276"/>
  <c r="M15" i="276"/>
  <c r="M21" i="276" s="1"/>
  <c r="AC15" i="276"/>
  <c r="D16" i="276"/>
  <c r="E16" i="276"/>
  <c r="F16" i="276"/>
  <c r="G16" i="276"/>
  <c r="I16" i="276"/>
  <c r="K16" i="276" s="1"/>
  <c r="J16" i="276"/>
  <c r="M16" i="276"/>
  <c r="AC16" i="276"/>
  <c r="D17" i="276"/>
  <c r="I17" i="276" s="1"/>
  <c r="K17" i="276" s="1"/>
  <c r="E17" i="276"/>
  <c r="F17" i="276"/>
  <c r="G17" i="276"/>
  <c r="H17" i="276"/>
  <c r="J17" i="276"/>
  <c r="M17" i="276"/>
  <c r="AC17" i="276"/>
  <c r="D18" i="276"/>
  <c r="E18" i="276"/>
  <c r="H18" i="276" s="1"/>
  <c r="F18" i="276"/>
  <c r="G18" i="276"/>
  <c r="J18" i="276"/>
  <c r="M18" i="276"/>
  <c r="AC18" i="276"/>
  <c r="D19" i="276"/>
  <c r="E19" i="276"/>
  <c r="F19" i="276"/>
  <c r="H19" i="276" s="1"/>
  <c r="G19" i="276"/>
  <c r="J19" i="276"/>
  <c r="M19" i="276"/>
  <c r="AC19" i="276"/>
  <c r="F21" i="276"/>
  <c r="E24" i="276"/>
  <c r="J25" i="276"/>
  <c r="E26" i="276"/>
  <c r="G26" i="276"/>
  <c r="B28" i="276"/>
  <c r="D29" i="276"/>
  <c r="E29" i="276"/>
  <c r="F29" i="276"/>
  <c r="G29" i="276"/>
  <c r="J29" i="276"/>
  <c r="M29" i="276"/>
  <c r="AC29" i="276"/>
  <c r="D30" i="276"/>
  <c r="E30" i="276"/>
  <c r="H30" i="276" s="1"/>
  <c r="F30" i="276"/>
  <c r="G30" i="276"/>
  <c r="J30" i="276"/>
  <c r="M30" i="276"/>
  <c r="AC30" i="276"/>
  <c r="D31" i="276"/>
  <c r="I31" i="276" s="1"/>
  <c r="E31" i="276"/>
  <c r="F31" i="276"/>
  <c r="G31" i="276"/>
  <c r="H31" i="276"/>
  <c r="J31" i="276"/>
  <c r="M31" i="276"/>
  <c r="AC31" i="276"/>
  <c r="D32" i="276"/>
  <c r="E32" i="276"/>
  <c r="F32" i="276"/>
  <c r="G32" i="276"/>
  <c r="J32" i="276"/>
  <c r="M32" i="276"/>
  <c r="AC32" i="276"/>
  <c r="D33" i="276"/>
  <c r="E33" i="276"/>
  <c r="F33" i="276"/>
  <c r="H33" i="276" s="1"/>
  <c r="G33" i="276"/>
  <c r="J33" i="276"/>
  <c r="M33" i="276"/>
  <c r="AC33" i="276"/>
  <c r="D34" i="276"/>
  <c r="E34" i="276"/>
  <c r="H34" i="276" s="1"/>
  <c r="F34" i="276"/>
  <c r="G34" i="276"/>
  <c r="J34" i="276"/>
  <c r="M34" i="276"/>
  <c r="AC34" i="276"/>
  <c r="D35" i="276"/>
  <c r="I35" i="276" s="1"/>
  <c r="E35" i="276"/>
  <c r="F35" i="276"/>
  <c r="G35" i="276"/>
  <c r="H35" i="276"/>
  <c r="J35" i="276"/>
  <c r="M35" i="276"/>
  <c r="AC35" i="276"/>
  <c r="D36" i="276"/>
  <c r="E36" i="276"/>
  <c r="F36" i="276"/>
  <c r="G36" i="276"/>
  <c r="J36" i="276"/>
  <c r="M36" i="276"/>
  <c r="AC36" i="276"/>
  <c r="D37" i="276"/>
  <c r="E37" i="276"/>
  <c r="F37" i="276"/>
  <c r="H37" i="276" s="1"/>
  <c r="G37" i="276"/>
  <c r="J37" i="276"/>
  <c r="M37" i="276"/>
  <c r="AC37" i="276"/>
  <c r="D38" i="276"/>
  <c r="E38" i="276"/>
  <c r="H38" i="276" s="1"/>
  <c r="F38" i="276"/>
  <c r="G38" i="276"/>
  <c r="J38" i="276"/>
  <c r="M38" i="276"/>
  <c r="AC38" i="276"/>
  <c r="D39" i="276"/>
  <c r="I39" i="276" s="1"/>
  <c r="K39" i="276" s="1"/>
  <c r="E39" i="276"/>
  <c r="F39" i="276"/>
  <c r="G39" i="276"/>
  <c r="H39" i="276"/>
  <c r="J39" i="276"/>
  <c r="M39" i="276"/>
  <c r="AC39" i="276"/>
  <c r="D40" i="276"/>
  <c r="E40" i="276"/>
  <c r="H40" i="276" s="1"/>
  <c r="F40" i="276"/>
  <c r="G40" i="276"/>
  <c r="I40" i="276" s="1"/>
  <c r="K40" i="276" s="1"/>
  <c r="J40" i="276"/>
  <c r="M40" i="276"/>
  <c r="AC40" i="276"/>
  <c r="D41" i="276"/>
  <c r="I41" i="276" s="1"/>
  <c r="K41" i="276" s="1"/>
  <c r="E41" i="276"/>
  <c r="F41" i="276"/>
  <c r="G41" i="276"/>
  <c r="H41" i="276"/>
  <c r="J41" i="276"/>
  <c r="M41" i="276"/>
  <c r="AC41" i="276"/>
  <c r="D42" i="276"/>
  <c r="E42" i="276"/>
  <c r="H42" i="276" s="1"/>
  <c r="F42" i="276"/>
  <c r="G42" i="276"/>
  <c r="J42" i="276"/>
  <c r="M42" i="276"/>
  <c r="AC42" i="276"/>
  <c r="D43" i="276"/>
  <c r="I43" i="276" s="1"/>
  <c r="K43" i="276" s="1"/>
  <c r="E43" i="276"/>
  <c r="F43" i="276"/>
  <c r="G43" i="276"/>
  <c r="H43" i="276"/>
  <c r="J43" i="276"/>
  <c r="M43" i="276"/>
  <c r="AC43" i="276"/>
  <c r="D44" i="276"/>
  <c r="E44" i="276"/>
  <c r="H44" i="276" s="1"/>
  <c r="F44" i="276"/>
  <c r="G44" i="276"/>
  <c r="I44" i="276" s="1"/>
  <c r="K44" i="276" s="1"/>
  <c r="J44" i="276"/>
  <c r="M44" i="276"/>
  <c r="AC44" i="276"/>
  <c r="D45" i="276"/>
  <c r="I45" i="276" s="1"/>
  <c r="K45" i="276" s="1"/>
  <c r="E45" i="276"/>
  <c r="F45" i="276"/>
  <c r="G45" i="276"/>
  <c r="H45" i="276"/>
  <c r="J45" i="276"/>
  <c r="M45" i="276"/>
  <c r="AC45" i="276"/>
  <c r="D46" i="276"/>
  <c r="E46" i="276"/>
  <c r="H46" i="276" s="1"/>
  <c r="F46" i="276"/>
  <c r="G46" i="276"/>
  <c r="J46" i="276"/>
  <c r="J55" i="276" s="1"/>
  <c r="M46" i="276"/>
  <c r="AC46" i="276"/>
  <c r="D47" i="276"/>
  <c r="I47" i="276" s="1"/>
  <c r="K47" i="276" s="1"/>
  <c r="E47" i="276"/>
  <c r="F47" i="276"/>
  <c r="G47" i="276"/>
  <c r="H47" i="276"/>
  <c r="J47" i="276"/>
  <c r="M47" i="276"/>
  <c r="AC47" i="276"/>
  <c r="D48" i="276"/>
  <c r="E48" i="276"/>
  <c r="H48" i="276" s="1"/>
  <c r="F48" i="276"/>
  <c r="G48" i="276"/>
  <c r="I48" i="276" s="1"/>
  <c r="K48" i="276" s="1"/>
  <c r="J48" i="276"/>
  <c r="M48" i="276"/>
  <c r="AC48" i="276"/>
  <c r="D49" i="276"/>
  <c r="I49" i="276" s="1"/>
  <c r="K49" i="276" s="1"/>
  <c r="E49" i="276"/>
  <c r="F49" i="276"/>
  <c r="G49" i="276"/>
  <c r="H49" i="276"/>
  <c r="J49" i="276"/>
  <c r="M49" i="276"/>
  <c r="AC49" i="276"/>
  <c r="D50" i="276"/>
  <c r="E50" i="276"/>
  <c r="H50" i="276" s="1"/>
  <c r="F50" i="276"/>
  <c r="G50" i="276"/>
  <c r="J50" i="276"/>
  <c r="M50" i="276"/>
  <c r="AC50" i="276"/>
  <c r="D51" i="276"/>
  <c r="I51" i="276" s="1"/>
  <c r="K51" i="276" s="1"/>
  <c r="E51" i="276"/>
  <c r="F51" i="276"/>
  <c r="G51" i="276"/>
  <c r="H51" i="276"/>
  <c r="J51" i="276"/>
  <c r="M51" i="276"/>
  <c r="AC51" i="276"/>
  <c r="D52" i="276"/>
  <c r="E52" i="276"/>
  <c r="H52" i="276" s="1"/>
  <c r="F52" i="276"/>
  <c r="G52" i="276"/>
  <c r="I52" i="276" s="1"/>
  <c r="K52" i="276" s="1"/>
  <c r="J52" i="276"/>
  <c r="M52" i="276"/>
  <c r="AC52" i="276"/>
  <c r="D53" i="276"/>
  <c r="I53" i="276" s="1"/>
  <c r="K53" i="276" s="1"/>
  <c r="E53" i="276"/>
  <c r="F53" i="276"/>
  <c r="G53" i="276"/>
  <c r="H53" i="276"/>
  <c r="J53" i="276"/>
  <c r="M53" i="276"/>
  <c r="AC53" i="276"/>
  <c r="F55" i="276"/>
  <c r="G55" i="276"/>
  <c r="M55" i="276"/>
  <c r="B70" i="276"/>
  <c r="E70" i="276"/>
  <c r="H70" i="276" s="1"/>
  <c r="D56" i="276"/>
  <c r="F56" i="276"/>
  <c r="G56" i="276"/>
  <c r="J56" i="276"/>
  <c r="M56" i="276"/>
  <c r="S72" i="276"/>
  <c r="M70" i="276"/>
  <c r="M72" i="276" s="1"/>
  <c r="E57" i="276"/>
  <c r="G57" i="276"/>
  <c r="M57" i="276"/>
  <c r="F58" i="276"/>
  <c r="G58" i="276"/>
  <c r="J58" i="276"/>
  <c r="M58" i="276"/>
  <c r="D59" i="276"/>
  <c r="E59" i="276"/>
  <c r="G59" i="276"/>
  <c r="M59" i="276"/>
  <c r="D60" i="276"/>
  <c r="E60" i="276"/>
  <c r="F60" i="276"/>
  <c r="J60" i="276"/>
  <c r="M60" i="276"/>
  <c r="S70" i="276"/>
  <c r="B2" i="244"/>
  <c r="AC3" i="244"/>
  <c r="Y4" i="244"/>
  <c r="AC4" i="244"/>
  <c r="AC5" i="244"/>
  <c r="B10" i="244"/>
  <c r="D11" i="244"/>
  <c r="E11" i="244"/>
  <c r="F11" i="244"/>
  <c r="G11" i="244"/>
  <c r="G24" i="244" s="1"/>
  <c r="J11" i="244"/>
  <c r="M11" i="244"/>
  <c r="AC11" i="244"/>
  <c r="D12" i="244"/>
  <c r="E12" i="244"/>
  <c r="F12" i="244"/>
  <c r="G12" i="244"/>
  <c r="H12" i="244" s="1"/>
  <c r="J12" i="244"/>
  <c r="M12" i="244"/>
  <c r="M26" i="244" s="1"/>
  <c r="AC12" i="244"/>
  <c r="D13" i="244"/>
  <c r="E13" i="244"/>
  <c r="H13" i="244" s="1"/>
  <c r="F13" i="244"/>
  <c r="G13" i="244"/>
  <c r="I13" i="244"/>
  <c r="K13" i="244" s="1"/>
  <c r="J13" i="244"/>
  <c r="M13" i="244"/>
  <c r="AC13" i="244"/>
  <c r="D14" i="244"/>
  <c r="I14" i="244" s="1"/>
  <c r="K14" i="244" s="1"/>
  <c r="E14" i="244"/>
  <c r="F14" i="244"/>
  <c r="F21" i="244" s="1"/>
  <c r="G14" i="244"/>
  <c r="J14" i="244"/>
  <c r="J25" i="244" s="1"/>
  <c r="M14" i="244"/>
  <c r="AC14" i="244"/>
  <c r="D15" i="244"/>
  <c r="E15" i="244"/>
  <c r="F15" i="244"/>
  <c r="G15" i="244"/>
  <c r="J15" i="244"/>
  <c r="M15" i="244"/>
  <c r="AC15" i="244"/>
  <c r="D16" i="244"/>
  <c r="E16" i="244"/>
  <c r="F16" i="244"/>
  <c r="G16" i="244"/>
  <c r="H16" i="244" s="1"/>
  <c r="J16" i="244"/>
  <c r="M16" i="244"/>
  <c r="M21" i="244" s="1"/>
  <c r="AC16" i="244"/>
  <c r="D17" i="244"/>
  <c r="E17" i="244"/>
  <c r="H17" i="244" s="1"/>
  <c r="F17" i="244"/>
  <c r="G17" i="244"/>
  <c r="I17" i="244"/>
  <c r="K17" i="244" s="1"/>
  <c r="J17" i="244"/>
  <c r="M17" i="244"/>
  <c r="AC17" i="244"/>
  <c r="D18" i="244"/>
  <c r="I18" i="244" s="1"/>
  <c r="K18" i="244" s="1"/>
  <c r="E18" i="244"/>
  <c r="F18" i="244"/>
  <c r="H18" i="244" s="1"/>
  <c r="G18" i="244"/>
  <c r="J18" i="244"/>
  <c r="M18" i="244"/>
  <c r="AC18" i="244"/>
  <c r="D19" i="244"/>
  <c r="E19" i="244"/>
  <c r="F19" i="244"/>
  <c r="G19" i="244"/>
  <c r="J19" i="244"/>
  <c r="M19" i="244"/>
  <c r="AC19" i="244"/>
  <c r="S20" i="244"/>
  <c r="T20" i="244" s="1"/>
  <c r="D21" i="244"/>
  <c r="J21" i="244"/>
  <c r="D22" i="244"/>
  <c r="G22" i="244"/>
  <c r="M22" i="244"/>
  <c r="D23" i="244"/>
  <c r="F23" i="244"/>
  <c r="M23" i="244"/>
  <c r="F24" i="244"/>
  <c r="F25" i="244"/>
  <c r="E26" i="244"/>
  <c r="B28" i="244"/>
  <c r="D29" i="244"/>
  <c r="E29" i="244"/>
  <c r="F29" i="244"/>
  <c r="H29" i="244" s="1"/>
  <c r="G29" i="244"/>
  <c r="J29" i="244"/>
  <c r="M29" i="244"/>
  <c r="AC29" i="244"/>
  <c r="D30" i="244"/>
  <c r="E30" i="244"/>
  <c r="H30" i="244" s="1"/>
  <c r="F30" i="244"/>
  <c r="G30" i="244"/>
  <c r="I30" i="244" s="1"/>
  <c r="K30" i="244" s="1"/>
  <c r="J30" i="244"/>
  <c r="M30" i="244"/>
  <c r="AC30" i="244"/>
  <c r="D31" i="244"/>
  <c r="I31" i="244" s="1"/>
  <c r="K31" i="244" s="1"/>
  <c r="E31" i="244"/>
  <c r="F31" i="244"/>
  <c r="G31" i="244"/>
  <c r="H31" i="244"/>
  <c r="J31" i="244"/>
  <c r="M31" i="244"/>
  <c r="AC31" i="244"/>
  <c r="D32" i="244"/>
  <c r="E32" i="244"/>
  <c r="H32" i="244" s="1"/>
  <c r="F32" i="244"/>
  <c r="G32" i="244"/>
  <c r="J32" i="244"/>
  <c r="M32" i="244"/>
  <c r="AC32" i="244"/>
  <c r="D33" i="244"/>
  <c r="E33" i="244"/>
  <c r="F33" i="244"/>
  <c r="H33" i="244" s="1"/>
  <c r="G33" i="244"/>
  <c r="J33" i="244"/>
  <c r="M33" i="244"/>
  <c r="AC33" i="244"/>
  <c r="D34" i="244"/>
  <c r="E34" i="244"/>
  <c r="H34" i="244" s="1"/>
  <c r="F34" i="244"/>
  <c r="G34" i="244"/>
  <c r="G55" i="244" s="1"/>
  <c r="J34" i="244"/>
  <c r="M34" i="244"/>
  <c r="AC34" i="244"/>
  <c r="D35" i="244"/>
  <c r="I35" i="244" s="1"/>
  <c r="K35" i="244" s="1"/>
  <c r="E35" i="244"/>
  <c r="F35" i="244"/>
  <c r="G35" i="244"/>
  <c r="H35" i="244"/>
  <c r="J35" i="244"/>
  <c r="M35" i="244"/>
  <c r="AC35" i="244"/>
  <c r="D36" i="244"/>
  <c r="E36" i="244"/>
  <c r="H36" i="244" s="1"/>
  <c r="F36" i="244"/>
  <c r="G36" i="244"/>
  <c r="J36" i="244"/>
  <c r="M36" i="244"/>
  <c r="AC36" i="244"/>
  <c r="D37" i="244"/>
  <c r="E37" i="244"/>
  <c r="F37" i="244"/>
  <c r="H37" i="244" s="1"/>
  <c r="G37" i="244"/>
  <c r="J37" i="244"/>
  <c r="M37" i="244"/>
  <c r="AC37" i="244"/>
  <c r="D38" i="244"/>
  <c r="E38" i="244"/>
  <c r="H38" i="244" s="1"/>
  <c r="F38" i="244"/>
  <c r="G38" i="244"/>
  <c r="G56" i="244" s="1"/>
  <c r="J38" i="244"/>
  <c r="M38" i="244"/>
  <c r="AC38" i="244"/>
  <c r="D39" i="244"/>
  <c r="I39" i="244" s="1"/>
  <c r="K39" i="244" s="1"/>
  <c r="E39" i="244"/>
  <c r="F39" i="244"/>
  <c r="G39" i="244"/>
  <c r="H39" i="244"/>
  <c r="J39" i="244"/>
  <c r="M39" i="244"/>
  <c r="AC39" i="244"/>
  <c r="D40" i="244"/>
  <c r="E40" i="244"/>
  <c r="H40" i="244" s="1"/>
  <c r="F40" i="244"/>
  <c r="G40" i="244"/>
  <c r="J40" i="244"/>
  <c r="M40" i="244"/>
  <c r="AC40" i="244"/>
  <c r="D41" i="244"/>
  <c r="E41" i="244"/>
  <c r="F41" i="244"/>
  <c r="H41" i="244" s="1"/>
  <c r="G41" i="244"/>
  <c r="J41" i="244"/>
  <c r="M41" i="244"/>
  <c r="AC41" i="244"/>
  <c r="D42" i="244"/>
  <c r="E42" i="244"/>
  <c r="H42" i="244" s="1"/>
  <c r="F42" i="244"/>
  <c r="G42" i="244"/>
  <c r="I42" i="244" s="1"/>
  <c r="K42" i="244" s="1"/>
  <c r="J42" i="244"/>
  <c r="M42" i="244"/>
  <c r="AC42" i="244"/>
  <c r="D43" i="244"/>
  <c r="D57" i="244" s="1"/>
  <c r="E43" i="244"/>
  <c r="F43" i="244"/>
  <c r="G43" i="244"/>
  <c r="H43" i="244"/>
  <c r="J43" i="244"/>
  <c r="M43" i="244"/>
  <c r="AC43" i="244"/>
  <c r="D44" i="244"/>
  <c r="E44" i="244"/>
  <c r="H44" i="244" s="1"/>
  <c r="F44" i="244"/>
  <c r="G44" i="244"/>
  <c r="I44" i="244"/>
  <c r="K44" i="244" s="1"/>
  <c r="J44" i="244"/>
  <c r="M44" i="244"/>
  <c r="AC44" i="244"/>
  <c r="D45" i="244"/>
  <c r="I45" i="244" s="1"/>
  <c r="K45" i="244" s="1"/>
  <c r="E45" i="244"/>
  <c r="F45" i="244"/>
  <c r="F57" i="244" s="1"/>
  <c r="G45" i="244"/>
  <c r="J45" i="244"/>
  <c r="J57" i="244" s="1"/>
  <c r="M45" i="244"/>
  <c r="M57" i="244" s="1"/>
  <c r="AC45" i="244"/>
  <c r="D46" i="244"/>
  <c r="E46" i="244"/>
  <c r="H46" i="244" s="1"/>
  <c r="F46" i="244"/>
  <c r="G46" i="244"/>
  <c r="G58" i="244" s="1"/>
  <c r="J46" i="244"/>
  <c r="M46" i="244"/>
  <c r="AC46" i="244"/>
  <c r="D47" i="244"/>
  <c r="I47" i="244" s="1"/>
  <c r="K47" i="244" s="1"/>
  <c r="E47" i="244"/>
  <c r="F47" i="244"/>
  <c r="G47" i="244"/>
  <c r="H47" i="244"/>
  <c r="J47" i="244"/>
  <c r="M47" i="244"/>
  <c r="AC47" i="244"/>
  <c r="D48" i="244"/>
  <c r="E48" i="244"/>
  <c r="H48" i="244" s="1"/>
  <c r="F48" i="244"/>
  <c r="G48" i="244"/>
  <c r="I48" i="244"/>
  <c r="K48" i="244" s="1"/>
  <c r="J48" i="244"/>
  <c r="M48" i="244"/>
  <c r="AC48" i="244"/>
  <c r="D49" i="244"/>
  <c r="I49" i="244" s="1"/>
  <c r="K49" i="244" s="1"/>
  <c r="E49" i="244"/>
  <c r="F49" i="244"/>
  <c r="H49" i="244" s="1"/>
  <c r="G49" i="244"/>
  <c r="J49" i="244"/>
  <c r="M49" i="244"/>
  <c r="AC49" i="244"/>
  <c r="D50" i="244"/>
  <c r="E50" i="244"/>
  <c r="H50" i="244" s="1"/>
  <c r="F50" i="244"/>
  <c r="G50" i="244"/>
  <c r="I50" i="244" s="1"/>
  <c r="K50" i="244" s="1"/>
  <c r="J50" i="244"/>
  <c r="M50" i="244"/>
  <c r="AC50" i="244"/>
  <c r="D51" i="244"/>
  <c r="D59" i="244" s="1"/>
  <c r="E51" i="244"/>
  <c r="F51" i="244"/>
  <c r="G51" i="244"/>
  <c r="H51" i="244"/>
  <c r="J51" i="244"/>
  <c r="M51" i="244"/>
  <c r="M59" i="244" s="1"/>
  <c r="AC51" i="244"/>
  <c r="D52" i="244"/>
  <c r="E52" i="244"/>
  <c r="H52" i="244" s="1"/>
  <c r="F52" i="244"/>
  <c r="G52" i="244"/>
  <c r="I52" i="244"/>
  <c r="K52" i="244" s="1"/>
  <c r="J52" i="244"/>
  <c r="M52" i="244"/>
  <c r="AC52" i="244"/>
  <c r="D53" i="244"/>
  <c r="I53" i="244" s="1"/>
  <c r="K53" i="244" s="1"/>
  <c r="E53" i="244"/>
  <c r="F53" i="244"/>
  <c r="H53" i="244" s="1"/>
  <c r="G53" i="244"/>
  <c r="J53" i="244"/>
  <c r="J59" i="244" s="1"/>
  <c r="M53" i="244"/>
  <c r="AC53" i="244"/>
  <c r="D55" i="244"/>
  <c r="F55" i="244"/>
  <c r="J55" i="244"/>
  <c r="M55" i="244"/>
  <c r="B70" i="244"/>
  <c r="E70" i="244"/>
  <c r="H70" i="244" s="1"/>
  <c r="Y70" i="244" s="1"/>
  <c r="D56" i="244"/>
  <c r="F56" i="244"/>
  <c r="J56" i="244"/>
  <c r="M56" i="244"/>
  <c r="B72" i="244"/>
  <c r="S72" i="244"/>
  <c r="M70" i="244"/>
  <c r="M72" i="244" s="1"/>
  <c r="E57" i="244"/>
  <c r="G57" i="244"/>
  <c r="D58" i="244"/>
  <c r="E58" i="244"/>
  <c r="F58" i="244"/>
  <c r="J58" i="244"/>
  <c r="M58" i="244"/>
  <c r="E59" i="244"/>
  <c r="F59" i="244"/>
  <c r="G59" i="244"/>
  <c r="D60" i="244"/>
  <c r="E60" i="244"/>
  <c r="F60" i="244"/>
  <c r="G60" i="244"/>
  <c r="J60" i="244"/>
  <c r="M60" i="244"/>
  <c r="S70" i="244"/>
  <c r="B2" i="243"/>
  <c r="D12" i="243"/>
  <c r="D21" i="243"/>
  <c r="D34" i="243"/>
  <c r="D37" i="243"/>
  <c r="D38" i="243"/>
  <c r="D39" i="243"/>
  <c r="D49" i="243"/>
  <c r="A61" i="243"/>
  <c r="B61" i="243"/>
  <c r="B2" i="64"/>
  <c r="K4" i="64"/>
  <c r="C7" i="64"/>
  <c r="D7" i="64"/>
  <c r="E7" i="64"/>
  <c r="F7" i="64"/>
  <c r="G7" i="64"/>
  <c r="H7" i="64"/>
  <c r="I7" i="64"/>
  <c r="J7" i="64"/>
  <c r="K7" i="64"/>
  <c r="C65" i="334" s="1"/>
  <c r="D65" i="334" s="1"/>
  <c r="J10" i="64"/>
  <c r="J25" i="64" s="1"/>
  <c r="K10" i="64"/>
  <c r="C66" i="334" s="1"/>
  <c r="E66" i="334" s="1"/>
  <c r="N10" i="64"/>
  <c r="N11" i="64" s="1"/>
  <c r="N12" i="64" s="1"/>
  <c r="N13" i="64" s="1"/>
  <c r="N14" i="64" s="1"/>
  <c r="N15" i="64" s="1"/>
  <c r="N16" i="64" s="1"/>
  <c r="N17" i="64" s="1"/>
  <c r="N18" i="64" s="1"/>
  <c r="N19" i="64" s="1"/>
  <c r="N20" i="64" s="1"/>
  <c r="N21" i="64" s="1"/>
  <c r="N22" i="64" s="1"/>
  <c r="N23" i="64" s="1"/>
  <c r="D11" i="64"/>
  <c r="D13" i="64" s="1"/>
  <c r="D16" i="64" s="1"/>
  <c r="F11" i="64"/>
  <c r="J11" i="64"/>
  <c r="J13" i="64" s="1"/>
  <c r="J16" i="64" s="1"/>
  <c r="F12" i="64"/>
  <c r="H12" i="64"/>
  <c r="J12" i="64"/>
  <c r="F13" i="64"/>
  <c r="F16" i="64" s="1"/>
  <c r="M16" i="64"/>
  <c r="N38" i="64" s="1"/>
  <c r="M18" i="64"/>
  <c r="C25" i="64"/>
  <c r="D25" i="64"/>
  <c r="E25" i="64"/>
  <c r="F25" i="64"/>
  <c r="G25" i="64"/>
  <c r="H25" i="64"/>
  <c r="I25" i="64"/>
  <c r="K25" i="64"/>
  <c r="D26" i="64"/>
  <c r="F26" i="64"/>
  <c r="J26" i="64"/>
  <c r="O30" i="64"/>
  <c r="O31" i="64"/>
  <c r="O32" i="64" s="1"/>
  <c r="O33" i="64" s="1"/>
  <c r="O34" i="64" s="1"/>
  <c r="O35" i="64" s="1"/>
  <c r="O36" i="64" s="1"/>
  <c r="O37" i="64" s="1"/>
  <c r="O38" i="64" s="1"/>
  <c r="O39" i="64" s="1"/>
  <c r="O40" i="64" s="1"/>
  <c r="O41" i="64" s="1"/>
  <c r="O42" i="64" s="1"/>
  <c r="O43" i="64" s="1"/>
  <c r="O44" i="64" s="1"/>
  <c r="O45" i="64" s="1"/>
  <c r="O46" i="64" s="1"/>
  <c r="O47" i="64" s="1"/>
  <c r="O48" i="64" s="1"/>
  <c r="O49" i="64" s="1"/>
  <c r="K36" i="64"/>
  <c r="N40" i="64"/>
  <c r="A45" i="64"/>
  <c r="A46" i="64"/>
  <c r="A47" i="64"/>
  <c r="H55" i="64"/>
  <c r="I54" i="64" s="1"/>
  <c r="I53" i="64"/>
  <c r="K54" i="64" s="1"/>
  <c r="B2" i="63"/>
  <c r="O4" i="63"/>
  <c r="D9" i="63"/>
  <c r="E9" i="63"/>
  <c r="F9" i="63"/>
  <c r="G9" i="63"/>
  <c r="J9" i="63"/>
  <c r="K9" i="63"/>
  <c r="L9" i="63"/>
  <c r="L45" i="63" s="1"/>
  <c r="M9" i="63"/>
  <c r="E11" i="63"/>
  <c r="E16" i="63" s="1"/>
  <c r="E20" i="63" s="1"/>
  <c r="G11" i="63"/>
  <c r="G16" i="63" s="1"/>
  <c r="G20" i="63" s="1"/>
  <c r="K11" i="63"/>
  <c r="M11" i="63"/>
  <c r="D24" i="63"/>
  <c r="O13" i="63" s="1"/>
  <c r="D25" i="63"/>
  <c r="D26" i="63"/>
  <c r="S26" i="63" s="1"/>
  <c r="D27" i="63"/>
  <c r="D28" i="63"/>
  <c r="S28" i="63" s="1"/>
  <c r="D29" i="63"/>
  <c r="M14" i="63"/>
  <c r="O14" i="63" s="1"/>
  <c r="K16" i="63"/>
  <c r="K20" i="63" s="1"/>
  <c r="E24" i="63"/>
  <c r="B24" i="63" s="1"/>
  <c r="O15" i="64" s="1"/>
  <c r="P36" i="64" s="1"/>
  <c r="E25" i="63"/>
  <c r="B25" i="63" s="1"/>
  <c r="O16" i="64" s="1"/>
  <c r="P38" i="64" s="1"/>
  <c r="Q25" i="63"/>
  <c r="S25" i="63"/>
  <c r="E26" i="63"/>
  <c r="Q26" i="63" s="1"/>
  <c r="E27" i="63"/>
  <c r="B27" i="63" s="1"/>
  <c r="O18" i="64" s="1"/>
  <c r="P40" i="64" s="1"/>
  <c r="Q27" i="63"/>
  <c r="S27" i="63"/>
  <c r="E28" i="63"/>
  <c r="Q28" i="63"/>
  <c r="E29" i="63"/>
  <c r="Q29" i="63" s="1"/>
  <c r="S29" i="63"/>
  <c r="E30" i="63"/>
  <c r="B30" i="63" s="1"/>
  <c r="O22" i="64" s="1"/>
  <c r="P45" i="64" s="1"/>
  <c r="D30" i="63"/>
  <c r="S30" i="63" s="1"/>
  <c r="R30" i="63"/>
  <c r="E31" i="63"/>
  <c r="M23" i="64" s="1"/>
  <c r="N46" i="64" s="1"/>
  <c r="B31" i="63"/>
  <c r="O23" i="64" s="1"/>
  <c r="P46" i="64" s="1"/>
  <c r="D31" i="63"/>
  <c r="S31" i="63"/>
  <c r="E32" i="63"/>
  <c r="M21" i="64" s="1"/>
  <c r="S32" i="63"/>
  <c r="D42" i="63"/>
  <c r="E42" i="63"/>
  <c r="F42" i="63"/>
  <c r="G42" i="63"/>
  <c r="J42" i="63"/>
  <c r="K42" i="63"/>
  <c r="L42" i="63"/>
  <c r="M42" i="63"/>
  <c r="D45" i="63"/>
  <c r="E45" i="63"/>
  <c r="F45" i="63"/>
  <c r="G45" i="63"/>
  <c r="J45" i="63"/>
  <c r="K45" i="63"/>
  <c r="M45" i="63"/>
  <c r="B2" i="330"/>
  <c r="D17" i="330"/>
  <c r="E17" i="330" s="1"/>
  <c r="E20" i="330" s="1"/>
  <c r="D18" i="330"/>
  <c r="E18" i="330" s="1"/>
  <c r="D19" i="330"/>
  <c r="E19" i="330" s="1"/>
  <c r="B22" i="330"/>
  <c r="B2" i="59"/>
  <c r="D8" i="59"/>
  <c r="D9" i="59"/>
  <c r="D10" i="59"/>
  <c r="D11" i="59"/>
  <c r="D12" i="59"/>
  <c r="D13" i="59"/>
  <c r="D14" i="59"/>
  <c r="D15" i="59"/>
  <c r="D16" i="59"/>
  <c r="D17" i="59"/>
  <c r="D18" i="59"/>
  <c r="D19" i="59"/>
  <c r="D20" i="59"/>
  <c r="D21" i="59"/>
  <c r="B2" i="57"/>
  <c r="AS3" i="57"/>
  <c r="I7" i="57"/>
  <c r="AU3" i="57"/>
  <c r="AW3" i="57"/>
  <c r="AA4" i="57"/>
  <c r="O4" i="57" s="1"/>
  <c r="AS4" i="57"/>
  <c r="AU4" i="57"/>
  <c r="AW4" i="57"/>
  <c r="AS5" i="57"/>
  <c r="AU5" i="57"/>
  <c r="AW5" i="57"/>
  <c r="J7" i="57"/>
  <c r="K7" i="57"/>
  <c r="L7" i="57"/>
  <c r="B9" i="57"/>
  <c r="C9" i="57"/>
  <c r="D9" i="57"/>
  <c r="B8" i="59" s="1"/>
  <c r="E9" i="57"/>
  <c r="F9" i="57"/>
  <c r="G9" i="57"/>
  <c r="I9" i="57"/>
  <c r="J9" i="57"/>
  <c r="K9" i="57"/>
  <c r="L9" i="57"/>
  <c r="W9" i="57"/>
  <c r="X9" i="57"/>
  <c r="Y9" i="57"/>
  <c r="AB9" i="57"/>
  <c r="AD9" i="57"/>
  <c r="AE9" i="57"/>
  <c r="AG9" i="57"/>
  <c r="AG24" i="57" s="1"/>
  <c r="AH9" i="57"/>
  <c r="AI9" i="57"/>
  <c r="AL9" i="57"/>
  <c r="AM9" i="57"/>
  <c r="AO9" i="57"/>
  <c r="AP9" i="57"/>
  <c r="B10" i="57"/>
  <c r="C10" i="57"/>
  <c r="D10" i="57"/>
  <c r="B9" i="59" s="1"/>
  <c r="E10" i="57"/>
  <c r="F10" i="57"/>
  <c r="G10" i="57"/>
  <c r="I10" i="57"/>
  <c r="AC10" i="57" s="1"/>
  <c r="J10" i="57"/>
  <c r="K10" i="57"/>
  <c r="L10" i="57"/>
  <c r="U10" i="57"/>
  <c r="W10" i="57"/>
  <c r="X10" i="57"/>
  <c r="Y10" i="57"/>
  <c r="AA10" i="57"/>
  <c r="AD10" i="57"/>
  <c r="AE10" i="57"/>
  <c r="AE27" i="57" s="1"/>
  <c r="AG10" i="57"/>
  <c r="AH10" i="57"/>
  <c r="AI10" i="57"/>
  <c r="AK10" i="57"/>
  <c r="AM10" i="57"/>
  <c r="AO10" i="57"/>
  <c r="AP10" i="57"/>
  <c r="B11" i="57"/>
  <c r="C11" i="57"/>
  <c r="D11" i="57"/>
  <c r="B10" i="59" s="1"/>
  <c r="E11" i="57"/>
  <c r="F11" i="57"/>
  <c r="G11" i="57"/>
  <c r="I11" i="57"/>
  <c r="J11" i="57"/>
  <c r="K11" i="57"/>
  <c r="L11" i="57"/>
  <c r="U11" i="57" s="1"/>
  <c r="W11" i="57"/>
  <c r="AA11" i="57" s="1"/>
  <c r="X11" i="57"/>
  <c r="Y11" i="57"/>
  <c r="AC11" i="57" s="1"/>
  <c r="AB11" i="57"/>
  <c r="AD11" i="57"/>
  <c r="AE11" i="57"/>
  <c r="AG11" i="57"/>
  <c r="AK11" i="57" s="1"/>
  <c r="AH11" i="57"/>
  <c r="AI11" i="57"/>
  <c r="AL11" i="57"/>
  <c r="AM11" i="57"/>
  <c r="AO11" i="57"/>
  <c r="AP11" i="57"/>
  <c r="B12" i="57"/>
  <c r="C12" i="57"/>
  <c r="D12" i="57"/>
  <c r="B11" i="59" s="1"/>
  <c r="E12" i="57"/>
  <c r="F12" i="57"/>
  <c r="G12" i="57"/>
  <c r="I12" i="57"/>
  <c r="AC12" i="57" s="1"/>
  <c r="J12" i="57"/>
  <c r="K12" i="57"/>
  <c r="L12" i="57"/>
  <c r="U12" i="57"/>
  <c r="W12" i="57"/>
  <c r="X12" i="57"/>
  <c r="Y12" i="57"/>
  <c r="AA12" i="57"/>
  <c r="AD12" i="57"/>
  <c r="AE12" i="57"/>
  <c r="AG12" i="57"/>
  <c r="AH12" i="57"/>
  <c r="AI12" i="57"/>
  <c r="AK12" i="57"/>
  <c r="AM12" i="57"/>
  <c r="AO12" i="57"/>
  <c r="AP12" i="57"/>
  <c r="B13" i="57"/>
  <c r="C13" i="57"/>
  <c r="D13" i="57"/>
  <c r="B12" i="59" s="1"/>
  <c r="E13" i="57"/>
  <c r="F13" i="57"/>
  <c r="G13" i="57"/>
  <c r="I13" i="57"/>
  <c r="J13" i="57"/>
  <c r="K13" i="57"/>
  <c r="L13" i="57"/>
  <c r="U13" i="57" s="1"/>
  <c r="W13" i="57"/>
  <c r="AA13" i="57" s="1"/>
  <c r="X13" i="57"/>
  <c r="Y13" i="57"/>
  <c r="Y28" i="57" s="1"/>
  <c r="AB13" i="57"/>
  <c r="AD13" i="57"/>
  <c r="AE13" i="57"/>
  <c r="AG13" i="57"/>
  <c r="AK13" i="57" s="1"/>
  <c r="AH13" i="57"/>
  <c r="AI13" i="57"/>
  <c r="AL13" i="57"/>
  <c r="AM13" i="57"/>
  <c r="AO13" i="57"/>
  <c r="AP13" i="57"/>
  <c r="B14" i="57"/>
  <c r="C14" i="57"/>
  <c r="D14" i="57"/>
  <c r="B13" i="59" s="1"/>
  <c r="E14" i="57"/>
  <c r="F14" i="57"/>
  <c r="G14" i="57"/>
  <c r="I14" i="57"/>
  <c r="AC14" i="57" s="1"/>
  <c r="J14" i="57"/>
  <c r="K14" i="57"/>
  <c r="L14" i="57"/>
  <c r="U14" i="57"/>
  <c r="W14" i="57"/>
  <c r="X14" i="57"/>
  <c r="Y14" i="57"/>
  <c r="AA14" i="57"/>
  <c r="AD14" i="57"/>
  <c r="AE14" i="57"/>
  <c r="AG14" i="57"/>
  <c r="AH14" i="57"/>
  <c r="AI14" i="57"/>
  <c r="AK14" i="57"/>
  <c r="AM14" i="57"/>
  <c r="AO14" i="57"/>
  <c r="AP14" i="57"/>
  <c r="B15" i="57"/>
  <c r="C15" i="57"/>
  <c r="D15" i="57"/>
  <c r="B14" i="59" s="1"/>
  <c r="E15" i="57"/>
  <c r="F15" i="57"/>
  <c r="G15" i="57"/>
  <c r="I15" i="57"/>
  <c r="J15" i="57"/>
  <c r="K15" i="57"/>
  <c r="L15" i="57"/>
  <c r="U15" i="57" s="1"/>
  <c r="W15" i="57"/>
  <c r="AA15" i="57" s="1"/>
  <c r="X15" i="57"/>
  <c r="Y15" i="57"/>
  <c r="AB15" i="57"/>
  <c r="AD15" i="57"/>
  <c r="AE15" i="57"/>
  <c r="AG15" i="57"/>
  <c r="AK15" i="57" s="1"/>
  <c r="AH15" i="57"/>
  <c r="AI15" i="57"/>
  <c r="AL15" i="57"/>
  <c r="AM15" i="57"/>
  <c r="AO15" i="57"/>
  <c r="AP15" i="57"/>
  <c r="B16" i="57"/>
  <c r="C16" i="57"/>
  <c r="D16" i="57"/>
  <c r="B15" i="59" s="1"/>
  <c r="E16" i="57"/>
  <c r="F16" i="57"/>
  <c r="G16" i="57"/>
  <c r="I16" i="57"/>
  <c r="AC16" i="57" s="1"/>
  <c r="J16" i="57"/>
  <c r="K16" i="57"/>
  <c r="L16" i="57"/>
  <c r="U16" i="57"/>
  <c r="W16" i="57"/>
  <c r="X16" i="57"/>
  <c r="Y16" i="57"/>
  <c r="AA16" i="57"/>
  <c r="AD16" i="57"/>
  <c r="AE16" i="57"/>
  <c r="AG16" i="57"/>
  <c r="AH16" i="57"/>
  <c r="AI16" i="57"/>
  <c r="AK16" i="57"/>
  <c r="AM16" i="57"/>
  <c r="AO16" i="57"/>
  <c r="AP16" i="57"/>
  <c r="B17" i="57"/>
  <c r="C17" i="57"/>
  <c r="D17" i="57"/>
  <c r="B16" i="59" s="1"/>
  <c r="E17" i="57"/>
  <c r="F17" i="57"/>
  <c r="G17" i="57"/>
  <c r="I17" i="57"/>
  <c r="J17" i="57"/>
  <c r="K17" i="57"/>
  <c r="L17" i="57"/>
  <c r="U17" i="57" s="1"/>
  <c r="W17" i="57"/>
  <c r="AA17" i="57" s="1"/>
  <c r="X17" i="57"/>
  <c r="Y17" i="57"/>
  <c r="AC17" i="57" s="1"/>
  <c r="AB17" i="57"/>
  <c r="AD17" i="57"/>
  <c r="AE17" i="57"/>
  <c r="AG17" i="57"/>
  <c r="AK17" i="57" s="1"/>
  <c r="AH17" i="57"/>
  <c r="AI17" i="57"/>
  <c r="AL17" i="57"/>
  <c r="AM17" i="57"/>
  <c r="AO17" i="57"/>
  <c r="AP17" i="57"/>
  <c r="B18" i="57"/>
  <c r="C18" i="57"/>
  <c r="D18" i="57"/>
  <c r="B17" i="59" s="1"/>
  <c r="E18" i="57"/>
  <c r="F18" i="57"/>
  <c r="G18" i="57"/>
  <c r="I18" i="57"/>
  <c r="AC18" i="57" s="1"/>
  <c r="J18" i="57"/>
  <c r="K18" i="57"/>
  <c r="L18" i="57"/>
  <c r="U18" i="57"/>
  <c r="W18" i="57"/>
  <c r="X18" i="57"/>
  <c r="Y18" i="57"/>
  <c r="AA18" i="57"/>
  <c r="AD18" i="57"/>
  <c r="AE18" i="57"/>
  <c r="AG18" i="57"/>
  <c r="AH18" i="57"/>
  <c r="AI18" i="57"/>
  <c r="AK18" i="57"/>
  <c r="AM18" i="57"/>
  <c r="AO18" i="57"/>
  <c r="AP18" i="57"/>
  <c r="B19" i="57"/>
  <c r="C19" i="57"/>
  <c r="D19" i="57"/>
  <c r="B18" i="59" s="1"/>
  <c r="E19" i="57"/>
  <c r="F19" i="57"/>
  <c r="G19" i="57"/>
  <c r="I19" i="57"/>
  <c r="J19" i="57"/>
  <c r="K19" i="57"/>
  <c r="L19" i="57"/>
  <c r="U19" i="57" s="1"/>
  <c r="W19" i="57"/>
  <c r="AA19" i="57" s="1"/>
  <c r="X19" i="57"/>
  <c r="Y19" i="57"/>
  <c r="AB19" i="57"/>
  <c r="AD19" i="57"/>
  <c r="AE19" i="57"/>
  <c r="AG19" i="57"/>
  <c r="AK19" i="57" s="1"/>
  <c r="AH19" i="57"/>
  <c r="AI19" i="57"/>
  <c r="AL19" i="57"/>
  <c r="AM19" i="57"/>
  <c r="AO19" i="57"/>
  <c r="AO26" i="57" s="1"/>
  <c r="AP19" i="57"/>
  <c r="B20" i="57"/>
  <c r="C20" i="57"/>
  <c r="D20" i="57"/>
  <c r="B19" i="59" s="1"/>
  <c r="E20" i="57"/>
  <c r="F20" i="57"/>
  <c r="G20" i="57"/>
  <c r="I20" i="57"/>
  <c r="AC20" i="57" s="1"/>
  <c r="J20" i="57"/>
  <c r="K20" i="57"/>
  <c r="L20" i="57"/>
  <c r="U20" i="57"/>
  <c r="W20" i="57"/>
  <c r="X20" i="57"/>
  <c r="Y20" i="57"/>
  <c r="AA20" i="57"/>
  <c r="AD20" i="57"/>
  <c r="AE20" i="57"/>
  <c r="AG20" i="57"/>
  <c r="AH20" i="57"/>
  <c r="AI20" i="57"/>
  <c r="AK20" i="57"/>
  <c r="AM20" i="57"/>
  <c r="AM25" i="57" s="1"/>
  <c r="AO20" i="57"/>
  <c r="AP20" i="57"/>
  <c r="B21" i="57"/>
  <c r="C21" i="57"/>
  <c r="D21" i="57"/>
  <c r="B20" i="59" s="1"/>
  <c r="E21" i="57"/>
  <c r="F21" i="57"/>
  <c r="G21" i="57"/>
  <c r="I21" i="57"/>
  <c r="J21" i="57"/>
  <c r="K21" i="57"/>
  <c r="L21" i="57"/>
  <c r="U21" i="57" s="1"/>
  <c r="W21" i="57"/>
  <c r="AA21" i="57" s="1"/>
  <c r="X21" i="57"/>
  <c r="Y21" i="57"/>
  <c r="AB21" i="57"/>
  <c r="AD21" i="57"/>
  <c r="AE21" i="57"/>
  <c r="AG21" i="57"/>
  <c r="AK21" i="57" s="1"/>
  <c r="AH21" i="57"/>
  <c r="AI21" i="57"/>
  <c r="AL21" i="57"/>
  <c r="AM21" i="57"/>
  <c r="AO21" i="57"/>
  <c r="AP21" i="57"/>
  <c r="B22" i="57"/>
  <c r="C22" i="57"/>
  <c r="D22" i="57"/>
  <c r="B21" i="59" s="1"/>
  <c r="E22" i="57"/>
  <c r="F22" i="57"/>
  <c r="G22" i="57"/>
  <c r="I22" i="57"/>
  <c r="AC22" i="57" s="1"/>
  <c r="J22" i="57"/>
  <c r="K22" i="57"/>
  <c r="L22" i="57"/>
  <c r="U22" i="57"/>
  <c r="W22" i="57"/>
  <c r="X22" i="57"/>
  <c r="X27" i="57" s="1"/>
  <c r="Y22" i="57"/>
  <c r="AA22" i="57"/>
  <c r="AD22" i="57"/>
  <c r="AE22" i="57"/>
  <c r="AG22" i="57"/>
  <c r="AH22" i="57"/>
  <c r="AI22" i="57"/>
  <c r="AK22" i="57"/>
  <c r="AM22" i="57"/>
  <c r="AO22" i="57"/>
  <c r="AP22" i="57"/>
  <c r="J24" i="57"/>
  <c r="L24" i="57"/>
  <c r="W24" i="57"/>
  <c r="AD24" i="57"/>
  <c r="AI24" i="57"/>
  <c r="AO24" i="57"/>
  <c r="K25" i="57"/>
  <c r="X25" i="57"/>
  <c r="AE25" i="57"/>
  <c r="AH25" i="57"/>
  <c r="AP25" i="57"/>
  <c r="J26" i="57"/>
  <c r="W26" i="57"/>
  <c r="Y26" i="57"/>
  <c r="AD26" i="57"/>
  <c r="AI26" i="57"/>
  <c r="K27" i="57"/>
  <c r="AH27" i="57"/>
  <c r="AM27" i="57"/>
  <c r="AP27" i="57"/>
  <c r="J28" i="57"/>
  <c r="L28" i="57"/>
  <c r="W28" i="57"/>
  <c r="AD28" i="57"/>
  <c r="AG28" i="57"/>
  <c r="AI28" i="57"/>
  <c r="AO28" i="57"/>
  <c r="I29" i="57"/>
  <c r="K29" i="57"/>
  <c r="X29" i="57"/>
  <c r="AH29" i="57"/>
  <c r="AM29" i="57"/>
  <c r="AP29" i="57"/>
  <c r="B2" i="15"/>
  <c r="B9" i="15"/>
  <c r="D10" i="15"/>
  <c r="D11" i="15"/>
  <c r="D12" i="15"/>
  <c r="D13" i="15"/>
  <c r="D14" i="15"/>
  <c r="D15" i="15"/>
  <c r="D16" i="15"/>
  <c r="D17" i="15"/>
  <c r="D18" i="15"/>
  <c r="B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B2" i="332"/>
  <c r="AD2" i="332"/>
  <c r="D7" i="334" s="1"/>
  <c r="D31" i="334" s="1"/>
  <c r="AG2" i="332"/>
  <c r="AD3" i="332"/>
  <c r="AG3" i="332"/>
  <c r="Z4" i="332"/>
  <c r="AD4" i="332"/>
  <c r="AG4" i="332" s="1"/>
  <c r="AD5" i="332"/>
  <c r="AG5" i="332" s="1"/>
  <c r="D7" i="332"/>
  <c r="N7" i="332"/>
  <c r="B11" i="332"/>
  <c r="D11" i="332"/>
  <c r="E11" i="332"/>
  <c r="E21" i="332" s="1"/>
  <c r="F11" i="332"/>
  <c r="F24" i="332" s="1"/>
  <c r="G11" i="332"/>
  <c r="H11" i="332"/>
  <c r="J11" i="332"/>
  <c r="K11" i="332"/>
  <c r="N11" i="332"/>
  <c r="O11" i="332"/>
  <c r="P11" i="332"/>
  <c r="P23" i="332" s="1"/>
  <c r="Q11" i="332"/>
  <c r="R11" i="332"/>
  <c r="T11" i="332"/>
  <c r="U11" i="332"/>
  <c r="X11" i="332"/>
  <c r="Y11" i="332"/>
  <c r="AB11" i="332"/>
  <c r="AD11" i="332"/>
  <c r="B12" i="332"/>
  <c r="D12" i="332"/>
  <c r="X12" i="332" s="1"/>
  <c r="E12" i="332"/>
  <c r="F12" i="332"/>
  <c r="I12" i="332" s="1"/>
  <c r="G12" i="332"/>
  <c r="H12" i="332"/>
  <c r="J12" i="332"/>
  <c r="L12" i="332" s="1"/>
  <c r="K12" i="332"/>
  <c r="N12" i="332"/>
  <c r="O12" i="332"/>
  <c r="O21" i="332" s="1"/>
  <c r="P12" i="332"/>
  <c r="Q12" i="332"/>
  <c r="Q22" i="332" s="1"/>
  <c r="R12" i="332"/>
  <c r="S12" i="332"/>
  <c r="U12" i="332"/>
  <c r="U22" i="332" s="1"/>
  <c r="AB12" i="332"/>
  <c r="AB13" i="332" s="1"/>
  <c r="AD12" i="332"/>
  <c r="B13" i="332"/>
  <c r="D13" i="332"/>
  <c r="D22" i="332" s="1"/>
  <c r="E13" i="332"/>
  <c r="F13" i="332"/>
  <c r="G13" i="332"/>
  <c r="I13" i="332" s="1"/>
  <c r="H13" i="332"/>
  <c r="H25" i="332" s="1"/>
  <c r="K13" i="332"/>
  <c r="N13" i="332"/>
  <c r="X13" i="332" s="1"/>
  <c r="O13" i="332"/>
  <c r="P13" i="332"/>
  <c r="Q13" i="332"/>
  <c r="T13" i="332" s="1"/>
  <c r="V13" i="332" s="1"/>
  <c r="R13" i="332"/>
  <c r="R21" i="332" s="1"/>
  <c r="U13" i="332"/>
  <c r="Y13" i="332"/>
  <c r="AD13" i="332"/>
  <c r="B14" i="332"/>
  <c r="D14" i="332"/>
  <c r="E14" i="332"/>
  <c r="F14" i="332"/>
  <c r="J14" i="332" s="1"/>
  <c r="L14" i="332" s="1"/>
  <c r="G14" i="332"/>
  <c r="G26" i="332" s="1"/>
  <c r="H14" i="332"/>
  <c r="K14" i="332"/>
  <c r="K23" i="332" s="1"/>
  <c r="N14" i="332"/>
  <c r="O14" i="332"/>
  <c r="P14" i="332"/>
  <c r="S14" i="332" s="1"/>
  <c r="Q14" i="332"/>
  <c r="T14" i="332" s="1"/>
  <c r="V14" i="332" s="1"/>
  <c r="Z14" i="332" s="1"/>
  <c r="R14" i="332"/>
  <c r="U14" i="332"/>
  <c r="X14" i="332"/>
  <c r="Y14" i="332"/>
  <c r="AD14" i="332"/>
  <c r="B15" i="332"/>
  <c r="D15" i="332"/>
  <c r="E15" i="332"/>
  <c r="J15" i="332" s="1"/>
  <c r="L15" i="332" s="1"/>
  <c r="F15" i="332"/>
  <c r="G15" i="332"/>
  <c r="H15" i="332"/>
  <c r="I15" i="332"/>
  <c r="K15" i="332"/>
  <c r="N15" i="332"/>
  <c r="O15" i="332"/>
  <c r="T15" i="332" s="1"/>
  <c r="V15" i="332" s="1"/>
  <c r="P15" i="332"/>
  <c r="Q15" i="332"/>
  <c r="R15" i="332"/>
  <c r="S15" i="332"/>
  <c r="U15" i="332"/>
  <c r="X15" i="332"/>
  <c r="AD15" i="332"/>
  <c r="B16" i="332"/>
  <c r="D16" i="332"/>
  <c r="E16" i="332"/>
  <c r="F16" i="332"/>
  <c r="I16" i="332" s="1"/>
  <c r="G16" i="332"/>
  <c r="H16" i="332"/>
  <c r="J16" i="332"/>
  <c r="L16" i="332" s="1"/>
  <c r="K16" i="332"/>
  <c r="N16" i="332"/>
  <c r="O16" i="332"/>
  <c r="P16" i="332"/>
  <c r="Q16" i="332"/>
  <c r="R16" i="332"/>
  <c r="S16" i="332"/>
  <c r="U16" i="332"/>
  <c r="X16" i="332"/>
  <c r="AD16" i="332"/>
  <c r="B17" i="332"/>
  <c r="D17" i="332"/>
  <c r="E17" i="332"/>
  <c r="F17" i="332"/>
  <c r="G17" i="332"/>
  <c r="G23" i="332" s="1"/>
  <c r="H17" i="332"/>
  <c r="K17" i="332"/>
  <c r="K26" i="332" s="1"/>
  <c r="N17" i="332"/>
  <c r="X17" i="332" s="1"/>
  <c r="O17" i="332"/>
  <c r="P17" i="332"/>
  <c r="T17" i="332" s="1"/>
  <c r="V17" i="332" s="1"/>
  <c r="Q17" i="332"/>
  <c r="R17" i="332"/>
  <c r="U17" i="332"/>
  <c r="Y17" i="332"/>
  <c r="AD17" i="332"/>
  <c r="B18" i="332"/>
  <c r="D18" i="332"/>
  <c r="E18" i="332"/>
  <c r="F18" i="332"/>
  <c r="I18" i="332" s="1"/>
  <c r="G18" i="332"/>
  <c r="H18" i="332"/>
  <c r="K18" i="332"/>
  <c r="K21" i="332" s="1"/>
  <c r="N18" i="332"/>
  <c r="O18" i="332"/>
  <c r="P18" i="332"/>
  <c r="S18" i="332" s="1"/>
  <c r="Q18" i="332"/>
  <c r="R18" i="332"/>
  <c r="T18" i="332"/>
  <c r="V18" i="332" s="1"/>
  <c r="U18" i="332"/>
  <c r="X18" i="332"/>
  <c r="Y18" i="332"/>
  <c r="AD18" i="332"/>
  <c r="B19" i="332"/>
  <c r="D19" i="332"/>
  <c r="E19" i="332"/>
  <c r="J19" i="332" s="1"/>
  <c r="L19" i="332" s="1"/>
  <c r="F19" i="332"/>
  <c r="G19" i="332"/>
  <c r="I19" i="332" s="1"/>
  <c r="H19" i="332"/>
  <c r="K19" i="332"/>
  <c r="N19" i="332"/>
  <c r="N26" i="332" s="1"/>
  <c r="O19" i="332"/>
  <c r="T19" i="332" s="1"/>
  <c r="V19" i="332" s="1"/>
  <c r="Z19" i="332" s="1"/>
  <c r="P19" i="332"/>
  <c r="Q19" i="332"/>
  <c r="R19" i="332"/>
  <c r="R22" i="332" s="1"/>
  <c r="U19" i="332"/>
  <c r="AD19" i="332"/>
  <c r="G21" i="332"/>
  <c r="N21" i="332"/>
  <c r="H22" i="332"/>
  <c r="N22" i="332"/>
  <c r="H23" i="332"/>
  <c r="N23" i="332"/>
  <c r="H24" i="332"/>
  <c r="O24" i="332"/>
  <c r="G25" i="332"/>
  <c r="K25" i="332"/>
  <c r="O25" i="332"/>
  <c r="P25" i="332"/>
  <c r="E26" i="332"/>
  <c r="F26" i="332"/>
  <c r="O26" i="332"/>
  <c r="B29" i="332"/>
  <c r="D29" i="332"/>
  <c r="E29" i="332"/>
  <c r="J29" i="332" s="1"/>
  <c r="F29" i="332"/>
  <c r="G29" i="332"/>
  <c r="I29" i="332" s="1"/>
  <c r="H29" i="332"/>
  <c r="K29" i="332"/>
  <c r="N29" i="332"/>
  <c r="X29" i="332" s="1"/>
  <c r="O29" i="332"/>
  <c r="P29" i="332"/>
  <c r="S29" i="332" s="1"/>
  <c r="Q29" i="332"/>
  <c r="T29" i="332" s="1"/>
  <c r="R29" i="332"/>
  <c r="U29" i="332"/>
  <c r="Y29" i="332"/>
  <c r="AD29" i="332"/>
  <c r="B30" i="332"/>
  <c r="D30" i="332"/>
  <c r="E30" i="332"/>
  <c r="F30" i="332"/>
  <c r="I30" i="332" s="1"/>
  <c r="G30" i="332"/>
  <c r="J30" i="332" s="1"/>
  <c r="L30" i="332" s="1"/>
  <c r="H30" i="332"/>
  <c r="K30" i="332"/>
  <c r="N30" i="332"/>
  <c r="O30" i="332"/>
  <c r="P30" i="332"/>
  <c r="S30" i="332" s="1"/>
  <c r="Q30" i="332"/>
  <c r="R30" i="332"/>
  <c r="T30" i="332"/>
  <c r="V30" i="332" s="1"/>
  <c r="Z30" i="332" s="1"/>
  <c r="U30" i="332"/>
  <c r="X30" i="332"/>
  <c r="Y30" i="332"/>
  <c r="AD30" i="332"/>
  <c r="B31" i="332"/>
  <c r="D31" i="332"/>
  <c r="E31" i="332"/>
  <c r="F31" i="332"/>
  <c r="I31" i="332" s="1"/>
  <c r="G31" i="332"/>
  <c r="H31" i="332"/>
  <c r="J31" i="332"/>
  <c r="L31" i="332" s="1"/>
  <c r="K31" i="332"/>
  <c r="N31" i="332"/>
  <c r="O31" i="332"/>
  <c r="T31" i="332" s="1"/>
  <c r="V31" i="332" s="1"/>
  <c r="Z31" i="332" s="1"/>
  <c r="P31" i="332"/>
  <c r="Q31" i="332"/>
  <c r="R31" i="332"/>
  <c r="S31" i="332"/>
  <c r="U31" i="332"/>
  <c r="X31" i="332"/>
  <c r="AD31" i="332"/>
  <c r="B32" i="332"/>
  <c r="D32" i="332"/>
  <c r="E32" i="332"/>
  <c r="J32" i="332" s="1"/>
  <c r="L32" i="332" s="1"/>
  <c r="F32" i="332"/>
  <c r="G32" i="332"/>
  <c r="H32" i="332"/>
  <c r="I32" i="332"/>
  <c r="K32" i="332"/>
  <c r="N32" i="332"/>
  <c r="X32" i="332" s="1"/>
  <c r="O32" i="332"/>
  <c r="T32" i="332" s="1"/>
  <c r="V32" i="332" s="1"/>
  <c r="P32" i="332"/>
  <c r="Q32" i="332"/>
  <c r="S32" i="332" s="1"/>
  <c r="R32" i="332"/>
  <c r="U32" i="332"/>
  <c r="AD32" i="332"/>
  <c r="B33" i="332"/>
  <c r="D33" i="332"/>
  <c r="E33" i="332"/>
  <c r="J33" i="332" s="1"/>
  <c r="L33" i="332" s="1"/>
  <c r="F33" i="332"/>
  <c r="G33" i="332"/>
  <c r="I33" i="332" s="1"/>
  <c r="H33" i="332"/>
  <c r="K33" i="332"/>
  <c r="N33" i="332"/>
  <c r="X33" i="332" s="1"/>
  <c r="O33" i="332"/>
  <c r="P33" i="332"/>
  <c r="S33" i="332" s="1"/>
  <c r="Q33" i="332"/>
  <c r="T33" i="332" s="1"/>
  <c r="V33" i="332" s="1"/>
  <c r="Z33" i="332" s="1"/>
  <c r="R33" i="332"/>
  <c r="U33" i="332"/>
  <c r="Y33" i="332"/>
  <c r="AD33" i="332"/>
  <c r="B34" i="332"/>
  <c r="D34" i="332"/>
  <c r="E34" i="332"/>
  <c r="F34" i="332"/>
  <c r="I34" i="332" s="1"/>
  <c r="G34" i="332"/>
  <c r="J34" i="332" s="1"/>
  <c r="L34" i="332" s="1"/>
  <c r="H34" i="332"/>
  <c r="K34" i="332"/>
  <c r="N34" i="332"/>
  <c r="O34" i="332"/>
  <c r="P34" i="332"/>
  <c r="S34" i="332" s="1"/>
  <c r="Q34" i="332"/>
  <c r="R34" i="332"/>
  <c r="T34" i="332"/>
  <c r="V34" i="332" s="1"/>
  <c r="Z34" i="332" s="1"/>
  <c r="U34" i="332"/>
  <c r="X34" i="332"/>
  <c r="Y34" i="332"/>
  <c r="AD34" i="332"/>
  <c r="B35" i="332"/>
  <c r="D35" i="332"/>
  <c r="E35" i="332"/>
  <c r="F35" i="332"/>
  <c r="I35" i="332" s="1"/>
  <c r="G35" i="332"/>
  <c r="H35" i="332"/>
  <c r="J35" i="332"/>
  <c r="L35" i="332" s="1"/>
  <c r="K35" i="332"/>
  <c r="N35" i="332"/>
  <c r="O35" i="332"/>
  <c r="T35" i="332" s="1"/>
  <c r="V35" i="332" s="1"/>
  <c r="Z35" i="332" s="1"/>
  <c r="P35" i="332"/>
  <c r="Q35" i="332"/>
  <c r="R35" i="332"/>
  <c r="S35" i="332"/>
  <c r="U35" i="332"/>
  <c r="X35" i="332"/>
  <c r="AD35" i="332"/>
  <c r="B36" i="332"/>
  <c r="D36" i="332"/>
  <c r="E36" i="332"/>
  <c r="J36" i="332" s="1"/>
  <c r="L36" i="332" s="1"/>
  <c r="F36" i="332"/>
  <c r="G36" i="332"/>
  <c r="H36" i="332"/>
  <c r="I36" i="332"/>
  <c r="K36" i="332"/>
  <c r="N36" i="332"/>
  <c r="X36" i="332" s="1"/>
  <c r="O36" i="332"/>
  <c r="T36" i="332" s="1"/>
  <c r="V36" i="332" s="1"/>
  <c r="P36" i="332"/>
  <c r="Q36" i="332"/>
  <c r="S36" i="332" s="1"/>
  <c r="R36" i="332"/>
  <c r="U36" i="332"/>
  <c r="AD36" i="332"/>
  <c r="B37" i="332"/>
  <c r="D37" i="332"/>
  <c r="E37" i="332"/>
  <c r="J37" i="332" s="1"/>
  <c r="L37" i="332" s="1"/>
  <c r="F37" i="332"/>
  <c r="G37" i="332"/>
  <c r="I37" i="332" s="1"/>
  <c r="H37" i="332"/>
  <c r="K37" i="332"/>
  <c r="N37" i="332"/>
  <c r="X37" i="332" s="1"/>
  <c r="O37" i="332"/>
  <c r="P37" i="332"/>
  <c r="S37" i="332" s="1"/>
  <c r="Q37" i="332"/>
  <c r="T37" i="332" s="1"/>
  <c r="V37" i="332" s="1"/>
  <c r="Z37" i="332" s="1"/>
  <c r="R37" i="332"/>
  <c r="U37" i="332"/>
  <c r="Y37" i="332"/>
  <c r="AD37" i="332"/>
  <c r="B38" i="332"/>
  <c r="D38" i="332"/>
  <c r="E38" i="332"/>
  <c r="F38" i="332"/>
  <c r="I38" i="332" s="1"/>
  <c r="G38" i="332"/>
  <c r="J38" i="332" s="1"/>
  <c r="L38" i="332" s="1"/>
  <c r="H38" i="332"/>
  <c r="K38" i="332"/>
  <c r="N38" i="332"/>
  <c r="O38" i="332"/>
  <c r="P38" i="332"/>
  <c r="S38" i="332" s="1"/>
  <c r="Q38" i="332"/>
  <c r="R38" i="332"/>
  <c r="T38" i="332"/>
  <c r="V38" i="332" s="1"/>
  <c r="Z38" i="332" s="1"/>
  <c r="U38" i="332"/>
  <c r="X38" i="332"/>
  <c r="Y38" i="332"/>
  <c r="AD38" i="332"/>
  <c r="B39" i="332"/>
  <c r="D39" i="332"/>
  <c r="E39" i="332"/>
  <c r="F39" i="332"/>
  <c r="I39" i="332" s="1"/>
  <c r="G39" i="332"/>
  <c r="H39" i="332"/>
  <c r="J39" i="332"/>
  <c r="L39" i="332" s="1"/>
  <c r="K39" i="332"/>
  <c r="N39" i="332"/>
  <c r="O39" i="332"/>
  <c r="T39" i="332" s="1"/>
  <c r="V39" i="332" s="1"/>
  <c r="Z39" i="332" s="1"/>
  <c r="P39" i="332"/>
  <c r="Q39" i="332"/>
  <c r="R39" i="332"/>
  <c r="S39" i="332"/>
  <c r="U39" i="332"/>
  <c r="X39" i="332"/>
  <c r="AD39" i="332"/>
  <c r="B40" i="332"/>
  <c r="D40" i="332"/>
  <c r="E40" i="332"/>
  <c r="J40" i="332" s="1"/>
  <c r="L40" i="332" s="1"/>
  <c r="F40" i="332"/>
  <c r="G40" i="332"/>
  <c r="H40" i="332"/>
  <c r="I40" i="332"/>
  <c r="K40" i="332"/>
  <c r="N40" i="332"/>
  <c r="X40" i="332" s="1"/>
  <c r="O40" i="332"/>
  <c r="T40" i="332" s="1"/>
  <c r="V40" i="332" s="1"/>
  <c r="P40" i="332"/>
  <c r="Q40" i="332"/>
  <c r="S40" i="332" s="1"/>
  <c r="R40" i="332"/>
  <c r="R55" i="332" s="1"/>
  <c r="U40" i="332"/>
  <c r="AD40" i="332"/>
  <c r="B41" i="332"/>
  <c r="D41" i="332"/>
  <c r="D56" i="332" s="1"/>
  <c r="E41" i="332"/>
  <c r="J41" i="332" s="1"/>
  <c r="L41" i="332" s="1"/>
  <c r="F41" i="332"/>
  <c r="G41" i="332"/>
  <c r="I41" i="332" s="1"/>
  <c r="H41" i="332"/>
  <c r="H56" i="332" s="1"/>
  <c r="K41" i="332"/>
  <c r="N41" i="332"/>
  <c r="X41" i="332" s="1"/>
  <c r="O41" i="332"/>
  <c r="P41" i="332"/>
  <c r="S41" i="332" s="1"/>
  <c r="Q41" i="332"/>
  <c r="T41" i="332" s="1"/>
  <c r="V41" i="332" s="1"/>
  <c r="Z41" i="332" s="1"/>
  <c r="R41" i="332"/>
  <c r="U41" i="332"/>
  <c r="U56" i="332" s="1"/>
  <c r="Y41" i="332"/>
  <c r="AD41" i="332"/>
  <c r="B42" i="332"/>
  <c r="D42" i="332"/>
  <c r="E42" i="332"/>
  <c r="F42" i="332"/>
  <c r="I42" i="332" s="1"/>
  <c r="G42" i="332"/>
  <c r="J42" i="332" s="1"/>
  <c r="L42" i="332" s="1"/>
  <c r="H42" i="332"/>
  <c r="K42" i="332"/>
  <c r="K57" i="332" s="1"/>
  <c r="N42" i="332"/>
  <c r="O42" i="332"/>
  <c r="P42" i="332"/>
  <c r="S42" i="332" s="1"/>
  <c r="Q42" i="332"/>
  <c r="R42" i="332"/>
  <c r="T42" i="332"/>
  <c r="V42" i="332" s="1"/>
  <c r="Z42" i="332" s="1"/>
  <c r="U42" i="332"/>
  <c r="X42" i="332"/>
  <c r="Y42" i="332"/>
  <c r="AD42" i="332"/>
  <c r="B43" i="332"/>
  <c r="D43" i="332"/>
  <c r="E43" i="332"/>
  <c r="F43" i="332"/>
  <c r="I43" i="332" s="1"/>
  <c r="G43" i="332"/>
  <c r="H43" i="332"/>
  <c r="J43" i="332"/>
  <c r="L43" i="332" s="1"/>
  <c r="K43" i="332"/>
  <c r="N43" i="332"/>
  <c r="O43" i="332"/>
  <c r="T43" i="332" s="1"/>
  <c r="V43" i="332" s="1"/>
  <c r="Z43" i="332" s="1"/>
  <c r="P43" i="332"/>
  <c r="Q43" i="332"/>
  <c r="R43" i="332"/>
  <c r="S43" i="332"/>
  <c r="U43" i="332"/>
  <c r="X43" i="332"/>
  <c r="AD43" i="332"/>
  <c r="B44" i="332"/>
  <c r="D44" i="332"/>
  <c r="E44" i="332"/>
  <c r="J44" i="332" s="1"/>
  <c r="L44" i="332" s="1"/>
  <c r="F44" i="332"/>
  <c r="G44" i="332"/>
  <c r="H44" i="332"/>
  <c r="I44" i="332"/>
  <c r="K44" i="332"/>
  <c r="N44" i="332"/>
  <c r="X44" i="332" s="1"/>
  <c r="O44" i="332"/>
  <c r="T44" i="332" s="1"/>
  <c r="V44" i="332" s="1"/>
  <c r="P44" i="332"/>
  <c r="Q44" i="332"/>
  <c r="S44" i="332" s="1"/>
  <c r="R44" i="332"/>
  <c r="R59" i="332" s="1"/>
  <c r="U44" i="332"/>
  <c r="AD44" i="332"/>
  <c r="B45" i="332"/>
  <c r="D45" i="332"/>
  <c r="D60" i="332" s="1"/>
  <c r="E45" i="332"/>
  <c r="J45" i="332" s="1"/>
  <c r="L45" i="332" s="1"/>
  <c r="F45" i="332"/>
  <c r="G45" i="332"/>
  <c r="I45" i="332" s="1"/>
  <c r="H45" i="332"/>
  <c r="H60" i="332" s="1"/>
  <c r="K45" i="332"/>
  <c r="N45" i="332"/>
  <c r="X45" i="332" s="1"/>
  <c r="O45" i="332"/>
  <c r="P45" i="332"/>
  <c r="S45" i="332" s="1"/>
  <c r="Q45" i="332"/>
  <c r="T45" i="332" s="1"/>
  <c r="V45" i="332" s="1"/>
  <c r="Z45" i="332" s="1"/>
  <c r="R45" i="332"/>
  <c r="U45" i="332"/>
  <c r="U60" i="332" s="1"/>
  <c r="Y45" i="332"/>
  <c r="AD45" i="332"/>
  <c r="B46" i="332"/>
  <c r="D46" i="332"/>
  <c r="E46" i="332"/>
  <c r="F46" i="332"/>
  <c r="I46" i="332" s="1"/>
  <c r="G46" i="332"/>
  <c r="J46" i="332" s="1"/>
  <c r="L46" i="332" s="1"/>
  <c r="H46" i="332"/>
  <c r="K46" i="332"/>
  <c r="N46" i="332"/>
  <c r="O46" i="332"/>
  <c r="P46" i="332"/>
  <c r="S46" i="332" s="1"/>
  <c r="Q46" i="332"/>
  <c r="R46" i="332"/>
  <c r="T46" i="332"/>
  <c r="V46" i="332" s="1"/>
  <c r="Z46" i="332" s="1"/>
  <c r="U46" i="332"/>
  <c r="X46" i="332"/>
  <c r="Y46" i="332"/>
  <c r="AD46" i="332"/>
  <c r="B47" i="332"/>
  <c r="D47" i="332"/>
  <c r="E47" i="332"/>
  <c r="F47" i="332"/>
  <c r="I47" i="332" s="1"/>
  <c r="G47" i="332"/>
  <c r="H47" i="332"/>
  <c r="J47" i="332"/>
  <c r="L47" i="332" s="1"/>
  <c r="K47" i="332"/>
  <c r="N47" i="332"/>
  <c r="O47" i="332"/>
  <c r="T47" i="332" s="1"/>
  <c r="V47" i="332" s="1"/>
  <c r="Z47" i="332" s="1"/>
  <c r="P47" i="332"/>
  <c r="Q47" i="332"/>
  <c r="R47" i="332"/>
  <c r="S47" i="332"/>
  <c r="U47" i="332"/>
  <c r="X47" i="332"/>
  <c r="AD47" i="332"/>
  <c r="B48" i="332"/>
  <c r="D48" i="332"/>
  <c r="E48" i="332"/>
  <c r="J48" i="332" s="1"/>
  <c r="L48" i="332" s="1"/>
  <c r="F48" i="332"/>
  <c r="G48" i="332"/>
  <c r="H48" i="332"/>
  <c r="I48" i="332"/>
  <c r="K48" i="332"/>
  <c r="N48" i="332"/>
  <c r="X48" i="332" s="1"/>
  <c r="O48" i="332"/>
  <c r="T48" i="332" s="1"/>
  <c r="V48" i="332" s="1"/>
  <c r="P48" i="332"/>
  <c r="Q48" i="332"/>
  <c r="S48" i="332" s="1"/>
  <c r="R48" i="332"/>
  <c r="U48" i="332"/>
  <c r="AD48" i="332"/>
  <c r="B49" i="332"/>
  <c r="D49" i="332"/>
  <c r="E49" i="332"/>
  <c r="J49" i="332" s="1"/>
  <c r="L49" i="332" s="1"/>
  <c r="F49" i="332"/>
  <c r="G49" i="332"/>
  <c r="I49" i="332" s="1"/>
  <c r="H49" i="332"/>
  <c r="K49" i="332"/>
  <c r="N49" i="332"/>
  <c r="X49" i="332" s="1"/>
  <c r="O49" i="332"/>
  <c r="P49" i="332"/>
  <c r="S49" i="332" s="1"/>
  <c r="Q49" i="332"/>
  <c r="T49" i="332" s="1"/>
  <c r="V49" i="332" s="1"/>
  <c r="Z49" i="332" s="1"/>
  <c r="R49" i="332"/>
  <c r="U49" i="332"/>
  <c r="Y49" i="332"/>
  <c r="AD49" i="332"/>
  <c r="B50" i="332"/>
  <c r="D50" i="332"/>
  <c r="E50" i="332"/>
  <c r="F50" i="332"/>
  <c r="I50" i="332" s="1"/>
  <c r="G50" i="332"/>
  <c r="J50" i="332" s="1"/>
  <c r="L50" i="332" s="1"/>
  <c r="H50" i="332"/>
  <c r="K50" i="332"/>
  <c r="K55" i="332" s="1"/>
  <c r="N50" i="332"/>
  <c r="O50" i="332"/>
  <c r="P50" i="332"/>
  <c r="S50" i="332" s="1"/>
  <c r="Q50" i="332"/>
  <c r="R50" i="332"/>
  <c r="T50" i="332"/>
  <c r="V50" i="332" s="1"/>
  <c r="Z50" i="332" s="1"/>
  <c r="U50" i="332"/>
  <c r="X50" i="332"/>
  <c r="Y50" i="332"/>
  <c r="AD50" i="332"/>
  <c r="B51" i="332"/>
  <c r="D51" i="332"/>
  <c r="E51" i="332"/>
  <c r="F51" i="332"/>
  <c r="I51" i="332" s="1"/>
  <c r="G51" i="332"/>
  <c r="H51" i="332"/>
  <c r="J51" i="332"/>
  <c r="L51" i="332" s="1"/>
  <c r="K51" i="332"/>
  <c r="N51" i="332"/>
  <c r="O51" i="332"/>
  <c r="O56" i="332" s="1"/>
  <c r="P51" i="332"/>
  <c r="Q51" i="332"/>
  <c r="R51" i="332"/>
  <c r="S51" i="332"/>
  <c r="U51" i="332"/>
  <c r="X51" i="332"/>
  <c r="AD51" i="332"/>
  <c r="B52" i="332"/>
  <c r="D52" i="332"/>
  <c r="E52" i="332"/>
  <c r="E57" i="332" s="1"/>
  <c r="F52" i="332"/>
  <c r="G52" i="332"/>
  <c r="H52" i="332"/>
  <c r="I52" i="332"/>
  <c r="K52" i="332"/>
  <c r="N52" i="332"/>
  <c r="N57" i="332" s="1"/>
  <c r="O52" i="332"/>
  <c r="T52" i="332" s="1"/>
  <c r="V52" i="332" s="1"/>
  <c r="P52" i="332"/>
  <c r="Q52" i="332"/>
  <c r="S52" i="332" s="1"/>
  <c r="R52" i="332"/>
  <c r="R57" i="332" s="1"/>
  <c r="U52" i="332"/>
  <c r="AD52" i="332"/>
  <c r="B53" i="332"/>
  <c r="D53" i="332"/>
  <c r="D58" i="332" s="1"/>
  <c r="E53" i="332"/>
  <c r="J53" i="332" s="1"/>
  <c r="L53" i="332" s="1"/>
  <c r="F53" i="332"/>
  <c r="G53" i="332"/>
  <c r="I53" i="332" s="1"/>
  <c r="H53" i="332"/>
  <c r="H58" i="332" s="1"/>
  <c r="K53" i="332"/>
  <c r="N53" i="332"/>
  <c r="O53" i="332"/>
  <c r="P53" i="332"/>
  <c r="S53" i="332" s="1"/>
  <c r="Q53" i="332"/>
  <c r="T53" i="332" s="1"/>
  <c r="V53" i="332" s="1"/>
  <c r="Z53" i="332" s="1"/>
  <c r="R53" i="332"/>
  <c r="U53" i="332"/>
  <c r="Y53" i="332"/>
  <c r="AD53" i="332"/>
  <c r="D55" i="332"/>
  <c r="H55" i="332"/>
  <c r="Q55" i="332"/>
  <c r="U55" i="332"/>
  <c r="G56" i="332"/>
  <c r="K56" i="332"/>
  <c r="P56" i="332"/>
  <c r="F57" i="332"/>
  <c r="O57" i="332"/>
  <c r="E58" i="332"/>
  <c r="N58" i="332"/>
  <c r="R58" i="332"/>
  <c r="U58" i="332"/>
  <c r="D59" i="332"/>
  <c r="G59" i="332"/>
  <c r="H59" i="332"/>
  <c r="K59" i="332"/>
  <c r="P59" i="332"/>
  <c r="Q59" i="332"/>
  <c r="U59" i="332"/>
  <c r="F60" i="332"/>
  <c r="G60" i="332"/>
  <c r="K60" i="332"/>
  <c r="O60" i="332"/>
  <c r="P60" i="332"/>
  <c r="B2" i="47"/>
  <c r="AB2" i="47"/>
  <c r="AC2" i="47"/>
  <c r="AD2" i="47"/>
  <c r="AL2" i="47"/>
  <c r="AB3" i="47"/>
  <c r="AC3" i="47"/>
  <c r="AE3" i="47" s="1"/>
  <c r="J4" i="4" s="1"/>
  <c r="AD3" i="47"/>
  <c r="Z4" i="47"/>
  <c r="N8" i="47"/>
  <c r="AC4" i="47"/>
  <c r="AE4" i="47" s="1"/>
  <c r="AD4" i="47"/>
  <c r="R8" i="47"/>
  <c r="S8" i="47"/>
  <c r="T8" i="47"/>
  <c r="X8" i="47"/>
  <c r="B13" i="47"/>
  <c r="B10" i="15" s="1"/>
  <c r="C13" i="47"/>
  <c r="V13" i="47" s="1"/>
  <c r="H13" i="47"/>
  <c r="I13" i="47"/>
  <c r="J13" i="47"/>
  <c r="L13" i="47"/>
  <c r="M13" i="47"/>
  <c r="N13" i="47"/>
  <c r="O13" i="47"/>
  <c r="P13" i="47"/>
  <c r="AB13" i="47"/>
  <c r="AC13" i="47"/>
  <c r="AD13" i="47"/>
  <c r="AE13" i="47"/>
  <c r="AG13" i="47"/>
  <c r="AH13" i="47"/>
  <c r="AI13" i="47"/>
  <c r="AL13" i="47"/>
  <c r="B14" i="47"/>
  <c r="B11" i="15" s="1"/>
  <c r="C14" i="47"/>
  <c r="H14" i="47"/>
  <c r="I14" i="47"/>
  <c r="J14" i="47"/>
  <c r="L14" i="47"/>
  <c r="M14" i="47"/>
  <c r="N14" i="47"/>
  <c r="O14" i="47"/>
  <c r="P14" i="47"/>
  <c r="S14" i="47"/>
  <c r="V14" i="47"/>
  <c r="X14" i="47"/>
  <c r="Z14" i="47"/>
  <c r="AB14" i="47"/>
  <c r="AC14" i="47"/>
  <c r="AF14" i="47" s="1"/>
  <c r="AD14" i="47"/>
  <c r="AE14" i="47"/>
  <c r="AG14" i="47"/>
  <c r="AI14" i="47" s="1"/>
  <c r="AH14" i="47"/>
  <c r="AL14" i="47"/>
  <c r="B15" i="47"/>
  <c r="B12" i="15" s="1"/>
  <c r="C15" i="47"/>
  <c r="V15" i="47" s="1"/>
  <c r="H15" i="47"/>
  <c r="I15" i="47"/>
  <c r="J15" i="47"/>
  <c r="L15" i="47"/>
  <c r="M15" i="47"/>
  <c r="N15" i="47"/>
  <c r="O15" i="47"/>
  <c r="P15" i="47"/>
  <c r="S15" i="47"/>
  <c r="X15" i="47"/>
  <c r="AB15" i="47"/>
  <c r="AC15" i="47"/>
  <c r="AD15" i="47"/>
  <c r="AE15" i="47"/>
  <c r="AG15" i="47"/>
  <c r="AH15" i="47"/>
  <c r="AI15" i="47"/>
  <c r="AL15" i="47"/>
  <c r="B16" i="47"/>
  <c r="B13" i="15" s="1"/>
  <c r="C16" i="47"/>
  <c r="V16" i="47" s="1"/>
  <c r="H16" i="47"/>
  <c r="I16" i="47"/>
  <c r="J16" i="47"/>
  <c r="L16" i="47"/>
  <c r="M16" i="47"/>
  <c r="N16" i="47"/>
  <c r="O16" i="47"/>
  <c r="P16" i="47"/>
  <c r="S16" i="47"/>
  <c r="Z16" i="47"/>
  <c r="AB16" i="47"/>
  <c r="AC16" i="47"/>
  <c r="AF16" i="47" s="1"/>
  <c r="AD16" i="47"/>
  <c r="AE16" i="47"/>
  <c r="AG16" i="47"/>
  <c r="AI16" i="47" s="1"/>
  <c r="AH16" i="47"/>
  <c r="AL16" i="47"/>
  <c r="B17" i="47"/>
  <c r="B14" i="15" s="1"/>
  <c r="C17" i="47"/>
  <c r="V17" i="47" s="1"/>
  <c r="H17" i="47"/>
  <c r="I17" i="47"/>
  <c r="J17" i="47"/>
  <c r="L17" i="47"/>
  <c r="M17" i="47"/>
  <c r="N17" i="47"/>
  <c r="O17" i="47"/>
  <c r="P17" i="47"/>
  <c r="AB17" i="47"/>
  <c r="AC17" i="47"/>
  <c r="AD17" i="47"/>
  <c r="AE17" i="47"/>
  <c r="AG17" i="47"/>
  <c r="AH17" i="47"/>
  <c r="AI17" i="47"/>
  <c r="AL17" i="47"/>
  <c r="B18" i="47"/>
  <c r="B15" i="15" s="1"/>
  <c r="C18" i="47"/>
  <c r="H18" i="47"/>
  <c r="I18" i="47"/>
  <c r="J18" i="47"/>
  <c r="L18" i="47"/>
  <c r="M18" i="47"/>
  <c r="N18" i="47"/>
  <c r="O18" i="47"/>
  <c r="P18" i="47"/>
  <c r="S18" i="47"/>
  <c r="V18" i="47"/>
  <c r="X18" i="47"/>
  <c r="Z18" i="47"/>
  <c r="AB18" i="47"/>
  <c r="AC18" i="47"/>
  <c r="AF18" i="47" s="1"/>
  <c r="AD18" i="47"/>
  <c r="AE18" i="47"/>
  <c r="AG18" i="47"/>
  <c r="AI18" i="47" s="1"/>
  <c r="AH18" i="47"/>
  <c r="AL18" i="47"/>
  <c r="B19" i="47"/>
  <c r="B16" i="15" s="1"/>
  <c r="C19" i="47"/>
  <c r="V19" i="47" s="1"/>
  <c r="H19" i="47"/>
  <c r="I19" i="47"/>
  <c r="J19" i="47"/>
  <c r="L19" i="47"/>
  <c r="M19" i="47"/>
  <c r="N19" i="47"/>
  <c r="O19" i="47"/>
  <c r="P19" i="47"/>
  <c r="S19" i="47"/>
  <c r="X19" i="47"/>
  <c r="AB19" i="47"/>
  <c r="AC19" i="47"/>
  <c r="AD19" i="47"/>
  <c r="AE19" i="47"/>
  <c r="AG19" i="47"/>
  <c r="AH19" i="47"/>
  <c r="AI19" i="47"/>
  <c r="AL19" i="47"/>
  <c r="B20" i="47"/>
  <c r="B17" i="15" s="1"/>
  <c r="C20" i="47"/>
  <c r="V20" i="47" s="1"/>
  <c r="H20" i="47"/>
  <c r="I20" i="47"/>
  <c r="J20" i="47"/>
  <c r="L20" i="47"/>
  <c r="M20" i="47"/>
  <c r="N20" i="47"/>
  <c r="O20" i="47"/>
  <c r="P20" i="47"/>
  <c r="S20" i="47"/>
  <c r="Z20" i="47"/>
  <c r="AB20" i="47"/>
  <c r="AC20" i="47"/>
  <c r="AF20" i="47" s="1"/>
  <c r="AD20" i="47"/>
  <c r="AE20" i="47"/>
  <c r="AG20" i="47"/>
  <c r="AI20" i="47" s="1"/>
  <c r="AH20" i="47"/>
  <c r="AL20" i="47"/>
  <c r="B21" i="47"/>
  <c r="B18" i="15" s="1"/>
  <c r="C21" i="47"/>
  <c r="V21" i="47" s="1"/>
  <c r="H21" i="47"/>
  <c r="I21" i="47"/>
  <c r="J21" i="47"/>
  <c r="L21" i="47"/>
  <c r="M21" i="47"/>
  <c r="N21" i="47"/>
  <c r="O21" i="47"/>
  <c r="P21" i="47"/>
  <c r="AB21" i="47"/>
  <c r="AC21" i="47"/>
  <c r="AD21" i="47"/>
  <c r="AE21" i="47"/>
  <c r="AG21" i="47"/>
  <c r="AH21" i="47"/>
  <c r="AI21" i="47"/>
  <c r="AL21" i="47"/>
  <c r="B24" i="47"/>
  <c r="C24" i="47"/>
  <c r="H24" i="47"/>
  <c r="I24" i="47"/>
  <c r="J24" i="47"/>
  <c r="L24" i="47"/>
  <c r="M24" i="47"/>
  <c r="N24" i="47"/>
  <c r="O24" i="47"/>
  <c r="P24" i="47"/>
  <c r="S24" i="47"/>
  <c r="V24" i="47"/>
  <c r="X24" i="47"/>
  <c r="Z24" i="47"/>
  <c r="AB24" i="47"/>
  <c r="AC24" i="47"/>
  <c r="AF24" i="47" s="1"/>
  <c r="AD24" i="47"/>
  <c r="AE24" i="47"/>
  <c r="AG24" i="47"/>
  <c r="AI24" i="47" s="1"/>
  <c r="AH24" i="47"/>
  <c r="AL24" i="47"/>
  <c r="B25" i="47"/>
  <c r="C25" i="47"/>
  <c r="V25" i="47" s="1"/>
  <c r="H25" i="47"/>
  <c r="I25" i="47"/>
  <c r="J25" i="47"/>
  <c r="L25" i="47"/>
  <c r="M25" i="47"/>
  <c r="N25" i="47"/>
  <c r="O25" i="47"/>
  <c r="P25" i="47"/>
  <c r="S25" i="47"/>
  <c r="X25" i="47"/>
  <c r="Z25" i="47"/>
  <c r="AB25" i="47"/>
  <c r="AC25" i="47"/>
  <c r="AD25" i="47"/>
  <c r="AE25" i="47"/>
  <c r="AG25" i="47"/>
  <c r="AH25" i="47"/>
  <c r="AI25" i="47"/>
  <c r="AL25" i="47"/>
  <c r="B26" i="47"/>
  <c r="C26" i="47"/>
  <c r="V26" i="47" s="1"/>
  <c r="H26" i="47"/>
  <c r="I26" i="47"/>
  <c r="J26" i="47"/>
  <c r="L26" i="47"/>
  <c r="M26" i="47"/>
  <c r="N26" i="47"/>
  <c r="O26" i="47"/>
  <c r="P26" i="47"/>
  <c r="S26" i="47"/>
  <c r="Z26" i="47"/>
  <c r="AB26" i="47"/>
  <c r="AC26" i="47"/>
  <c r="AF26" i="47" s="1"/>
  <c r="AD26" i="47"/>
  <c r="AE26" i="47"/>
  <c r="AG26" i="47"/>
  <c r="AI26" i="47" s="1"/>
  <c r="AH26" i="47"/>
  <c r="AL26" i="47"/>
  <c r="B27" i="47"/>
  <c r="C27" i="47"/>
  <c r="V27" i="47" s="1"/>
  <c r="H27" i="47"/>
  <c r="I27" i="47"/>
  <c r="J27" i="47"/>
  <c r="L27" i="47"/>
  <c r="M27" i="47"/>
  <c r="N27" i="47"/>
  <c r="O27" i="47"/>
  <c r="P27" i="47"/>
  <c r="AB27" i="47"/>
  <c r="AC27" i="47"/>
  <c r="AD27" i="47"/>
  <c r="AE27" i="47"/>
  <c r="AG27" i="47"/>
  <c r="AH27" i="47"/>
  <c r="AI27" i="47"/>
  <c r="AL27" i="47"/>
  <c r="B28" i="47"/>
  <c r="C28" i="47"/>
  <c r="H28" i="47"/>
  <c r="I28" i="47"/>
  <c r="J28" i="47"/>
  <c r="L28" i="47"/>
  <c r="M28" i="47"/>
  <c r="N28" i="47"/>
  <c r="O28" i="47"/>
  <c r="P28" i="47"/>
  <c r="S28" i="47"/>
  <c r="V28" i="47"/>
  <c r="X28" i="47"/>
  <c r="Z28" i="47"/>
  <c r="AB28" i="47"/>
  <c r="AC28" i="47"/>
  <c r="AF28" i="47" s="1"/>
  <c r="AD28" i="47"/>
  <c r="AE28" i="47"/>
  <c r="AG28" i="47"/>
  <c r="AI28" i="47" s="1"/>
  <c r="AH28" i="47"/>
  <c r="AL28" i="47"/>
  <c r="B29" i="47"/>
  <c r="C29" i="47"/>
  <c r="V29" i="47" s="1"/>
  <c r="H29" i="47"/>
  <c r="I29" i="47"/>
  <c r="J29" i="47"/>
  <c r="L29" i="47"/>
  <c r="M29" i="47"/>
  <c r="N29" i="47"/>
  <c r="O29" i="47"/>
  <c r="P29" i="47"/>
  <c r="S29" i="47"/>
  <c r="X29" i="47"/>
  <c r="AB29" i="47"/>
  <c r="AC29" i="47"/>
  <c r="AD29" i="47"/>
  <c r="AE29" i="47"/>
  <c r="AG29" i="47"/>
  <c r="AH29" i="47"/>
  <c r="AI29" i="47"/>
  <c r="AL29" i="47"/>
  <c r="B30" i="47"/>
  <c r="C30" i="47"/>
  <c r="V30" i="47" s="1"/>
  <c r="H30" i="47"/>
  <c r="I30" i="47"/>
  <c r="J30" i="47"/>
  <c r="L30" i="47"/>
  <c r="M30" i="47"/>
  <c r="N30" i="47"/>
  <c r="O30" i="47"/>
  <c r="P30" i="47"/>
  <c r="S30" i="47"/>
  <c r="Z30" i="47"/>
  <c r="AB30" i="47"/>
  <c r="AC30" i="47"/>
  <c r="AF30" i="47" s="1"/>
  <c r="AD30" i="47"/>
  <c r="AE30" i="47"/>
  <c r="AG30" i="47"/>
  <c r="AI30" i="47" s="1"/>
  <c r="AH30" i="47"/>
  <c r="AL30" i="47"/>
  <c r="B31" i="47"/>
  <c r="C31" i="47"/>
  <c r="V31" i="47" s="1"/>
  <c r="H31" i="47"/>
  <c r="I31" i="47"/>
  <c r="J31" i="47"/>
  <c r="L31" i="47"/>
  <c r="M31" i="47"/>
  <c r="N31" i="47"/>
  <c r="O31" i="47"/>
  <c r="P31" i="47"/>
  <c r="AB31" i="47"/>
  <c r="AC31" i="47"/>
  <c r="AD31" i="47"/>
  <c r="AE31" i="47"/>
  <c r="AG31" i="47"/>
  <c r="AH31" i="47"/>
  <c r="AI31" i="47"/>
  <c r="AL31" i="47"/>
  <c r="B32" i="47"/>
  <c r="C32" i="47"/>
  <c r="H32" i="47"/>
  <c r="I32" i="47"/>
  <c r="J32" i="47"/>
  <c r="L32" i="47"/>
  <c r="M32" i="47"/>
  <c r="N32" i="47"/>
  <c r="O32" i="47"/>
  <c r="P32" i="47"/>
  <c r="S32" i="47"/>
  <c r="V32" i="47"/>
  <c r="X32" i="47"/>
  <c r="Z32" i="47"/>
  <c r="AB32" i="47"/>
  <c r="AC32" i="47"/>
  <c r="AF32" i="47" s="1"/>
  <c r="AD32" i="47"/>
  <c r="AE32" i="47"/>
  <c r="AG32" i="47"/>
  <c r="AI32" i="47" s="1"/>
  <c r="AH32" i="47"/>
  <c r="AL32" i="47"/>
  <c r="B33" i="47"/>
  <c r="C33" i="47"/>
  <c r="V33" i="47" s="1"/>
  <c r="H33" i="47"/>
  <c r="I33" i="47"/>
  <c r="J33" i="47"/>
  <c r="L33" i="47"/>
  <c r="M33" i="47"/>
  <c r="N33" i="47"/>
  <c r="O33" i="47"/>
  <c r="P33" i="47"/>
  <c r="S33" i="47"/>
  <c r="X33" i="47"/>
  <c r="AB33" i="47"/>
  <c r="AC33" i="47"/>
  <c r="AD33" i="47"/>
  <c r="AE33" i="47"/>
  <c r="AG33" i="47"/>
  <c r="AH33" i="47"/>
  <c r="AI33" i="47"/>
  <c r="AL33" i="47"/>
  <c r="B34" i="47"/>
  <c r="C34" i="47"/>
  <c r="V34" i="47" s="1"/>
  <c r="H34" i="47"/>
  <c r="I34" i="47"/>
  <c r="J34" i="47"/>
  <c r="L34" i="47"/>
  <c r="M34" i="47"/>
  <c r="N34" i="47"/>
  <c r="O34" i="47"/>
  <c r="P34" i="47"/>
  <c r="S34" i="47"/>
  <c r="Z34" i="47"/>
  <c r="AB34" i="47"/>
  <c r="AC34" i="47"/>
  <c r="AF34" i="47" s="1"/>
  <c r="AD34" i="47"/>
  <c r="AE34" i="47"/>
  <c r="AG34" i="47"/>
  <c r="AI34" i="47" s="1"/>
  <c r="AH34" i="47"/>
  <c r="AL34" i="47"/>
  <c r="B35" i="47"/>
  <c r="C35" i="47"/>
  <c r="V35" i="47" s="1"/>
  <c r="H35" i="47"/>
  <c r="I35" i="47"/>
  <c r="J35" i="47"/>
  <c r="J50" i="47" s="1"/>
  <c r="L35" i="47"/>
  <c r="M35" i="47"/>
  <c r="N35" i="47"/>
  <c r="O35" i="47"/>
  <c r="O50" i="47" s="1"/>
  <c r="P35" i="47"/>
  <c r="AB35" i="47"/>
  <c r="AC35" i="47"/>
  <c r="AD35" i="47"/>
  <c r="AE35" i="47"/>
  <c r="AG35" i="47"/>
  <c r="AH35" i="47"/>
  <c r="AI35" i="47"/>
  <c r="AL35" i="47"/>
  <c r="B36" i="47"/>
  <c r="C36" i="47"/>
  <c r="H36" i="47"/>
  <c r="I36" i="47"/>
  <c r="J36" i="47"/>
  <c r="L36" i="47"/>
  <c r="M36" i="47"/>
  <c r="N36" i="47"/>
  <c r="O36" i="47"/>
  <c r="P36" i="47"/>
  <c r="S36" i="47"/>
  <c r="V36" i="47"/>
  <c r="X36" i="47"/>
  <c r="Z36" i="47"/>
  <c r="AB36" i="47"/>
  <c r="AC36" i="47"/>
  <c r="AF36" i="47" s="1"/>
  <c r="AD36" i="47"/>
  <c r="AE36" i="47"/>
  <c r="AG36" i="47"/>
  <c r="AI36" i="47" s="1"/>
  <c r="AH36" i="47"/>
  <c r="AL36" i="47"/>
  <c r="B37" i="47"/>
  <c r="C37" i="47"/>
  <c r="V37" i="47" s="1"/>
  <c r="H37" i="47"/>
  <c r="I37" i="47"/>
  <c r="J37" i="47"/>
  <c r="L37" i="47"/>
  <c r="M37" i="47"/>
  <c r="N37" i="47"/>
  <c r="O37" i="47"/>
  <c r="P37" i="47"/>
  <c r="S37" i="47"/>
  <c r="X37" i="47"/>
  <c r="AB37" i="47"/>
  <c r="AC37" i="47"/>
  <c r="AD37" i="47"/>
  <c r="AE37" i="47"/>
  <c r="AG37" i="47"/>
  <c r="AH37" i="47"/>
  <c r="AI37" i="47"/>
  <c r="AL37" i="47"/>
  <c r="B38" i="47"/>
  <c r="C38" i="47"/>
  <c r="V38" i="47" s="1"/>
  <c r="H38" i="47"/>
  <c r="I38" i="47"/>
  <c r="J38" i="47"/>
  <c r="J51" i="47" s="1"/>
  <c r="L38" i="47"/>
  <c r="M38" i="47"/>
  <c r="N38" i="47"/>
  <c r="O38" i="47"/>
  <c r="O51" i="47" s="1"/>
  <c r="P38" i="47"/>
  <c r="S38" i="47"/>
  <c r="Z38" i="47"/>
  <c r="AB38" i="47"/>
  <c r="AC38" i="47"/>
  <c r="AF38" i="47" s="1"/>
  <c r="AD38" i="47"/>
  <c r="AE38" i="47"/>
  <c r="AG38" i="47"/>
  <c r="AH38" i="47"/>
  <c r="AI38" i="47"/>
  <c r="AL38" i="47"/>
  <c r="B39" i="47"/>
  <c r="C39" i="47"/>
  <c r="V39" i="47" s="1"/>
  <c r="H39" i="47"/>
  <c r="I39" i="47"/>
  <c r="J39" i="47"/>
  <c r="L39" i="47"/>
  <c r="M39" i="47"/>
  <c r="N39" i="47"/>
  <c r="O39" i="47"/>
  <c r="P39" i="47"/>
  <c r="S39" i="47"/>
  <c r="X39" i="47"/>
  <c r="Z39" i="47"/>
  <c r="AB39" i="47"/>
  <c r="AC39" i="47"/>
  <c r="AD39" i="47"/>
  <c r="AE39" i="47"/>
  <c r="AG39" i="47"/>
  <c r="AI39" i="47" s="1"/>
  <c r="AH39" i="47"/>
  <c r="AL39" i="47"/>
  <c r="B40" i="47"/>
  <c r="C40" i="47"/>
  <c r="H40" i="47"/>
  <c r="I40" i="47"/>
  <c r="J40" i="47"/>
  <c r="J52" i="47" s="1"/>
  <c r="L40" i="47"/>
  <c r="M40" i="47"/>
  <c r="N40" i="47"/>
  <c r="O40" i="47"/>
  <c r="O52" i="47" s="1"/>
  <c r="P40" i="47"/>
  <c r="S40" i="47"/>
  <c r="V40" i="47"/>
  <c r="X40" i="47"/>
  <c r="Z40" i="47"/>
  <c r="AB40" i="47"/>
  <c r="AC40" i="47"/>
  <c r="AF40" i="47" s="1"/>
  <c r="AD40" i="47"/>
  <c r="AE40" i="47"/>
  <c r="AG40" i="47"/>
  <c r="AH40" i="47"/>
  <c r="AI40" i="47"/>
  <c r="AL40" i="47"/>
  <c r="B41" i="47"/>
  <c r="C41" i="47"/>
  <c r="V41" i="47" s="1"/>
  <c r="H41" i="47"/>
  <c r="I41" i="47"/>
  <c r="J41" i="47"/>
  <c r="L41" i="47"/>
  <c r="M41" i="47"/>
  <c r="N41" i="47"/>
  <c r="O41" i="47"/>
  <c r="P41" i="47"/>
  <c r="S41" i="47"/>
  <c r="AB41" i="47"/>
  <c r="AC41" i="47"/>
  <c r="AD41" i="47"/>
  <c r="AE41" i="47"/>
  <c r="AG41" i="47"/>
  <c r="AI41" i="47" s="1"/>
  <c r="AH41" i="47"/>
  <c r="AL41" i="47"/>
  <c r="B42" i="47"/>
  <c r="C42" i="47"/>
  <c r="V42" i="47" s="1"/>
  <c r="H42" i="47"/>
  <c r="I42" i="47"/>
  <c r="J42" i="47"/>
  <c r="J53" i="47" s="1"/>
  <c r="L42" i="47"/>
  <c r="M42" i="47"/>
  <c r="N42" i="47"/>
  <c r="O42" i="47"/>
  <c r="P42" i="47"/>
  <c r="S42" i="47"/>
  <c r="Z42" i="47"/>
  <c r="AB42" i="47"/>
  <c r="AC42" i="47"/>
  <c r="AF42" i="47" s="1"/>
  <c r="AD42" i="47"/>
  <c r="AE42" i="47"/>
  <c r="AG42" i="47"/>
  <c r="AH42" i="47"/>
  <c r="AI42" i="47"/>
  <c r="AL42" i="47"/>
  <c r="B43" i="47"/>
  <c r="C43" i="47"/>
  <c r="V43" i="47" s="1"/>
  <c r="H43" i="47"/>
  <c r="I43" i="47"/>
  <c r="J43" i="47"/>
  <c r="L43" i="47"/>
  <c r="M43" i="47"/>
  <c r="N43" i="47"/>
  <c r="O43" i="47"/>
  <c r="O53" i="47" s="1"/>
  <c r="P43" i="47"/>
  <c r="S43" i="47"/>
  <c r="X43" i="47"/>
  <c r="Z43" i="47"/>
  <c r="AB43" i="47"/>
  <c r="AC43" i="47"/>
  <c r="AD43" i="47"/>
  <c r="AE43" i="47"/>
  <c r="AG43" i="47"/>
  <c r="AI43" i="47" s="1"/>
  <c r="AH43" i="47"/>
  <c r="AL43" i="47"/>
  <c r="B44" i="47"/>
  <c r="C44" i="47"/>
  <c r="H44" i="47"/>
  <c r="I44" i="47"/>
  <c r="J44" i="47"/>
  <c r="L44" i="47"/>
  <c r="M44" i="47"/>
  <c r="N44" i="47"/>
  <c r="N50" i="47" s="1"/>
  <c r="O44" i="47"/>
  <c r="P44" i="47"/>
  <c r="S44" i="47"/>
  <c r="V44" i="47"/>
  <c r="X44" i="47"/>
  <c r="Z44" i="47"/>
  <c r="AB44" i="47"/>
  <c r="AC44" i="47"/>
  <c r="AF44" i="47" s="1"/>
  <c r="AD44" i="47"/>
  <c r="AE44" i="47"/>
  <c r="AG44" i="47"/>
  <c r="AH44" i="47"/>
  <c r="AI44" i="47"/>
  <c r="AL44" i="47"/>
  <c r="B45" i="47"/>
  <c r="C45" i="47"/>
  <c r="V45" i="47" s="1"/>
  <c r="H45" i="47"/>
  <c r="I45" i="47"/>
  <c r="J45" i="47"/>
  <c r="J54" i="47" s="1"/>
  <c r="L45" i="47"/>
  <c r="L52" i="47" s="1"/>
  <c r="M45" i="47"/>
  <c r="N45" i="47"/>
  <c r="O45" i="47"/>
  <c r="P45" i="47"/>
  <c r="S45" i="47"/>
  <c r="X45" i="47"/>
  <c r="Z45" i="47"/>
  <c r="AB45" i="47"/>
  <c r="AC45" i="47"/>
  <c r="AD45" i="47"/>
  <c r="AE45" i="47"/>
  <c r="AG45" i="47"/>
  <c r="AH45" i="47"/>
  <c r="AI45" i="47"/>
  <c r="AL45" i="47"/>
  <c r="B46" i="47"/>
  <c r="C46" i="47"/>
  <c r="H46" i="47"/>
  <c r="I46" i="47"/>
  <c r="J46" i="47"/>
  <c r="L46" i="47"/>
  <c r="M46" i="47"/>
  <c r="N46" i="47"/>
  <c r="O46" i="47"/>
  <c r="O54" i="47" s="1"/>
  <c r="P46" i="47"/>
  <c r="S46" i="47"/>
  <c r="V46" i="47"/>
  <c r="X46" i="47"/>
  <c r="Z46" i="47"/>
  <c r="AB46" i="47"/>
  <c r="AC46" i="47"/>
  <c r="AF46" i="47" s="1"/>
  <c r="AD46" i="47"/>
  <c r="AE46" i="47"/>
  <c r="AG46" i="47"/>
  <c r="AH46" i="47"/>
  <c r="AI46" i="47"/>
  <c r="AL46" i="47"/>
  <c r="B47" i="47"/>
  <c r="C47" i="47"/>
  <c r="V47" i="47" s="1"/>
  <c r="H47" i="47"/>
  <c r="I47" i="47"/>
  <c r="J47" i="47"/>
  <c r="L47" i="47"/>
  <c r="M47" i="47"/>
  <c r="N47" i="47"/>
  <c r="O47" i="47"/>
  <c r="P47" i="47"/>
  <c r="S47" i="47"/>
  <c r="X47" i="47"/>
  <c r="Z47" i="47"/>
  <c r="AB47" i="47"/>
  <c r="AC47" i="47"/>
  <c r="AD47" i="47"/>
  <c r="AE47" i="47"/>
  <c r="AG47" i="47"/>
  <c r="AI47" i="47" s="1"/>
  <c r="AH47" i="47"/>
  <c r="AL47" i="47"/>
  <c r="B48" i="47"/>
  <c r="C48" i="47"/>
  <c r="H48" i="47"/>
  <c r="I48" i="47"/>
  <c r="I53" i="47" s="1"/>
  <c r="J48" i="47"/>
  <c r="J55" i="47" s="1"/>
  <c r="L48" i="47"/>
  <c r="M48" i="47"/>
  <c r="N48" i="47"/>
  <c r="O48" i="47"/>
  <c r="O55" i="47" s="1"/>
  <c r="P48" i="47"/>
  <c r="S48" i="47"/>
  <c r="V48" i="47"/>
  <c r="X48" i="47"/>
  <c r="Z48" i="47"/>
  <c r="AB48" i="47"/>
  <c r="AC48" i="47"/>
  <c r="AF48" i="47" s="1"/>
  <c r="AD48" i="47"/>
  <c r="AE48" i="47"/>
  <c r="AG48" i="47"/>
  <c r="AH48" i="47"/>
  <c r="AI48" i="47"/>
  <c r="AL48" i="47"/>
  <c r="E50" i="47"/>
  <c r="F50" i="47"/>
  <c r="G50" i="47"/>
  <c r="H50" i="47"/>
  <c r="I50" i="47"/>
  <c r="L50" i="47"/>
  <c r="M50" i="47"/>
  <c r="P50" i="47"/>
  <c r="E51" i="47"/>
  <c r="F51" i="47"/>
  <c r="G51" i="47"/>
  <c r="H51" i="47"/>
  <c r="I51" i="47"/>
  <c r="L51" i="47"/>
  <c r="M51" i="47"/>
  <c r="N51" i="47"/>
  <c r="P51" i="47"/>
  <c r="E52" i="47"/>
  <c r="F52" i="47"/>
  <c r="G52" i="47"/>
  <c r="H52" i="47"/>
  <c r="I52" i="47"/>
  <c r="M52" i="47"/>
  <c r="N52" i="47"/>
  <c r="P52" i="47"/>
  <c r="E53" i="47"/>
  <c r="F53" i="47"/>
  <c r="G53" i="47"/>
  <c r="H53" i="47"/>
  <c r="L53" i="47"/>
  <c r="M53" i="47"/>
  <c r="N53" i="47"/>
  <c r="P53" i="47"/>
  <c r="E54" i="47"/>
  <c r="F54" i="47"/>
  <c r="G54" i="47"/>
  <c r="H54" i="47"/>
  <c r="I54" i="47"/>
  <c r="L54" i="47"/>
  <c r="M54" i="47"/>
  <c r="N54" i="47"/>
  <c r="P54" i="47"/>
  <c r="E55" i="47"/>
  <c r="F55" i="47"/>
  <c r="G55" i="47"/>
  <c r="H55" i="47"/>
  <c r="I55" i="47"/>
  <c r="L55" i="47"/>
  <c r="M55" i="47"/>
  <c r="N55" i="47"/>
  <c r="P55" i="47"/>
  <c r="B2" i="38"/>
  <c r="B2" i="40"/>
  <c r="N4" i="40"/>
  <c r="H9" i="40"/>
  <c r="D15" i="40"/>
  <c r="F15" i="40"/>
  <c r="H15" i="40" s="1"/>
  <c r="J17" i="40"/>
  <c r="A26" i="40"/>
  <c r="A27" i="40"/>
  <c r="A28" i="40"/>
  <c r="A29" i="40"/>
  <c r="A30" i="40"/>
  <c r="A31" i="40"/>
  <c r="A32" i="40"/>
  <c r="A33" i="40"/>
  <c r="A34" i="40"/>
  <c r="B2" i="8"/>
  <c r="L2" i="8"/>
  <c r="I4" i="8"/>
  <c r="G8" i="8"/>
  <c r="Q8" i="8" s="1"/>
  <c r="I8" i="8"/>
  <c r="B26" i="330" s="1"/>
  <c r="S8" i="8"/>
  <c r="S9" i="8"/>
  <c r="L12" i="8"/>
  <c r="L13" i="8"/>
  <c r="D18" i="8"/>
  <c r="E18" i="8"/>
  <c r="E24" i="8"/>
  <c r="O14" i="8" s="1"/>
  <c r="F18" i="8"/>
  <c r="G18" i="8"/>
  <c r="G24" i="8"/>
  <c r="Q15" i="8" s="1"/>
  <c r="L14" i="8"/>
  <c r="Q14" i="8"/>
  <c r="L15" i="8"/>
  <c r="O15" i="8"/>
  <c r="L16" i="8"/>
  <c r="O16" i="8"/>
  <c r="Q16" i="8"/>
  <c r="L18" i="8"/>
  <c r="O18" i="8"/>
  <c r="Q18" i="8"/>
  <c r="L20" i="8"/>
  <c r="Q20" i="8"/>
  <c r="L21" i="8"/>
  <c r="O21" i="8"/>
  <c r="L22" i="8"/>
  <c r="O22" i="8"/>
  <c r="Q22" i="8"/>
  <c r="L24" i="8"/>
  <c r="O24" i="8"/>
  <c r="Q24" i="8"/>
  <c r="L28" i="8"/>
  <c r="F29" i="8"/>
  <c r="L29" i="8"/>
  <c r="L30" i="8"/>
  <c r="I31" i="8"/>
  <c r="L31" i="8"/>
  <c r="Q31" i="8"/>
  <c r="D33" i="8"/>
  <c r="D38" i="8" s="1"/>
  <c r="D50" i="8" s="1"/>
  <c r="E33" i="8"/>
  <c r="F33" i="8"/>
  <c r="F38" i="8" s="1"/>
  <c r="G33" i="8"/>
  <c r="Q33" i="8" s="1"/>
  <c r="L33" i="8"/>
  <c r="L35" i="8"/>
  <c r="Q35" i="8"/>
  <c r="L36" i="8"/>
  <c r="E38" i="8"/>
  <c r="O38" i="8" s="1"/>
  <c r="G38" i="8"/>
  <c r="L38" i="8"/>
  <c r="Q38" i="8"/>
  <c r="L40" i="8"/>
  <c r="I41" i="8"/>
  <c r="L41" i="8"/>
  <c r="O41" i="8"/>
  <c r="L42" i="8"/>
  <c r="L43" i="8"/>
  <c r="O43" i="8"/>
  <c r="L44" i="8"/>
  <c r="O44" i="8"/>
  <c r="Q44" i="8"/>
  <c r="L45" i="8"/>
  <c r="L46" i="8"/>
  <c r="D48" i="8"/>
  <c r="E48" i="8"/>
  <c r="F48" i="8"/>
  <c r="G48" i="8"/>
  <c r="G50" i="8" s="1"/>
  <c r="L48" i="8"/>
  <c r="O48" i="8"/>
  <c r="Q48" i="8"/>
  <c r="F50" i="8"/>
  <c r="L50" i="8"/>
  <c r="B53" i="8"/>
  <c r="L53" i="8"/>
  <c r="D57" i="8"/>
  <c r="E57" i="8"/>
  <c r="E58" i="8" s="1"/>
  <c r="F57" i="8"/>
  <c r="F60" i="8" s="1"/>
  <c r="G57" i="8"/>
  <c r="G58" i="8" s="1"/>
  <c r="D58" i="8"/>
  <c r="D60" i="8" s="1"/>
  <c r="F58" i="8"/>
  <c r="G60" i="8"/>
  <c r="B2" i="10"/>
  <c r="I4" i="10"/>
  <c r="G8" i="10"/>
  <c r="F8" i="10"/>
  <c r="I8" i="10"/>
  <c r="L9" i="10"/>
  <c r="I14" i="10" s="1"/>
  <c r="O9" i="10"/>
  <c r="E13" i="10"/>
  <c r="F13" i="10"/>
  <c r="I15" i="10"/>
  <c r="D19" i="10"/>
  <c r="E19" i="10"/>
  <c r="E21" i="10" s="1"/>
  <c r="E36" i="10" s="1"/>
  <c r="F19" i="10"/>
  <c r="G19" i="10"/>
  <c r="G21" i="10" s="1"/>
  <c r="G36" i="10" s="1"/>
  <c r="D21" i="10"/>
  <c r="D27" i="10" s="1"/>
  <c r="F21" i="10"/>
  <c r="F27" i="10" s="1"/>
  <c r="E24" i="10"/>
  <c r="F24" i="10"/>
  <c r="I25" i="10"/>
  <c r="G27" i="10"/>
  <c r="G31" i="10" s="1"/>
  <c r="D31" i="10"/>
  <c r="F31" i="10"/>
  <c r="D36" i="10"/>
  <c r="F36" i="10"/>
  <c r="B39" i="10"/>
  <c r="B2" i="277"/>
  <c r="E4" i="277"/>
  <c r="F4" i="277"/>
  <c r="E8" i="277"/>
  <c r="F8" i="277" s="1"/>
  <c r="F16" i="277"/>
  <c r="F18" i="277"/>
  <c r="F21" i="277"/>
  <c r="F24" i="277"/>
  <c r="F26" i="277"/>
  <c r="B2" i="274"/>
  <c r="L4" i="274"/>
  <c r="X4" i="274"/>
  <c r="D10" i="274"/>
  <c r="O10" i="274"/>
  <c r="D11" i="274"/>
  <c r="C39" i="334" s="1"/>
  <c r="E39" i="334" s="1"/>
  <c r="N11" i="274"/>
  <c r="N13" i="274"/>
  <c r="O13" i="274"/>
  <c r="E15" i="274"/>
  <c r="F15" i="274"/>
  <c r="F78" i="274" s="1"/>
  <c r="B19" i="274"/>
  <c r="M19" i="274"/>
  <c r="N19" i="274"/>
  <c r="B20" i="274"/>
  <c r="K20" i="274"/>
  <c r="L20" i="274"/>
  <c r="B21" i="274"/>
  <c r="Q21" i="274"/>
  <c r="B22" i="274"/>
  <c r="B35" i="274" s="1"/>
  <c r="Q22" i="274"/>
  <c r="R22" i="274"/>
  <c r="S22" i="274" s="1"/>
  <c r="T22" i="274"/>
  <c r="U22" i="274" s="1"/>
  <c r="V22" i="274" s="1"/>
  <c r="B23" i="274"/>
  <c r="W23" i="274"/>
  <c r="X23" i="274"/>
  <c r="B24" i="274"/>
  <c r="W24" i="274"/>
  <c r="X24" i="274"/>
  <c r="B25" i="274"/>
  <c r="X25" i="274"/>
  <c r="B26" i="274"/>
  <c r="B39" i="274" s="1"/>
  <c r="X26" i="274"/>
  <c r="B27" i="274"/>
  <c r="AA31" i="274"/>
  <c r="B32" i="274"/>
  <c r="B82" i="274" s="1"/>
  <c r="B106" i="274" s="1"/>
  <c r="B33" i="274"/>
  <c r="AA33" i="274"/>
  <c r="B34" i="274"/>
  <c r="AA35" i="274"/>
  <c r="B36" i="274"/>
  <c r="B37" i="274"/>
  <c r="B38" i="274"/>
  <c r="AA39" i="274"/>
  <c r="B40" i="274"/>
  <c r="B41" i="274"/>
  <c r="AC41" i="274"/>
  <c r="AA41" i="274"/>
  <c r="B42" i="274"/>
  <c r="AC42" i="274"/>
  <c r="AA42" i="274"/>
  <c r="AC43" i="274"/>
  <c r="AA43" i="274"/>
  <c r="B44" i="274"/>
  <c r="AC44" i="274"/>
  <c r="AA44" i="274"/>
  <c r="AC45" i="274"/>
  <c r="AA45" i="274"/>
  <c r="AC46" i="274"/>
  <c r="AA46" i="274"/>
  <c r="B47" i="274"/>
  <c r="AC47" i="274"/>
  <c r="AA47" i="274"/>
  <c r="B48" i="274"/>
  <c r="B98" i="274" s="1"/>
  <c r="B122" i="274" s="1"/>
  <c r="AC48" i="274"/>
  <c r="AA48" i="274"/>
  <c r="F141" i="274" s="1"/>
  <c r="B49" i="274"/>
  <c r="AA49" i="274"/>
  <c r="B50" i="274"/>
  <c r="B100" i="274" s="1"/>
  <c r="AA50" i="274"/>
  <c r="I50" i="274"/>
  <c r="J50" i="274"/>
  <c r="K50" i="274"/>
  <c r="K100" i="274" s="1"/>
  <c r="L50" i="274"/>
  <c r="M50" i="274"/>
  <c r="N50" i="274"/>
  <c r="O50" i="274"/>
  <c r="O100" i="274" s="1"/>
  <c r="P50" i="274"/>
  <c r="Q50" i="274"/>
  <c r="R50" i="274"/>
  <c r="S50" i="274"/>
  <c r="S100" i="274" s="1"/>
  <c r="T50" i="274"/>
  <c r="U50" i="274"/>
  <c r="U100" i="274" s="1"/>
  <c r="V50" i="274"/>
  <c r="W50" i="274"/>
  <c r="W100" i="274" s="1"/>
  <c r="X50" i="274"/>
  <c r="D52" i="274"/>
  <c r="D62" i="274"/>
  <c r="E62" i="274"/>
  <c r="X65" i="274"/>
  <c r="X74" i="274" s="1"/>
  <c r="D78" i="274"/>
  <c r="E78" i="274"/>
  <c r="D82" i="274"/>
  <c r="E82" i="274"/>
  <c r="F82" i="274"/>
  <c r="G82" i="274"/>
  <c r="B83" i="274"/>
  <c r="D83" i="274"/>
  <c r="E83" i="274"/>
  <c r="F83" i="274"/>
  <c r="G83" i="274"/>
  <c r="B84" i="274"/>
  <c r="D84" i="274"/>
  <c r="E84" i="274"/>
  <c r="F84" i="274"/>
  <c r="B85" i="274"/>
  <c r="D85" i="274"/>
  <c r="E85" i="274"/>
  <c r="F85" i="274"/>
  <c r="B86" i="274"/>
  <c r="D86" i="274"/>
  <c r="E86" i="274"/>
  <c r="B87" i="274"/>
  <c r="D87" i="274"/>
  <c r="E87" i="274"/>
  <c r="B88" i="274"/>
  <c r="D88" i="274"/>
  <c r="B89" i="274"/>
  <c r="D89" i="274"/>
  <c r="B90" i="274"/>
  <c r="B114" i="274" s="1"/>
  <c r="B91" i="274"/>
  <c r="B92" i="274"/>
  <c r="B116" i="274" s="1"/>
  <c r="B94" i="274"/>
  <c r="B97" i="274"/>
  <c r="B121" i="274" s="1"/>
  <c r="B99" i="274"/>
  <c r="I100" i="274"/>
  <c r="J100" i="274"/>
  <c r="L100" i="274"/>
  <c r="M100" i="274"/>
  <c r="N100" i="274"/>
  <c r="P100" i="274"/>
  <c r="Q100" i="274"/>
  <c r="R100" i="274"/>
  <c r="T100" i="274"/>
  <c r="V100" i="274"/>
  <c r="X100" i="274"/>
  <c r="D104" i="274"/>
  <c r="E104" i="274"/>
  <c r="F104" i="274"/>
  <c r="B107" i="274"/>
  <c r="B108" i="274"/>
  <c r="B109" i="274"/>
  <c r="B135" i="274" s="1"/>
  <c r="B110" i="274"/>
  <c r="B111" i="274"/>
  <c r="B137" i="274" s="1"/>
  <c r="B112" i="274"/>
  <c r="B113" i="274"/>
  <c r="B115" i="274"/>
  <c r="B118" i="274"/>
  <c r="B123" i="274"/>
  <c r="B124" i="274"/>
  <c r="B142" i="274" s="1"/>
  <c r="B132" i="274"/>
  <c r="B133" i="274"/>
  <c r="F133" i="274"/>
  <c r="B134" i="274"/>
  <c r="F135" i="274"/>
  <c r="B136" i="274"/>
  <c r="B138" i="274"/>
  <c r="B139" i="274"/>
  <c r="F139" i="274"/>
  <c r="B140" i="274"/>
  <c r="F142" i="274"/>
  <c r="B144" i="274"/>
  <c r="B156" i="274"/>
  <c r="B157" i="274"/>
  <c r="B158" i="274"/>
  <c r="B159" i="274"/>
  <c r="B160" i="274"/>
  <c r="B161" i="274"/>
  <c r="B162" i="274"/>
  <c r="B163" i="274"/>
  <c r="B164" i="274"/>
  <c r="B165" i="274"/>
  <c r="B166" i="274"/>
  <c r="B168" i="274"/>
  <c r="B171" i="274"/>
  <c r="B172" i="274"/>
  <c r="B173" i="274"/>
  <c r="B174" i="274"/>
  <c r="B2" i="241"/>
  <c r="R4" i="241"/>
  <c r="W7" i="241"/>
  <c r="D9" i="241" s="1"/>
  <c r="D10" i="241"/>
  <c r="D11" i="241"/>
  <c r="C32" i="334" s="1"/>
  <c r="E32" i="334" s="1"/>
  <c r="E15" i="241"/>
  <c r="F15" i="241"/>
  <c r="G15" i="241" s="1"/>
  <c r="G62" i="241" s="1"/>
  <c r="B19" i="241"/>
  <c r="B20" i="241"/>
  <c r="B33" i="241" s="1"/>
  <c r="B21" i="241"/>
  <c r="B22" i="241"/>
  <c r="B23" i="241"/>
  <c r="B24" i="241"/>
  <c r="B37" i="241" s="1"/>
  <c r="B87" i="241" s="1"/>
  <c r="B25" i="241"/>
  <c r="B26" i="241"/>
  <c r="B27" i="241"/>
  <c r="U31" i="241"/>
  <c r="B32" i="241"/>
  <c r="U50" i="241"/>
  <c r="J50" i="241" s="1"/>
  <c r="P50" i="241"/>
  <c r="U33" i="241"/>
  <c r="B34" i="241"/>
  <c r="B35" i="241"/>
  <c r="B85" i="241" s="1"/>
  <c r="U35" i="241"/>
  <c r="B36" i="241"/>
  <c r="B38" i="241"/>
  <c r="B39" i="241"/>
  <c r="U39" i="241"/>
  <c r="B40" i="241"/>
  <c r="B41" i="241"/>
  <c r="W41" i="241"/>
  <c r="U41" i="241"/>
  <c r="B42" i="241"/>
  <c r="W42" i="241"/>
  <c r="U42" i="241"/>
  <c r="W43" i="241"/>
  <c r="U43" i="241"/>
  <c r="B44" i="241"/>
  <c r="W44" i="241"/>
  <c r="U44" i="241"/>
  <c r="W45" i="241"/>
  <c r="U45" i="241"/>
  <c r="W46" i="241"/>
  <c r="U46" i="241"/>
  <c r="B47" i="241"/>
  <c r="W47" i="241"/>
  <c r="U47" i="241"/>
  <c r="B48" i="241"/>
  <c r="W48" i="241"/>
  <c r="U48" i="241"/>
  <c r="B49" i="241"/>
  <c r="U49" i="241"/>
  <c r="B50" i="241"/>
  <c r="D52" i="241"/>
  <c r="E52" i="241"/>
  <c r="F52" i="241"/>
  <c r="G52" i="241"/>
  <c r="H52" i="241"/>
  <c r="D62" i="241"/>
  <c r="E62" i="241"/>
  <c r="F62" i="241"/>
  <c r="R65" i="241"/>
  <c r="R71" i="241" s="1"/>
  <c r="R70" i="241"/>
  <c r="D78" i="241"/>
  <c r="E78" i="241"/>
  <c r="F78" i="241"/>
  <c r="G78" i="241"/>
  <c r="B82" i="241"/>
  <c r="E82" i="241"/>
  <c r="B83" i="241"/>
  <c r="E83" i="241"/>
  <c r="B84" i="241"/>
  <c r="E84" i="241"/>
  <c r="E85" i="241"/>
  <c r="B86" i="241"/>
  <c r="E86" i="241"/>
  <c r="E87" i="241"/>
  <c r="B88" i="241"/>
  <c r="B89" i="241"/>
  <c r="B90" i="241"/>
  <c r="B91" i="241"/>
  <c r="B92" i="241"/>
  <c r="B94" i="241"/>
  <c r="B97" i="241"/>
  <c r="B98" i="241"/>
  <c r="B99" i="241"/>
  <c r="B100" i="241"/>
  <c r="P100" i="241"/>
  <c r="D104" i="241"/>
  <c r="E104" i="241"/>
  <c r="F104" i="241"/>
  <c r="G104" i="241"/>
  <c r="B106" i="241"/>
  <c r="B107" i="241"/>
  <c r="B108" i="241"/>
  <c r="B109" i="241"/>
  <c r="B110" i="241"/>
  <c r="B112" i="241"/>
  <c r="B113" i="241"/>
  <c r="B114" i="241"/>
  <c r="B115" i="241"/>
  <c r="B116" i="241"/>
  <c r="B118" i="241"/>
  <c r="B121" i="241"/>
  <c r="B122" i="241"/>
  <c r="B123" i="241"/>
  <c r="B124" i="241"/>
  <c r="B126" i="241"/>
  <c r="B144" i="241" s="1"/>
  <c r="B132" i="241"/>
  <c r="B133" i="241"/>
  <c r="F133" i="241"/>
  <c r="B134" i="241"/>
  <c r="B135" i="241"/>
  <c r="F135" i="241"/>
  <c r="B136" i="241"/>
  <c r="B138" i="241"/>
  <c r="B139" i="241"/>
  <c r="F139" i="241"/>
  <c r="B140" i="241"/>
  <c r="F141" i="241"/>
  <c r="B142" i="241"/>
  <c r="F142" i="241"/>
  <c r="B147" i="241"/>
  <c r="B157" i="241"/>
  <c r="B158" i="241"/>
  <c r="B159" i="241"/>
  <c r="B160" i="241"/>
  <c r="B161" i="241"/>
  <c r="B163" i="241"/>
  <c r="B164" i="241"/>
  <c r="B165" i="241"/>
  <c r="B166" i="241"/>
  <c r="B167" i="241"/>
  <c r="B169" i="241"/>
  <c r="B172" i="241"/>
  <c r="B173" i="241"/>
  <c r="B174" i="241"/>
  <c r="B175" i="241"/>
  <c r="B2" i="73"/>
  <c r="D4" i="73"/>
  <c r="D10" i="73"/>
  <c r="D12" i="73"/>
  <c r="D26" i="73"/>
  <c r="D28" i="73"/>
  <c r="D30" i="73" s="1"/>
  <c r="D45" i="73" s="1"/>
  <c r="B33" i="73"/>
  <c r="G33" i="73" a="1"/>
  <c r="G35" i="73" s="1"/>
  <c r="G36" i="73"/>
  <c r="G40" i="73"/>
  <c r="B34" i="73"/>
  <c r="B49" i="73" s="1"/>
  <c r="B75" i="73" s="1"/>
  <c r="B35" i="73"/>
  <c r="B36" i="73"/>
  <c r="B37" i="73"/>
  <c r="B38" i="73"/>
  <c r="B53" i="73" s="1"/>
  <c r="B79" i="73" s="1"/>
  <c r="B39" i="73"/>
  <c r="B40" i="73"/>
  <c r="B41" i="73"/>
  <c r="D43" i="73"/>
  <c r="B48" i="73"/>
  <c r="F49" i="73"/>
  <c r="D49" i="73"/>
  <c r="B50" i="73"/>
  <c r="B51" i="73"/>
  <c r="F51" i="73"/>
  <c r="D51" i="73" s="1"/>
  <c r="B52" i="73"/>
  <c r="B54" i="73"/>
  <c r="B55" i="73"/>
  <c r="F55" i="73"/>
  <c r="D55" i="73" s="1"/>
  <c r="B56" i="73"/>
  <c r="B57" i="73"/>
  <c r="F57" i="73"/>
  <c r="D57" i="73"/>
  <c r="H57" i="73"/>
  <c r="B58" i="73"/>
  <c r="F58" i="73"/>
  <c r="D58" i="73"/>
  <c r="H58" i="73"/>
  <c r="F59" i="73"/>
  <c r="D59" i="73"/>
  <c r="H59" i="73"/>
  <c r="B60" i="73"/>
  <c r="F60" i="73"/>
  <c r="D60" i="73"/>
  <c r="H60" i="73"/>
  <c r="F61" i="73"/>
  <c r="D61" i="73"/>
  <c r="H61" i="73"/>
  <c r="F62" i="73"/>
  <c r="D62" i="73"/>
  <c r="H62" i="73"/>
  <c r="B63" i="73"/>
  <c r="F63" i="73"/>
  <c r="D63" i="73"/>
  <c r="H63" i="73"/>
  <c r="B64" i="73"/>
  <c r="F64" i="73"/>
  <c r="D64" i="73"/>
  <c r="H64" i="73"/>
  <c r="B65" i="73"/>
  <c r="F65" i="73"/>
  <c r="D65" i="73"/>
  <c r="H65" i="73"/>
  <c r="I91" i="73" s="1"/>
  <c r="B66" i="73"/>
  <c r="F66" i="73"/>
  <c r="D66" i="73"/>
  <c r="B74" i="73"/>
  <c r="B76" i="73"/>
  <c r="B77" i="73"/>
  <c r="B78" i="73"/>
  <c r="B80" i="73"/>
  <c r="B81" i="73"/>
  <c r="B82" i="73"/>
  <c r="B83" i="73"/>
  <c r="I83" i="73"/>
  <c r="B84" i="73"/>
  <c r="I84" i="73"/>
  <c r="I85" i="73"/>
  <c r="B86" i="73"/>
  <c r="I86" i="73"/>
  <c r="I87" i="73"/>
  <c r="I88" i="73"/>
  <c r="B89" i="73"/>
  <c r="I89" i="73"/>
  <c r="B90" i="73"/>
  <c r="I90" i="73"/>
  <c r="B91" i="73"/>
  <c r="B92" i="73"/>
  <c r="B94" i="73"/>
  <c r="D99" i="73"/>
  <c r="C103" i="73"/>
  <c r="D103" i="73" s="1"/>
  <c r="C112" i="73"/>
  <c r="C128" i="73" s="1"/>
  <c r="C144" i="73" s="1"/>
  <c r="C119" i="73"/>
  <c r="D119" i="73"/>
  <c r="C135" i="73"/>
  <c r="D135" i="73"/>
  <c r="C151" i="73"/>
  <c r="D151" i="73"/>
  <c r="D157" i="73"/>
  <c r="D161" i="73" s="1"/>
  <c r="F32" i="236" s="1"/>
  <c r="C159" i="73"/>
  <c r="D159" i="73"/>
  <c r="B2" i="236"/>
  <c r="F4" i="236"/>
  <c r="I5" i="236"/>
  <c r="J5" i="236"/>
  <c r="K5" i="236"/>
  <c r="I7" i="236"/>
  <c r="I9" i="236" s="1"/>
  <c r="J7" i="236"/>
  <c r="K7" i="236"/>
  <c r="D9" i="236"/>
  <c r="C9" i="236"/>
  <c r="J13" i="236"/>
  <c r="D28" i="236"/>
  <c r="E28" i="236"/>
  <c r="F28" i="236"/>
  <c r="D32" i="236"/>
  <c r="I38" i="236"/>
  <c r="J40" i="236"/>
  <c r="C46" i="236"/>
  <c r="B51" i="236"/>
  <c r="B52" i="236"/>
  <c r="B54" i="236"/>
  <c r="B2" i="320"/>
  <c r="D4" i="320"/>
  <c r="D7" i="320"/>
  <c r="B2" i="4"/>
  <c r="J5" i="4"/>
  <c r="H4" i="4"/>
  <c r="B20" i="4"/>
  <c r="B21" i="4"/>
  <c r="D21" i="4"/>
  <c r="B2" i="133"/>
  <c r="K8" i="133"/>
  <c r="B8" i="133" s="1"/>
  <c r="G8" i="133" s="1"/>
  <c r="E8" i="133"/>
  <c r="K9" i="133"/>
  <c r="L9" i="133"/>
  <c r="B9" i="133"/>
  <c r="G9" i="133" s="1"/>
  <c r="E9" i="133"/>
  <c r="G10" i="133"/>
  <c r="E11" i="133"/>
  <c r="G11" i="133"/>
  <c r="J12" i="133"/>
  <c r="K12" i="133" s="1"/>
  <c r="B12" i="133" s="1"/>
  <c r="G12" i="133" s="1"/>
  <c r="L12" i="133"/>
  <c r="L13" i="133" s="1"/>
  <c r="L14" i="133" s="1"/>
  <c r="L15" i="133" s="1"/>
  <c r="E12" i="133"/>
  <c r="J13" i="133"/>
  <c r="K13" i="133" s="1"/>
  <c r="B13" i="133" s="1"/>
  <c r="G13" i="133" s="1"/>
  <c r="E13" i="133"/>
  <c r="E14" i="133"/>
  <c r="E15" i="133"/>
  <c r="G16" i="133"/>
  <c r="E17" i="133"/>
  <c r="G17" i="133"/>
  <c r="L18" i="133"/>
  <c r="E18" i="133"/>
  <c r="L19" i="133"/>
  <c r="E19" i="133"/>
  <c r="L20" i="133"/>
  <c r="E20" i="133"/>
  <c r="G21" i="133"/>
  <c r="E22" i="133"/>
  <c r="G22" i="133"/>
  <c r="L23" i="133"/>
  <c r="L24" i="133" s="1"/>
  <c r="E23" i="133"/>
  <c r="E24" i="133"/>
  <c r="G25" i="133"/>
  <c r="E26" i="133"/>
  <c r="G26" i="133"/>
  <c r="L27" i="133"/>
  <c r="E27" i="133"/>
  <c r="L28" i="133"/>
  <c r="E28" i="133"/>
  <c r="L29" i="133"/>
  <c r="E29" i="133"/>
  <c r="G30" i="133"/>
  <c r="E31" i="133"/>
  <c r="G31" i="133"/>
  <c r="L32" i="133"/>
  <c r="L33" i="133" s="1"/>
  <c r="L34" i="133" s="1"/>
  <c r="E32" i="133"/>
  <c r="E33" i="133"/>
  <c r="E34" i="133"/>
  <c r="G35" i="133"/>
  <c r="E36" i="133"/>
  <c r="G36" i="133"/>
  <c r="L37" i="133"/>
  <c r="L38" i="133" s="1"/>
  <c r="E37" i="133"/>
  <c r="E38" i="133"/>
  <c r="G39" i="133"/>
  <c r="E40" i="133"/>
  <c r="G40" i="133"/>
  <c r="E41" i="133"/>
  <c r="L42" i="133"/>
  <c r="L43" i="133" s="1"/>
  <c r="L44" i="133" s="1"/>
  <c r="L45" i="133" s="1"/>
  <c r="L46" i="133" s="1"/>
  <c r="L47" i="133" s="1"/>
  <c r="L48" i="133" s="1"/>
  <c r="E42" i="133"/>
  <c r="E43" i="133"/>
  <c r="E44" i="133"/>
  <c r="E45" i="133"/>
  <c r="E46" i="133"/>
  <c r="E47" i="133"/>
  <c r="B51" i="133"/>
  <c r="B8" i="284" s="1"/>
  <c r="E51" i="133"/>
  <c r="D8" i="284" s="1"/>
  <c r="K52" i="133"/>
  <c r="L52" i="133"/>
  <c r="B52" i="133" s="1"/>
  <c r="E52" i="133"/>
  <c r="D9" i="284" s="1"/>
  <c r="K53" i="133"/>
  <c r="K54" i="133" s="1"/>
  <c r="E53" i="133"/>
  <c r="D10" i="284" s="1"/>
  <c r="E54" i="133"/>
  <c r="D11" i="284" s="1"/>
  <c r="E55" i="133"/>
  <c r="D12" i="284" s="1"/>
  <c r="E56" i="133"/>
  <c r="D13" i="284" s="1"/>
  <c r="E57" i="133"/>
  <c r="D14" i="284" s="1"/>
  <c r="D9" i="1"/>
  <c r="D13" i="1"/>
  <c r="D15" i="1"/>
  <c r="J20" i="1"/>
  <c r="D20" i="1" s="1"/>
  <c r="B2" i="248"/>
  <c r="B2" i="142"/>
  <c r="B9" i="142"/>
  <c r="B10" i="142" s="1"/>
  <c r="B11" i="142" s="1"/>
  <c r="B12" i="142" s="1"/>
  <c r="B13" i="142" s="1"/>
  <c r="B14" i="142" s="1"/>
  <c r="B15" i="142" s="1"/>
  <c r="B16" i="142" s="1"/>
  <c r="B17" i="142" s="1"/>
  <c r="B22" i="142"/>
  <c r="B23" i="142"/>
  <c r="B24" i="142" s="1"/>
  <c r="B25" i="142" s="1"/>
  <c r="B26" i="142" s="1"/>
  <c r="B27" i="142" s="1"/>
  <c r="B28" i="142" s="1"/>
  <c r="B29" i="142" s="1"/>
  <c r="B30" i="142" s="1"/>
  <c r="B28" i="79"/>
  <c r="C28" i="79"/>
  <c r="A29" i="79"/>
  <c r="B29" i="79"/>
  <c r="C29" i="79"/>
  <c r="D29" i="79"/>
  <c r="A30" i="79"/>
  <c r="B30" i="79"/>
  <c r="C30" i="79"/>
  <c r="D30" i="79"/>
  <c r="A31" i="79"/>
  <c r="B31" i="79"/>
  <c r="C31" i="79"/>
  <c r="D31" i="79"/>
  <c r="A32" i="79"/>
  <c r="B32" i="79"/>
  <c r="C32" i="79"/>
  <c r="A33" i="79"/>
  <c r="B33" i="79"/>
  <c r="C33" i="79"/>
  <c r="D33" i="79"/>
  <c r="A34" i="79"/>
  <c r="B34" i="79"/>
  <c r="C34" i="79"/>
  <c r="D34" i="79"/>
  <c r="A35" i="79"/>
  <c r="B35" i="79"/>
  <c r="C35" i="79"/>
  <c r="D35" i="79"/>
  <c r="A36" i="79"/>
  <c r="B36" i="79"/>
  <c r="C36" i="79"/>
  <c r="A37" i="79"/>
  <c r="B37" i="79"/>
  <c r="C37" i="79"/>
  <c r="D37" i="79"/>
  <c r="A38" i="79"/>
  <c r="B38" i="79"/>
  <c r="C38" i="79"/>
  <c r="D38" i="79"/>
  <c r="A39" i="79"/>
  <c r="B39" i="79"/>
  <c r="C39" i="79"/>
  <c r="D39" i="79"/>
  <c r="A40" i="79"/>
  <c r="B40" i="79"/>
  <c r="C40" i="79"/>
  <c r="A41" i="79"/>
  <c r="B41" i="79"/>
  <c r="C41" i="79"/>
  <c r="D41" i="79"/>
  <c r="A42" i="79"/>
  <c r="B42" i="79"/>
  <c r="C42" i="79"/>
  <c r="D42" i="79"/>
  <c r="A43" i="79"/>
  <c r="B43" i="79"/>
  <c r="C43" i="79"/>
  <c r="D43" i="79"/>
  <c r="A44" i="79"/>
  <c r="B44" i="79"/>
  <c r="C44" i="79"/>
  <c r="A45" i="79"/>
  <c r="B45" i="79"/>
  <c r="C45" i="79"/>
  <c r="D45" i="79"/>
  <c r="A46" i="79"/>
  <c r="B46" i="79"/>
  <c r="C46" i="79"/>
  <c r="D46" i="79"/>
  <c r="A47" i="79"/>
  <c r="B47" i="79"/>
  <c r="C47" i="79"/>
  <c r="D47" i="79"/>
  <c r="A48" i="79"/>
  <c r="B48" i="79"/>
  <c r="C48" i="79"/>
  <c r="A49" i="79"/>
  <c r="B49" i="79"/>
  <c r="C49" i="79"/>
  <c r="D49" i="79"/>
  <c r="A50" i="79"/>
  <c r="B50" i="79"/>
  <c r="C50" i="79"/>
  <c r="D50" i="79"/>
  <c r="A51" i="79"/>
  <c r="B51" i="79"/>
  <c r="C51" i="79"/>
  <c r="D51" i="79"/>
  <c r="A52" i="79"/>
  <c r="B52" i="79"/>
  <c r="C52" i="79"/>
  <c r="D52" i="79"/>
  <c r="A53" i="79"/>
  <c r="B53" i="79"/>
  <c r="C53" i="79"/>
  <c r="D53" i="79"/>
  <c r="A54" i="79"/>
  <c r="B54" i="79"/>
  <c r="C54" i="79"/>
  <c r="D54" i="79"/>
  <c r="A55" i="79"/>
  <c r="B55" i="79"/>
  <c r="C55" i="79"/>
  <c r="D55" i="79"/>
  <c r="A56" i="79"/>
  <c r="B56" i="79"/>
  <c r="C56" i="79"/>
  <c r="D56" i="79"/>
  <c r="A57" i="79"/>
  <c r="B57" i="79"/>
  <c r="C57" i="79"/>
  <c r="D57" i="79"/>
  <c r="A58" i="79"/>
  <c r="B58" i="79"/>
  <c r="C58" i="79"/>
  <c r="D58" i="79"/>
  <c r="A59" i="79"/>
  <c r="B59" i="79"/>
  <c r="C59" i="79"/>
  <c r="D59" i="79"/>
  <c r="A60" i="79"/>
  <c r="B60" i="79"/>
  <c r="C60" i="79"/>
  <c r="D60" i="79"/>
  <c r="A61" i="79"/>
  <c r="B61" i="79"/>
  <c r="C61" i="79"/>
  <c r="D61" i="79"/>
  <c r="A5" i="123"/>
  <c r="A6" i="123"/>
  <c r="A7" i="123" s="1"/>
  <c r="A8" i="123" s="1"/>
  <c r="B10" i="214"/>
  <c r="B14" i="214"/>
  <c r="B18" i="214"/>
  <c r="B22" i="214"/>
  <c r="B26" i="214"/>
  <c r="B13" i="214"/>
  <c r="B17" i="214"/>
  <c r="B21" i="214"/>
  <c r="B25" i="214"/>
  <c r="B29" i="214"/>
  <c r="B12" i="214"/>
  <c r="B16" i="214"/>
  <c r="B20" i="214"/>
  <c r="B24" i="214"/>
  <c r="B28" i="214"/>
  <c r="B11" i="214"/>
  <c r="B15" i="214"/>
  <c r="B19" i="214"/>
  <c r="B23" i="214"/>
  <c r="B27" i="214"/>
  <c r="Y70" i="276" l="1"/>
  <c r="R74" i="241"/>
  <c r="X71" i="274"/>
  <c r="D70" i="73"/>
  <c r="AC49" i="274"/>
  <c r="F17" i="40"/>
  <c r="H58" i="241"/>
  <c r="W49" i="241"/>
  <c r="F58" i="241" s="1"/>
  <c r="Z31" i="47"/>
  <c r="Z27" i="47"/>
  <c r="Z21" i="47"/>
  <c r="Z17" i="47"/>
  <c r="Z13" i="47"/>
  <c r="X42" i="47"/>
  <c r="Z41" i="47"/>
  <c r="X38" i="47"/>
  <c r="X35" i="47"/>
  <c r="X34" i="47"/>
  <c r="X31" i="47"/>
  <c r="X30" i="47"/>
  <c r="X27" i="47"/>
  <c r="X26" i="47"/>
  <c r="X21" i="47"/>
  <c r="X20" i="47"/>
  <c r="X17" i="47"/>
  <c r="X16" i="47"/>
  <c r="X13" i="47"/>
  <c r="AB47" i="301"/>
  <c r="AB31" i="301"/>
  <c r="D48" i="79"/>
  <c r="D44" i="79"/>
  <c r="D40" i="79"/>
  <c r="D36" i="79"/>
  <c r="D32" i="79"/>
  <c r="D28" i="79"/>
  <c r="Z35" i="47"/>
  <c r="X41" i="47"/>
  <c r="Z37" i="47"/>
  <c r="S35" i="47"/>
  <c r="Z33" i="47"/>
  <c r="S31" i="47"/>
  <c r="Z29" i="47"/>
  <c r="S27" i="47"/>
  <c r="S21" i="47"/>
  <c r="Z19" i="47"/>
  <c r="S17" i="47"/>
  <c r="Z15" i="47"/>
  <c r="S13" i="47"/>
  <c r="AE2" i="47"/>
  <c r="J3" i="4" s="1"/>
  <c r="AB41" i="301"/>
  <c r="AB18" i="301"/>
  <c r="R27" i="214"/>
  <c r="AC27" i="214"/>
  <c r="S27" i="214"/>
  <c r="AD27" i="214"/>
  <c r="T27" i="214"/>
  <c r="AB27" i="214"/>
  <c r="R23" i="214"/>
  <c r="AC23" i="214"/>
  <c r="S23" i="214"/>
  <c r="AD23" i="214"/>
  <c r="T23" i="214"/>
  <c r="AB23" i="214"/>
  <c r="R19" i="214"/>
  <c r="AC19" i="214"/>
  <c r="S19" i="214"/>
  <c r="AD19" i="214"/>
  <c r="T19" i="214"/>
  <c r="AB19" i="214"/>
  <c r="R15" i="214"/>
  <c r="AC15" i="214"/>
  <c r="S15" i="214"/>
  <c r="AD15" i="214"/>
  <c r="T15" i="214"/>
  <c r="AB15" i="214"/>
  <c r="R11" i="214"/>
  <c r="AC11" i="214"/>
  <c r="S11" i="214"/>
  <c r="AD11" i="214"/>
  <c r="T11" i="214"/>
  <c r="AB11" i="214"/>
  <c r="S28" i="214"/>
  <c r="AD28" i="214"/>
  <c r="T28" i="214"/>
  <c r="AB28" i="214"/>
  <c r="R28" i="214"/>
  <c r="AC28" i="214"/>
  <c r="S24" i="214"/>
  <c r="AD24" i="214"/>
  <c r="T24" i="214"/>
  <c r="AB24" i="214"/>
  <c r="R24" i="214"/>
  <c r="AC24" i="214"/>
  <c r="S20" i="214"/>
  <c r="AD20" i="214"/>
  <c r="T20" i="214"/>
  <c r="AB20" i="214"/>
  <c r="R20" i="214"/>
  <c r="AC20" i="214"/>
  <c r="S16" i="214"/>
  <c r="AD16" i="214"/>
  <c r="T16" i="214"/>
  <c r="AB16" i="214"/>
  <c r="R16" i="214"/>
  <c r="AC16" i="214"/>
  <c r="S12" i="214"/>
  <c r="AD12" i="214"/>
  <c r="T12" i="214"/>
  <c r="AB12" i="214"/>
  <c r="R12" i="214"/>
  <c r="AC12" i="214"/>
  <c r="T29" i="214"/>
  <c r="AB29" i="214"/>
  <c r="R29" i="214"/>
  <c r="AC29" i="214"/>
  <c r="S29" i="214"/>
  <c r="AD29" i="214"/>
  <c r="T25" i="214"/>
  <c r="AB25" i="214"/>
  <c r="R25" i="214"/>
  <c r="AC25" i="214"/>
  <c r="S25" i="214"/>
  <c r="AD25" i="214"/>
  <c r="T21" i="214"/>
  <c r="AB21" i="214"/>
  <c r="R21" i="214"/>
  <c r="AC21" i="214"/>
  <c r="S21" i="214"/>
  <c r="AD21" i="214"/>
  <c r="T17" i="214"/>
  <c r="AB17" i="214"/>
  <c r="R17" i="214"/>
  <c r="AC17" i="214"/>
  <c r="S17" i="214"/>
  <c r="AD17" i="214"/>
  <c r="T13" i="214"/>
  <c r="AB13" i="214"/>
  <c r="R13" i="214"/>
  <c r="AC13" i="214"/>
  <c r="S13" i="214"/>
  <c r="AD13" i="214"/>
  <c r="AB26" i="214"/>
  <c r="R26" i="214"/>
  <c r="AC26" i="214"/>
  <c r="S26" i="214"/>
  <c r="AD26" i="214"/>
  <c r="T26" i="214"/>
  <c r="AB22" i="214"/>
  <c r="R22" i="214"/>
  <c r="AC22" i="214"/>
  <c r="S22" i="214"/>
  <c r="AD22" i="214"/>
  <c r="T22" i="214"/>
  <c r="AB18" i="214"/>
  <c r="R18" i="214"/>
  <c r="AC18" i="214"/>
  <c r="S18" i="214"/>
  <c r="AD18" i="214"/>
  <c r="T18" i="214"/>
  <c r="AB14" i="214"/>
  <c r="R14" i="214"/>
  <c r="AC14" i="214"/>
  <c r="S14" i="214"/>
  <c r="AD14" i="214"/>
  <c r="T14" i="214"/>
  <c r="Z49" i="214"/>
  <c r="Z50" i="214"/>
  <c r="Z47" i="214"/>
  <c r="Z51" i="214"/>
  <c r="Z48" i="214"/>
  <c r="Z52" i="214"/>
  <c r="AF49" i="214"/>
  <c r="AF50" i="214"/>
  <c r="AF47" i="214"/>
  <c r="AF51" i="214"/>
  <c r="AF48" i="214"/>
  <c r="AF52" i="214"/>
  <c r="AG48" i="214"/>
  <c r="AG52" i="214"/>
  <c r="AG49" i="214"/>
  <c r="AG50" i="214"/>
  <c r="AG47" i="214"/>
  <c r="AG51" i="214"/>
  <c r="V48" i="214"/>
  <c r="V52" i="214"/>
  <c r="V49" i="214"/>
  <c r="V50" i="214"/>
  <c r="V47" i="214"/>
  <c r="V51" i="214"/>
  <c r="X47" i="214"/>
  <c r="X51" i="214"/>
  <c r="X48" i="214"/>
  <c r="X52" i="214"/>
  <c r="X49" i="214"/>
  <c r="X50" i="214"/>
  <c r="Y50" i="214"/>
  <c r="Y47" i="214"/>
  <c r="Y51" i="214"/>
  <c r="Y48" i="214"/>
  <c r="Y52" i="214"/>
  <c r="Y49" i="214"/>
  <c r="U49" i="214"/>
  <c r="U50" i="214"/>
  <c r="U47" i="214"/>
  <c r="U51" i="214"/>
  <c r="U48" i="214"/>
  <c r="U52" i="214"/>
  <c r="N47" i="214"/>
  <c r="N51" i="214"/>
  <c r="N48" i="214"/>
  <c r="N52" i="214"/>
  <c r="N49" i="214"/>
  <c r="N50" i="214"/>
  <c r="AV4" i="57"/>
  <c r="AX4" i="57" s="1"/>
  <c r="K4" i="4" s="1"/>
  <c r="O50" i="214"/>
  <c r="O47" i="214"/>
  <c r="O51" i="214"/>
  <c r="O48" i="214"/>
  <c r="O52" i="214"/>
  <c r="O49" i="214"/>
  <c r="AV5" i="57"/>
  <c r="AX5" i="57" s="1"/>
  <c r="K5" i="4" s="1"/>
  <c r="P49" i="214"/>
  <c r="P50" i="214"/>
  <c r="P47" i="214"/>
  <c r="P51" i="214"/>
  <c r="P48" i="214"/>
  <c r="P52" i="214"/>
  <c r="AB10" i="214"/>
  <c r="I48" i="214"/>
  <c r="I52" i="214"/>
  <c r="R10" i="214"/>
  <c r="AC10" i="214"/>
  <c r="I49" i="214"/>
  <c r="S10" i="214"/>
  <c r="AD10" i="214"/>
  <c r="I50" i="214"/>
  <c r="T10" i="214"/>
  <c r="I47" i="214"/>
  <c r="I51" i="214"/>
  <c r="AV3" i="57"/>
  <c r="AX3" i="57" s="1"/>
  <c r="K3" i="4" s="1"/>
  <c r="L2" i="4"/>
  <c r="D20" i="248" s="1"/>
  <c r="I4" i="14"/>
  <c r="D47" i="14" s="1"/>
  <c r="N6" i="275"/>
  <c r="D9" i="243"/>
  <c r="K55" i="133"/>
  <c r="B111" i="241"/>
  <c r="B137" i="241" s="1"/>
  <c r="B162" i="241"/>
  <c r="B9" i="284"/>
  <c r="G52" i="133"/>
  <c r="F9" i="284" s="1"/>
  <c r="J33" i="241"/>
  <c r="J83" i="241" s="1"/>
  <c r="J35" i="241"/>
  <c r="J85" i="241" s="1"/>
  <c r="J39" i="241"/>
  <c r="J89" i="241" s="1"/>
  <c r="J100" i="241"/>
  <c r="B3" i="306"/>
  <c r="E57" i="280" s="1"/>
  <c r="M57" i="280" s="1"/>
  <c r="B3" i="320"/>
  <c r="G38" i="73"/>
  <c r="G34" i="73"/>
  <c r="G58" i="241"/>
  <c r="R50" i="241"/>
  <c r="H15" i="241"/>
  <c r="W22" i="274"/>
  <c r="AK48" i="47"/>
  <c r="AC53" i="332"/>
  <c r="AC52" i="332"/>
  <c r="AK47" i="47"/>
  <c r="AC51" i="332"/>
  <c r="AK46" i="47"/>
  <c r="AC50" i="332"/>
  <c r="AK45" i="47"/>
  <c r="AK44" i="47"/>
  <c r="AC49" i="332"/>
  <c r="AC48" i="332"/>
  <c r="AK43" i="47"/>
  <c r="AC47" i="332"/>
  <c r="AK42" i="47"/>
  <c r="AC46" i="332"/>
  <c r="AK41" i="47"/>
  <c r="AK40" i="47"/>
  <c r="AC45" i="332"/>
  <c r="AC44" i="332"/>
  <c r="AK39" i="47"/>
  <c r="AC43" i="332"/>
  <c r="AK38" i="47"/>
  <c r="AC42" i="332"/>
  <c r="AK37" i="47"/>
  <c r="AK36" i="47"/>
  <c r="AC41" i="332"/>
  <c r="AC40" i="332"/>
  <c r="AK35" i="47"/>
  <c r="AC39" i="332"/>
  <c r="AK34" i="47"/>
  <c r="AC38" i="332"/>
  <c r="AK33" i="47"/>
  <c r="AK32" i="47"/>
  <c r="AC37" i="332"/>
  <c r="AC36" i="332"/>
  <c r="AK31" i="47"/>
  <c r="AC35" i="332"/>
  <c r="AK30" i="47"/>
  <c r="AC34" i="332"/>
  <c r="AK29" i="47"/>
  <c r="AK28" i="47"/>
  <c r="AC33" i="332"/>
  <c r="AC32" i="332"/>
  <c r="AK27" i="47"/>
  <c r="AC31" i="332"/>
  <c r="AK26" i="47"/>
  <c r="AC30" i="332"/>
  <c r="AK25" i="47"/>
  <c r="AK24" i="47"/>
  <c r="AC29" i="332"/>
  <c r="AC19" i="332"/>
  <c r="AK21" i="47"/>
  <c r="AC18" i="332"/>
  <c r="AK20" i="47"/>
  <c r="AC17" i="332"/>
  <c r="AK19" i="47"/>
  <c r="AK18" i="47"/>
  <c r="AC16" i="332"/>
  <c r="AC15" i="332"/>
  <c r="AK17" i="47"/>
  <c r="AC14" i="332"/>
  <c r="AK16" i="47"/>
  <c r="AC13" i="332"/>
  <c r="AK15" i="47"/>
  <c r="AC12" i="332"/>
  <c r="AK14" i="47"/>
  <c r="AK13" i="47"/>
  <c r="AC11" i="332"/>
  <c r="B3" i="4"/>
  <c r="D112" i="73"/>
  <c r="D128" i="73" s="1"/>
  <c r="D144" i="73" s="1"/>
  <c r="G41" i="73"/>
  <c r="G37" i="73"/>
  <c r="G33" i="73"/>
  <c r="P33" i="241"/>
  <c r="P83" i="241" s="1"/>
  <c r="P35" i="241"/>
  <c r="P85" i="241" s="1"/>
  <c r="P39" i="241"/>
  <c r="P89" i="241" s="1"/>
  <c r="K50" i="241"/>
  <c r="M50" i="241"/>
  <c r="O50" i="241"/>
  <c r="Q50" i="241"/>
  <c r="I50" i="241"/>
  <c r="C30" i="334"/>
  <c r="I2" i="14"/>
  <c r="D29" i="64"/>
  <c r="D30" i="64" s="1"/>
  <c r="H29" i="64"/>
  <c r="N6" i="244"/>
  <c r="F29" i="64"/>
  <c r="F30" i="64" s="1"/>
  <c r="E29" i="64"/>
  <c r="G29" i="64"/>
  <c r="I29" i="64"/>
  <c r="Z53" i="301"/>
  <c r="W53" i="306"/>
  <c r="M46" i="13"/>
  <c r="AB53" i="276"/>
  <c r="AB53" i="275"/>
  <c r="AB53" i="244"/>
  <c r="Z51" i="301"/>
  <c r="W51" i="306"/>
  <c r="AB51" i="275"/>
  <c r="M44" i="13"/>
  <c r="AB51" i="244"/>
  <c r="AB51" i="276"/>
  <c r="Z49" i="301"/>
  <c r="W49" i="306"/>
  <c r="AB49" i="276"/>
  <c r="M42" i="13"/>
  <c r="AB49" i="275"/>
  <c r="AB49" i="244"/>
  <c r="Z47" i="301"/>
  <c r="W47" i="306"/>
  <c r="AB47" i="275"/>
  <c r="M40" i="13"/>
  <c r="AB47" i="244"/>
  <c r="AB47" i="276"/>
  <c r="Z45" i="301"/>
  <c r="W45" i="306"/>
  <c r="M38" i="13"/>
  <c r="AB45" i="276"/>
  <c r="AB45" i="275"/>
  <c r="AB45" i="244"/>
  <c r="Z43" i="301"/>
  <c r="W43" i="306"/>
  <c r="M36" i="13"/>
  <c r="AB43" i="275"/>
  <c r="AB43" i="244"/>
  <c r="AB43" i="276"/>
  <c r="Z41" i="301"/>
  <c r="W41" i="306"/>
  <c r="M34" i="13"/>
  <c r="AB41" i="276"/>
  <c r="AB41" i="275"/>
  <c r="AB41" i="244"/>
  <c r="Z39" i="301"/>
  <c r="W39" i="306"/>
  <c r="M32" i="13"/>
  <c r="AB39" i="275"/>
  <c r="AB39" i="244"/>
  <c r="AB39" i="276"/>
  <c r="Z36" i="301"/>
  <c r="W36" i="306"/>
  <c r="AB36" i="275"/>
  <c r="M29" i="13"/>
  <c r="AB36" i="244"/>
  <c r="AB36" i="276"/>
  <c r="Z34" i="301"/>
  <c r="W34" i="306"/>
  <c r="M27" i="13"/>
  <c r="AB34" i="275"/>
  <c r="AB34" i="244"/>
  <c r="AB34" i="276"/>
  <c r="Z32" i="301"/>
  <c r="W32" i="306"/>
  <c r="M25" i="13"/>
  <c r="AB32" i="275"/>
  <c r="AB32" i="244"/>
  <c r="AB32" i="276"/>
  <c r="Z19" i="301"/>
  <c r="W19" i="306"/>
  <c r="M19" i="13"/>
  <c r="AB19" i="276"/>
  <c r="AB19" i="275"/>
  <c r="AB19" i="244"/>
  <c r="G51" i="133"/>
  <c r="F8" i="284" s="1"/>
  <c r="J14" i="133"/>
  <c r="B3" i="73"/>
  <c r="D58" i="241"/>
  <c r="N50" i="241"/>
  <c r="D70" i="244"/>
  <c r="D9" i="274"/>
  <c r="V52" i="47"/>
  <c r="V53" i="47"/>
  <c r="V50" i="47"/>
  <c r="V54" i="47"/>
  <c r="V51" i="47"/>
  <c r="V55" i="47"/>
  <c r="Z52" i="301"/>
  <c r="W52" i="306"/>
  <c r="M45" i="13"/>
  <c r="AB52" i="275"/>
  <c r="AB52" i="276"/>
  <c r="AB52" i="244"/>
  <c r="Z50" i="301"/>
  <c r="W50" i="306"/>
  <c r="M43" i="13"/>
  <c r="AB50" i="275"/>
  <c r="AB50" i="244"/>
  <c r="AB50" i="276"/>
  <c r="Z48" i="301"/>
  <c r="W48" i="306"/>
  <c r="M41" i="13"/>
  <c r="AB48" i="275"/>
  <c r="AB48" i="276"/>
  <c r="AB48" i="244"/>
  <c r="Z46" i="301"/>
  <c r="W46" i="306"/>
  <c r="M39" i="13"/>
  <c r="AB46" i="275"/>
  <c r="AB46" i="244"/>
  <c r="AB46" i="276"/>
  <c r="Z44" i="301"/>
  <c r="W44" i="306"/>
  <c r="M37" i="13"/>
  <c r="AB44" i="275"/>
  <c r="AB44" i="276"/>
  <c r="AB44" i="244"/>
  <c r="Z42" i="301"/>
  <c r="W42" i="306"/>
  <c r="M35" i="13"/>
  <c r="AB42" i="275"/>
  <c r="AB42" i="276"/>
  <c r="AB42" i="244"/>
  <c r="Z40" i="301"/>
  <c r="W40" i="306"/>
  <c r="M33" i="13"/>
  <c r="AB40" i="275"/>
  <c r="AB40" i="276"/>
  <c r="AB40" i="244"/>
  <c r="Z38" i="301"/>
  <c r="W38" i="306"/>
  <c r="M31" i="13"/>
  <c r="AB38" i="275"/>
  <c r="AB38" i="276"/>
  <c r="AB38" i="244"/>
  <c r="Z37" i="301"/>
  <c r="W37" i="306"/>
  <c r="M30" i="13"/>
  <c r="AB37" i="276"/>
  <c r="AB37" i="275"/>
  <c r="AB37" i="244"/>
  <c r="Z35" i="301"/>
  <c r="W35" i="306"/>
  <c r="M28" i="13"/>
  <c r="AB35" i="276"/>
  <c r="AB35" i="275"/>
  <c r="AB35" i="244"/>
  <c r="Z33" i="301"/>
  <c r="W33" i="306"/>
  <c r="M26" i="13"/>
  <c r="AB33" i="276"/>
  <c r="AB33" i="275"/>
  <c r="AB33" i="244"/>
  <c r="Z31" i="301"/>
  <c r="W31" i="306"/>
  <c r="M24" i="13"/>
  <c r="AB31" i="276"/>
  <c r="AB31" i="275"/>
  <c r="AB31" i="244"/>
  <c r="Z30" i="301"/>
  <c r="W30" i="306"/>
  <c r="M23" i="13"/>
  <c r="AB30" i="275"/>
  <c r="AB30" i="244"/>
  <c r="AB30" i="276"/>
  <c r="Z29" i="301"/>
  <c r="W29" i="306"/>
  <c r="M22" i="13"/>
  <c r="AB29" i="276"/>
  <c r="AB29" i="275"/>
  <c r="AB29" i="244"/>
  <c r="W18" i="306"/>
  <c r="Z18" i="301"/>
  <c r="M18" i="13"/>
  <c r="AB18" i="244"/>
  <c r="AB18" i="275"/>
  <c r="AB18" i="276"/>
  <c r="Z17" i="301"/>
  <c r="W17" i="306"/>
  <c r="M17" i="13"/>
  <c r="AB17" i="275"/>
  <c r="AB17" i="276"/>
  <c r="AB17" i="244"/>
  <c r="Z16" i="301"/>
  <c r="W16" i="306"/>
  <c r="AB16" i="275"/>
  <c r="M16" i="13"/>
  <c r="AB16" i="276"/>
  <c r="AB16" i="244"/>
  <c r="Z15" i="301"/>
  <c r="W15" i="306"/>
  <c r="M15" i="13"/>
  <c r="AB15" i="276"/>
  <c r="AB15" i="275"/>
  <c r="AB15" i="244"/>
  <c r="Z14" i="301"/>
  <c r="W14" i="306"/>
  <c r="AB14" i="275"/>
  <c r="M14" i="13"/>
  <c r="AB14" i="244"/>
  <c r="AB14" i="276"/>
  <c r="Z13" i="301"/>
  <c r="W13" i="306"/>
  <c r="M13" i="13"/>
  <c r="AB13" i="275"/>
  <c r="AB13" i="276"/>
  <c r="AB13" i="244"/>
  <c r="Z12" i="301"/>
  <c r="W12" i="306"/>
  <c r="AB12" i="275"/>
  <c r="M12" i="13"/>
  <c r="AB12" i="276"/>
  <c r="AB12" i="244"/>
  <c r="Z11" i="301"/>
  <c r="W11" i="306"/>
  <c r="M11" i="13"/>
  <c r="AB11" i="276"/>
  <c r="AB11" i="275"/>
  <c r="AB11" i="244"/>
  <c r="L53" i="133"/>
  <c r="L54" i="133" s="1"/>
  <c r="L55" i="133" s="1"/>
  <c r="L56" i="133" s="1"/>
  <c r="L57" i="133" s="1"/>
  <c r="C25" i="334"/>
  <c r="E25" i="334" s="1"/>
  <c r="AB74" i="275"/>
  <c r="B3" i="236"/>
  <c r="H9" i="4" s="1"/>
  <c r="G39" i="73"/>
  <c r="D27" i="64"/>
  <c r="D28" i="64" s="1"/>
  <c r="H27" i="64"/>
  <c r="G27" i="64"/>
  <c r="I27" i="64"/>
  <c r="C27" i="64"/>
  <c r="E58" i="241"/>
  <c r="L50" i="241"/>
  <c r="X70" i="274"/>
  <c r="M20" i="274"/>
  <c r="E27" i="10"/>
  <c r="E31" i="10" s="1"/>
  <c r="E8" i="10"/>
  <c r="F8" i="8"/>
  <c r="P8" i="8" s="1"/>
  <c r="E60" i="8"/>
  <c r="G69" i="8"/>
  <c r="Q50" i="8"/>
  <c r="Q43" i="8"/>
  <c r="Q41" i="8"/>
  <c r="O35" i="8"/>
  <c r="O31" i="8"/>
  <c r="Q21" i="8"/>
  <c r="O20" i="8"/>
  <c r="T48" i="47"/>
  <c r="Y48" i="47"/>
  <c r="R48" i="47"/>
  <c r="W48" i="47"/>
  <c r="AF47" i="47"/>
  <c r="T46" i="47"/>
  <c r="Y46" i="47"/>
  <c r="R46" i="47"/>
  <c r="W46" i="47"/>
  <c r="AF45" i="47"/>
  <c r="T44" i="47"/>
  <c r="Y44" i="47"/>
  <c r="R44" i="47"/>
  <c r="W44" i="47"/>
  <c r="AF43" i="47"/>
  <c r="T42" i="47"/>
  <c r="Y42" i="47"/>
  <c r="R42" i="47"/>
  <c r="W42" i="47"/>
  <c r="AF41" i="47"/>
  <c r="T40" i="47"/>
  <c r="Y40" i="47"/>
  <c r="R40" i="47"/>
  <c r="W40" i="47"/>
  <c r="AF39" i="47"/>
  <c r="T38" i="47"/>
  <c r="Y38" i="47"/>
  <c r="R38" i="47"/>
  <c r="W38" i="47"/>
  <c r="AF37" i="47"/>
  <c r="T36" i="47"/>
  <c r="Y36" i="47"/>
  <c r="R36" i="47"/>
  <c r="W36" i="47"/>
  <c r="AF35" i="47"/>
  <c r="T34" i="47"/>
  <c r="Y34" i="47"/>
  <c r="R34" i="47"/>
  <c r="W34" i="47"/>
  <c r="AF33" i="47"/>
  <c r="T32" i="47"/>
  <c r="Y32" i="47"/>
  <c r="R32" i="47"/>
  <c r="W32" i="47"/>
  <c r="AF31" i="47"/>
  <c r="T30" i="47"/>
  <c r="Y30" i="47"/>
  <c r="R30" i="47"/>
  <c r="W30" i="47"/>
  <c r="AF29" i="47"/>
  <c r="T28" i="47"/>
  <c r="Y28" i="47"/>
  <c r="R28" i="47"/>
  <c r="W28" i="47"/>
  <c r="AF27" i="47"/>
  <c r="T26" i="47"/>
  <c r="Y26" i="47"/>
  <c r="R26" i="47"/>
  <c r="W26" i="47"/>
  <c r="AF25" i="47"/>
  <c r="T24" i="47"/>
  <c r="Y24" i="47"/>
  <c r="R24" i="47"/>
  <c r="W24" i="47"/>
  <c r="AF21" i="47"/>
  <c r="T20" i="47"/>
  <c r="Y20" i="47"/>
  <c r="R20" i="47"/>
  <c r="W20" i="47"/>
  <c r="AF19" i="47"/>
  <c r="T18" i="47"/>
  <c r="Y18" i="47"/>
  <c r="R18" i="47"/>
  <c r="W18" i="47"/>
  <c r="AF17" i="47"/>
  <c r="T16" i="47"/>
  <c r="Y16" i="47"/>
  <c r="R16" i="47"/>
  <c r="W16" i="47"/>
  <c r="AF15" i="47"/>
  <c r="T14" i="47"/>
  <c r="Y14" i="47"/>
  <c r="R14" i="47"/>
  <c r="W14" i="47"/>
  <c r="AF13" i="47"/>
  <c r="I57" i="332"/>
  <c r="I58" i="332"/>
  <c r="I55" i="332"/>
  <c r="I59" i="332"/>
  <c r="I56" i="332"/>
  <c r="I60" i="332"/>
  <c r="AB14" i="332"/>
  <c r="M16" i="63"/>
  <c r="M20" i="63" s="1"/>
  <c r="D58" i="274"/>
  <c r="L56" i="8"/>
  <c r="I13" i="10"/>
  <c r="I24" i="10"/>
  <c r="L31" i="10"/>
  <c r="I16" i="10"/>
  <c r="I34" i="10"/>
  <c r="F24" i="8"/>
  <c r="P38" i="8" s="1"/>
  <c r="D24" i="8"/>
  <c r="N18" i="8" s="1"/>
  <c r="C29" i="64"/>
  <c r="C37" i="334"/>
  <c r="E37" i="334" s="1"/>
  <c r="I3" i="14"/>
  <c r="D31" i="14" s="1"/>
  <c r="N6" i="276"/>
  <c r="J31" i="64"/>
  <c r="J32" i="64" s="1"/>
  <c r="J37" i="64" s="1"/>
  <c r="J40" i="64" s="1"/>
  <c r="N10" i="274"/>
  <c r="D31" i="64"/>
  <c r="D32" i="64" s="1"/>
  <c r="F31" i="64"/>
  <c r="F32" i="64" s="1"/>
  <c r="F37" i="64" s="1"/>
  <c r="F40" i="64" s="1"/>
  <c r="H31" i="64"/>
  <c r="I13" i="277"/>
  <c r="E50" i="8"/>
  <c r="N38" i="8"/>
  <c r="Q30" i="8"/>
  <c r="Q36" i="8"/>
  <c r="Q46" i="8"/>
  <c r="Q13" i="8"/>
  <c r="Q29" i="8"/>
  <c r="Q42" i="8"/>
  <c r="Q45" i="8"/>
  <c r="O13" i="8"/>
  <c r="O29" i="8"/>
  <c r="O33" i="8"/>
  <c r="O42" i="8"/>
  <c r="O45" i="8"/>
  <c r="O30" i="8"/>
  <c r="O36" i="8"/>
  <c r="O46" i="8"/>
  <c r="T47" i="47"/>
  <c r="Y47" i="47"/>
  <c r="R47" i="47"/>
  <c r="W47" i="47"/>
  <c r="T45" i="47"/>
  <c r="Y45" i="47"/>
  <c r="R45" i="47"/>
  <c r="W45" i="47"/>
  <c r="T43" i="47"/>
  <c r="Y43" i="47"/>
  <c r="R43" i="47"/>
  <c r="W43" i="47"/>
  <c r="T41" i="47"/>
  <c r="Y41" i="47"/>
  <c r="R41" i="47"/>
  <c r="W41" i="47"/>
  <c r="T39" i="47"/>
  <c r="Y39" i="47"/>
  <c r="R39" i="47"/>
  <c r="W39" i="47"/>
  <c r="T37" i="47"/>
  <c r="Y37" i="47"/>
  <c r="R37" i="47"/>
  <c r="W37" i="47"/>
  <c r="T35" i="47"/>
  <c r="Y35" i="47"/>
  <c r="R35" i="47"/>
  <c r="W35" i="47"/>
  <c r="T33" i="47"/>
  <c r="Y33" i="47"/>
  <c r="R33" i="47"/>
  <c r="W33" i="47"/>
  <c r="T31" i="47"/>
  <c r="Y31" i="47"/>
  <c r="R31" i="47"/>
  <c r="W31" i="47"/>
  <c r="T29" i="47"/>
  <c r="Y29" i="47"/>
  <c r="R29" i="47"/>
  <c r="W29" i="47"/>
  <c r="T27" i="47"/>
  <c r="Y27" i="47"/>
  <c r="R27" i="47"/>
  <c r="W27" i="47"/>
  <c r="T25" i="47"/>
  <c r="Y25" i="47"/>
  <c r="R25" i="47"/>
  <c r="W25" i="47"/>
  <c r="T21" i="47"/>
  <c r="Y21" i="47"/>
  <c r="R21" i="47"/>
  <c r="W21" i="47"/>
  <c r="T19" i="47"/>
  <c r="Y19" i="47"/>
  <c r="R19" i="47"/>
  <c r="W19" i="47"/>
  <c r="T17" i="47"/>
  <c r="Y17" i="47"/>
  <c r="R17" i="47"/>
  <c r="W17" i="47"/>
  <c r="T15" i="47"/>
  <c r="Y15" i="47"/>
  <c r="R15" i="47"/>
  <c r="W15" i="47"/>
  <c r="T13" i="47"/>
  <c r="Y13" i="47"/>
  <c r="C50" i="47"/>
  <c r="C51" i="47"/>
  <c r="C52" i="47"/>
  <c r="C53" i="47"/>
  <c r="C54" i="47"/>
  <c r="C55" i="47"/>
  <c r="R13" i="47"/>
  <c r="W13" i="47"/>
  <c r="Z48" i="332"/>
  <c r="Z44" i="332"/>
  <c r="Z40" i="332"/>
  <c r="Z36" i="332"/>
  <c r="Z32" i="332"/>
  <c r="V29" i="332"/>
  <c r="L29" i="332"/>
  <c r="Z15" i="332"/>
  <c r="K27" i="64"/>
  <c r="D37" i="64"/>
  <c r="D40" i="64" s="1"/>
  <c r="R21" i="274"/>
  <c r="O19" i="274"/>
  <c r="F62" i="274"/>
  <c r="G15" i="274"/>
  <c r="I17" i="10"/>
  <c r="AB4" i="47"/>
  <c r="M8" i="47"/>
  <c r="O8" i="47"/>
  <c r="S56" i="332"/>
  <c r="S60" i="332"/>
  <c r="S57" i="332"/>
  <c r="S58" i="332"/>
  <c r="S55" i="332"/>
  <c r="S59" i="332"/>
  <c r="E27" i="64"/>
  <c r="R60" i="332"/>
  <c r="N60" i="332"/>
  <c r="E60" i="332"/>
  <c r="O59" i="332"/>
  <c r="F59" i="332"/>
  <c r="P58" i="332"/>
  <c r="K58" i="332"/>
  <c r="G58" i="332"/>
  <c r="U57" i="332"/>
  <c r="Q57" i="332"/>
  <c r="H57" i="332"/>
  <c r="D57" i="332"/>
  <c r="R56" i="332"/>
  <c r="N56" i="332"/>
  <c r="E56" i="332"/>
  <c r="O55" i="332"/>
  <c r="F55" i="332"/>
  <c r="X53" i="332"/>
  <c r="Y52" i="332"/>
  <c r="Y48" i="332"/>
  <c r="Y44" i="332"/>
  <c r="Y40" i="332"/>
  <c r="Y36" i="332"/>
  <c r="Y32" i="332"/>
  <c r="U26" i="332"/>
  <c r="Q26" i="332"/>
  <c r="H26" i="332"/>
  <c r="D26" i="332"/>
  <c r="R25" i="332"/>
  <c r="N25" i="332"/>
  <c r="E25" i="332"/>
  <c r="Q24" i="332"/>
  <c r="K24" i="332"/>
  <c r="Q23" i="332"/>
  <c r="E23" i="332"/>
  <c r="E22" i="332"/>
  <c r="P21" i="332"/>
  <c r="Y19" i="332"/>
  <c r="I17" i="332"/>
  <c r="J17" i="332"/>
  <c r="L17" i="332" s="1"/>
  <c r="Z17" i="332" s="1"/>
  <c r="S13" i="332"/>
  <c r="V11" i="332"/>
  <c r="R24" i="332"/>
  <c r="N24" i="332"/>
  <c r="AE29" i="57"/>
  <c r="L26" i="57"/>
  <c r="I25" i="57"/>
  <c r="AC21" i="57"/>
  <c r="AC19" i="57"/>
  <c r="AC15" i="57"/>
  <c r="AC13" i="57"/>
  <c r="AH24" i="57"/>
  <c r="AH28" i="57"/>
  <c r="AH26" i="57"/>
  <c r="AI27" i="57"/>
  <c r="AI25" i="57"/>
  <c r="AI29" i="57"/>
  <c r="AD27" i="57"/>
  <c r="AD25" i="57"/>
  <c r="AD29" i="57"/>
  <c r="W25" i="57"/>
  <c r="W29" i="57"/>
  <c r="AA9" i="57"/>
  <c r="W27" i="57"/>
  <c r="AC9" i="57"/>
  <c r="M19" i="64"/>
  <c r="N42" i="64" s="1"/>
  <c r="B28" i="63"/>
  <c r="I11" i="64"/>
  <c r="I13" i="64" s="1"/>
  <c r="I16" i="64" s="1"/>
  <c r="J11" i="63"/>
  <c r="K29" i="64"/>
  <c r="M22" i="64"/>
  <c r="N45" i="64" s="1"/>
  <c r="J27" i="64"/>
  <c r="J28" i="64" s="1"/>
  <c r="J29" i="64"/>
  <c r="J30" i="64" s="1"/>
  <c r="D40" i="243"/>
  <c r="D50" i="243"/>
  <c r="D27" i="243"/>
  <c r="AD39" i="244"/>
  <c r="AD14" i="244"/>
  <c r="AD13" i="244"/>
  <c r="AD51" i="276"/>
  <c r="AD43" i="276"/>
  <c r="AD12" i="276"/>
  <c r="Q60" i="332"/>
  <c r="N59" i="332"/>
  <c r="E59" i="332"/>
  <c r="O58" i="332"/>
  <c r="F58" i="332"/>
  <c r="P57" i="332"/>
  <c r="G57" i="332"/>
  <c r="Q56" i="332"/>
  <c r="N55" i="332"/>
  <c r="E55" i="332"/>
  <c r="X52" i="332"/>
  <c r="X60" i="332" s="1"/>
  <c r="J52" i="332"/>
  <c r="L52" i="332" s="1"/>
  <c r="Z52" i="332" s="1"/>
  <c r="Y51" i="332"/>
  <c r="T51" i="332"/>
  <c r="V51" i="332" s="1"/>
  <c r="Z51" i="332" s="1"/>
  <c r="Y47" i="332"/>
  <c r="Y43" i="332"/>
  <c r="Y39" i="332"/>
  <c r="Y35" i="332"/>
  <c r="Y31" i="332"/>
  <c r="P26" i="332"/>
  <c r="U25" i="332"/>
  <c r="Q25" i="332"/>
  <c r="D25" i="332"/>
  <c r="U24" i="332"/>
  <c r="P24" i="332"/>
  <c r="D24" i="332"/>
  <c r="U23" i="332"/>
  <c r="D23" i="332"/>
  <c r="O22" i="332"/>
  <c r="X19" i="332"/>
  <c r="X25" i="332" s="1"/>
  <c r="S19" i="332"/>
  <c r="Y15" i="332"/>
  <c r="J13" i="332"/>
  <c r="Q21" i="332"/>
  <c r="H21" i="332"/>
  <c r="D21" i="332"/>
  <c r="K22" i="332"/>
  <c r="G22" i="332"/>
  <c r="AB22" i="57"/>
  <c r="AL22" i="57"/>
  <c r="AB20" i="57"/>
  <c r="AL20" i="57"/>
  <c r="AB18" i="57"/>
  <c r="AL18" i="57"/>
  <c r="AB16" i="57"/>
  <c r="AL16" i="57"/>
  <c r="AB14" i="57"/>
  <c r="AL14" i="57"/>
  <c r="AB12" i="57"/>
  <c r="AL12" i="57"/>
  <c r="AM24" i="57"/>
  <c r="AM28" i="57"/>
  <c r="AM26" i="57"/>
  <c r="I26" i="57"/>
  <c r="AB10" i="57"/>
  <c r="AB27" i="57" s="1"/>
  <c r="AL10" i="57"/>
  <c r="I24" i="57"/>
  <c r="I28" i="57"/>
  <c r="AO27" i="57"/>
  <c r="AO25" i="57"/>
  <c r="AO29" i="57"/>
  <c r="AB29" i="57"/>
  <c r="L27" i="57"/>
  <c r="U9" i="57"/>
  <c r="L25" i="57"/>
  <c r="L29" i="57"/>
  <c r="M17" i="64"/>
  <c r="N39" i="64" s="1"/>
  <c r="B26" i="63"/>
  <c r="Q24" i="63"/>
  <c r="D11" i="63"/>
  <c r="C11" i="64"/>
  <c r="C13" i="64" s="1"/>
  <c r="G31" i="64"/>
  <c r="C31" i="64"/>
  <c r="C32" i="64" s="1"/>
  <c r="AD49" i="244"/>
  <c r="AD48" i="244"/>
  <c r="AD47" i="244"/>
  <c r="AD35" i="244"/>
  <c r="U20" i="244"/>
  <c r="W20" i="244" s="1"/>
  <c r="V20" i="244"/>
  <c r="AD53" i="276"/>
  <c r="AD52" i="276"/>
  <c r="AD45" i="276"/>
  <c r="AD44" i="276"/>
  <c r="T16" i="332"/>
  <c r="V16" i="332" s="1"/>
  <c r="Z16" i="332" s="1"/>
  <c r="Y16" i="332"/>
  <c r="U21" i="332"/>
  <c r="P22" i="332"/>
  <c r="L11" i="332"/>
  <c r="F23" i="332"/>
  <c r="AE26" i="57"/>
  <c r="AE24" i="57"/>
  <c r="AE28" i="57"/>
  <c r="AG25" i="57"/>
  <c r="AG29" i="57"/>
  <c r="AK9" i="57"/>
  <c r="AG27" i="57"/>
  <c r="Y27" i="57"/>
  <c r="Y25" i="57"/>
  <c r="Y29" i="57"/>
  <c r="C69" i="334"/>
  <c r="E69" i="334" s="1"/>
  <c r="B29" i="63"/>
  <c r="S24" i="63"/>
  <c r="D34" i="63"/>
  <c r="L11" i="63"/>
  <c r="K11" i="64"/>
  <c r="K13" i="64" s="1"/>
  <c r="K31" i="64"/>
  <c r="F27" i="64"/>
  <c r="F28" i="64" s="1"/>
  <c r="AD31" i="244"/>
  <c r="AD30" i="244"/>
  <c r="C40" i="334"/>
  <c r="E40" i="334" s="1"/>
  <c r="AC55" i="276"/>
  <c r="AD47" i="276"/>
  <c r="AD39" i="276"/>
  <c r="AD16" i="276"/>
  <c r="B53" i="301"/>
  <c r="B53" i="306"/>
  <c r="B46" i="13"/>
  <c r="B53" i="276"/>
  <c r="B53" i="275"/>
  <c r="B53" i="244"/>
  <c r="B45" i="15"/>
  <c r="B52" i="301"/>
  <c r="B52" i="306"/>
  <c r="B52" i="275"/>
  <c r="B45" i="13"/>
  <c r="B44" i="15"/>
  <c r="B52" i="276"/>
  <c r="B52" i="244"/>
  <c r="B51" i="301"/>
  <c r="B51" i="306"/>
  <c r="B44" i="13"/>
  <c r="B51" i="275"/>
  <c r="B51" i="244"/>
  <c r="B51" i="276"/>
  <c r="B43" i="15"/>
  <c r="B50" i="301"/>
  <c r="B50" i="306"/>
  <c r="B43" i="13"/>
  <c r="B50" i="275"/>
  <c r="B42" i="15"/>
  <c r="B50" i="276"/>
  <c r="B50" i="244"/>
  <c r="B49" i="301"/>
  <c r="B49" i="306"/>
  <c r="B42" i="13"/>
  <c r="B49" i="276"/>
  <c r="B49" i="275"/>
  <c r="B49" i="244"/>
  <c r="B41" i="15"/>
  <c r="B48" i="301"/>
  <c r="B48" i="306"/>
  <c r="B41" i="13"/>
  <c r="B48" i="275"/>
  <c r="B40" i="15"/>
  <c r="B48" i="276"/>
  <c r="B48" i="244"/>
  <c r="B47" i="301"/>
  <c r="B47" i="306"/>
  <c r="B40" i="13"/>
  <c r="B47" i="275"/>
  <c r="B47" i="244"/>
  <c r="B47" i="276"/>
  <c r="B39" i="15"/>
  <c r="B46" i="301"/>
  <c r="B46" i="306"/>
  <c r="B39" i="13"/>
  <c r="B46" i="275"/>
  <c r="B38" i="15"/>
  <c r="B46" i="276"/>
  <c r="B46" i="244"/>
  <c r="B45" i="301"/>
  <c r="B45" i="306"/>
  <c r="B38" i="13"/>
  <c r="B45" i="276"/>
  <c r="B45" i="275"/>
  <c r="B45" i="244"/>
  <c r="B37" i="15"/>
  <c r="B44" i="301"/>
  <c r="B44" i="306"/>
  <c r="B44" i="275"/>
  <c r="B37" i="13"/>
  <c r="B36" i="15"/>
  <c r="B44" i="276"/>
  <c r="B44" i="244"/>
  <c r="B43" i="301"/>
  <c r="B43" i="306"/>
  <c r="B36" i="13"/>
  <c r="B43" i="275"/>
  <c r="B43" i="244"/>
  <c r="B43" i="276"/>
  <c r="B35" i="15"/>
  <c r="B42" i="301"/>
  <c r="B42" i="306"/>
  <c r="B35" i="13"/>
  <c r="B42" i="275"/>
  <c r="B34" i="15"/>
  <c r="B42" i="276"/>
  <c r="B42" i="244"/>
  <c r="B41" i="301"/>
  <c r="B41" i="306"/>
  <c r="B34" i="13"/>
  <c r="B41" i="276"/>
  <c r="B41" i="275"/>
  <c r="B33" i="15"/>
  <c r="B41" i="244"/>
  <c r="B40" i="301"/>
  <c r="B40" i="306"/>
  <c r="B33" i="13"/>
  <c r="B40" i="275"/>
  <c r="B32" i="15"/>
  <c r="B40" i="276"/>
  <c r="B40" i="244"/>
  <c r="B39" i="301"/>
  <c r="B39" i="306"/>
  <c r="B32" i="13"/>
  <c r="B39" i="275"/>
  <c r="B39" i="244"/>
  <c r="B39" i="276"/>
  <c r="B31" i="15"/>
  <c r="B38" i="301"/>
  <c r="B38" i="306"/>
  <c r="B31" i="13"/>
  <c r="B38" i="275"/>
  <c r="B30" i="15"/>
  <c r="B38" i="276"/>
  <c r="B38" i="244"/>
  <c r="B37" i="301"/>
  <c r="B37" i="306"/>
  <c r="B37" i="276"/>
  <c r="B30" i="13"/>
  <c r="B37" i="275"/>
  <c r="B29" i="15"/>
  <c r="B37" i="244"/>
  <c r="B36" i="301"/>
  <c r="B36" i="306"/>
  <c r="B29" i="13"/>
  <c r="B36" i="275"/>
  <c r="B28" i="15"/>
  <c r="B36" i="276"/>
  <c r="B36" i="244"/>
  <c r="B35" i="301"/>
  <c r="B35" i="306"/>
  <c r="B35" i="276"/>
  <c r="B35" i="275"/>
  <c r="B28" i="13"/>
  <c r="B35" i="244"/>
  <c r="B27" i="15"/>
  <c r="B34" i="301"/>
  <c r="B34" i="306"/>
  <c r="B27" i="13"/>
  <c r="B34" i="275"/>
  <c r="B26" i="15"/>
  <c r="B34" i="276"/>
  <c r="B34" i="244"/>
  <c r="B33" i="301"/>
  <c r="B33" i="306"/>
  <c r="B26" i="13"/>
  <c r="B33" i="276"/>
  <c r="B33" i="275"/>
  <c r="B25" i="15"/>
  <c r="B33" i="244"/>
  <c r="B32" i="301"/>
  <c r="B32" i="306"/>
  <c r="B25" i="13"/>
  <c r="B32" i="275"/>
  <c r="B24" i="15"/>
  <c r="B32" i="276"/>
  <c r="B32" i="244"/>
  <c r="B31" i="301"/>
  <c r="B31" i="306"/>
  <c r="B31" i="276"/>
  <c r="B31" i="275"/>
  <c r="B31" i="244"/>
  <c r="B24" i="13"/>
  <c r="B23" i="15"/>
  <c r="B30" i="301"/>
  <c r="B30" i="306"/>
  <c r="B23" i="13"/>
  <c r="B30" i="275"/>
  <c r="B22" i="15"/>
  <c r="B30" i="276"/>
  <c r="B30" i="244"/>
  <c r="B29" i="301"/>
  <c r="B29" i="306"/>
  <c r="B22" i="13"/>
  <c r="B29" i="276"/>
  <c r="B29" i="275"/>
  <c r="B21" i="15"/>
  <c r="B29" i="244"/>
  <c r="B19" i="301"/>
  <c r="B19" i="306"/>
  <c r="B19" i="276"/>
  <c r="B19" i="275"/>
  <c r="B19" i="13"/>
  <c r="B19" i="244"/>
  <c r="B18" i="301"/>
  <c r="B18" i="306"/>
  <c r="B18" i="275"/>
  <c r="B18" i="13"/>
  <c r="B18" i="244"/>
  <c r="B18" i="276"/>
  <c r="B17" i="301"/>
  <c r="B17" i="306"/>
  <c r="B17" i="275"/>
  <c r="B17" i="276"/>
  <c r="B17" i="13"/>
  <c r="B17" i="244"/>
  <c r="B16" i="301"/>
  <c r="B16" i="306"/>
  <c r="B16" i="13"/>
  <c r="B16" i="275"/>
  <c r="B16" i="244"/>
  <c r="B16" i="276"/>
  <c r="B15" i="301"/>
  <c r="B15" i="306"/>
  <c r="B15" i="13"/>
  <c r="B15" i="275"/>
  <c r="B15" i="276"/>
  <c r="B15" i="244"/>
  <c r="B14" i="301"/>
  <c r="B14" i="306"/>
  <c r="B14" i="275"/>
  <c r="B14" i="13"/>
  <c r="B14" i="244"/>
  <c r="B14" i="276"/>
  <c r="B13" i="301"/>
  <c r="B13" i="306"/>
  <c r="B13" i="13"/>
  <c r="B13" i="275"/>
  <c r="B13" i="276"/>
  <c r="B13" i="244"/>
  <c r="B12" i="306"/>
  <c r="B12" i="301"/>
  <c r="B12" i="13"/>
  <c r="B12" i="275"/>
  <c r="B12" i="244"/>
  <c r="B12" i="276"/>
  <c r="B11" i="301"/>
  <c r="B11" i="306"/>
  <c r="B11" i="13"/>
  <c r="B11" i="275"/>
  <c r="B11" i="276"/>
  <c r="B11" i="244"/>
  <c r="AA2" i="301"/>
  <c r="X2" i="306"/>
  <c r="AC2" i="275"/>
  <c r="AC2" i="276"/>
  <c r="AC2" i="244"/>
  <c r="Q58" i="332"/>
  <c r="F56" i="332"/>
  <c r="P55" i="332"/>
  <c r="G55" i="332"/>
  <c r="R26" i="332"/>
  <c r="F25" i="332"/>
  <c r="G24" i="332"/>
  <c r="R23" i="332"/>
  <c r="F22" i="332"/>
  <c r="F21" i="332"/>
  <c r="J18" i="332"/>
  <c r="L18" i="332" s="1"/>
  <c r="Z18" i="332" s="1"/>
  <c r="S17" i="332"/>
  <c r="I14" i="332"/>
  <c r="T12" i="332"/>
  <c r="Y12" i="332"/>
  <c r="Y22" i="332" s="1"/>
  <c r="X23" i="332"/>
  <c r="S11" i="332"/>
  <c r="O23" i="332"/>
  <c r="I11" i="332"/>
  <c r="E24" i="332"/>
  <c r="I27" i="57"/>
  <c r="AG26" i="57"/>
  <c r="Y24" i="57"/>
  <c r="AP26" i="57"/>
  <c r="AP24" i="57"/>
  <c r="AP28" i="57"/>
  <c r="X24" i="57"/>
  <c r="X28" i="57"/>
  <c r="X26" i="57"/>
  <c r="K24" i="57"/>
  <c r="K28" i="57"/>
  <c r="K26" i="57"/>
  <c r="AL25" i="57"/>
  <c r="AL29" i="57"/>
  <c r="AL27" i="57"/>
  <c r="J25" i="57"/>
  <c r="J29" i="57"/>
  <c r="J27" i="57"/>
  <c r="AS2" i="57"/>
  <c r="D20" i="330"/>
  <c r="O21" i="64"/>
  <c r="P44" i="64" s="1"/>
  <c r="N44" i="64"/>
  <c r="E11" i="64"/>
  <c r="E13" i="64" s="1"/>
  <c r="E16" i="64" s="1"/>
  <c r="F11" i="63"/>
  <c r="I31" i="64"/>
  <c r="I32" i="64" s="1"/>
  <c r="I26" i="64"/>
  <c r="E31" i="64"/>
  <c r="E32" i="64" s="1"/>
  <c r="E26" i="64"/>
  <c r="M20" i="64"/>
  <c r="N43" i="64" s="1"/>
  <c r="M15" i="64"/>
  <c r="C33" i="334"/>
  <c r="E33" i="334" s="1"/>
  <c r="AC55" i="244"/>
  <c r="AD53" i="244"/>
  <c r="AD52" i="244"/>
  <c r="AD50" i="244"/>
  <c r="AD45" i="244"/>
  <c r="AD44" i="244"/>
  <c r="AD42" i="244"/>
  <c r="AD18" i="244"/>
  <c r="AD17" i="244"/>
  <c r="AD49" i="276"/>
  <c r="AD48" i="276"/>
  <c r="AD41" i="276"/>
  <c r="AD40" i="276"/>
  <c r="I46" i="244"/>
  <c r="K46" i="244" s="1"/>
  <c r="H45" i="244"/>
  <c r="H55" i="244" s="1"/>
  <c r="I38" i="244"/>
  <c r="K38" i="244" s="1"/>
  <c r="I34" i="244"/>
  <c r="K34" i="244" s="1"/>
  <c r="G21" i="244"/>
  <c r="H19" i="244"/>
  <c r="H15" i="244"/>
  <c r="H14" i="244"/>
  <c r="J22" i="244"/>
  <c r="J26" i="244"/>
  <c r="H11" i="244"/>
  <c r="E21" i="244"/>
  <c r="E25" i="244"/>
  <c r="AD17" i="276"/>
  <c r="AD13" i="276"/>
  <c r="M24" i="276"/>
  <c r="M22" i="276"/>
  <c r="M66" i="276" s="1" a="1"/>
  <c r="M66" i="276" s="1"/>
  <c r="M26" i="276"/>
  <c r="F22" i="276"/>
  <c r="F26" i="276"/>
  <c r="F24" i="276"/>
  <c r="AD51" i="275"/>
  <c r="AD50" i="275"/>
  <c r="AD49" i="275"/>
  <c r="AD43" i="275"/>
  <c r="AD42" i="275"/>
  <c r="AD41" i="275"/>
  <c r="AD35" i="275"/>
  <c r="AD34" i="275"/>
  <c r="AD33" i="275"/>
  <c r="K11" i="275"/>
  <c r="E56" i="244"/>
  <c r="E55" i="244"/>
  <c r="I51" i="244"/>
  <c r="K51" i="244" s="1"/>
  <c r="I43" i="244"/>
  <c r="K43" i="244" s="1"/>
  <c r="G26" i="244"/>
  <c r="D25" i="244"/>
  <c r="J23" i="244"/>
  <c r="E23" i="244"/>
  <c r="I19" i="244"/>
  <c r="K19" i="244" s="1"/>
  <c r="I16" i="244"/>
  <c r="K16" i="244" s="1"/>
  <c r="I15" i="244"/>
  <c r="K15" i="244" s="1"/>
  <c r="I12" i="244"/>
  <c r="K12" i="244" s="1"/>
  <c r="D24" i="244"/>
  <c r="I11" i="244"/>
  <c r="I50" i="276"/>
  <c r="K50" i="276" s="1"/>
  <c r="I46" i="276"/>
  <c r="K46" i="276" s="1"/>
  <c r="I42" i="276"/>
  <c r="K42" i="276" s="1"/>
  <c r="I38" i="276"/>
  <c r="K38" i="276" s="1"/>
  <c r="K35" i="276"/>
  <c r="I34" i="276"/>
  <c r="K34" i="276" s="1"/>
  <c r="K31" i="276"/>
  <c r="I30" i="276"/>
  <c r="K30" i="276" s="1"/>
  <c r="F57" i="276"/>
  <c r="F59" i="276"/>
  <c r="F23" i="276"/>
  <c r="D21" i="276"/>
  <c r="G23" i="276"/>
  <c r="J22" i="276"/>
  <c r="J26" i="276"/>
  <c r="J24" i="276"/>
  <c r="AD52" i="275"/>
  <c r="AD44" i="275"/>
  <c r="AD36" i="275"/>
  <c r="AD19" i="275"/>
  <c r="I23" i="13"/>
  <c r="J23" i="13" s="1"/>
  <c r="K23" i="13" s="1"/>
  <c r="H48" i="13"/>
  <c r="H49" i="13"/>
  <c r="H50" i="13"/>
  <c r="H51" i="13"/>
  <c r="H52" i="13"/>
  <c r="H53" i="13"/>
  <c r="M24" i="244"/>
  <c r="G23" i="244"/>
  <c r="B72" i="276"/>
  <c r="D55" i="276"/>
  <c r="H36" i="276"/>
  <c r="H32" i="276"/>
  <c r="G60" i="276"/>
  <c r="J57" i="276"/>
  <c r="J59" i="276"/>
  <c r="E55" i="276"/>
  <c r="F25" i="276"/>
  <c r="M23" i="276"/>
  <c r="D23" i="276"/>
  <c r="G22" i="276"/>
  <c r="J21" i="276"/>
  <c r="I19" i="276"/>
  <c r="K19" i="276" s="1"/>
  <c r="I18" i="276"/>
  <c r="K18" i="276" s="1"/>
  <c r="I15" i="276"/>
  <c r="K15" i="276" s="1"/>
  <c r="I14" i="276"/>
  <c r="K14" i="276" s="1"/>
  <c r="H11" i="276"/>
  <c r="D24" i="276"/>
  <c r="I11" i="276"/>
  <c r="D22" i="276"/>
  <c r="D26" i="276"/>
  <c r="AD53" i="275"/>
  <c r="AD47" i="275"/>
  <c r="AD46" i="275"/>
  <c r="AD45" i="275"/>
  <c r="AD39" i="275"/>
  <c r="AD38" i="275"/>
  <c r="AD37" i="275"/>
  <c r="AD31" i="275"/>
  <c r="AD30" i="275"/>
  <c r="I58" i="275"/>
  <c r="I60" i="275"/>
  <c r="I59" i="275"/>
  <c r="K29" i="275"/>
  <c r="I55" i="275"/>
  <c r="I56" i="275"/>
  <c r="I57" i="275"/>
  <c r="J48" i="13"/>
  <c r="I41" i="244"/>
  <c r="K41" i="244" s="1"/>
  <c r="I40" i="244"/>
  <c r="K40" i="244" s="1"/>
  <c r="I37" i="244"/>
  <c r="K37" i="244" s="1"/>
  <c r="I36" i="244"/>
  <c r="K36" i="244" s="1"/>
  <c r="I33" i="244"/>
  <c r="K33" i="244" s="1"/>
  <c r="I32" i="244"/>
  <c r="K32" i="244" s="1"/>
  <c r="I29" i="244"/>
  <c r="D26" i="244"/>
  <c r="M25" i="244"/>
  <c r="G25" i="244"/>
  <c r="J24" i="244"/>
  <c r="E24" i="244"/>
  <c r="E22" i="244"/>
  <c r="F22" i="244"/>
  <c r="F26" i="244"/>
  <c r="D58" i="276"/>
  <c r="D57" i="276"/>
  <c r="I37" i="276"/>
  <c r="K37" i="276" s="1"/>
  <c r="I36" i="276"/>
  <c r="K36" i="276" s="1"/>
  <c r="I33" i="276"/>
  <c r="K33" i="276" s="1"/>
  <c r="I32" i="276"/>
  <c r="K32" i="276" s="1"/>
  <c r="H29" i="276"/>
  <c r="I29" i="276"/>
  <c r="M25" i="276"/>
  <c r="D25" i="276"/>
  <c r="G24" i="276"/>
  <c r="J23" i="276"/>
  <c r="E22" i="276"/>
  <c r="H16" i="276"/>
  <c r="H12" i="276"/>
  <c r="E21" i="276"/>
  <c r="E25" i="276"/>
  <c r="E23" i="276"/>
  <c r="G21" i="276"/>
  <c r="AD48" i="275"/>
  <c r="AD40" i="275"/>
  <c r="AD32" i="275"/>
  <c r="AD15" i="275"/>
  <c r="M58" i="275"/>
  <c r="D58" i="275"/>
  <c r="E57" i="275"/>
  <c r="E56" i="275"/>
  <c r="E55" i="275"/>
  <c r="H38" i="275"/>
  <c r="H57" i="275" s="1"/>
  <c r="M26" i="275"/>
  <c r="D26" i="275"/>
  <c r="G25" i="275"/>
  <c r="F24" i="275"/>
  <c r="M22" i="275"/>
  <c r="M63" i="275" s="1" a="1"/>
  <c r="M63" i="275" s="1"/>
  <c r="D22" i="275"/>
  <c r="G21" i="275"/>
  <c r="I18" i="275"/>
  <c r="K18" i="275" s="1"/>
  <c r="I17" i="275"/>
  <c r="K17" i="275" s="1"/>
  <c r="H14" i="275"/>
  <c r="I14" i="275"/>
  <c r="K14" i="275" s="1"/>
  <c r="I13" i="275"/>
  <c r="F53" i="13"/>
  <c r="F52" i="13"/>
  <c r="F51" i="13"/>
  <c r="F50" i="13"/>
  <c r="F49" i="13"/>
  <c r="I18" i="14"/>
  <c r="J16" i="14"/>
  <c r="J15" i="14"/>
  <c r="I17" i="14"/>
  <c r="I16" i="14"/>
  <c r="J14" i="14"/>
  <c r="J13" i="14"/>
  <c r="I15" i="14"/>
  <c r="I14" i="14"/>
  <c r="J12" i="14"/>
  <c r="J11" i="14"/>
  <c r="I13" i="14"/>
  <c r="I12" i="14"/>
  <c r="J10" i="14"/>
  <c r="J9" i="14"/>
  <c r="I11" i="14"/>
  <c r="Y238" i="233"/>
  <c r="Y234" i="233"/>
  <c r="Y230" i="233"/>
  <c r="Y226" i="233"/>
  <c r="Y222" i="233"/>
  <c r="Y218" i="233"/>
  <c r="Y214" i="233"/>
  <c r="Y210" i="233"/>
  <c r="Y206" i="233"/>
  <c r="AB203" i="233"/>
  <c r="N246" i="233"/>
  <c r="P203" i="233"/>
  <c r="N243" i="233"/>
  <c r="N247" i="233"/>
  <c r="N244" i="233"/>
  <c r="N248" i="233"/>
  <c r="N245" i="233"/>
  <c r="Y192" i="233"/>
  <c r="P177" i="233"/>
  <c r="AB177" i="233"/>
  <c r="P173" i="233"/>
  <c r="AB173" i="233"/>
  <c r="P169" i="233"/>
  <c r="AB169" i="233"/>
  <c r="P165" i="233"/>
  <c r="AB165" i="233"/>
  <c r="P161" i="233"/>
  <c r="AB161" i="233"/>
  <c r="P157" i="233"/>
  <c r="AB157" i="233"/>
  <c r="P153" i="233"/>
  <c r="AB153" i="233"/>
  <c r="P149" i="233"/>
  <c r="AB149" i="233"/>
  <c r="P145" i="233"/>
  <c r="AB145" i="233"/>
  <c r="E58" i="276"/>
  <c r="E56" i="276"/>
  <c r="G25" i="276"/>
  <c r="M57" i="275"/>
  <c r="D57" i="275"/>
  <c r="M56" i="275"/>
  <c r="D56" i="275"/>
  <c r="D55" i="275"/>
  <c r="H35" i="275"/>
  <c r="H59" i="275" s="1"/>
  <c r="G26" i="275"/>
  <c r="J25" i="275"/>
  <c r="F25" i="275"/>
  <c r="E24" i="275"/>
  <c r="D23" i="275"/>
  <c r="G22" i="275"/>
  <c r="J21" i="275"/>
  <c r="H19" i="275"/>
  <c r="H15" i="275"/>
  <c r="H11" i="275"/>
  <c r="D53" i="13"/>
  <c r="D52" i="13"/>
  <c r="D51" i="13"/>
  <c r="D50" i="13"/>
  <c r="D49" i="13"/>
  <c r="I48" i="13"/>
  <c r="I49" i="13"/>
  <c r="I50" i="13"/>
  <c r="I51" i="13"/>
  <c r="I52" i="13"/>
  <c r="I53" i="13"/>
  <c r="E48" i="13"/>
  <c r="E49" i="13"/>
  <c r="E50" i="13"/>
  <c r="E51" i="13"/>
  <c r="E52" i="13"/>
  <c r="E53" i="13"/>
  <c r="I10" i="14"/>
  <c r="J8" i="14"/>
  <c r="P178" i="233"/>
  <c r="AB178" i="233"/>
  <c r="P174" i="233"/>
  <c r="AB174" i="233"/>
  <c r="Y172" i="233"/>
  <c r="P170" i="233"/>
  <c r="AB170" i="233"/>
  <c r="P166" i="233"/>
  <c r="AB166" i="233"/>
  <c r="P162" i="233"/>
  <c r="AB162" i="233"/>
  <c r="P158" i="233"/>
  <c r="AB158" i="233"/>
  <c r="Y156" i="233"/>
  <c r="P154" i="233"/>
  <c r="AB154" i="233"/>
  <c r="P150" i="233"/>
  <c r="AB150" i="233"/>
  <c r="P146" i="233"/>
  <c r="AB146" i="233"/>
  <c r="P142" i="233"/>
  <c r="AB142" i="233"/>
  <c r="P141" i="233"/>
  <c r="Y141" i="233" s="1"/>
  <c r="AB141" i="233"/>
  <c r="P140" i="233"/>
  <c r="AB140" i="233"/>
  <c r="P139" i="233"/>
  <c r="Y139" i="233" s="1"/>
  <c r="AB139" i="233"/>
  <c r="P138" i="233"/>
  <c r="AB138" i="233"/>
  <c r="P137" i="233"/>
  <c r="Y137" i="233" s="1"/>
  <c r="AB137" i="233"/>
  <c r="P136" i="233"/>
  <c r="AB136" i="233"/>
  <c r="P135" i="233"/>
  <c r="Y135" i="233" s="1"/>
  <c r="AB135" i="233"/>
  <c r="P134" i="233"/>
  <c r="AB134" i="233"/>
  <c r="P133" i="233"/>
  <c r="Y133" i="233" s="1"/>
  <c r="AB133" i="233"/>
  <c r="P132" i="233"/>
  <c r="AB132" i="233"/>
  <c r="P131" i="233"/>
  <c r="Y131" i="233" s="1"/>
  <c r="AB131" i="233"/>
  <c r="P130" i="233"/>
  <c r="AB130" i="233"/>
  <c r="P129" i="233"/>
  <c r="Y129" i="233" s="1"/>
  <c r="AB129" i="233"/>
  <c r="P128" i="233"/>
  <c r="AB128" i="233"/>
  <c r="P127" i="233"/>
  <c r="Y127" i="233" s="1"/>
  <c r="AB127" i="233"/>
  <c r="P126" i="233"/>
  <c r="AB126" i="233"/>
  <c r="P125" i="233"/>
  <c r="Y125" i="233" s="1"/>
  <c r="AB125" i="233"/>
  <c r="P124" i="233"/>
  <c r="AB124" i="233"/>
  <c r="P123" i="233"/>
  <c r="Y123" i="233" s="1"/>
  <c r="AB123" i="233"/>
  <c r="P122" i="233"/>
  <c r="AB122" i="233"/>
  <c r="P121" i="233"/>
  <c r="Y121" i="233" s="1"/>
  <c r="AB121" i="233"/>
  <c r="P120" i="233"/>
  <c r="AB120" i="233"/>
  <c r="P119" i="233"/>
  <c r="Y119" i="233" s="1"/>
  <c r="AB119" i="233"/>
  <c r="P118" i="233"/>
  <c r="AB118" i="233"/>
  <c r="P117" i="233"/>
  <c r="Y117" i="233" s="1"/>
  <c r="AB117" i="233"/>
  <c r="P116" i="233"/>
  <c r="AB116" i="233"/>
  <c r="N181" i="233"/>
  <c r="N185" i="233"/>
  <c r="N182" i="233"/>
  <c r="N183" i="233"/>
  <c r="N180" i="233"/>
  <c r="N184" i="233"/>
  <c r="D59" i="275"/>
  <c r="G57" i="275"/>
  <c r="G56" i="275"/>
  <c r="G55" i="275"/>
  <c r="J26" i="275"/>
  <c r="F26" i="275"/>
  <c r="E25" i="275"/>
  <c r="G23" i="275"/>
  <c r="E21" i="275"/>
  <c r="AD16" i="275"/>
  <c r="AD12" i="275"/>
  <c r="J53" i="13"/>
  <c r="J52" i="13"/>
  <c r="J51" i="13"/>
  <c r="J50" i="13"/>
  <c r="J49" i="13"/>
  <c r="Y240" i="233"/>
  <c r="Y236" i="233"/>
  <c r="Y232" i="233"/>
  <c r="Y228" i="233"/>
  <c r="Y224" i="233"/>
  <c r="Y220" i="233"/>
  <c r="Y216" i="233"/>
  <c r="Y212" i="233"/>
  <c r="Y208" i="233"/>
  <c r="Y204" i="233"/>
  <c r="Y177" i="233"/>
  <c r="P175" i="233"/>
  <c r="Y175" i="233" s="1"/>
  <c r="AB175" i="233"/>
  <c r="Y173" i="233"/>
  <c r="P171" i="233"/>
  <c r="Y171" i="233" s="1"/>
  <c r="AB171" i="233"/>
  <c r="Y169" i="233"/>
  <c r="P167" i="233"/>
  <c r="Y167" i="233" s="1"/>
  <c r="AB167" i="233"/>
  <c r="Y165" i="233"/>
  <c r="P163" i="233"/>
  <c r="Y163" i="233" s="1"/>
  <c r="AB163" i="233"/>
  <c r="Y161" i="233"/>
  <c r="P159" i="233"/>
  <c r="Y159" i="233" s="1"/>
  <c r="AB159" i="233"/>
  <c r="Y157" i="233"/>
  <c r="P155" i="233"/>
  <c r="Y155" i="233" s="1"/>
  <c r="AB155" i="233"/>
  <c r="Y153" i="233"/>
  <c r="P151" i="233"/>
  <c r="Y151" i="233" s="1"/>
  <c r="AB151" i="233"/>
  <c r="Y149" i="233"/>
  <c r="P147" i="233"/>
  <c r="Y147" i="233" s="1"/>
  <c r="AB147" i="233"/>
  <c r="Y145" i="233"/>
  <c r="P143" i="233"/>
  <c r="Y143" i="233" s="1"/>
  <c r="AB143" i="233"/>
  <c r="Y140" i="233"/>
  <c r="Y138" i="233"/>
  <c r="Y136" i="233"/>
  <c r="Y134" i="233"/>
  <c r="Y132" i="233"/>
  <c r="Y130" i="233"/>
  <c r="Y128" i="233"/>
  <c r="Y126" i="233"/>
  <c r="Y124" i="233"/>
  <c r="Y122" i="233"/>
  <c r="Y120" i="233"/>
  <c r="Y118" i="233"/>
  <c r="Y116" i="233"/>
  <c r="K48" i="13"/>
  <c r="K49" i="13"/>
  <c r="K50" i="13"/>
  <c r="K51" i="13"/>
  <c r="K52" i="13"/>
  <c r="K53" i="13"/>
  <c r="G48" i="13"/>
  <c r="G49" i="13"/>
  <c r="G50" i="13"/>
  <c r="G51" i="13"/>
  <c r="G52" i="13"/>
  <c r="G53" i="13"/>
  <c r="P245" i="233"/>
  <c r="P246" i="233"/>
  <c r="P243" i="233"/>
  <c r="P247" i="233"/>
  <c r="P244" i="233"/>
  <c r="P248" i="233"/>
  <c r="Y178" i="233"/>
  <c r="P176" i="233"/>
  <c r="Y176" i="233" s="1"/>
  <c r="AB176" i="233"/>
  <c r="Y174" i="233"/>
  <c r="P172" i="233"/>
  <c r="AB172" i="233"/>
  <c r="Y170" i="233"/>
  <c r="P168" i="233"/>
  <c r="Y168" i="233" s="1"/>
  <c r="AB168" i="233"/>
  <c r="Y166" i="233"/>
  <c r="P164" i="233"/>
  <c r="Y164" i="233" s="1"/>
  <c r="AB164" i="233"/>
  <c r="Y162" i="233"/>
  <c r="P160" i="233"/>
  <c r="Y160" i="233" s="1"/>
  <c r="AB160" i="233"/>
  <c r="Y158" i="233"/>
  <c r="P156" i="233"/>
  <c r="AB156" i="233"/>
  <c r="Y154" i="233"/>
  <c r="P152" i="233"/>
  <c r="Y152" i="233" s="1"/>
  <c r="AB152" i="233"/>
  <c r="Y150" i="233"/>
  <c r="P148" i="233"/>
  <c r="Y148" i="233" s="1"/>
  <c r="AB148" i="233"/>
  <c r="Y146" i="233"/>
  <c r="P144" i="233"/>
  <c r="Y144" i="233" s="1"/>
  <c r="AB144" i="233"/>
  <c r="Y142" i="233"/>
  <c r="AB202" i="233"/>
  <c r="AB201" i="233"/>
  <c r="AB200" i="233"/>
  <c r="AB199" i="233"/>
  <c r="AB198" i="233"/>
  <c r="AB197" i="233"/>
  <c r="AB196" i="233"/>
  <c r="AB195" i="233"/>
  <c r="AB194" i="233"/>
  <c r="AB193" i="233"/>
  <c r="P105" i="233"/>
  <c r="AB105" i="233"/>
  <c r="P101" i="233"/>
  <c r="AB101" i="233"/>
  <c r="P97" i="233"/>
  <c r="AB97" i="233"/>
  <c r="P93" i="233"/>
  <c r="AB93" i="233"/>
  <c r="Y91" i="233"/>
  <c r="P89" i="233"/>
  <c r="AB89" i="233"/>
  <c r="P85" i="233"/>
  <c r="AB85" i="233"/>
  <c r="P81" i="233"/>
  <c r="AB81" i="233"/>
  <c r="P77" i="233"/>
  <c r="AB77" i="233"/>
  <c r="Y75" i="233"/>
  <c r="P73" i="233"/>
  <c r="AB73" i="233"/>
  <c r="P69" i="233"/>
  <c r="AB69" i="233"/>
  <c r="P66" i="233"/>
  <c r="AB66" i="233"/>
  <c r="P62" i="233"/>
  <c r="AB62" i="233"/>
  <c r="P58" i="233"/>
  <c r="Y58" i="233" s="1"/>
  <c r="AB58" i="233"/>
  <c r="P54" i="233"/>
  <c r="AB54" i="233"/>
  <c r="P50" i="233"/>
  <c r="AB50" i="233"/>
  <c r="P34" i="233"/>
  <c r="AB34" i="233"/>
  <c r="Y32" i="233"/>
  <c r="P30" i="233"/>
  <c r="AB30" i="233"/>
  <c r="P26" i="233"/>
  <c r="Y26" i="233" s="1"/>
  <c r="AB26" i="233"/>
  <c r="P22" i="233"/>
  <c r="AB22" i="233"/>
  <c r="P18" i="233"/>
  <c r="AB18" i="233"/>
  <c r="Y16" i="233"/>
  <c r="Y12" i="233"/>
  <c r="P106" i="233"/>
  <c r="AB106" i="233"/>
  <c r="Y104" i="233"/>
  <c r="P102" i="233"/>
  <c r="AB102" i="233"/>
  <c r="P98" i="233"/>
  <c r="Y98" i="233" s="1"/>
  <c r="AB98" i="233"/>
  <c r="P94" i="233"/>
  <c r="AB94" i="233"/>
  <c r="P90" i="233"/>
  <c r="AB90" i="233"/>
  <c r="Y88" i="233"/>
  <c r="P86" i="233"/>
  <c r="AB86" i="233"/>
  <c r="P82" i="233"/>
  <c r="Y82" i="233" s="1"/>
  <c r="AB82" i="233"/>
  <c r="P78" i="233"/>
  <c r="AB78" i="233"/>
  <c r="P74" i="233"/>
  <c r="AB74" i="233"/>
  <c r="Y72" i="233"/>
  <c r="P70" i="233"/>
  <c r="AB70" i="233"/>
  <c r="P67" i="233"/>
  <c r="AB67" i="233"/>
  <c r="P63" i="233"/>
  <c r="AB63" i="233"/>
  <c r="Y61" i="233"/>
  <c r="P59" i="233"/>
  <c r="AB59" i="233"/>
  <c r="P55" i="233"/>
  <c r="Y55" i="233" s="1"/>
  <c r="AB55" i="233"/>
  <c r="P51" i="233"/>
  <c r="AB51" i="233"/>
  <c r="N108" i="233"/>
  <c r="N112" i="233"/>
  <c r="N109" i="233"/>
  <c r="N113" i="233"/>
  <c r="N110" i="233"/>
  <c r="P47" i="233"/>
  <c r="AB47" i="233"/>
  <c r="N111" i="233"/>
  <c r="P35" i="233"/>
  <c r="AB35" i="233"/>
  <c r="P31" i="233"/>
  <c r="AB31" i="233"/>
  <c r="P27" i="233"/>
  <c r="Y27" i="233" s="1"/>
  <c r="AB27" i="233"/>
  <c r="P23" i="233"/>
  <c r="AB23" i="233"/>
  <c r="P19" i="233"/>
  <c r="AB19" i="233"/>
  <c r="Y105" i="233"/>
  <c r="P103" i="233"/>
  <c r="Y103" i="233" s="1"/>
  <c r="AB103" i="233"/>
  <c r="Y101" i="233"/>
  <c r="P99" i="233"/>
  <c r="Y99" i="233" s="1"/>
  <c r="AB99" i="233"/>
  <c r="Y97" i="233"/>
  <c r="P95" i="233"/>
  <c r="Y95" i="233" s="1"/>
  <c r="AB95" i="233"/>
  <c r="Y93" i="233"/>
  <c r="P91" i="233"/>
  <c r="AB91" i="233"/>
  <c r="Y89" i="233"/>
  <c r="P87" i="233"/>
  <c r="Y87" i="233" s="1"/>
  <c r="AB87" i="233"/>
  <c r="Y85" i="233"/>
  <c r="P83" i="233"/>
  <c r="Y83" i="233" s="1"/>
  <c r="AB83" i="233"/>
  <c r="Y81" i="233"/>
  <c r="P79" i="233"/>
  <c r="Y79" i="233" s="1"/>
  <c r="AB79" i="233"/>
  <c r="Y77" i="233"/>
  <c r="P75" i="233"/>
  <c r="AB75" i="233"/>
  <c r="Y73" i="233"/>
  <c r="P71" i="233"/>
  <c r="Y71" i="233" s="1"/>
  <c r="AB71" i="233"/>
  <c r="Y69" i="233"/>
  <c r="P68" i="233"/>
  <c r="AB68" i="233"/>
  <c r="Y66" i="233"/>
  <c r="P64" i="233"/>
  <c r="Y64" i="233" s="1"/>
  <c r="AB64" i="233"/>
  <c r="Y62" i="233"/>
  <c r="P60" i="233"/>
  <c r="Y60" i="233" s="1"/>
  <c r="AB60" i="233"/>
  <c r="P56" i="233"/>
  <c r="Y56" i="233" s="1"/>
  <c r="AB56" i="233"/>
  <c r="Y54" i="233"/>
  <c r="P52" i="233"/>
  <c r="Y52" i="233" s="1"/>
  <c r="AB52" i="233"/>
  <c r="Y50" i="233"/>
  <c r="P48" i="233"/>
  <c r="Y48" i="233" s="1"/>
  <c r="AB48" i="233"/>
  <c r="P36" i="233"/>
  <c r="Y36" i="233" s="1"/>
  <c r="AB36" i="233"/>
  <c r="Y34" i="233"/>
  <c r="P32" i="233"/>
  <c r="AB32" i="233"/>
  <c r="Y30" i="233"/>
  <c r="P28" i="233"/>
  <c r="Y28" i="233" s="1"/>
  <c r="AB28" i="233"/>
  <c r="P24" i="233"/>
  <c r="Y24" i="233" s="1"/>
  <c r="AB24" i="233"/>
  <c r="Y22" i="233"/>
  <c r="P20" i="233"/>
  <c r="Y20" i="233" s="1"/>
  <c r="AB20" i="233"/>
  <c r="Y18" i="233"/>
  <c r="AB241" i="233"/>
  <c r="AB240" i="233"/>
  <c r="AB239" i="233"/>
  <c r="AB238" i="233"/>
  <c r="AB237" i="233"/>
  <c r="AB236" i="233"/>
  <c r="AB235" i="233"/>
  <c r="AB234" i="233"/>
  <c r="AB233" i="233"/>
  <c r="AB232" i="233"/>
  <c r="AB231" i="233"/>
  <c r="AB230" i="233"/>
  <c r="AB229" i="233"/>
  <c r="AB228" i="233"/>
  <c r="AB227" i="233"/>
  <c r="AB226" i="233"/>
  <c r="AB225" i="233"/>
  <c r="AB224" i="233"/>
  <c r="AB223" i="233"/>
  <c r="AB222" i="233"/>
  <c r="AB221" i="233"/>
  <c r="AB220" i="233"/>
  <c r="AB219" i="233"/>
  <c r="AB218" i="233"/>
  <c r="AB217" i="233"/>
  <c r="AB216" i="233"/>
  <c r="AB215" i="233"/>
  <c r="AB214" i="233"/>
  <c r="AB213" i="233"/>
  <c r="AB212" i="233"/>
  <c r="AB211" i="233"/>
  <c r="AB210" i="233"/>
  <c r="AB209" i="233"/>
  <c r="AB208" i="233"/>
  <c r="AB207" i="233"/>
  <c r="AB206" i="233"/>
  <c r="AB205" i="233"/>
  <c r="AB204" i="233"/>
  <c r="AB192" i="233"/>
  <c r="Y106" i="233"/>
  <c r="P104" i="233"/>
  <c r="AB104" i="233"/>
  <c r="Y102" i="233"/>
  <c r="P100" i="233"/>
  <c r="Y100" i="233" s="1"/>
  <c r="AB100" i="233"/>
  <c r="P96" i="233"/>
  <c r="Y96" i="233" s="1"/>
  <c r="AB96" i="233"/>
  <c r="Y94" i="233"/>
  <c r="P92" i="233"/>
  <c r="Y92" i="233" s="1"/>
  <c r="AB92" i="233"/>
  <c r="Y90" i="233"/>
  <c r="P88" i="233"/>
  <c r="AB88" i="233"/>
  <c r="Y86" i="233"/>
  <c r="P84" i="233"/>
  <c r="Y84" i="233" s="1"/>
  <c r="AB84" i="233"/>
  <c r="P80" i="233"/>
  <c r="Y80" i="233" s="1"/>
  <c r="AB80" i="233"/>
  <c r="Y78" i="233"/>
  <c r="P76" i="233"/>
  <c r="Y76" i="233" s="1"/>
  <c r="AB76" i="233"/>
  <c r="Y74" i="233"/>
  <c r="P72" i="233"/>
  <c r="AB72" i="233"/>
  <c r="Y70" i="233"/>
  <c r="Y68" i="233"/>
  <c r="Y67" i="233"/>
  <c r="P65" i="233"/>
  <c r="Y65" i="233" s="1"/>
  <c r="AB65" i="233"/>
  <c r="Y63" i="233"/>
  <c r="P61" i="233"/>
  <c r="AB61" i="233"/>
  <c r="Y59" i="233"/>
  <c r="P57" i="233"/>
  <c r="Y57" i="233" s="1"/>
  <c r="AB57" i="233"/>
  <c r="P53" i="233"/>
  <c r="Y53" i="233" s="1"/>
  <c r="AB53" i="233"/>
  <c r="Y51" i="233"/>
  <c r="P49" i="233"/>
  <c r="Y49" i="233" s="1"/>
  <c r="AB49" i="233"/>
  <c r="Y47" i="233"/>
  <c r="P37" i="233"/>
  <c r="Y37" i="233" s="1"/>
  <c r="AB37" i="233"/>
  <c r="Y35" i="233"/>
  <c r="P33" i="233"/>
  <c r="Y33" i="233" s="1"/>
  <c r="AB33" i="233"/>
  <c r="Y31" i="233"/>
  <c r="P29" i="233"/>
  <c r="AB29" i="233"/>
  <c r="P25" i="233"/>
  <c r="Y25" i="233" s="1"/>
  <c r="AB25" i="233"/>
  <c r="Y23" i="233"/>
  <c r="P21" i="233"/>
  <c r="Y21" i="233" s="1"/>
  <c r="AB21" i="233"/>
  <c r="Y19" i="233"/>
  <c r="P17" i="233"/>
  <c r="Y17" i="233" s="1"/>
  <c r="AB17" i="233"/>
  <c r="P16" i="233"/>
  <c r="AB16" i="233"/>
  <c r="P15" i="233"/>
  <c r="Y15" i="233" s="1"/>
  <c r="AB15" i="233"/>
  <c r="P14" i="233"/>
  <c r="Y14" i="233" s="1"/>
  <c r="AB14" i="233"/>
  <c r="P13" i="233"/>
  <c r="Y13" i="233" s="1"/>
  <c r="AB13" i="233"/>
  <c r="P12" i="233"/>
  <c r="AB12" i="233"/>
  <c r="N41" i="233"/>
  <c r="N42" i="233"/>
  <c r="N39" i="233"/>
  <c r="N43" i="233"/>
  <c r="N40" i="233"/>
  <c r="N44" i="233"/>
  <c r="U93" i="280"/>
  <c r="T94" i="280"/>
  <c r="W44" i="233"/>
  <c r="W40" i="233"/>
  <c r="X29" i="233"/>
  <c r="P11" i="233"/>
  <c r="AB11" i="233"/>
  <c r="X7" i="301"/>
  <c r="H19" i="300"/>
  <c r="S94" i="280"/>
  <c r="U92" i="280"/>
  <c r="U94" i="280" s="1"/>
  <c r="Q94" i="280"/>
  <c r="O94" i="280"/>
  <c r="W109" i="233"/>
  <c r="B67" i="280" a="1"/>
  <c r="N34" i="306"/>
  <c r="T34" i="306"/>
  <c r="M33" i="306"/>
  <c r="S33" i="306"/>
  <c r="N15" i="306"/>
  <c r="T15" i="306"/>
  <c r="M14" i="306"/>
  <c r="S14" i="306"/>
  <c r="L11" i="306"/>
  <c r="H22" i="306"/>
  <c r="H26" i="306"/>
  <c r="H24" i="306"/>
  <c r="H21" i="300"/>
  <c r="D9" i="300" s="1"/>
  <c r="I60" i="306"/>
  <c r="D60" i="306"/>
  <c r="J59" i="306"/>
  <c r="E59" i="306"/>
  <c r="F58" i="306"/>
  <c r="H57" i="306"/>
  <c r="I56" i="306"/>
  <c r="D56" i="306"/>
  <c r="E55" i="306"/>
  <c r="S53" i="306"/>
  <c r="T50" i="306"/>
  <c r="S49" i="306"/>
  <c r="T46" i="306"/>
  <c r="S45" i="306"/>
  <c r="L44" i="306"/>
  <c r="T42" i="306"/>
  <c r="N42" i="306"/>
  <c r="S41" i="306"/>
  <c r="M41" i="306"/>
  <c r="N40" i="306"/>
  <c r="T40" i="306"/>
  <c r="M39" i="306"/>
  <c r="S39" i="306"/>
  <c r="M38" i="306"/>
  <c r="P36" i="306"/>
  <c r="S36" i="306" s="1"/>
  <c r="L35" i="306"/>
  <c r="L60" i="306" s="1"/>
  <c r="N32" i="306"/>
  <c r="T32" i="306"/>
  <c r="M31" i="306"/>
  <c r="S31" i="306"/>
  <c r="M30" i="306"/>
  <c r="D26" i="306"/>
  <c r="F24" i="306"/>
  <c r="I22" i="306"/>
  <c r="E21" i="306"/>
  <c r="M19" i="306"/>
  <c r="P17" i="306"/>
  <c r="S17" i="306" s="1"/>
  <c r="L16" i="306"/>
  <c r="N13" i="306"/>
  <c r="T13" i="306"/>
  <c r="M12" i="306"/>
  <c r="M26" i="306" s="1"/>
  <c r="I21" i="306"/>
  <c r="I25" i="306"/>
  <c r="I23" i="306"/>
  <c r="D21" i="306"/>
  <c r="D25" i="306"/>
  <c r="P12" i="306"/>
  <c r="D23" i="306"/>
  <c r="D59" i="306"/>
  <c r="E58" i="306"/>
  <c r="F57" i="306"/>
  <c r="H56" i="306"/>
  <c r="I55" i="306"/>
  <c r="D55" i="306"/>
  <c r="L53" i="306"/>
  <c r="M50" i="306"/>
  <c r="L49" i="306"/>
  <c r="M46" i="306"/>
  <c r="L45" i="306"/>
  <c r="M42" i="306"/>
  <c r="L41" i="306"/>
  <c r="N38" i="306"/>
  <c r="T38" i="306"/>
  <c r="Q37" i="306"/>
  <c r="T37" i="306" s="1"/>
  <c r="M37" i="306"/>
  <c r="S37" i="306"/>
  <c r="P34" i="306"/>
  <c r="P59" i="306" s="1"/>
  <c r="L33" i="306"/>
  <c r="N30" i="306"/>
  <c r="N59" i="306" s="1"/>
  <c r="T30" i="306"/>
  <c r="Q29" i="306"/>
  <c r="M29" i="306"/>
  <c r="S29" i="306"/>
  <c r="H25" i="306"/>
  <c r="D24" i="306"/>
  <c r="J23" i="306"/>
  <c r="F22" i="306"/>
  <c r="N19" i="306"/>
  <c r="T19" i="306"/>
  <c r="Q18" i="306"/>
  <c r="T18" i="306" s="1"/>
  <c r="M18" i="306"/>
  <c r="S18" i="306"/>
  <c r="P15" i="306"/>
  <c r="S15" i="306" s="1"/>
  <c r="L14" i="306"/>
  <c r="J24" i="306"/>
  <c r="N11" i="306"/>
  <c r="J22" i="306"/>
  <c r="J26" i="306"/>
  <c r="Q11" i="306"/>
  <c r="T11" i="306" s="1"/>
  <c r="E24" i="306"/>
  <c r="E22" i="306"/>
  <c r="E26" i="306"/>
  <c r="F60" i="306"/>
  <c r="H59" i="306"/>
  <c r="I58" i="306"/>
  <c r="D58" i="306"/>
  <c r="P57" i="306"/>
  <c r="J57" i="306"/>
  <c r="E57" i="306"/>
  <c r="F56" i="306"/>
  <c r="H55" i="306"/>
  <c r="T52" i="306"/>
  <c r="S51" i="306"/>
  <c r="T48" i="306"/>
  <c r="S47" i="306"/>
  <c r="T44" i="306"/>
  <c r="S43" i="306"/>
  <c r="N36" i="306"/>
  <c r="T36" i="306"/>
  <c r="M35" i="306"/>
  <c r="S35" i="306"/>
  <c r="M34" i="306"/>
  <c r="I26" i="306"/>
  <c r="P25" i="306"/>
  <c r="E25" i="306"/>
  <c r="H23" i="306"/>
  <c r="D22" i="306"/>
  <c r="J21" i="306"/>
  <c r="N17" i="306"/>
  <c r="T17" i="306"/>
  <c r="M16" i="306"/>
  <c r="S16" i="306"/>
  <c r="M15" i="306"/>
  <c r="F23" i="306"/>
  <c r="F21" i="306"/>
  <c r="F25" i="306"/>
  <c r="S11" i="306"/>
  <c r="AD49" i="301"/>
  <c r="AD47" i="301"/>
  <c r="AD35" i="301"/>
  <c r="AD29" i="301"/>
  <c r="H55" i="301"/>
  <c r="H56" i="301"/>
  <c r="H57" i="301"/>
  <c r="H58" i="301"/>
  <c r="H59" i="301"/>
  <c r="AD15" i="301"/>
  <c r="P50" i="301"/>
  <c r="R50" i="301" s="1"/>
  <c r="AB50" i="301" s="1"/>
  <c r="O50" i="301"/>
  <c r="V50" i="301"/>
  <c r="W50" i="301" s="1"/>
  <c r="P45" i="301"/>
  <c r="P42" i="301"/>
  <c r="R42" i="301" s="1"/>
  <c r="AB42" i="301" s="1"/>
  <c r="V42" i="301"/>
  <c r="W42" i="301" s="1"/>
  <c r="P37" i="301"/>
  <c r="P34" i="301"/>
  <c r="R34" i="301" s="1"/>
  <c r="AB34" i="301" s="1"/>
  <c r="V34" i="301"/>
  <c r="W34" i="301" s="1"/>
  <c r="O19" i="301"/>
  <c r="V16" i="301"/>
  <c r="W16" i="301" s="1"/>
  <c r="P16" i="301"/>
  <c r="R16" i="301" s="1"/>
  <c r="AB16" i="301" s="1"/>
  <c r="N21" i="301"/>
  <c r="N22" i="301"/>
  <c r="N23" i="301"/>
  <c r="N24" i="301"/>
  <c r="N25" i="301"/>
  <c r="N26" i="301"/>
  <c r="F80" i="305" a="1"/>
  <c r="F80" i="305" s="1"/>
  <c r="F81" i="305" s="1"/>
  <c r="F82" i="305" a="1"/>
  <c r="F82" i="305" s="1"/>
  <c r="F83" i="305" s="1"/>
  <c r="K78" i="305"/>
  <c r="K91" i="305" s="1"/>
  <c r="K80" i="305" a="1"/>
  <c r="K80" i="305" s="1"/>
  <c r="K81" i="305" s="1"/>
  <c r="K82" i="305" a="1"/>
  <c r="K82" i="305" s="1"/>
  <c r="K83" i="305" s="1"/>
  <c r="AD51" i="301"/>
  <c r="AD45" i="301"/>
  <c r="AD39" i="301"/>
  <c r="AD33" i="301"/>
  <c r="AD13" i="301"/>
  <c r="P52" i="301"/>
  <c r="R52" i="301" s="1"/>
  <c r="AB52" i="301" s="1"/>
  <c r="V52" i="301"/>
  <c r="W52" i="301" s="1"/>
  <c r="P44" i="301"/>
  <c r="R44" i="301" s="1"/>
  <c r="AB44" i="301" s="1"/>
  <c r="P36" i="301"/>
  <c r="R36" i="301" s="1"/>
  <c r="AB36" i="301" s="1"/>
  <c r="V36" i="301"/>
  <c r="W36" i="301" s="1"/>
  <c r="O29" i="301"/>
  <c r="M55" i="301"/>
  <c r="M56" i="301"/>
  <c r="M57" i="301"/>
  <c r="M58" i="301"/>
  <c r="P29" i="301"/>
  <c r="P13" i="301"/>
  <c r="O13" i="301"/>
  <c r="J91" i="305"/>
  <c r="F91" i="305"/>
  <c r="G78" i="305"/>
  <c r="G91" i="305" s="1"/>
  <c r="G80" i="305" a="1"/>
  <c r="G80" i="305" s="1"/>
  <c r="G81" i="305" s="1"/>
  <c r="G82" i="305" a="1"/>
  <c r="G82" i="305" s="1"/>
  <c r="G83" i="305" s="1"/>
  <c r="C78" i="305"/>
  <c r="C91" i="305" s="1"/>
  <c r="C80" i="305" a="1"/>
  <c r="C80" i="305" s="1"/>
  <c r="C81" i="305" s="1"/>
  <c r="C82" i="305" a="1"/>
  <c r="C82" i="305" s="1"/>
  <c r="C83" i="305" s="1"/>
  <c r="L78" i="305"/>
  <c r="L80" i="305" a="1"/>
  <c r="L80" i="305" s="1"/>
  <c r="L81" i="305" s="1"/>
  <c r="L82" i="305" a="1"/>
  <c r="L82" i="305" s="1"/>
  <c r="L83" i="305" s="1"/>
  <c r="AD43" i="301"/>
  <c r="AD19" i="301"/>
  <c r="AD11" i="301"/>
  <c r="P46" i="301"/>
  <c r="R46" i="301" s="1"/>
  <c r="AB46" i="301" s="1"/>
  <c r="P38" i="301"/>
  <c r="R38" i="301" s="1"/>
  <c r="AB38" i="301" s="1"/>
  <c r="V38" i="301"/>
  <c r="W38" i="301" s="1"/>
  <c r="O38" i="301"/>
  <c r="P30" i="301"/>
  <c r="R30" i="301" s="1"/>
  <c r="AB30" i="301" s="1"/>
  <c r="P17" i="301"/>
  <c r="O17" i="301"/>
  <c r="D78" i="305"/>
  <c r="D91" i="305" s="1"/>
  <c r="D80" i="305" a="1"/>
  <c r="D80" i="305" s="1"/>
  <c r="D81" i="305" s="1"/>
  <c r="D82" i="305" a="1"/>
  <c r="D82" i="305" s="1"/>
  <c r="D83" i="305" s="1"/>
  <c r="M80" i="305" a="1"/>
  <c r="M80" i="305" s="1"/>
  <c r="M81" i="305" s="1"/>
  <c r="J80" i="305" a="1"/>
  <c r="J80" i="305" s="1"/>
  <c r="J81" i="305" s="1"/>
  <c r="J82" i="305" a="1"/>
  <c r="J82" i="305" s="1"/>
  <c r="J83" i="305" s="1"/>
  <c r="V53" i="301"/>
  <c r="W53" i="301" s="1"/>
  <c r="AD41" i="301"/>
  <c r="AD37" i="301"/>
  <c r="AD31" i="301"/>
  <c r="H22" i="301"/>
  <c r="AD17" i="301"/>
  <c r="P51" i="301"/>
  <c r="P48" i="301"/>
  <c r="R48" i="301" s="1"/>
  <c r="AB48" i="301" s="1"/>
  <c r="V48" i="301"/>
  <c r="W48" i="301" s="1"/>
  <c r="P43" i="301"/>
  <c r="O40" i="301"/>
  <c r="P40" i="301"/>
  <c r="R40" i="301" s="1"/>
  <c r="AB40" i="301" s="1"/>
  <c r="V40" i="301"/>
  <c r="W40" i="301" s="1"/>
  <c r="P35" i="301"/>
  <c r="O32" i="301"/>
  <c r="P32" i="301"/>
  <c r="R32" i="301" s="1"/>
  <c r="AB32" i="301" s="1"/>
  <c r="Q55" i="301"/>
  <c r="Q56" i="301"/>
  <c r="Q57" i="301"/>
  <c r="Q58" i="301"/>
  <c r="K55" i="301"/>
  <c r="V18" i="301"/>
  <c r="W18" i="301" s="1"/>
  <c r="O15" i="301"/>
  <c r="P12" i="301"/>
  <c r="R12" i="301" s="1"/>
  <c r="AB12" i="301" s="1"/>
  <c r="L91" i="305"/>
  <c r="M78" i="305"/>
  <c r="E78" i="305"/>
  <c r="E91" i="305" s="1"/>
  <c r="E80" i="305" a="1"/>
  <c r="E80" i="305" s="1"/>
  <c r="E81" i="305" s="1"/>
  <c r="E82" i="305" a="1"/>
  <c r="E82" i="305" s="1"/>
  <c r="E83" i="305" s="1"/>
  <c r="H32" i="305"/>
  <c r="H74" i="305" s="1"/>
  <c r="AO44" i="325"/>
  <c r="AG14" i="325"/>
  <c r="AG36" i="325"/>
  <c r="AG43" i="325"/>
  <c r="AF56" i="325"/>
  <c r="AG5" i="325"/>
  <c r="AG6" i="325"/>
  <c r="AG55" i="325" s="1"/>
  <c r="AG15" i="325"/>
  <c r="AG19" i="325"/>
  <c r="AG22" i="325"/>
  <c r="AG24" i="325"/>
  <c r="AG27" i="325"/>
  <c r="AG32" i="325"/>
  <c r="AG42" i="325"/>
  <c r="AG13" i="325"/>
  <c r="AG16" i="325"/>
  <c r="AG20" i="325"/>
  <c r="AG38" i="325"/>
  <c r="AG41" i="325"/>
  <c r="AG7" i="325"/>
  <c r="AG8" i="325"/>
  <c r="AG9" i="325"/>
  <c r="AG10" i="325"/>
  <c r="AG12" i="325"/>
  <c r="AG17" i="325"/>
  <c r="AG21" i="325"/>
  <c r="AG26" i="325"/>
  <c r="AG28" i="325"/>
  <c r="AG31" i="325"/>
  <c r="AG37" i="325"/>
  <c r="AG40" i="325"/>
  <c r="P19" i="301"/>
  <c r="P15" i="301"/>
  <c r="P11" i="301"/>
  <c r="I32" i="305"/>
  <c r="I74" i="305" s="1"/>
  <c r="AO46" i="325"/>
  <c r="Z28" i="325"/>
  <c r="AI24" i="325"/>
  <c r="AM24" i="325"/>
  <c r="AK62" i="325"/>
  <c r="AI31" i="325"/>
  <c r="AM31" i="325"/>
  <c r="K59" i="301"/>
  <c r="K58" i="301"/>
  <c r="K57" i="301"/>
  <c r="K56" i="301"/>
  <c r="L26" i="301"/>
  <c r="L25" i="301"/>
  <c r="L24" i="301"/>
  <c r="L23" i="301"/>
  <c r="L22" i="301"/>
  <c r="L21" i="301"/>
  <c r="AB4" i="325"/>
  <c r="AB55" i="325" s="1"/>
  <c r="O10" i="326"/>
  <c r="T52" i="310"/>
  <c r="Z8" i="310" s="1"/>
  <c r="S5" i="310"/>
  <c r="AE5" i="310"/>
  <c r="Z5" i="310"/>
  <c r="P126" i="327"/>
  <c r="L7" i="326"/>
  <c r="P95" i="323"/>
  <c r="M96" i="323"/>
  <c r="AC52" i="310"/>
  <c r="AD58" i="310"/>
  <c r="U8" i="310"/>
  <c r="AE8" i="310"/>
  <c r="S8" i="310"/>
  <c r="I8" i="311"/>
  <c r="I6" i="311"/>
  <c r="B15" i="311"/>
  <c r="K34" i="325"/>
  <c r="K31" i="325"/>
  <c r="K30" i="325"/>
  <c r="K55" i="325" s="1"/>
  <c r="Q55" i="325"/>
  <c r="S30" i="325"/>
  <c r="M55" i="325"/>
  <c r="L6" i="326"/>
  <c r="U10" i="310"/>
  <c r="AE10" i="310"/>
  <c r="Z10" i="310"/>
  <c r="S10" i="310"/>
  <c r="AE51" i="310"/>
  <c r="B52" i="310"/>
  <c r="O5" i="311"/>
  <c r="K14" i="311"/>
  <c r="L14" i="311" s="1"/>
  <c r="L13" i="311"/>
  <c r="N96" i="290"/>
  <c r="N97" i="290"/>
  <c r="S55" i="325"/>
  <c r="Q11" i="325"/>
  <c r="X11" i="325"/>
  <c r="D55" i="325"/>
  <c r="O97" i="323"/>
  <c r="O96" i="323"/>
  <c r="G5" i="310"/>
  <c r="G6" i="310"/>
  <c r="G14" i="310"/>
  <c r="G4" i="310"/>
  <c r="G8" i="310"/>
  <c r="G9" i="310"/>
  <c r="G10" i="310"/>
  <c r="G11" i="310"/>
  <c r="G12" i="310"/>
  <c r="G13" i="310"/>
  <c r="R4" i="325"/>
  <c r="G13" i="326"/>
  <c r="H12" i="326"/>
  <c r="H8" i="326"/>
  <c r="H5" i="326"/>
  <c r="E12" i="326"/>
  <c r="H11" i="326"/>
  <c r="E5" i="326"/>
  <c r="Z7" i="310"/>
  <c r="I9" i="311"/>
  <c r="F95" i="290"/>
  <c r="T52" i="264"/>
  <c r="Z9" i="264" s="1"/>
  <c r="AE9" i="264"/>
  <c r="S9" i="264"/>
  <c r="S52" i="264" s="1"/>
  <c r="I5" i="310"/>
  <c r="I52" i="310" s="1"/>
  <c r="E6" i="326"/>
  <c r="H9" i="326"/>
  <c r="I7" i="311"/>
  <c r="S25" i="264"/>
  <c r="AE25" i="264"/>
  <c r="N9" i="265"/>
  <c r="E5" i="265"/>
  <c r="I10" i="265"/>
  <c r="N10" i="265" s="1"/>
  <c r="E10" i="265"/>
  <c r="E12" i="265"/>
  <c r="I5" i="265"/>
  <c r="I6" i="265"/>
  <c r="I8" i="265"/>
  <c r="I12" i="265"/>
  <c r="N12" i="265" s="1"/>
  <c r="J22" i="282"/>
  <c r="I15" i="280" s="1"/>
  <c r="K49" i="282"/>
  <c r="L49" i="282" s="1"/>
  <c r="M49" i="282" s="1"/>
  <c r="N49" i="282" s="1"/>
  <c r="O49" i="282" s="1"/>
  <c r="P49" i="282" s="1"/>
  <c r="Q49" i="282" s="1"/>
  <c r="R49" i="282" s="1"/>
  <c r="S49" i="282" s="1"/>
  <c r="T49" i="282" s="1"/>
  <c r="U49" i="282" s="1"/>
  <c r="N7" i="265"/>
  <c r="D52" i="264"/>
  <c r="K22" i="282"/>
  <c r="J15" i="280" s="1"/>
  <c r="H19" i="282"/>
  <c r="I46" i="282"/>
  <c r="M48" i="282"/>
  <c r="D5" i="282"/>
  <c r="C8" i="282"/>
  <c r="C14" i="282" s="1"/>
  <c r="F9" i="270"/>
  <c r="X53" i="47" l="1"/>
  <c r="X51" i="47"/>
  <c r="X55" i="47"/>
  <c r="X52" i="47"/>
  <c r="S51" i="47"/>
  <c r="S55" i="47"/>
  <c r="S53" i="47"/>
  <c r="S54" i="47"/>
  <c r="S50" i="47"/>
  <c r="X54" i="47"/>
  <c r="Z52" i="47"/>
  <c r="Z50" i="47"/>
  <c r="Z53" i="47"/>
  <c r="Z51" i="47"/>
  <c r="Z54" i="47"/>
  <c r="Z55" i="47"/>
  <c r="X50" i="47"/>
  <c r="S52" i="47"/>
  <c r="T21" i="306"/>
  <c r="T25" i="306"/>
  <c r="T23" i="306"/>
  <c r="T26" i="306"/>
  <c r="T22" i="306"/>
  <c r="T24" i="306"/>
  <c r="Z25" i="264"/>
  <c r="N35" i="325"/>
  <c r="N33" i="325"/>
  <c r="N29" i="325"/>
  <c r="N30" i="325"/>
  <c r="N31" i="325"/>
  <c r="M59" i="325"/>
  <c r="B95" i="325"/>
  <c r="B96" i="325" s="1"/>
  <c r="N34" i="325"/>
  <c r="AQ46" i="325"/>
  <c r="I80" i="305" a="1"/>
  <c r="I80" i="305" s="1"/>
  <c r="I81" i="305" s="1"/>
  <c r="I82" i="305" a="1"/>
  <c r="I82" i="305" s="1"/>
  <c r="I83" i="305" s="1"/>
  <c r="N78" i="305"/>
  <c r="M91" i="305"/>
  <c r="V35" i="301"/>
  <c r="W35" i="301" s="1"/>
  <c r="R35" i="301"/>
  <c r="AB35" i="301" s="1"/>
  <c r="R43" i="301"/>
  <c r="AB43" i="301" s="1"/>
  <c r="V43" i="301"/>
  <c r="W43" i="301" s="1"/>
  <c r="O21" i="301"/>
  <c r="O64" i="301" s="1" a="1"/>
  <c r="O64" i="301" s="1"/>
  <c r="O23" i="301"/>
  <c r="O25" i="301"/>
  <c r="O22" i="301"/>
  <c r="O24" i="301"/>
  <c r="O26" i="301"/>
  <c r="O66" i="301" a="1"/>
  <c r="O66" i="301" s="1"/>
  <c r="O67" i="301" a="1"/>
  <c r="O67" i="301" s="1"/>
  <c r="O68" i="301" a="1"/>
  <c r="O68" i="301" s="1"/>
  <c r="O63" i="301" a="1"/>
  <c r="O63" i="301" s="1"/>
  <c r="F63" i="306" a="1"/>
  <c r="F63" i="306" s="1"/>
  <c r="F66" i="306" a="1"/>
  <c r="F66" i="306" s="1"/>
  <c r="F64" i="306" a="1"/>
  <c r="F64" i="306" s="1"/>
  <c r="F67" i="306" a="1"/>
  <c r="F67" i="306" s="1"/>
  <c r="F62" i="306" a="1"/>
  <c r="F62" i="306" s="1"/>
  <c r="F65" i="306" a="1"/>
  <c r="F65" i="306" s="1"/>
  <c r="P23" i="306"/>
  <c r="H62" i="306" a="1"/>
  <c r="H62" i="306" s="1"/>
  <c r="H65" i="306" a="1"/>
  <c r="H65" i="306" s="1"/>
  <c r="H63" i="306" a="1"/>
  <c r="H63" i="306" s="1"/>
  <c r="H66" i="306" a="1"/>
  <c r="H66" i="306" s="1"/>
  <c r="H67" i="306" a="1"/>
  <c r="H67" i="306" s="1"/>
  <c r="H64" i="306" a="1"/>
  <c r="H64" i="306" s="1"/>
  <c r="P24" i="306"/>
  <c r="M21" i="306"/>
  <c r="N57" i="306"/>
  <c r="N55" i="306"/>
  <c r="J67" i="275" a="1"/>
  <c r="J67" i="275" s="1"/>
  <c r="J66" i="275" a="1"/>
  <c r="J66" i="275" s="1"/>
  <c r="J65" i="275" a="1"/>
  <c r="J65" i="275" s="1"/>
  <c r="J64" i="275" a="1"/>
  <c r="J64" i="275" s="1"/>
  <c r="J68" i="275" a="1"/>
  <c r="J68" i="275" s="1"/>
  <c r="K13" i="275"/>
  <c r="AD18" i="275"/>
  <c r="F67" i="275" a="1"/>
  <c r="F67" i="275" s="1"/>
  <c r="F64" i="275" a="1"/>
  <c r="F64" i="275" s="1"/>
  <c r="F66" i="275" a="1"/>
  <c r="F66" i="275" s="1"/>
  <c r="F65" i="275" a="1"/>
  <c r="F65" i="275" s="1"/>
  <c r="F68" i="275" a="1"/>
  <c r="F68" i="275" s="1"/>
  <c r="F63" i="275" a="1"/>
  <c r="F63" i="275" s="1"/>
  <c r="AD32" i="276"/>
  <c r="AD33" i="244"/>
  <c r="AD41" i="244"/>
  <c r="AD18" i="276"/>
  <c r="M67" i="244" a="1"/>
  <c r="M67" i="244" s="1"/>
  <c r="M66" i="244" a="1"/>
  <c r="M66" i="244" s="1"/>
  <c r="M65" i="244" a="1"/>
  <c r="M65" i="244" s="1"/>
  <c r="M64" i="244" a="1"/>
  <c r="M64" i="244" s="1"/>
  <c r="M68" i="244" a="1"/>
  <c r="M68" i="244" s="1"/>
  <c r="H60" i="275"/>
  <c r="AD34" i="276"/>
  <c r="AD46" i="276"/>
  <c r="AD12" i="244"/>
  <c r="AD43" i="244"/>
  <c r="I22" i="275"/>
  <c r="J63" i="244" a="1"/>
  <c r="J63" i="244" s="1"/>
  <c r="J65" i="244" a="1"/>
  <c r="J65" i="244" s="1"/>
  <c r="J64" i="244" a="1"/>
  <c r="J64" i="244" s="1"/>
  <c r="J68" i="244" a="1"/>
  <c r="J68" i="244" s="1"/>
  <c r="J67" i="244" a="1"/>
  <c r="J67" i="244" s="1"/>
  <c r="J66" i="244" a="1"/>
  <c r="J66" i="244" s="1"/>
  <c r="G63" i="244" a="1"/>
  <c r="G63" i="244" s="1"/>
  <c r="G66" i="244" a="1"/>
  <c r="G66" i="244" s="1"/>
  <c r="G65" i="244" a="1"/>
  <c r="G65" i="244" s="1"/>
  <c r="G64" i="244" a="1"/>
  <c r="G64" i="244" s="1"/>
  <c r="G68" i="244" a="1"/>
  <c r="G68" i="244" s="1"/>
  <c r="G67" i="244" a="1"/>
  <c r="G67" i="244" s="1"/>
  <c r="AD46" i="244"/>
  <c r="T23" i="332"/>
  <c r="T24" i="332"/>
  <c r="T25" i="332"/>
  <c r="V12" i="332"/>
  <c r="Z12" i="332" s="1"/>
  <c r="H60" i="244"/>
  <c r="H59" i="244"/>
  <c r="L16" i="63"/>
  <c r="L20" i="63" s="1"/>
  <c r="AA40" i="274"/>
  <c r="F140" i="274" s="1"/>
  <c r="E20" i="236" s="1"/>
  <c r="U40" i="241"/>
  <c r="F20" i="236"/>
  <c r="J23" i="332"/>
  <c r="M63" i="244" a="1"/>
  <c r="M63" i="244" s="1"/>
  <c r="C26" i="64"/>
  <c r="D16" i="63"/>
  <c r="D20" i="63" s="1"/>
  <c r="AA32" i="274"/>
  <c r="U32" i="241"/>
  <c r="AL24" i="57"/>
  <c r="AL26" i="57"/>
  <c r="AL28" i="57"/>
  <c r="M63" i="276" a="1"/>
  <c r="M63" i="276" s="1"/>
  <c r="M65" i="276" a="1"/>
  <c r="M65" i="276" s="1"/>
  <c r="K30" i="64"/>
  <c r="Z11" i="332"/>
  <c r="V24" i="332"/>
  <c r="V26" i="332"/>
  <c r="V21" i="332"/>
  <c r="V22" i="332"/>
  <c r="V23" i="332"/>
  <c r="V25" i="332"/>
  <c r="J22" i="332"/>
  <c r="E28" i="64"/>
  <c r="D41" i="64"/>
  <c r="N35" i="64"/>
  <c r="X22" i="332"/>
  <c r="J55" i="332"/>
  <c r="J60" i="332"/>
  <c r="V57" i="332"/>
  <c r="Z29" i="332"/>
  <c r="V58" i="332"/>
  <c r="V55" i="332"/>
  <c r="V59" i="332"/>
  <c r="V56" i="332"/>
  <c r="V60" i="332"/>
  <c r="T55" i="332"/>
  <c r="R50" i="47"/>
  <c r="R51" i="47"/>
  <c r="R52" i="47"/>
  <c r="R53" i="47"/>
  <c r="R54" i="47"/>
  <c r="R55" i="47"/>
  <c r="T50" i="47"/>
  <c r="T51" i="47"/>
  <c r="T52" i="47"/>
  <c r="T53" i="47"/>
  <c r="T54" i="47"/>
  <c r="T55" i="47"/>
  <c r="N13" i="276"/>
  <c r="N17" i="276"/>
  <c r="N29" i="276"/>
  <c r="N33" i="276"/>
  <c r="N37" i="276"/>
  <c r="Q6" i="276"/>
  <c r="N11" i="276"/>
  <c r="N15" i="276"/>
  <c r="N19" i="276"/>
  <c r="N31" i="276"/>
  <c r="N35" i="276"/>
  <c r="N39" i="276"/>
  <c r="N43" i="276"/>
  <c r="N47" i="276"/>
  <c r="N51" i="276"/>
  <c r="N32" i="276"/>
  <c r="N36" i="276"/>
  <c r="N14" i="276"/>
  <c r="N18" i="276"/>
  <c r="N40" i="276"/>
  <c r="N44" i="276"/>
  <c r="N48" i="276"/>
  <c r="N52" i="276"/>
  <c r="N30" i="276"/>
  <c r="N34" i="276"/>
  <c r="N38" i="276"/>
  <c r="N42" i="276"/>
  <c r="N46" i="276"/>
  <c r="N50" i="276"/>
  <c r="N72" i="276"/>
  <c r="N70" i="276"/>
  <c r="N12" i="276"/>
  <c r="N16" i="276"/>
  <c r="N41" i="276"/>
  <c r="N45" i="276"/>
  <c r="N49" i="276"/>
  <c r="N53" i="276"/>
  <c r="X55" i="332"/>
  <c r="X56" i="332"/>
  <c r="P18" i="8"/>
  <c r="J24" i="332"/>
  <c r="AB15" i="332"/>
  <c r="D70" i="276"/>
  <c r="N9" i="274"/>
  <c r="E32" i="236"/>
  <c r="C42" i="236" s="1"/>
  <c r="L11" i="40"/>
  <c r="L13" i="40"/>
  <c r="B61" i="236"/>
  <c r="B62" i="236"/>
  <c r="E30" i="64"/>
  <c r="Q32" i="241"/>
  <c r="Q33" i="241"/>
  <c r="Q83" i="241" s="1"/>
  <c r="Q40" i="241"/>
  <c r="Q90" i="241" s="1"/>
  <c r="Q100" i="241"/>
  <c r="Q35" i="241"/>
  <c r="Q85" i="241" s="1"/>
  <c r="Q39" i="241"/>
  <c r="Q89" i="241" s="1"/>
  <c r="X22" i="274"/>
  <c r="R32" i="241"/>
  <c r="R33" i="241"/>
  <c r="R83" i="241" s="1"/>
  <c r="R35" i="241"/>
  <c r="R85" i="241" s="1"/>
  <c r="R39" i="241"/>
  <c r="R89" i="241" s="1"/>
  <c r="R40" i="241"/>
  <c r="R90" i="241" s="1"/>
  <c r="R100" i="241"/>
  <c r="B3" i="280"/>
  <c r="J19" i="300" s="1"/>
  <c r="B54" i="133"/>
  <c r="D48" i="14"/>
  <c r="E48" i="14" s="1"/>
  <c r="D45" i="14"/>
  <c r="E45" i="14" s="1"/>
  <c r="D46" i="14"/>
  <c r="E46" i="14" s="1"/>
  <c r="AD50" i="214"/>
  <c r="AD47" i="214"/>
  <c r="AD51" i="214"/>
  <c r="AD48" i="214"/>
  <c r="AD52" i="214"/>
  <c r="AD49" i="214"/>
  <c r="R48" i="214"/>
  <c r="R52" i="214"/>
  <c r="R49" i="214"/>
  <c r="R50" i="214"/>
  <c r="R47" i="214"/>
  <c r="R51" i="214"/>
  <c r="B74" i="264"/>
  <c r="X59" i="264"/>
  <c r="AC59" i="264" s="1"/>
  <c r="T4" i="325"/>
  <c r="T13" i="325"/>
  <c r="T16" i="325"/>
  <c r="T20" i="325"/>
  <c r="T8" i="325"/>
  <c r="T9" i="325"/>
  <c r="T10" i="325"/>
  <c r="T11" i="325"/>
  <c r="T12" i="325"/>
  <c r="T17" i="325"/>
  <c r="T21" i="325"/>
  <c r="T23" i="325"/>
  <c r="T25" i="325"/>
  <c r="T28" i="325"/>
  <c r="T29" i="325"/>
  <c r="T31" i="325"/>
  <c r="T14" i="325"/>
  <c r="T18" i="325"/>
  <c r="T5" i="325"/>
  <c r="T6" i="325"/>
  <c r="T15" i="325"/>
  <c r="T19" i="325"/>
  <c r="T24" i="325"/>
  <c r="F10" i="270"/>
  <c r="G9" i="270"/>
  <c r="M22" i="282"/>
  <c r="L15" i="280" s="1"/>
  <c r="N48" i="282"/>
  <c r="G5" i="264"/>
  <c r="G6" i="264"/>
  <c r="G14" i="264"/>
  <c r="H55" i="264"/>
  <c r="G4" i="264"/>
  <c r="G8" i="264"/>
  <c r="G9" i="264"/>
  <c r="G10" i="264"/>
  <c r="G11" i="264"/>
  <c r="G12" i="264"/>
  <c r="G13" i="264"/>
  <c r="N8" i="265"/>
  <c r="L8" i="326"/>
  <c r="G4" i="325"/>
  <c r="M57" i="325"/>
  <c r="G8" i="325"/>
  <c r="G9" i="325"/>
  <c r="G10" i="325"/>
  <c r="G11" i="325"/>
  <c r="G12" i="325"/>
  <c r="G13" i="325"/>
  <c r="G5" i="325"/>
  <c r="G6" i="325"/>
  <c r="G14" i="325"/>
  <c r="J59" i="325"/>
  <c r="H55" i="310"/>
  <c r="B53" i="310"/>
  <c r="X30" i="325"/>
  <c r="X55" i="325" s="1"/>
  <c r="T30" i="325"/>
  <c r="S52" i="310"/>
  <c r="X59" i="310" s="1"/>
  <c r="AC59" i="310" s="1"/>
  <c r="R11" i="301"/>
  <c r="P21" i="301"/>
  <c r="P67" i="301" s="1" a="1"/>
  <c r="P67" i="301" s="1"/>
  <c r="P22" i="301"/>
  <c r="P23" i="301"/>
  <c r="P24" i="301"/>
  <c r="P25" i="301"/>
  <c r="P26" i="301"/>
  <c r="V11" i="301"/>
  <c r="P64" i="301" a="1"/>
  <c r="P64" i="301" s="1"/>
  <c r="P68" i="301" a="1"/>
  <c r="P68" i="301" s="1"/>
  <c r="AQ44" i="325"/>
  <c r="V12" i="301"/>
  <c r="W12" i="301" s="1"/>
  <c r="V32" i="301"/>
  <c r="W32" i="301" s="1"/>
  <c r="H63" i="301" a="1"/>
  <c r="H63" i="301" s="1"/>
  <c r="H64" i="301" a="1"/>
  <c r="H64" i="301" s="1"/>
  <c r="H65" i="301" a="1"/>
  <c r="H65" i="301" s="1"/>
  <c r="H66" i="301" a="1"/>
  <c r="H66" i="301" s="1"/>
  <c r="H67" i="301" a="1"/>
  <c r="H67" i="301" s="1"/>
  <c r="H68" i="301" a="1"/>
  <c r="H68" i="301" s="1"/>
  <c r="R17" i="301"/>
  <c r="AB17" i="301" s="1"/>
  <c r="V17" i="301"/>
  <c r="W17" i="301" s="1"/>
  <c r="R13" i="301"/>
  <c r="AB13" i="301" s="1"/>
  <c r="V13" i="301"/>
  <c r="W13" i="301" s="1"/>
  <c r="N63" i="301" a="1"/>
  <c r="N63" i="301" s="1"/>
  <c r="N64" i="301" a="1"/>
  <c r="N64" i="301" s="1"/>
  <c r="N65" i="301" a="1"/>
  <c r="N65" i="301" s="1"/>
  <c r="N66" i="301" a="1"/>
  <c r="N66" i="301" s="1"/>
  <c r="N67" i="301" a="1"/>
  <c r="N67" i="301" s="1"/>
  <c r="N68" i="301" a="1"/>
  <c r="N68" i="301" s="1"/>
  <c r="M55" i="306"/>
  <c r="M59" i="306"/>
  <c r="M56" i="306"/>
  <c r="M60" i="306"/>
  <c r="M57" i="306"/>
  <c r="M58" i="306"/>
  <c r="L57" i="306"/>
  <c r="L55" i="306"/>
  <c r="L59" i="306"/>
  <c r="I64" i="306" a="1"/>
  <c r="I64" i="306" s="1"/>
  <c r="I65" i="306" a="1"/>
  <c r="I65" i="306" s="1"/>
  <c r="I63" i="306" a="1"/>
  <c r="I63" i="306" s="1"/>
  <c r="I66" i="306" a="1"/>
  <c r="I66" i="306" s="1"/>
  <c r="I62" i="306" a="1"/>
  <c r="I62" i="306" s="1"/>
  <c r="I67" i="306" a="1"/>
  <c r="I67" i="306" s="1"/>
  <c r="E62" i="306" a="1"/>
  <c r="E62" i="306" s="1"/>
  <c r="E64" i="306" a="1"/>
  <c r="E64" i="306" s="1"/>
  <c r="E67" i="306" a="1"/>
  <c r="E67" i="306" s="1"/>
  <c r="E65" i="306" a="1"/>
  <c r="E65" i="306" s="1"/>
  <c r="E63" i="306" a="1"/>
  <c r="E63" i="306" s="1"/>
  <c r="E66" i="306" a="1"/>
  <c r="E66" i="306" s="1"/>
  <c r="P55" i="306"/>
  <c r="L23" i="306"/>
  <c r="L21" i="306"/>
  <c r="L66" i="306" s="1" a="1"/>
  <c r="L66" i="306" s="1"/>
  <c r="L25" i="306"/>
  <c r="L24" i="306"/>
  <c r="L26" i="306"/>
  <c r="L22" i="306"/>
  <c r="L67" i="306" a="1"/>
  <c r="L67" i="306" s="1"/>
  <c r="M25" i="306"/>
  <c r="M24" i="306"/>
  <c r="N60" i="306"/>
  <c r="N58" i="306"/>
  <c r="P40" i="233"/>
  <c r="P44" i="233"/>
  <c r="P41" i="233"/>
  <c r="P42" i="233"/>
  <c r="P39" i="233"/>
  <c r="P43" i="233"/>
  <c r="P253" i="233" s="1" a="1"/>
  <c r="P253" i="233" s="1"/>
  <c r="P111" i="233"/>
  <c r="P108" i="233"/>
  <c r="P254" i="233" s="1" a="1"/>
  <c r="P254" i="233" s="1"/>
  <c r="P112" i="233"/>
  <c r="P109" i="233"/>
  <c r="P255" i="233" s="1" a="1"/>
  <c r="P255" i="233" s="1"/>
  <c r="P110" i="233"/>
  <c r="P113" i="233"/>
  <c r="H21" i="275"/>
  <c r="H63" i="275" s="1" a="1"/>
  <c r="H63" i="275" s="1"/>
  <c r="H25" i="275"/>
  <c r="H24" i="275"/>
  <c r="H23" i="275"/>
  <c r="H22" i="275"/>
  <c r="H26" i="275"/>
  <c r="H68" i="275" a="1"/>
  <c r="H68" i="275" s="1"/>
  <c r="H64" i="275" a="1"/>
  <c r="H64" i="275" s="1"/>
  <c r="AD14" i="275"/>
  <c r="G63" i="275" a="1"/>
  <c r="G63" i="275" s="1"/>
  <c r="G64" i="275" a="1"/>
  <c r="G64" i="275" s="1"/>
  <c r="G68" i="275" a="1"/>
  <c r="G68" i="275" s="1"/>
  <c r="G67" i="275" a="1"/>
  <c r="G67" i="275" s="1"/>
  <c r="G66" i="275" a="1"/>
  <c r="G66" i="275" s="1"/>
  <c r="G65" i="275" a="1"/>
  <c r="G65" i="275" s="1"/>
  <c r="H58" i="275"/>
  <c r="J63" i="275" a="1"/>
  <c r="J63" i="275" s="1"/>
  <c r="AD33" i="276"/>
  <c r="AD36" i="244"/>
  <c r="K59" i="275"/>
  <c r="AD29" i="275"/>
  <c r="K55" i="275"/>
  <c r="K56" i="275"/>
  <c r="K57" i="275"/>
  <c r="K58" i="275"/>
  <c r="K60" i="275"/>
  <c r="H55" i="275"/>
  <c r="H24" i="276"/>
  <c r="H22" i="276"/>
  <c r="H64" i="276" s="1" a="1"/>
  <c r="H64" i="276" s="1"/>
  <c r="H26" i="276"/>
  <c r="H21" i="276"/>
  <c r="H25" i="276"/>
  <c r="H23" i="276"/>
  <c r="H63" i="276" s="1" a="1"/>
  <c r="H63" i="276" s="1"/>
  <c r="AD19" i="276"/>
  <c r="AD35" i="276"/>
  <c r="AD50" i="276"/>
  <c r="AD15" i="244"/>
  <c r="AD51" i="244"/>
  <c r="I23" i="275"/>
  <c r="I25" i="275"/>
  <c r="E63" i="244" a="1"/>
  <c r="E63" i="244" s="1"/>
  <c r="E64" i="244" a="1"/>
  <c r="E64" i="244" s="1"/>
  <c r="E68" i="244" a="1"/>
  <c r="E68" i="244" s="1"/>
  <c r="E67" i="244" a="1"/>
  <c r="E67" i="244" s="1"/>
  <c r="E66" i="244" a="1"/>
  <c r="E66" i="244" s="1"/>
  <c r="E65" i="244" a="1"/>
  <c r="E65" i="244" s="1"/>
  <c r="AD34" i="244"/>
  <c r="F16" i="63"/>
  <c r="F20" i="63" s="1"/>
  <c r="AA34" i="274"/>
  <c r="F134" i="274" s="1"/>
  <c r="U34" i="241"/>
  <c r="S23" i="332"/>
  <c r="S24" i="332"/>
  <c r="S25" i="332"/>
  <c r="S21" i="332"/>
  <c r="S22" i="332"/>
  <c r="S26" i="332"/>
  <c r="H58" i="244"/>
  <c r="H57" i="244"/>
  <c r="K32" i="64"/>
  <c r="AK26" i="57"/>
  <c r="AK24" i="57"/>
  <c r="AK28" i="57"/>
  <c r="AK27" i="57"/>
  <c r="AK29" i="57"/>
  <c r="AK25" i="57"/>
  <c r="AB24" i="57"/>
  <c r="AB26" i="57"/>
  <c r="AB28" i="57"/>
  <c r="T26" i="332"/>
  <c r="M68" i="276" a="1"/>
  <c r="M68" i="276" s="1"/>
  <c r="M64" i="276" a="1"/>
  <c r="M64" i="276" s="1"/>
  <c r="J16" i="63"/>
  <c r="J20" i="63" s="1"/>
  <c r="AA38" i="274"/>
  <c r="F138" i="274" s="1"/>
  <c r="U38" i="241"/>
  <c r="AC24" i="57"/>
  <c r="AC28" i="57"/>
  <c r="AC26" i="57"/>
  <c r="AC25" i="57"/>
  <c r="AC27" i="57"/>
  <c r="AC29" i="57"/>
  <c r="J21" i="332"/>
  <c r="Y8" i="47"/>
  <c r="P8" i="47"/>
  <c r="Z8" i="47" s="1"/>
  <c r="G78" i="274"/>
  <c r="H15" i="274"/>
  <c r="G104" i="274"/>
  <c r="G62" i="274"/>
  <c r="K28" i="64"/>
  <c r="X21" i="332"/>
  <c r="J58" i="332"/>
  <c r="J56" i="332"/>
  <c r="T60" i="332"/>
  <c r="O50" i="8"/>
  <c r="E69" i="8"/>
  <c r="D32" i="14"/>
  <c r="E32" i="14" s="1"/>
  <c r="D29" i="14"/>
  <c r="E29" i="14" s="1"/>
  <c r="D30" i="14"/>
  <c r="E30" i="14" s="1"/>
  <c r="C30" i="64"/>
  <c r="X58" i="332"/>
  <c r="P48" i="8"/>
  <c r="I70" i="244"/>
  <c r="D72" i="244"/>
  <c r="J18" i="133"/>
  <c r="K14" i="133"/>
  <c r="B14" i="133" s="1"/>
  <c r="G14" i="133" s="1"/>
  <c r="B3" i="241" s="1"/>
  <c r="J15" i="133"/>
  <c r="K15" i="133" s="1"/>
  <c r="B15" i="133" s="1"/>
  <c r="G15" i="133" s="1"/>
  <c r="B3" i="274" s="1"/>
  <c r="B60" i="236" s="1"/>
  <c r="D39" i="14"/>
  <c r="D23" i="14"/>
  <c r="O32" i="241"/>
  <c r="O33" i="241"/>
  <c r="O83" i="241" s="1"/>
  <c r="O40" i="241"/>
  <c r="O90" i="241" s="1"/>
  <c r="O35" i="241"/>
  <c r="O85" i="241" s="1"/>
  <c r="O34" i="241"/>
  <c r="O84" i="241" s="1"/>
  <c r="O39" i="241"/>
  <c r="O89" i="241" s="1"/>
  <c r="O100" i="241"/>
  <c r="K56" i="133"/>
  <c r="B55" i="133"/>
  <c r="S47" i="214"/>
  <c r="S51" i="214"/>
  <c r="S48" i="214"/>
  <c r="S52" i="214"/>
  <c r="S49" i="214"/>
  <c r="S50" i="214"/>
  <c r="U7" i="264"/>
  <c r="U8" i="264"/>
  <c r="U10" i="264"/>
  <c r="U12" i="264"/>
  <c r="Z15" i="264"/>
  <c r="U17" i="264"/>
  <c r="Z19" i="264"/>
  <c r="U21" i="264"/>
  <c r="U29" i="264"/>
  <c r="U4" i="264"/>
  <c r="U5" i="264"/>
  <c r="U6" i="264"/>
  <c r="Z13" i="264"/>
  <c r="U14" i="264"/>
  <c r="Z16" i="264"/>
  <c r="Z20" i="264"/>
  <c r="Z22" i="264"/>
  <c r="Z24" i="264"/>
  <c r="Z26" i="264"/>
  <c r="Z30" i="264"/>
  <c r="U31" i="264"/>
  <c r="Z4" i="264"/>
  <c r="Z7" i="264"/>
  <c r="Z8" i="264"/>
  <c r="Z10" i="264"/>
  <c r="Z12" i="264"/>
  <c r="U15" i="264"/>
  <c r="Z17" i="264"/>
  <c r="U19" i="264"/>
  <c r="Z21" i="264"/>
  <c r="Z29" i="264"/>
  <c r="Z5" i="264"/>
  <c r="Z6" i="264"/>
  <c r="U13" i="264"/>
  <c r="Z14" i="264"/>
  <c r="U16" i="264"/>
  <c r="U20" i="264"/>
  <c r="U22" i="264"/>
  <c r="U24" i="264"/>
  <c r="U26" i="264"/>
  <c r="U30" i="264"/>
  <c r="Z31" i="264"/>
  <c r="Z39" i="264"/>
  <c r="Z41" i="264"/>
  <c r="Y53" i="264"/>
  <c r="Z38" i="264"/>
  <c r="Z40" i="264"/>
  <c r="Z42" i="264"/>
  <c r="L63" i="301" a="1"/>
  <c r="L63" i="301" s="1"/>
  <c r="L64" i="301" a="1"/>
  <c r="L64" i="301" s="1"/>
  <c r="L65" i="301" a="1"/>
  <c r="L65" i="301" s="1"/>
  <c r="L66" i="301" a="1"/>
  <c r="L66" i="301" s="1"/>
  <c r="L67" i="301" a="1"/>
  <c r="L67" i="301" s="1"/>
  <c r="L68" i="301" a="1"/>
  <c r="L68" i="301" s="1"/>
  <c r="I19" i="282"/>
  <c r="J46" i="282"/>
  <c r="L12" i="326"/>
  <c r="Z11" i="325"/>
  <c r="R8" i="325"/>
  <c r="R9" i="325"/>
  <c r="R10" i="325"/>
  <c r="R12" i="325"/>
  <c r="R17" i="325"/>
  <c r="R21" i="325"/>
  <c r="R23" i="325"/>
  <c r="R25" i="325"/>
  <c r="R28" i="325"/>
  <c r="R29" i="325"/>
  <c r="R30" i="325"/>
  <c r="R31" i="325"/>
  <c r="R14" i="325"/>
  <c r="R18" i="325"/>
  <c r="R5" i="325"/>
  <c r="R55" i="325" s="1"/>
  <c r="R6" i="325"/>
  <c r="R15" i="325"/>
  <c r="R19" i="325"/>
  <c r="R24" i="325"/>
  <c r="R13" i="325"/>
  <c r="R16" i="325"/>
  <c r="R20" i="325"/>
  <c r="U7" i="310"/>
  <c r="U9" i="310"/>
  <c r="U12" i="310"/>
  <c r="Z15" i="310"/>
  <c r="U17" i="310"/>
  <c r="Z19" i="310"/>
  <c r="U21" i="310"/>
  <c r="Z26" i="310"/>
  <c r="Z32" i="310"/>
  <c r="Y53" i="310"/>
  <c r="U4" i="310"/>
  <c r="U6" i="310"/>
  <c r="Z13" i="310"/>
  <c r="U14" i="310"/>
  <c r="Z16" i="310"/>
  <c r="Z20" i="310"/>
  <c r="Z22" i="310"/>
  <c r="Z24" i="310"/>
  <c r="U27" i="310"/>
  <c r="Z28" i="310"/>
  <c r="Z31" i="310"/>
  <c r="Z37" i="310"/>
  <c r="Z39" i="310"/>
  <c r="Z41" i="310"/>
  <c r="Z4" i="310"/>
  <c r="Z9" i="310"/>
  <c r="Z12" i="310"/>
  <c r="U15" i="310"/>
  <c r="Z17" i="310"/>
  <c r="U19" i="310"/>
  <c r="Z21" i="310"/>
  <c r="U26" i="310"/>
  <c r="U32" i="310"/>
  <c r="Z6" i="310"/>
  <c r="U13" i="310"/>
  <c r="Z14" i="310"/>
  <c r="U16" i="310"/>
  <c r="U20" i="310"/>
  <c r="U22" i="310"/>
  <c r="U24" i="310"/>
  <c r="Z27" i="310"/>
  <c r="U28" i="310"/>
  <c r="U31" i="310"/>
  <c r="Z36" i="310"/>
  <c r="Z38" i="310"/>
  <c r="Z40" i="310"/>
  <c r="Z42" i="310"/>
  <c r="AO31" i="325"/>
  <c r="AO24" i="325"/>
  <c r="AI28" i="325"/>
  <c r="AM28" i="325"/>
  <c r="R15" i="301"/>
  <c r="AB15" i="301" s="1"/>
  <c r="V15" i="301"/>
  <c r="W15" i="301" s="1"/>
  <c r="V30" i="301"/>
  <c r="W30" i="301" s="1"/>
  <c r="V29" i="301"/>
  <c r="R29" i="301"/>
  <c r="P55" i="301"/>
  <c r="P57" i="301"/>
  <c r="P60" i="301"/>
  <c r="P59" i="301"/>
  <c r="P56" i="301"/>
  <c r="P58" i="301"/>
  <c r="V44" i="301"/>
  <c r="W44" i="301" s="1"/>
  <c r="R45" i="301"/>
  <c r="AB45" i="301" s="1"/>
  <c r="V45" i="301"/>
  <c r="W45" i="301" s="1"/>
  <c r="S22" i="306"/>
  <c r="S24" i="306"/>
  <c r="S23" i="306"/>
  <c r="S25" i="306"/>
  <c r="Q56" i="306"/>
  <c r="Q60" i="306"/>
  <c r="Q57" i="306"/>
  <c r="T29" i="306"/>
  <c r="T67" i="306" s="1" a="1"/>
  <c r="T67" i="306" s="1"/>
  <c r="Q58" i="306"/>
  <c r="Q55" i="306"/>
  <c r="Q59" i="306"/>
  <c r="P58" i="306"/>
  <c r="S34" i="306"/>
  <c r="S55" i="306" s="1"/>
  <c r="P56" i="306"/>
  <c r="P60" i="306"/>
  <c r="D62" i="306" a="1"/>
  <c r="D62" i="306" s="1"/>
  <c r="D65" i="306" a="1"/>
  <c r="D65" i="306" s="1"/>
  <c r="D63" i="306" a="1"/>
  <c r="D63" i="306" s="1"/>
  <c r="D66" i="306" a="1"/>
  <c r="D66" i="306" s="1"/>
  <c r="D64" i="306" a="1"/>
  <c r="D64" i="306" s="1"/>
  <c r="D67" i="306" a="1"/>
  <c r="D67" i="306" s="1"/>
  <c r="S12" i="306"/>
  <c r="S26" i="306" s="1"/>
  <c r="P21" i="306"/>
  <c r="P64" i="306" s="1" a="1"/>
  <c r="P64" i="306" s="1"/>
  <c r="L58" i="306"/>
  <c r="P26" i="306"/>
  <c r="M23" i="306"/>
  <c r="N56" i="306"/>
  <c r="L56" i="306"/>
  <c r="Y29" i="233"/>
  <c r="N251" i="233" a="1"/>
  <c r="N251" i="233" s="1"/>
  <c r="N252" i="233" a="1"/>
  <c r="N252" i="233" s="1"/>
  <c r="N253" i="233" a="1"/>
  <c r="N253" i="233" s="1"/>
  <c r="N254" i="233" a="1"/>
  <c r="N254" i="233" s="1"/>
  <c r="N255" i="233" a="1"/>
  <c r="N255" i="233" s="1"/>
  <c r="N256" i="233" a="1"/>
  <c r="N256" i="233" s="1"/>
  <c r="E63" i="275" a="1"/>
  <c r="E63" i="275" s="1"/>
  <c r="E64" i="275" a="1"/>
  <c r="E64" i="275" s="1"/>
  <c r="E66" i="275" a="1"/>
  <c r="E66" i="275" s="1"/>
  <c r="E65" i="275" a="1"/>
  <c r="E65" i="275" s="1"/>
  <c r="E68" i="275" a="1"/>
  <c r="E68" i="275" s="1"/>
  <c r="E67" i="275" a="1"/>
  <c r="E67" i="275" s="1"/>
  <c r="P180" i="233"/>
  <c r="P184" i="233"/>
  <c r="P181" i="233"/>
  <c r="P185" i="233"/>
  <c r="P182" i="233"/>
  <c r="P183" i="233"/>
  <c r="H56" i="275"/>
  <c r="D64" i="275" a="1"/>
  <c r="D64" i="275" s="1"/>
  <c r="D65" i="275" a="1"/>
  <c r="D65" i="275" s="1"/>
  <c r="D68" i="275" a="1"/>
  <c r="D68" i="275" s="1"/>
  <c r="D67" i="275" a="1"/>
  <c r="D67" i="275" s="1"/>
  <c r="D66" i="275" a="1"/>
  <c r="D66" i="275" s="1"/>
  <c r="E63" i="276" a="1"/>
  <c r="E63" i="276" s="1"/>
  <c r="E64" i="276" a="1"/>
  <c r="E64" i="276" s="1"/>
  <c r="E65" i="276" a="1"/>
  <c r="E65" i="276" s="1"/>
  <c r="E66" i="276" a="1"/>
  <c r="E66" i="276" s="1"/>
  <c r="E67" i="276" a="1"/>
  <c r="E67" i="276" s="1"/>
  <c r="E68" i="276" a="1"/>
  <c r="E68" i="276" s="1"/>
  <c r="K29" i="276"/>
  <c r="I55" i="276"/>
  <c r="I56" i="276"/>
  <c r="I58" i="276"/>
  <c r="I57" i="276"/>
  <c r="I60" i="276"/>
  <c r="I59" i="276"/>
  <c r="AD36" i="276"/>
  <c r="I60" i="244"/>
  <c r="I57" i="244"/>
  <c r="I59" i="244"/>
  <c r="K29" i="244"/>
  <c r="I55" i="244"/>
  <c r="I56" i="244"/>
  <c r="I58" i="244"/>
  <c r="AD37" i="244"/>
  <c r="AD14" i="276"/>
  <c r="J63" i="276" a="1"/>
  <c r="J63" i="276" s="1"/>
  <c r="J64" i="276" a="1"/>
  <c r="J64" i="276" s="1"/>
  <c r="J65" i="276" a="1"/>
  <c r="J65" i="276" s="1"/>
  <c r="J66" i="276" a="1"/>
  <c r="J66" i="276" s="1"/>
  <c r="J67" i="276" a="1"/>
  <c r="J67" i="276" s="1"/>
  <c r="J68" i="276" a="1"/>
  <c r="J68" i="276" s="1"/>
  <c r="D64" i="276" a="1"/>
  <c r="D64" i="276" s="1"/>
  <c r="D65" i="276" a="1"/>
  <c r="D65" i="276" s="1"/>
  <c r="D66" i="276" a="1"/>
  <c r="D66" i="276" s="1"/>
  <c r="D67" i="276" a="1"/>
  <c r="D67" i="276" s="1"/>
  <c r="D68" i="276" a="1"/>
  <c r="D68" i="276" s="1"/>
  <c r="D63" i="276" a="1"/>
  <c r="D63" i="276" s="1"/>
  <c r="AD30" i="276"/>
  <c r="AD38" i="276"/>
  <c r="I21" i="244"/>
  <c r="I25" i="244"/>
  <c r="I67" i="244" s="1" a="1"/>
  <c r="I67" i="244" s="1"/>
  <c r="K11" i="244"/>
  <c r="I26" i="244"/>
  <c r="I23" i="244"/>
  <c r="I63" i="244" a="1"/>
  <c r="I63" i="244" s="1"/>
  <c r="I22" i="244"/>
  <c r="I64" i="244" s="1" a="1"/>
  <c r="I64" i="244" s="1"/>
  <c r="I24" i="244"/>
  <c r="I68" i="244" a="1"/>
  <c r="I68" i="244" s="1"/>
  <c r="AD16" i="244"/>
  <c r="AD11" i="275"/>
  <c r="K24" i="275"/>
  <c r="K23" i="275"/>
  <c r="K22" i="275"/>
  <c r="K67" i="275" s="1" a="1"/>
  <c r="K67" i="275" s="1"/>
  <c r="K26" i="275"/>
  <c r="K21" i="275"/>
  <c r="K63" i="275" s="1" a="1"/>
  <c r="K63" i="275" s="1"/>
  <c r="K25" i="275"/>
  <c r="K66" i="275" a="1"/>
  <c r="K66" i="275" s="1"/>
  <c r="I21" i="275"/>
  <c r="I67" i="275" s="1" a="1"/>
  <c r="I67" i="275" s="1"/>
  <c r="F66" i="276" a="1"/>
  <c r="F66" i="276" s="1"/>
  <c r="F67" i="276" a="1"/>
  <c r="F67" i="276" s="1"/>
  <c r="F68" i="276" a="1"/>
  <c r="F68" i="276" s="1"/>
  <c r="F63" i="276" a="1"/>
  <c r="F63" i="276" s="1"/>
  <c r="F64" i="276" a="1"/>
  <c r="F64" i="276" s="1"/>
  <c r="F65" i="276" a="1"/>
  <c r="F65" i="276" s="1"/>
  <c r="H24" i="244"/>
  <c r="H21" i="244"/>
  <c r="H23" i="244"/>
  <c r="H25" i="244"/>
  <c r="H63" i="244" s="1" a="1"/>
  <c r="H63" i="244" s="1"/>
  <c r="H22" i="244"/>
  <c r="H65" i="244" s="1" a="1"/>
  <c r="H65" i="244" s="1"/>
  <c r="H26" i="244"/>
  <c r="H67" i="244" a="1"/>
  <c r="H67" i="244" s="1"/>
  <c r="H68" i="244" a="1"/>
  <c r="H68" i="244" s="1"/>
  <c r="AD38" i="244"/>
  <c r="E37" i="64"/>
  <c r="E40" i="64" s="1"/>
  <c r="E41" i="64" s="1"/>
  <c r="T12" i="301"/>
  <c r="T16" i="301"/>
  <c r="T30" i="301"/>
  <c r="T34" i="301"/>
  <c r="T39" i="301"/>
  <c r="T42" i="301"/>
  <c r="T46" i="301"/>
  <c r="T49" i="301"/>
  <c r="T53" i="301"/>
  <c r="T14" i="301"/>
  <c r="T18" i="301"/>
  <c r="T33" i="301"/>
  <c r="T36" i="301"/>
  <c r="T41" i="301"/>
  <c r="T44" i="301"/>
  <c r="T48" i="301"/>
  <c r="T52" i="301"/>
  <c r="T11" i="301"/>
  <c r="AD18" i="301"/>
  <c r="T19" i="301"/>
  <c r="T40" i="301"/>
  <c r="AD40" i="301"/>
  <c r="AD42" i="301"/>
  <c r="T43" i="301"/>
  <c r="AD12" i="301"/>
  <c r="T13" i="301"/>
  <c r="AD44" i="301"/>
  <c r="T45" i="301"/>
  <c r="T50" i="301"/>
  <c r="AD50" i="301"/>
  <c r="T51" i="301"/>
  <c r="AD53" i="301"/>
  <c r="AD14" i="301"/>
  <c r="T15" i="301"/>
  <c r="T29" i="301"/>
  <c r="T32" i="301"/>
  <c r="AD32" i="301"/>
  <c r="AD34" i="301"/>
  <c r="T35" i="301"/>
  <c r="T38" i="301"/>
  <c r="AD38" i="301"/>
  <c r="AD46" i="301"/>
  <c r="T47" i="301"/>
  <c r="AD52" i="301"/>
  <c r="AD16" i="301"/>
  <c r="T17" i="301"/>
  <c r="AD30" i="301"/>
  <c r="T31" i="301"/>
  <c r="AD36" i="301"/>
  <c r="T37" i="301"/>
  <c r="AD48" i="301"/>
  <c r="H56" i="244"/>
  <c r="K26" i="64"/>
  <c r="O17" i="64"/>
  <c r="B43" i="274"/>
  <c r="B93" i="274" s="1"/>
  <c r="B43" i="241"/>
  <c r="B93" i="241" s="1"/>
  <c r="B59" i="73"/>
  <c r="B85" i="73" s="1"/>
  <c r="U26" i="57"/>
  <c r="U24" i="57"/>
  <c r="U28" i="57"/>
  <c r="U25" i="57"/>
  <c r="U27" i="57"/>
  <c r="U29" i="57"/>
  <c r="AB25" i="57"/>
  <c r="Y55" i="332"/>
  <c r="Y59" i="332"/>
  <c r="Y56" i="332"/>
  <c r="Y60" i="332"/>
  <c r="Y57" i="332"/>
  <c r="Y58" i="332"/>
  <c r="M67" i="276" a="1"/>
  <c r="M67" i="276" s="1"/>
  <c r="I37" i="64"/>
  <c r="I40" i="64" s="1"/>
  <c r="I41" i="64" s="1"/>
  <c r="X24" i="332"/>
  <c r="W8" i="47"/>
  <c r="L8" i="47"/>
  <c r="V8" i="47" s="1"/>
  <c r="S21" i="274"/>
  <c r="X26" i="332"/>
  <c r="J57" i="332"/>
  <c r="T58" i="332"/>
  <c r="T56" i="332"/>
  <c r="D13" i="277"/>
  <c r="D21" i="277"/>
  <c r="E22" i="277"/>
  <c r="D14" i="277"/>
  <c r="E17" i="280" s="1"/>
  <c r="D20" i="277"/>
  <c r="E20" i="277"/>
  <c r="E21" i="277"/>
  <c r="E13" i="277"/>
  <c r="E14" i="277"/>
  <c r="F17" i="280" s="1"/>
  <c r="D22" i="277"/>
  <c r="T21" i="332"/>
  <c r="X57" i="332"/>
  <c r="N14" i="8"/>
  <c r="N16" i="8"/>
  <c r="N20" i="8"/>
  <c r="N22" i="8"/>
  <c r="N31" i="8"/>
  <c r="N41" i="8"/>
  <c r="N44" i="8"/>
  <c r="N48" i="8"/>
  <c r="N15" i="8"/>
  <c r="N21" i="8"/>
  <c r="N24" i="8"/>
  <c r="N35" i="8"/>
  <c r="N43" i="8"/>
  <c r="N45" i="8"/>
  <c r="N46" i="8"/>
  <c r="N29" i="8"/>
  <c r="N30" i="8"/>
  <c r="N42" i="8"/>
  <c r="N13" i="8"/>
  <c r="N36" i="8"/>
  <c r="I19" i="10"/>
  <c r="I21" i="10" s="1"/>
  <c r="N20" i="274"/>
  <c r="L33" i="241"/>
  <c r="L83" i="241" s="1"/>
  <c r="L34" i="241"/>
  <c r="L84" i="241" s="1"/>
  <c r="L35" i="241"/>
  <c r="L85" i="241" s="1"/>
  <c r="L38" i="241"/>
  <c r="L88" i="241" s="1"/>
  <c r="L39" i="241"/>
  <c r="L89" i="241" s="1"/>
  <c r="L40" i="241"/>
  <c r="L90" i="241" s="1"/>
  <c r="L32" i="241"/>
  <c r="L100" i="241"/>
  <c r="C28" i="64"/>
  <c r="N50" i="8"/>
  <c r="N32" i="241"/>
  <c r="N33" i="241"/>
  <c r="N83" i="241" s="1"/>
  <c r="N34" i="241"/>
  <c r="N84" i="241" s="1"/>
  <c r="N35" i="241"/>
  <c r="N85" i="241" s="1"/>
  <c r="N38" i="241"/>
  <c r="N88" i="241" s="1"/>
  <c r="N39" i="241"/>
  <c r="N89" i="241" s="1"/>
  <c r="N40" i="241"/>
  <c r="N90" i="241" s="1"/>
  <c r="N100" i="241"/>
  <c r="I30" i="64"/>
  <c r="N12" i="244"/>
  <c r="N16" i="244"/>
  <c r="N29" i="244"/>
  <c r="N33" i="244"/>
  <c r="N37" i="244"/>
  <c r="N41" i="244"/>
  <c r="N32" i="244"/>
  <c r="N36" i="244"/>
  <c r="N40" i="244"/>
  <c r="N45" i="244"/>
  <c r="N49" i="244"/>
  <c r="N53" i="244"/>
  <c r="N72" i="244"/>
  <c r="N13" i="244"/>
  <c r="N17" i="244"/>
  <c r="N31" i="244"/>
  <c r="N35" i="244"/>
  <c r="N39" i="244"/>
  <c r="N44" i="244"/>
  <c r="N48" i="244"/>
  <c r="N52" i="244"/>
  <c r="N11" i="244"/>
  <c r="N15" i="244"/>
  <c r="N19" i="244"/>
  <c r="N43" i="244"/>
  <c r="N47" i="244"/>
  <c r="N51" i="244"/>
  <c r="Q6" i="244"/>
  <c r="N14" i="244"/>
  <c r="N18" i="244"/>
  <c r="N30" i="244"/>
  <c r="N34" i="244"/>
  <c r="N38" i="244"/>
  <c r="N42" i="244"/>
  <c r="N46" i="244"/>
  <c r="N50" i="244"/>
  <c r="N70" i="244"/>
  <c r="E30" i="334"/>
  <c r="C31" i="334"/>
  <c r="E31" i="334" s="1"/>
  <c r="M32" i="241"/>
  <c r="M35" i="241"/>
  <c r="M85" i="241" s="1"/>
  <c r="M34" i="241"/>
  <c r="M84" i="241" s="1"/>
  <c r="M39" i="241"/>
  <c r="M89" i="241" s="1"/>
  <c r="M100" i="241"/>
  <c r="M38" i="241"/>
  <c r="M88" i="241" s="1"/>
  <c r="M33" i="241"/>
  <c r="M83" i="241" s="1"/>
  <c r="M40" i="241"/>
  <c r="M90" i="241" s="1"/>
  <c r="D14" i="243"/>
  <c r="D15" i="243" s="1"/>
  <c r="D25" i="243"/>
  <c r="D36" i="243" s="1"/>
  <c r="D47" i="243"/>
  <c r="D52" i="243" s="1"/>
  <c r="D54" i="243" s="1"/>
  <c r="D56" i="243" s="1"/>
  <c r="T50" i="214"/>
  <c r="T47" i="214"/>
  <c r="T51" i="214"/>
  <c r="T48" i="214"/>
  <c r="T52" i="214"/>
  <c r="T49" i="214"/>
  <c r="F96" i="290"/>
  <c r="O95" i="290"/>
  <c r="L11" i="326"/>
  <c r="H13" i="326"/>
  <c r="I12" i="326" s="1"/>
  <c r="I5" i="326"/>
  <c r="E5" i="282"/>
  <c r="D8" i="282"/>
  <c r="H64" i="282"/>
  <c r="G10" i="280"/>
  <c r="L22" i="282"/>
  <c r="K15" i="280" s="1"/>
  <c r="I13" i="265"/>
  <c r="J8" i="265" s="1"/>
  <c r="E13" i="265"/>
  <c r="N6" i="265"/>
  <c r="U25" i="264"/>
  <c r="L9" i="326"/>
  <c r="L13" i="326" s="1"/>
  <c r="U9" i="264"/>
  <c r="E13" i="326"/>
  <c r="R11" i="325"/>
  <c r="U5" i="310"/>
  <c r="R19" i="301"/>
  <c r="AB19" i="301" s="1"/>
  <c r="V19" i="301"/>
  <c r="W19" i="301" s="1"/>
  <c r="H78" i="305"/>
  <c r="H91" i="305" s="1"/>
  <c r="H80" i="305" a="1"/>
  <c r="H80" i="305" s="1"/>
  <c r="H81" i="305" s="1"/>
  <c r="H82" i="305" a="1"/>
  <c r="H82" i="305" s="1"/>
  <c r="H83" i="305" s="1"/>
  <c r="I78" i="305"/>
  <c r="I91" i="305" s="1"/>
  <c r="R51" i="301"/>
  <c r="AB51" i="301" s="1"/>
  <c r="V51" i="301"/>
  <c r="W51" i="301" s="1"/>
  <c r="V46" i="301"/>
  <c r="W46" i="301" s="1"/>
  <c r="O55" i="301"/>
  <c r="O56" i="301"/>
  <c r="O57" i="301"/>
  <c r="O58" i="301"/>
  <c r="O59" i="301"/>
  <c r="O60" i="301"/>
  <c r="R37" i="301"/>
  <c r="AB37" i="301" s="1"/>
  <c r="V37" i="301"/>
  <c r="W37" i="301" s="1"/>
  <c r="J62" i="306" a="1"/>
  <c r="J62" i="306" s="1"/>
  <c r="J67" i="306" a="1"/>
  <c r="J67" i="306" s="1"/>
  <c r="J64" i="306" a="1"/>
  <c r="J64" i="306" s="1"/>
  <c r="J65" i="306" a="1"/>
  <c r="J65" i="306" s="1"/>
  <c r="J63" i="306" a="1"/>
  <c r="J63" i="306" s="1"/>
  <c r="J66" i="306" a="1"/>
  <c r="J66" i="306" s="1"/>
  <c r="Q23" i="306"/>
  <c r="Q66" i="306" s="1" a="1"/>
  <c r="Q66" i="306" s="1"/>
  <c r="Q21" i="306"/>
  <c r="Q63" i="306" s="1" a="1"/>
  <c r="Q63" i="306" s="1"/>
  <c r="Q25" i="306"/>
  <c r="Q22" i="306"/>
  <c r="Q64" i="306" s="1" a="1"/>
  <c r="Q64" i="306" s="1"/>
  <c r="Q24" i="306"/>
  <c r="Q26" i="306"/>
  <c r="Q67" i="306" a="1"/>
  <c r="Q67" i="306" s="1"/>
  <c r="N21" i="306"/>
  <c r="N62" i="306" s="1" a="1"/>
  <c r="N62" i="306" s="1"/>
  <c r="N25" i="306"/>
  <c r="N23" i="306"/>
  <c r="N22" i="306"/>
  <c r="N24" i="306"/>
  <c r="N26" i="306"/>
  <c r="N65" i="306" a="1"/>
  <c r="N65" i="306" s="1"/>
  <c r="M65" i="306" a="1"/>
  <c r="M65" i="306" s="1"/>
  <c r="M64" i="306" a="1"/>
  <c r="M64" i="306" s="1"/>
  <c r="P22" i="306"/>
  <c r="M22" i="306"/>
  <c r="M67" i="306" s="1" a="1"/>
  <c r="M67" i="306" s="1"/>
  <c r="B70" i="280"/>
  <c r="B74" i="280"/>
  <c r="B78" i="280"/>
  <c r="B82" i="280"/>
  <c r="B68" i="280"/>
  <c r="B72" i="280"/>
  <c r="B76" i="280"/>
  <c r="B80" i="280"/>
  <c r="B67" i="280"/>
  <c r="B75" i="280"/>
  <c r="B69" i="280"/>
  <c r="B77" i="280"/>
  <c r="B71" i="280"/>
  <c r="B79" i="280"/>
  <c r="B73" i="280"/>
  <c r="B81" i="280"/>
  <c r="X11" i="301"/>
  <c r="X15" i="301"/>
  <c r="I15" i="301" s="1"/>
  <c r="X19" i="301"/>
  <c r="I19" i="301" s="1"/>
  <c r="X29" i="301"/>
  <c r="X32" i="301"/>
  <c r="X37" i="301"/>
  <c r="I37" i="301" s="1"/>
  <c r="X40" i="301"/>
  <c r="X45" i="301"/>
  <c r="I45" i="301" s="1"/>
  <c r="X50" i="301"/>
  <c r="X53" i="301"/>
  <c r="I53" i="301" s="1"/>
  <c r="X13" i="301"/>
  <c r="I13" i="301" s="1"/>
  <c r="X17" i="301"/>
  <c r="I17" i="301" s="1"/>
  <c r="X31" i="301"/>
  <c r="I31" i="301" s="1"/>
  <c r="X35" i="301"/>
  <c r="I35" i="301" s="1"/>
  <c r="X38" i="301"/>
  <c r="X43" i="301"/>
  <c r="I43" i="301" s="1"/>
  <c r="X47" i="301"/>
  <c r="I47" i="301" s="1"/>
  <c r="X51" i="301"/>
  <c r="X12" i="301"/>
  <c r="I12" i="301" s="1"/>
  <c r="X44" i="301"/>
  <c r="I44" i="301" s="1"/>
  <c r="X14" i="301"/>
  <c r="I14" i="301" s="1"/>
  <c r="X33" i="301"/>
  <c r="X34" i="301"/>
  <c r="I34" i="301" s="1"/>
  <c r="X39" i="301"/>
  <c r="X46" i="301"/>
  <c r="I46" i="301" s="1"/>
  <c r="X52" i="301"/>
  <c r="I52" i="301" s="1"/>
  <c r="X16" i="301"/>
  <c r="I16" i="301" s="1"/>
  <c r="X30" i="301"/>
  <c r="I30" i="301" s="1"/>
  <c r="X36" i="301"/>
  <c r="I36" i="301" s="1"/>
  <c r="X48" i="301"/>
  <c r="I48" i="301" s="1"/>
  <c r="X49" i="301"/>
  <c r="X18" i="301"/>
  <c r="I18" i="301" s="1"/>
  <c r="X41" i="301"/>
  <c r="X42" i="301"/>
  <c r="I42" i="301" s="1"/>
  <c r="Y11" i="233"/>
  <c r="AD17" i="275"/>
  <c r="M64" i="275" a="1"/>
  <c r="M64" i="275" s="1"/>
  <c r="M65" i="275" a="1"/>
  <c r="M65" i="275" s="1"/>
  <c r="M68" i="275" a="1"/>
  <c r="M68" i="275" s="1"/>
  <c r="M67" i="275" a="1"/>
  <c r="M67" i="275" s="1"/>
  <c r="M66" i="275" a="1"/>
  <c r="M66" i="275" s="1"/>
  <c r="D63" i="275" a="1"/>
  <c r="D63" i="275" s="1"/>
  <c r="G63" i="276" a="1"/>
  <c r="G63" i="276" s="1"/>
  <c r="G64" i="276" a="1"/>
  <c r="G64" i="276" s="1"/>
  <c r="G65" i="276" a="1"/>
  <c r="G65" i="276" s="1"/>
  <c r="G66" i="276" a="1"/>
  <c r="G66" i="276" s="1"/>
  <c r="G67" i="276" a="1"/>
  <c r="G67" i="276" s="1"/>
  <c r="G68" i="276" a="1"/>
  <c r="G68" i="276" s="1"/>
  <c r="H55" i="276"/>
  <c r="H59" i="276"/>
  <c r="H56" i="276"/>
  <c r="H57" i="276"/>
  <c r="H58" i="276"/>
  <c r="H60" i="276"/>
  <c r="AD37" i="276"/>
  <c r="F65" i="244" a="1"/>
  <c r="F65" i="244" s="1"/>
  <c r="F64" i="244" a="1"/>
  <c r="F64" i="244" s="1"/>
  <c r="F68" i="244" a="1"/>
  <c r="F68" i="244" s="1"/>
  <c r="F67" i="244" a="1"/>
  <c r="F67" i="244" s="1"/>
  <c r="F66" i="244" a="1"/>
  <c r="F66" i="244" s="1"/>
  <c r="AD32" i="244"/>
  <c r="AD40" i="244"/>
  <c r="K11" i="276"/>
  <c r="I21" i="276"/>
  <c r="I63" i="276" s="1" a="1"/>
  <c r="I63" i="276" s="1"/>
  <c r="I25" i="276"/>
  <c r="I23" i="276"/>
  <c r="I26" i="276"/>
  <c r="I24" i="276"/>
  <c r="I22" i="276"/>
  <c r="I65" i="276" s="1" a="1"/>
  <c r="I65" i="276" s="1"/>
  <c r="AD15" i="276"/>
  <c r="AD31" i="276"/>
  <c r="AD42" i="276"/>
  <c r="D64" i="244" a="1"/>
  <c r="D64" i="244" s="1"/>
  <c r="D63" i="244" a="1"/>
  <c r="D63" i="244" s="1"/>
  <c r="D67" i="244" a="1"/>
  <c r="D67" i="244" s="1"/>
  <c r="D66" i="244" a="1"/>
  <c r="D66" i="244" s="1"/>
  <c r="D65" i="244" a="1"/>
  <c r="D65" i="244" s="1"/>
  <c r="D68" i="244" a="1"/>
  <c r="D68" i="244" s="1"/>
  <c r="AD19" i="244"/>
  <c r="I24" i="275"/>
  <c r="I26" i="275"/>
  <c r="N36" i="64"/>
  <c r="D54" i="241" a="1"/>
  <c r="I24" i="332"/>
  <c r="I26" i="332"/>
  <c r="I21" i="332"/>
  <c r="I22" i="332"/>
  <c r="I23" i="332"/>
  <c r="I25" i="332"/>
  <c r="Y23" i="332"/>
  <c r="Y24" i="332"/>
  <c r="Y21" i="332"/>
  <c r="Y25" i="332"/>
  <c r="F63" i="244" a="1"/>
  <c r="F63" i="244" s="1"/>
  <c r="C68" i="334"/>
  <c r="E68" i="334" s="1"/>
  <c r="K16" i="64"/>
  <c r="K37" i="64" s="1"/>
  <c r="K40" i="64" s="1"/>
  <c r="K41" i="64" s="1"/>
  <c r="N49" i="64" s="1"/>
  <c r="C45" i="236"/>
  <c r="C48" i="236" s="1"/>
  <c r="O20" i="64"/>
  <c r="P43" i="64" s="1"/>
  <c r="B46" i="274"/>
  <c r="B96" i="274" s="1"/>
  <c r="B46" i="241"/>
  <c r="B96" i="241" s="1"/>
  <c r="B62" i="73"/>
  <c r="B88" i="73" s="1"/>
  <c r="T22" i="332"/>
  <c r="C16" i="64"/>
  <c r="L13" i="332"/>
  <c r="Z13" i="332" s="1"/>
  <c r="J25" i="332"/>
  <c r="J26" i="332"/>
  <c r="D42" i="243"/>
  <c r="D43" i="243" s="1"/>
  <c r="O19" i="64"/>
  <c r="P42" i="64" s="1"/>
  <c r="B45" i="274"/>
  <c r="B95" i="274" s="1"/>
  <c r="B45" i="241"/>
  <c r="B95" i="241" s="1"/>
  <c r="B61" i="73"/>
  <c r="B87" i="73" s="1"/>
  <c r="AA26" i="57"/>
  <c r="AA24" i="57"/>
  <c r="AA28" i="57"/>
  <c r="AA27" i="57"/>
  <c r="AA29" i="57"/>
  <c r="AA25" i="57"/>
  <c r="P19" i="274"/>
  <c r="R19" i="274"/>
  <c r="Y26" i="332"/>
  <c r="J59" i="332"/>
  <c r="L58" i="332"/>
  <c r="L55" i="332"/>
  <c r="L59" i="332"/>
  <c r="L56" i="332"/>
  <c r="L60" i="332"/>
  <c r="L57" i="332"/>
  <c r="T57" i="332"/>
  <c r="T59" i="332"/>
  <c r="W50" i="47"/>
  <c r="W51" i="47"/>
  <c r="W52" i="47"/>
  <c r="W53" i="47"/>
  <c r="W54" i="47"/>
  <c r="W55" i="47"/>
  <c r="Y50" i="47"/>
  <c r="Y51" i="47"/>
  <c r="Y52" i="47"/>
  <c r="Y53" i="47"/>
  <c r="Y54" i="47"/>
  <c r="Y55" i="47"/>
  <c r="X59" i="332"/>
  <c r="P15" i="8"/>
  <c r="P21" i="8"/>
  <c r="P24" i="8"/>
  <c r="P35" i="8"/>
  <c r="P43" i="8"/>
  <c r="P14" i="8"/>
  <c r="P16" i="8"/>
  <c r="P20" i="8"/>
  <c r="P22" i="8"/>
  <c r="P31" i="8"/>
  <c r="P41" i="8"/>
  <c r="P44" i="8"/>
  <c r="P33" i="8"/>
  <c r="P36" i="8"/>
  <c r="P50" i="8"/>
  <c r="P45" i="8"/>
  <c r="P46" i="8"/>
  <c r="F69" i="8"/>
  <c r="P13" i="8"/>
  <c r="P29" i="8"/>
  <c r="P30" i="8"/>
  <c r="P42" i="8"/>
  <c r="I15" i="8"/>
  <c r="I22" i="8"/>
  <c r="I35" i="8"/>
  <c r="I43" i="8"/>
  <c r="I20" i="8"/>
  <c r="I13" i="8"/>
  <c r="I21" i="8"/>
  <c r="I29" i="8"/>
  <c r="I42" i="8"/>
  <c r="I36" i="8"/>
  <c r="I14" i="8"/>
  <c r="I45" i="8"/>
  <c r="N33" i="8"/>
  <c r="E8" i="8"/>
  <c r="O8" i="8" s="1"/>
  <c r="D8" i="10"/>
  <c r="D8" i="8" s="1"/>
  <c r="N8" i="8" s="1"/>
  <c r="I28" i="64"/>
  <c r="D69" i="8"/>
  <c r="B53" i="133"/>
  <c r="I32" i="241"/>
  <c r="I38" i="241"/>
  <c r="I88" i="241" s="1"/>
  <c r="I33" i="241"/>
  <c r="I83" i="241" s="1"/>
  <c r="I40" i="241"/>
  <c r="I90" i="241" s="1"/>
  <c r="I100" i="241"/>
  <c r="I35" i="241"/>
  <c r="I85" i="241" s="1"/>
  <c r="I34" i="241"/>
  <c r="I84" i="241" s="1"/>
  <c r="I39" i="241"/>
  <c r="I89" i="241" s="1"/>
  <c r="K32" i="241"/>
  <c r="K34" i="241"/>
  <c r="K84" i="241" s="1"/>
  <c r="K39" i="241"/>
  <c r="K89" i="241" s="1"/>
  <c r="K38" i="241"/>
  <c r="K88" i="241" s="1"/>
  <c r="K33" i="241"/>
  <c r="K83" i="241" s="1"/>
  <c r="K40" i="241"/>
  <c r="K90" i="241" s="1"/>
  <c r="K35" i="241"/>
  <c r="K85" i="241" s="1"/>
  <c r="K100" i="241"/>
  <c r="I15" i="241"/>
  <c r="H104" i="241"/>
  <c r="H62" i="241"/>
  <c r="H78" i="241"/>
  <c r="N12" i="275"/>
  <c r="N16" i="275"/>
  <c r="N14" i="275"/>
  <c r="N18" i="275"/>
  <c r="N30" i="275"/>
  <c r="N34" i="275"/>
  <c r="N38" i="275"/>
  <c r="N42" i="275"/>
  <c r="N46" i="275"/>
  <c r="N50" i="275"/>
  <c r="N70" i="275"/>
  <c r="N72" i="275"/>
  <c r="N11" i="275"/>
  <c r="N15" i="275"/>
  <c r="N29" i="275"/>
  <c r="N33" i="275"/>
  <c r="N37" i="275"/>
  <c r="N41" i="275"/>
  <c r="N45" i="275"/>
  <c r="N49" i="275"/>
  <c r="N53" i="275"/>
  <c r="Q6" i="275"/>
  <c r="N32" i="275"/>
  <c r="N36" i="275"/>
  <c r="N40" i="275"/>
  <c r="N44" i="275"/>
  <c r="N48" i="275"/>
  <c r="N52" i="275"/>
  <c r="N13" i="275"/>
  <c r="N17" i="275"/>
  <c r="N19" i="275"/>
  <c r="N31" i="275"/>
  <c r="N35" i="275"/>
  <c r="N39" i="275"/>
  <c r="N43" i="275"/>
  <c r="N47" i="275"/>
  <c r="N51" i="275"/>
  <c r="AC47" i="214"/>
  <c r="AC51" i="214"/>
  <c r="AC48" i="214"/>
  <c r="AC52" i="214"/>
  <c r="AC49" i="214"/>
  <c r="AC50" i="214"/>
  <c r="AB48" i="214"/>
  <c r="AB52" i="214"/>
  <c r="AB49" i="214"/>
  <c r="AB50" i="214"/>
  <c r="AB47" i="214"/>
  <c r="AB51" i="214"/>
  <c r="O13" i="326" l="1"/>
  <c r="N10" i="326" s="1"/>
  <c r="M13" i="326"/>
  <c r="M5" i="326"/>
  <c r="M10" i="326"/>
  <c r="M6" i="326"/>
  <c r="M7" i="326"/>
  <c r="Y14" i="325"/>
  <c r="Y5" i="325"/>
  <c r="Y6" i="325"/>
  <c r="Y15" i="325"/>
  <c r="Y19" i="325"/>
  <c r="Y22" i="325"/>
  <c r="Y24" i="325"/>
  <c r="Y27" i="325"/>
  <c r="Y32" i="325"/>
  <c r="Y13" i="325"/>
  <c r="Y16" i="325"/>
  <c r="Y20" i="325"/>
  <c r="Y23" i="325"/>
  <c r="Y25" i="325"/>
  <c r="Y29" i="325"/>
  <c r="Y4" i="325"/>
  <c r="Y7" i="325"/>
  <c r="Y8" i="325"/>
  <c r="Y9" i="325"/>
  <c r="Y10" i="325"/>
  <c r="Y12" i="325"/>
  <c r="Y17" i="325"/>
  <c r="Y18" i="325"/>
  <c r="Y21" i="325"/>
  <c r="Y26" i="325"/>
  <c r="Y31" i="325"/>
  <c r="Y28" i="325"/>
  <c r="Y11" i="325"/>
  <c r="B10" i="284"/>
  <c r="G53" i="133"/>
  <c r="B3" i="281" s="1"/>
  <c r="N58" i="275"/>
  <c r="N60" i="275"/>
  <c r="N59" i="275"/>
  <c r="N55" i="275"/>
  <c r="N56" i="275"/>
  <c r="N57" i="275"/>
  <c r="Q14" i="275"/>
  <c r="Q18" i="275"/>
  <c r="Q12" i="275"/>
  <c r="Q16" i="275"/>
  <c r="Q13" i="275"/>
  <c r="Q17" i="275"/>
  <c r="Q32" i="275"/>
  <c r="Q36" i="275"/>
  <c r="Q40" i="275"/>
  <c r="Q44" i="275"/>
  <c r="Q48" i="275"/>
  <c r="Q52" i="275"/>
  <c r="Q19" i="275"/>
  <c r="Q31" i="275"/>
  <c r="Q35" i="275"/>
  <c r="Q39" i="275"/>
  <c r="Q43" i="275"/>
  <c r="Q47" i="275"/>
  <c r="Q51" i="275"/>
  <c r="Q11" i="275"/>
  <c r="Q15" i="275"/>
  <c r="Q30" i="275"/>
  <c r="Q34" i="275"/>
  <c r="Q38" i="275"/>
  <c r="Q42" i="275"/>
  <c r="Q46" i="275"/>
  <c r="Q50" i="275"/>
  <c r="Q29" i="275"/>
  <c r="Q33" i="275"/>
  <c r="Q37" i="275"/>
  <c r="Q41" i="275"/>
  <c r="Q45" i="275"/>
  <c r="Q49" i="275"/>
  <c r="Q53" i="275"/>
  <c r="I33" i="8"/>
  <c r="C37" i="64"/>
  <c r="C40" i="64" s="1"/>
  <c r="C41" i="64" s="1"/>
  <c r="I64" i="276" a="1"/>
  <c r="I64" i="276" s="1"/>
  <c r="I67" i="276" a="1"/>
  <c r="I67" i="276" s="1"/>
  <c r="K23" i="276"/>
  <c r="AD11" i="276"/>
  <c r="K21" i="276"/>
  <c r="K25" i="276"/>
  <c r="K67" i="276" a="1"/>
  <c r="K67" i="276" s="1"/>
  <c r="K68" i="276" a="1"/>
  <c r="K68" i="276" s="1"/>
  <c r="K26" i="276"/>
  <c r="K24" i="276"/>
  <c r="K63" i="276" a="1"/>
  <c r="K63" i="276" s="1"/>
  <c r="K64" i="276" a="1"/>
  <c r="K64" i="276" s="1"/>
  <c r="K22" i="276"/>
  <c r="K65" i="276" a="1"/>
  <c r="K65" i="276" s="1"/>
  <c r="K66" i="276" a="1"/>
  <c r="K66" i="276" s="1"/>
  <c r="E73" i="280"/>
  <c r="I73" i="280"/>
  <c r="G73" i="280"/>
  <c r="J73" i="280"/>
  <c r="F73" i="280"/>
  <c r="H73" i="280"/>
  <c r="E69" i="280"/>
  <c r="F69" i="280"/>
  <c r="H76" i="280"/>
  <c r="L76" i="280"/>
  <c r="F76" i="280"/>
  <c r="J76" i="280"/>
  <c r="E76" i="280"/>
  <c r="M76" i="280"/>
  <c r="G76" i="280"/>
  <c r="I76" i="280"/>
  <c r="K76" i="280"/>
  <c r="F78" i="280"/>
  <c r="J78" i="280"/>
  <c r="N78" i="280"/>
  <c r="H78" i="280"/>
  <c r="L78" i="280"/>
  <c r="G78" i="280"/>
  <c r="O78" i="280"/>
  <c r="I78" i="280"/>
  <c r="K78" i="280"/>
  <c r="E78" i="280"/>
  <c r="M78" i="280"/>
  <c r="M62" i="306" a="1"/>
  <c r="M62" i="306" s="1"/>
  <c r="M66" i="306" a="1"/>
  <c r="M66" i="306" s="1"/>
  <c r="N66" i="306" a="1"/>
  <c r="N66" i="306" s="1"/>
  <c r="N64" i="306" a="1"/>
  <c r="N64" i="306" s="1"/>
  <c r="Q62" i="306" a="1"/>
  <c r="Q62" i="306" s="1"/>
  <c r="E8" i="282"/>
  <c r="E14" i="282" s="1"/>
  <c r="F5" i="282"/>
  <c r="I11" i="326"/>
  <c r="D45" i="243"/>
  <c r="I27" i="10"/>
  <c r="I31" i="10" s="1"/>
  <c r="M31" i="10" s="1"/>
  <c r="I36" i="10"/>
  <c r="E16" i="280"/>
  <c r="D16" i="277"/>
  <c r="D18" i="277" s="1"/>
  <c r="D24" i="277" s="1"/>
  <c r="D26" i="277" s="1"/>
  <c r="B117" i="274"/>
  <c r="B167" i="274"/>
  <c r="K68" i="275" a="1"/>
  <c r="K68" i="275" s="1"/>
  <c r="I66" i="244" a="1"/>
  <c r="I66" i="244" s="1"/>
  <c r="AD29" i="244"/>
  <c r="K55" i="244"/>
  <c r="K56" i="244"/>
  <c r="K58" i="244"/>
  <c r="K60" i="244"/>
  <c r="K57" i="244"/>
  <c r="K59" i="244"/>
  <c r="AQ31" i="325"/>
  <c r="R5" i="326"/>
  <c r="R7" i="326" s="1"/>
  <c r="I64" i="282"/>
  <c r="H10" i="280"/>
  <c r="D22" i="14"/>
  <c r="E22" i="14" s="1"/>
  <c r="D21" i="14"/>
  <c r="E21" i="14" s="1"/>
  <c r="E23" i="14" s="1"/>
  <c r="E26" i="14" s="1"/>
  <c r="D24" i="14"/>
  <c r="E24" i="14" s="1"/>
  <c r="K18" i="133"/>
  <c r="B18" i="133" s="1"/>
  <c r="G18" i="133" s="1"/>
  <c r="B3" i="277" s="1"/>
  <c r="J19" i="133"/>
  <c r="F138" i="241"/>
  <c r="F54" i="73"/>
  <c r="D54" i="73" s="1"/>
  <c r="P38" i="241"/>
  <c r="P88" i="241" s="1"/>
  <c r="J38" i="241"/>
  <c r="J88" i="241" s="1"/>
  <c r="L25" i="332"/>
  <c r="L22" i="332"/>
  <c r="H66" i="276" a="1"/>
  <c r="H66" i="276" s="1"/>
  <c r="P256" i="233" a="1"/>
  <c r="P256" i="233" s="1"/>
  <c r="P252" i="233" a="1"/>
  <c r="P252" i="233" s="1"/>
  <c r="L65" i="306" a="1"/>
  <c r="L65" i="306" s="1"/>
  <c r="L63" i="306" a="1"/>
  <c r="L63" i="306" s="1"/>
  <c r="P66" i="301" a="1"/>
  <c r="P66" i="301" s="1"/>
  <c r="P63" i="301" a="1"/>
  <c r="P63" i="301" s="1"/>
  <c r="C4" i="310"/>
  <c r="C16" i="310"/>
  <c r="C20" i="310"/>
  <c r="C17" i="310"/>
  <c r="C21" i="310"/>
  <c r="C8" i="310"/>
  <c r="C9" i="310"/>
  <c r="C10" i="310"/>
  <c r="C11" i="310"/>
  <c r="C13" i="310"/>
  <c r="C18" i="310"/>
  <c r="C23" i="310"/>
  <c r="C5" i="310"/>
  <c r="C6" i="310"/>
  <c r="C15" i="310"/>
  <c r="C19" i="310"/>
  <c r="I8" i="326"/>
  <c r="G59" i="264"/>
  <c r="N22" i="282"/>
  <c r="M15" i="280" s="1"/>
  <c r="O48" i="282"/>
  <c r="R82" i="241"/>
  <c r="I68" i="275" a="1"/>
  <c r="I68" i="275" s="1"/>
  <c r="P63" i="306" a="1"/>
  <c r="P63" i="306" s="1"/>
  <c r="P67" i="306" a="1"/>
  <c r="P67" i="306" s="1"/>
  <c r="S60" i="306"/>
  <c r="T66" i="306" a="1"/>
  <c r="T66" i="306" s="1"/>
  <c r="C50" i="280"/>
  <c r="I57" i="8"/>
  <c r="I18" i="8"/>
  <c r="B120" i="274"/>
  <c r="B170" i="274"/>
  <c r="J15" i="241"/>
  <c r="I62" i="241"/>
  <c r="I78" i="241"/>
  <c r="I104" i="241"/>
  <c r="I82" i="241"/>
  <c r="I48" i="8"/>
  <c r="N22" i="275"/>
  <c r="N26" i="275"/>
  <c r="N21" i="275"/>
  <c r="N25" i="275"/>
  <c r="N66" i="275" s="1" a="1"/>
  <c r="N66" i="275" s="1"/>
  <c r="N24" i="275"/>
  <c r="N23" i="275"/>
  <c r="K82" i="241"/>
  <c r="Q19" i="274"/>
  <c r="S19" i="274"/>
  <c r="B119" i="241"/>
  <c r="B170" i="241"/>
  <c r="B171" i="241"/>
  <c r="B120" i="241"/>
  <c r="I51" i="301"/>
  <c r="G79" i="280"/>
  <c r="K79" i="280"/>
  <c r="O79" i="280"/>
  <c r="E79" i="280"/>
  <c r="I79" i="280"/>
  <c r="M79" i="280"/>
  <c r="H79" i="280"/>
  <c r="P79" i="280"/>
  <c r="J79" i="280"/>
  <c r="L79" i="280"/>
  <c r="F79" i="280"/>
  <c r="N79" i="280"/>
  <c r="G75" i="280"/>
  <c r="K75" i="280"/>
  <c r="E75" i="280"/>
  <c r="I75" i="280"/>
  <c r="L75" i="280"/>
  <c r="F75" i="280"/>
  <c r="H75" i="280"/>
  <c r="J75" i="280"/>
  <c r="H72" i="280"/>
  <c r="F72" i="280"/>
  <c r="I72" i="280"/>
  <c r="E72" i="280"/>
  <c r="G72" i="280"/>
  <c r="F74" i="280"/>
  <c r="J74" i="280"/>
  <c r="H74" i="280"/>
  <c r="K74" i="280"/>
  <c r="E74" i="280"/>
  <c r="G74" i="280"/>
  <c r="I74" i="280"/>
  <c r="M63" i="306" a="1"/>
  <c r="M63" i="306" s="1"/>
  <c r="N63" i="306" a="1"/>
  <c r="N63" i="306" s="1"/>
  <c r="I9" i="326"/>
  <c r="O11" i="326"/>
  <c r="N11" i="326" s="1"/>
  <c r="M11" i="326"/>
  <c r="D17" i="243"/>
  <c r="D16" i="243"/>
  <c r="M82" i="241"/>
  <c r="Q14" i="244"/>
  <c r="Q18" i="244"/>
  <c r="Q31" i="244"/>
  <c r="Q35" i="244"/>
  <c r="Q39" i="244"/>
  <c r="Q11" i="244"/>
  <c r="Q15" i="244"/>
  <c r="Q19" i="244"/>
  <c r="Q30" i="244"/>
  <c r="Q34" i="244"/>
  <c r="Q38" i="244"/>
  <c r="Q42" i="244"/>
  <c r="Q43" i="244"/>
  <c r="Q47" i="244"/>
  <c r="Q51" i="244"/>
  <c r="Q29" i="244"/>
  <c r="Q33" i="244"/>
  <c r="Q37" i="244"/>
  <c r="Q41" i="244"/>
  <c r="Q46" i="244"/>
  <c r="Q50" i="244"/>
  <c r="Q13" i="244"/>
  <c r="Q17" i="244"/>
  <c r="Q32" i="244"/>
  <c r="Q36" i="244"/>
  <c r="Q40" i="244"/>
  <c r="Q45" i="244"/>
  <c r="Q49" i="244"/>
  <c r="Q53" i="244"/>
  <c r="Q12" i="244"/>
  <c r="Q16" i="244"/>
  <c r="Q44" i="244"/>
  <c r="Q48" i="244"/>
  <c r="Q52" i="244"/>
  <c r="O20" i="274"/>
  <c r="F16" i="280"/>
  <c r="E16" i="277"/>
  <c r="E18" i="277" s="1"/>
  <c r="E24" i="277" s="1"/>
  <c r="E26" i="277" s="1"/>
  <c r="P39" i="64"/>
  <c r="D16" i="274" s="1" a="1"/>
  <c r="D16" i="241" a="1"/>
  <c r="H66" i="244" a="1"/>
  <c r="H66" i="244" s="1"/>
  <c r="K65" i="275" a="1"/>
  <c r="K65" i="275" s="1"/>
  <c r="K64" i="275" a="1"/>
  <c r="K64" i="275" s="1"/>
  <c r="K23" i="244"/>
  <c r="AD11" i="244"/>
  <c r="K22" i="244"/>
  <c r="K68" i="244" s="1" a="1"/>
  <c r="K68" i="244" s="1"/>
  <c r="K24" i="244"/>
  <c r="K26" i="244"/>
  <c r="K63" i="244" a="1"/>
  <c r="K63" i="244" s="1"/>
  <c r="K21" i="244"/>
  <c r="K25" i="244"/>
  <c r="K65" i="244" a="1"/>
  <c r="K65" i="244" s="1"/>
  <c r="AD29" i="276"/>
  <c r="K60" i="276"/>
  <c r="K56" i="276"/>
  <c r="K57" i="276"/>
  <c r="K58" i="276"/>
  <c r="K55" i="276"/>
  <c r="K59" i="276"/>
  <c r="T58" i="306"/>
  <c r="T55" i="306"/>
  <c r="T59" i="306"/>
  <c r="T56" i="306"/>
  <c r="T60" i="306"/>
  <c r="T57" i="306"/>
  <c r="Z52" i="310"/>
  <c r="AI11" i="325"/>
  <c r="AM11" i="325"/>
  <c r="D37" i="14"/>
  <c r="E37" i="14" s="1"/>
  <c r="D38" i="14"/>
  <c r="E38" i="14" s="1"/>
  <c r="D40" i="14"/>
  <c r="E40" i="14" s="1"/>
  <c r="I15" i="274"/>
  <c r="H62" i="274"/>
  <c r="H78" i="274"/>
  <c r="H104" i="274"/>
  <c r="L21" i="332"/>
  <c r="F134" i="241"/>
  <c r="F50" i="73"/>
  <c r="D50" i="73" s="1"/>
  <c r="P34" i="241"/>
  <c r="P84" i="241" s="1"/>
  <c r="J34" i="241"/>
  <c r="J84" i="241" s="1"/>
  <c r="P251" i="233" a="1"/>
  <c r="P251" i="233" s="1"/>
  <c r="L64" i="306" a="1"/>
  <c r="L64" i="306" s="1"/>
  <c r="L62" i="306" a="1"/>
  <c r="L62" i="306" s="1"/>
  <c r="P65" i="301" a="1"/>
  <c r="P65" i="301" s="1"/>
  <c r="P4" i="325"/>
  <c r="W57" i="325"/>
  <c r="P14" i="325"/>
  <c r="P33" i="325"/>
  <c r="P5" i="325"/>
  <c r="P6" i="325"/>
  <c r="P24" i="325"/>
  <c r="P34" i="325"/>
  <c r="P13" i="325"/>
  <c r="P35" i="325"/>
  <c r="P8" i="325"/>
  <c r="P9" i="325"/>
  <c r="P10" i="325"/>
  <c r="P11" i="325"/>
  <c r="P12" i="325"/>
  <c r="P25" i="325"/>
  <c r="P28" i="325"/>
  <c r="P29" i="325"/>
  <c r="P30" i="325"/>
  <c r="P31" i="325"/>
  <c r="B11" i="284"/>
  <c r="G54" i="133"/>
  <c r="B3" i="300" s="1"/>
  <c r="E59" i="280" s="1"/>
  <c r="M59" i="280" s="1"/>
  <c r="Q38" i="241"/>
  <c r="Q88" i="241" s="1"/>
  <c r="D70" i="275"/>
  <c r="D9" i="4"/>
  <c r="AB16" i="332"/>
  <c r="N21" i="276"/>
  <c r="N25" i="276"/>
  <c r="N23" i="276"/>
  <c r="N22" i="276"/>
  <c r="N26" i="276"/>
  <c r="N24" i="276"/>
  <c r="N55" i="276"/>
  <c r="N56" i="276"/>
  <c r="N58" i="276"/>
  <c r="N59" i="276"/>
  <c r="N57" i="276"/>
  <c r="N60" i="276"/>
  <c r="F140" i="241"/>
  <c r="D20" i="236" s="1"/>
  <c r="F56" i="73"/>
  <c r="D56" i="73" s="1"/>
  <c r="J40" i="241"/>
  <c r="J90" i="241" s="1"/>
  <c r="P40" i="241"/>
  <c r="P90" i="241" s="1"/>
  <c r="I65" i="275" a="1"/>
  <c r="I65" i="275" s="1"/>
  <c r="P65" i="306" a="1"/>
  <c r="P65" i="306" s="1"/>
  <c r="S56" i="306"/>
  <c r="T63" i="306" a="1"/>
  <c r="T63" i="306" s="1"/>
  <c r="T64" i="306" a="1"/>
  <c r="T64" i="306" s="1"/>
  <c r="B119" i="274"/>
  <c r="B169" i="274"/>
  <c r="J54" i="241"/>
  <c r="G54" i="241"/>
  <c r="G56" i="241" s="1"/>
  <c r="E54" i="241"/>
  <c r="E56" i="241" s="1"/>
  <c r="L54" i="241"/>
  <c r="P54" i="241"/>
  <c r="F54" i="241"/>
  <c r="F56" i="241" s="1"/>
  <c r="M54" i="241"/>
  <c r="Q54" i="241"/>
  <c r="H54" i="241"/>
  <c r="H56" i="241" s="1"/>
  <c r="N54" i="241"/>
  <c r="R54" i="241"/>
  <c r="I54" i="241"/>
  <c r="K54" i="241"/>
  <c r="O54" i="241"/>
  <c r="D54" i="241"/>
  <c r="D56" i="241" s="1"/>
  <c r="I66" i="276" a="1"/>
  <c r="I66" i="276" s="1"/>
  <c r="G71" i="280"/>
  <c r="E71" i="280"/>
  <c r="H71" i="280"/>
  <c r="F71" i="280"/>
  <c r="E68" i="280"/>
  <c r="F70" i="280"/>
  <c r="G70" i="280"/>
  <c r="E70" i="280"/>
  <c r="M9" i="326"/>
  <c r="B15" i="265"/>
  <c r="J7" i="265"/>
  <c r="J9" i="265"/>
  <c r="N60" i="244"/>
  <c r="N57" i="244"/>
  <c r="N59" i="244"/>
  <c r="N55" i="244"/>
  <c r="N56" i="244"/>
  <c r="N58" i="244"/>
  <c r="T21" i="274"/>
  <c r="J41" i="64"/>
  <c r="N48" i="64"/>
  <c r="N41" i="64"/>
  <c r="F41" i="64"/>
  <c r="R56" i="301"/>
  <c r="R58" i="301"/>
  <c r="R59" i="301"/>
  <c r="R55" i="301"/>
  <c r="R57" i="301"/>
  <c r="AB29" i="301"/>
  <c r="R60" i="301"/>
  <c r="O5" i="326"/>
  <c r="N5" i="326" s="1"/>
  <c r="J6" i="265"/>
  <c r="Z52" i="264"/>
  <c r="U52" i="264"/>
  <c r="B12" i="284"/>
  <c r="G55" i="133"/>
  <c r="B3" i="301" s="1"/>
  <c r="J25" i="300" s="1"/>
  <c r="E31" i="14"/>
  <c r="E34" i="14" s="1"/>
  <c r="L24" i="332"/>
  <c r="H65" i="276" a="1"/>
  <c r="H65" i="276" s="1"/>
  <c r="H68" i="276" a="1"/>
  <c r="H68" i="276" s="1"/>
  <c r="H66" i="275" a="1"/>
  <c r="H66" i="275" s="1"/>
  <c r="H65" i="275" a="1"/>
  <c r="H65" i="275" s="1"/>
  <c r="G59" i="310"/>
  <c r="R38" i="241"/>
  <c r="R88" i="241" s="1"/>
  <c r="R34" i="241"/>
  <c r="R84" i="241" s="1"/>
  <c r="Q11" i="276"/>
  <c r="Q15" i="276"/>
  <c r="Q19" i="276"/>
  <c r="Q31" i="276"/>
  <c r="Q35" i="276"/>
  <c r="Q13" i="276"/>
  <c r="Q17" i="276"/>
  <c r="Q29" i="276"/>
  <c r="Q33" i="276"/>
  <c r="Q37" i="276"/>
  <c r="Q41" i="276"/>
  <c r="Q45" i="276"/>
  <c r="Q49" i="276"/>
  <c r="Q53" i="276"/>
  <c r="Q12" i="276"/>
  <c r="Q16" i="276"/>
  <c r="Q38" i="276"/>
  <c r="Q42" i="276"/>
  <c r="Q46" i="276"/>
  <c r="Q50" i="276"/>
  <c r="Q32" i="276"/>
  <c r="Q36" i="276"/>
  <c r="Q14" i="276"/>
  <c r="Q18" i="276"/>
  <c r="Q40" i="276"/>
  <c r="Q44" i="276"/>
  <c r="Q48" i="276"/>
  <c r="Q52" i="276"/>
  <c r="Q30" i="276"/>
  <c r="Q34" i="276"/>
  <c r="Q39" i="276"/>
  <c r="Q43" i="276"/>
  <c r="Q47" i="276"/>
  <c r="Q51" i="276"/>
  <c r="Z58" i="332"/>
  <c r="Z55" i="332"/>
  <c r="Z59" i="332"/>
  <c r="Z56" i="332"/>
  <c r="Z60" i="332"/>
  <c r="Z57" i="332"/>
  <c r="F132" i="241"/>
  <c r="F48" i="73"/>
  <c r="J32" i="241"/>
  <c r="P32" i="241"/>
  <c r="I63" i="275" a="1"/>
  <c r="I63" i="275" s="1"/>
  <c r="I66" i="275" a="1"/>
  <c r="I66" i="275" s="1"/>
  <c r="P62" i="306" a="1"/>
  <c r="P62" i="306" s="1"/>
  <c r="S58" i="306"/>
  <c r="S59" i="306"/>
  <c r="O65" i="301" a="1"/>
  <c r="O65" i="301" s="1"/>
  <c r="N55" i="325"/>
  <c r="T65" i="306" a="1"/>
  <c r="T65" i="306" s="1"/>
  <c r="I68" i="276" a="1"/>
  <c r="I68" i="276" s="1"/>
  <c r="E81" i="280"/>
  <c r="I81" i="280"/>
  <c r="M81" i="280"/>
  <c r="Q81" i="280"/>
  <c r="G81" i="280"/>
  <c r="K81" i="280"/>
  <c r="O81" i="280"/>
  <c r="J81" i="280"/>
  <c r="R81" i="280"/>
  <c r="L81" i="280"/>
  <c r="F81" i="280"/>
  <c r="N81" i="280"/>
  <c r="H81" i="280"/>
  <c r="P81" i="280"/>
  <c r="E77" i="280"/>
  <c r="I77" i="280"/>
  <c r="M77" i="280"/>
  <c r="G77" i="280"/>
  <c r="K77" i="280"/>
  <c r="F77" i="280"/>
  <c r="N77" i="280"/>
  <c r="H77" i="280"/>
  <c r="J77" i="280"/>
  <c r="L77" i="280"/>
  <c r="H80" i="280"/>
  <c r="L80" i="280"/>
  <c r="P80" i="280"/>
  <c r="F80" i="280"/>
  <c r="J80" i="280"/>
  <c r="N80" i="280"/>
  <c r="I80" i="280"/>
  <c r="Q80" i="280"/>
  <c r="K80" i="280"/>
  <c r="E80" i="280"/>
  <c r="M80" i="280"/>
  <c r="G80" i="280"/>
  <c r="O80" i="280"/>
  <c r="F82" i="280"/>
  <c r="J82" i="280"/>
  <c r="N82" i="280"/>
  <c r="R82" i="280"/>
  <c r="H82" i="280"/>
  <c r="L82" i="280"/>
  <c r="P82" i="280"/>
  <c r="K82" i="280"/>
  <c r="S82" i="280"/>
  <c r="E82" i="280"/>
  <c r="M82" i="280"/>
  <c r="G82" i="280"/>
  <c r="O82" i="280"/>
  <c r="I82" i="280"/>
  <c r="Q82" i="280"/>
  <c r="N67" i="306" a="1"/>
  <c r="N67" i="306" s="1"/>
  <c r="Q65" i="306" a="1"/>
  <c r="Q65" i="306" s="1"/>
  <c r="I13" i="326"/>
  <c r="I10" i="326"/>
  <c r="B15" i="326"/>
  <c r="I6" i="326"/>
  <c r="I7" i="326"/>
  <c r="N21" i="244"/>
  <c r="N25" i="244"/>
  <c r="N23" i="244"/>
  <c r="N68" i="244" s="1" a="1"/>
  <c r="N68" i="244" s="1"/>
  <c r="N22" i="244"/>
  <c r="N63" i="244" s="1" a="1"/>
  <c r="N63" i="244" s="1"/>
  <c r="N24" i="244"/>
  <c r="N26" i="244"/>
  <c r="N66" i="244" a="1"/>
  <c r="N66" i="244" s="1"/>
  <c r="N82" i="241"/>
  <c r="L82" i="241"/>
  <c r="B117" i="241"/>
  <c r="B168" i="241"/>
  <c r="H64" i="244" a="1"/>
  <c r="H64" i="244" s="1"/>
  <c r="I65" i="244" a="1"/>
  <c r="I65" i="244" s="1"/>
  <c r="S66" i="306" a="1"/>
  <c r="S66" i="306" s="1"/>
  <c r="S21" i="306"/>
  <c r="V55" i="301"/>
  <c r="V56" i="301"/>
  <c r="V57" i="301"/>
  <c r="V58" i="301"/>
  <c r="V59" i="301"/>
  <c r="W29" i="301"/>
  <c r="V60" i="301"/>
  <c r="AO28" i="325"/>
  <c r="AQ24" i="325"/>
  <c r="U52" i="310"/>
  <c r="M12" i="326"/>
  <c r="O12" i="326"/>
  <c r="N12" i="326" s="1"/>
  <c r="J19" i="282"/>
  <c r="K46" i="282"/>
  <c r="B56" i="133"/>
  <c r="K57" i="133"/>
  <c r="B57" i="133" s="1"/>
  <c r="O38" i="241"/>
  <c r="O88" i="241" s="1"/>
  <c r="O82" i="241"/>
  <c r="E9" i="274"/>
  <c r="O9" i="274" s="1"/>
  <c r="B59" i="236"/>
  <c r="L26" i="332"/>
  <c r="L23" i="332"/>
  <c r="H67" i="276" a="1"/>
  <c r="H67" i="276" s="1"/>
  <c r="H67" i="275" a="1"/>
  <c r="H67" i="275" s="1"/>
  <c r="W11" i="301"/>
  <c r="I11" i="301" s="1"/>
  <c r="V22" i="301"/>
  <c r="V64" i="301" s="1" a="1"/>
  <c r="V64" i="301" s="1"/>
  <c r="V24" i="301"/>
  <c r="V65" i="301" s="1" a="1"/>
  <c r="V65" i="301" s="1"/>
  <c r="V26" i="301"/>
  <c r="V21" i="301"/>
  <c r="V23" i="301"/>
  <c r="V25" i="301"/>
  <c r="V66" i="301" a="1"/>
  <c r="V66" i="301" s="1"/>
  <c r="AB11" i="301"/>
  <c r="AB8" i="301" s="1" a="1"/>
  <c r="AB8" i="301" s="1"/>
  <c r="R21" i="301"/>
  <c r="R63" i="301" s="1" a="1"/>
  <c r="R63" i="301" s="1"/>
  <c r="R22" i="301"/>
  <c r="R23" i="301"/>
  <c r="R24" i="301"/>
  <c r="R25" i="301"/>
  <c r="R26" i="301"/>
  <c r="R65" i="301" a="1"/>
  <c r="R65" i="301" s="1"/>
  <c r="Z30" i="325"/>
  <c r="Y30" i="325"/>
  <c r="L33" i="325"/>
  <c r="L34" i="325"/>
  <c r="L35" i="325"/>
  <c r="M8" i="326"/>
  <c r="G10" i="270"/>
  <c r="F11" i="270"/>
  <c r="T55" i="325"/>
  <c r="E47" i="14"/>
  <c r="E50" i="14" s="1"/>
  <c r="Q34" i="241"/>
  <c r="Q84" i="241" s="1"/>
  <c r="Q82" i="241"/>
  <c r="I70" i="276"/>
  <c r="D72" i="276"/>
  <c r="Z21" i="332"/>
  <c r="Z22" i="332"/>
  <c r="Z23" i="332"/>
  <c r="Z24" i="332"/>
  <c r="Z25" i="332"/>
  <c r="Z26" i="332"/>
  <c r="F132" i="274"/>
  <c r="I64" i="275" a="1"/>
  <c r="I64" i="275" s="1"/>
  <c r="AD13" i="275"/>
  <c r="P66" i="306" a="1"/>
  <c r="P66" i="306" s="1"/>
  <c r="S57" i="306"/>
  <c r="O34" i="325"/>
  <c r="B79" i="325"/>
  <c r="O35" i="325"/>
  <c r="O33" i="325"/>
  <c r="W59" i="325"/>
  <c r="AF59" i="325" s="1"/>
  <c r="B91" i="325" s="1"/>
  <c r="T62" i="306" a="1"/>
  <c r="T62" i="306" s="1"/>
  <c r="N63" i="276" l="1" a="1"/>
  <c r="N63" i="276" s="1"/>
  <c r="D19" i="243"/>
  <c r="D58" i="243" s="1"/>
  <c r="N67" i="276" a="1"/>
  <c r="N67" i="276" s="1"/>
  <c r="N65" i="275" a="1"/>
  <c r="N65" i="275" s="1"/>
  <c r="N66" i="276" a="1"/>
  <c r="N66" i="276" s="1"/>
  <c r="N67" i="275" a="1"/>
  <c r="N67" i="275" s="1"/>
  <c r="N63" i="275" a="1"/>
  <c r="N63" i="275" s="1"/>
  <c r="N68" i="275" a="1"/>
  <c r="N68" i="275" s="1"/>
  <c r="I21" i="301"/>
  <c r="I22" i="301"/>
  <c r="I23" i="301"/>
  <c r="I24" i="301"/>
  <c r="I25" i="301"/>
  <c r="I26" i="301"/>
  <c r="F12" i="270"/>
  <c r="G11" i="270"/>
  <c r="B14" i="284"/>
  <c r="G57" i="133"/>
  <c r="B3" i="334" s="1"/>
  <c r="W56" i="301"/>
  <c r="W58" i="301"/>
  <c r="F10" i="300" s="1"/>
  <c r="W59" i="301"/>
  <c r="W60" i="301"/>
  <c r="W55" i="301"/>
  <c r="W57" i="301"/>
  <c r="O6" i="275"/>
  <c r="D10" i="243"/>
  <c r="R66" i="301" a="1"/>
  <c r="R66" i="301" s="1"/>
  <c r="V67" i="301" a="1"/>
  <c r="V67" i="301" s="1"/>
  <c r="V63" i="301" a="1"/>
  <c r="V63" i="301" s="1"/>
  <c r="K19" i="282"/>
  <c r="L46" i="282"/>
  <c r="AQ28" i="325"/>
  <c r="S62" i="306" a="1"/>
  <c r="S62" i="306" s="1"/>
  <c r="S64" i="306" a="1"/>
  <c r="S64" i="306" s="1"/>
  <c r="S65" i="306" a="1"/>
  <c r="S65" i="306" s="1"/>
  <c r="S67" i="306" a="1"/>
  <c r="S67" i="306" s="1"/>
  <c r="S63" i="306" a="1"/>
  <c r="S63" i="306" s="1"/>
  <c r="N65" i="244" a="1"/>
  <c r="N65" i="244" s="1"/>
  <c r="N64" i="244" a="1"/>
  <c r="N64" i="244" s="1"/>
  <c r="D48" i="73"/>
  <c r="S39" i="276"/>
  <c r="Y39" i="276"/>
  <c r="S48" i="276"/>
  <c r="S14" i="276"/>
  <c r="S46" i="276"/>
  <c r="S12" i="276"/>
  <c r="S41" i="276"/>
  <c r="S17" i="276"/>
  <c r="Y17" i="276"/>
  <c r="S19" i="276"/>
  <c r="K41" i="241"/>
  <c r="K42" i="241"/>
  <c r="K92" i="241" s="1"/>
  <c r="K43" i="241"/>
  <c r="K93" i="241" s="1"/>
  <c r="K47" i="241"/>
  <c r="K97" i="241" s="1"/>
  <c r="K45" i="241"/>
  <c r="K95" i="241" s="1"/>
  <c r="K49" i="241"/>
  <c r="K99" i="241" s="1"/>
  <c r="K44" i="241"/>
  <c r="K94" i="241" s="1"/>
  <c r="K46" i="241"/>
  <c r="K96" i="241" s="1"/>
  <c r="K48" i="241"/>
  <c r="K98" i="241" s="1"/>
  <c r="P45" i="241"/>
  <c r="P95" i="241" s="1"/>
  <c r="P49" i="241"/>
  <c r="P99" i="241" s="1"/>
  <c r="P41" i="241"/>
  <c r="P43" i="241"/>
  <c r="P93" i="241" s="1"/>
  <c r="P48" i="241"/>
  <c r="P98" i="241" s="1"/>
  <c r="P47" i="241"/>
  <c r="P97" i="241" s="1"/>
  <c r="P42" i="241"/>
  <c r="P92" i="241" s="1"/>
  <c r="P46" i="241"/>
  <c r="P96" i="241" s="1"/>
  <c r="P44" i="241"/>
  <c r="P94" i="241" s="1"/>
  <c r="J44" i="241"/>
  <c r="J94" i="241" s="1"/>
  <c r="J48" i="241"/>
  <c r="J98" i="241" s="1"/>
  <c r="J41" i="241"/>
  <c r="J42" i="241"/>
  <c r="J92" i="241" s="1"/>
  <c r="J46" i="241"/>
  <c r="J96" i="241" s="1"/>
  <c r="J43" i="241"/>
  <c r="J93" i="241" s="1"/>
  <c r="J47" i="241"/>
  <c r="J97" i="241" s="1"/>
  <c r="J45" i="241"/>
  <c r="J95" i="241" s="1"/>
  <c r="J49" i="241"/>
  <c r="J99" i="241" s="1"/>
  <c r="N64" i="276" a="1"/>
  <c r="N64" i="276" s="1"/>
  <c r="I70" i="275"/>
  <c r="D72" i="275"/>
  <c r="P55" i="325"/>
  <c r="AO11" i="325"/>
  <c r="K64" i="244" a="1"/>
  <c r="K64" i="244" s="1"/>
  <c r="F16" i="241"/>
  <c r="J16" i="241"/>
  <c r="N16" i="241"/>
  <c r="R16" i="241"/>
  <c r="G16" i="241"/>
  <c r="K16" i="241"/>
  <c r="O16" i="241"/>
  <c r="E16" i="241"/>
  <c r="I16" i="241"/>
  <c r="M16" i="241"/>
  <c r="Q16" i="241"/>
  <c r="L16" i="241"/>
  <c r="P16" i="241"/>
  <c r="D16" i="241"/>
  <c r="H16" i="241"/>
  <c r="S52" i="244"/>
  <c r="S12" i="244"/>
  <c r="S40" i="244"/>
  <c r="Y40" i="244"/>
  <c r="S13" i="244"/>
  <c r="S37" i="244"/>
  <c r="S47" i="244"/>
  <c r="S34" i="244"/>
  <c r="S11" i="244"/>
  <c r="Q23" i="244"/>
  <c r="Q24" i="244"/>
  <c r="Q26" i="244"/>
  <c r="Q21" i="244"/>
  <c r="Q25" i="244"/>
  <c r="Q22" i="244"/>
  <c r="Q63" i="244" s="1" a="1"/>
  <c r="Q63" i="244" s="1"/>
  <c r="Q68" i="244" a="1"/>
  <c r="Q68" i="244" s="1"/>
  <c r="S18" i="244"/>
  <c r="K15" i="241"/>
  <c r="J78" i="241"/>
  <c r="J62" i="241"/>
  <c r="J104" i="241"/>
  <c r="C13" i="334"/>
  <c r="E13" i="334" s="1"/>
  <c r="I58" i="8"/>
  <c r="I60" i="8" s="1"/>
  <c r="J20" i="133"/>
  <c r="K19" i="133"/>
  <c r="B19" i="133" s="1"/>
  <c r="G19" i="133" s="1"/>
  <c r="B3" i="10" s="1"/>
  <c r="S53" i="275"/>
  <c r="S37" i="275"/>
  <c r="S46" i="275"/>
  <c r="S30" i="275"/>
  <c r="S47" i="275"/>
  <c r="S31" i="275"/>
  <c r="S44" i="275"/>
  <c r="S17" i="275"/>
  <c r="Y17" i="275"/>
  <c r="S18" i="275"/>
  <c r="AI30" i="325"/>
  <c r="AM30" i="325"/>
  <c r="P82" i="241"/>
  <c r="S51" i="276"/>
  <c r="S34" i="276"/>
  <c r="S44" i="276"/>
  <c r="S36" i="276"/>
  <c r="Y36" i="276"/>
  <c r="S42" i="276"/>
  <c r="Y42" i="276"/>
  <c r="S53" i="276"/>
  <c r="S37" i="276"/>
  <c r="S13" i="276"/>
  <c r="S15" i="276"/>
  <c r="N13" i="326"/>
  <c r="U21" i="274"/>
  <c r="I45" i="241"/>
  <c r="I95" i="241" s="1"/>
  <c r="I49" i="241"/>
  <c r="I99" i="241" s="1"/>
  <c r="I43" i="241"/>
  <c r="I93" i="241" s="1"/>
  <c r="I47" i="241"/>
  <c r="I97" i="241" s="1"/>
  <c r="I41" i="241"/>
  <c r="I42" i="241"/>
  <c r="I92" i="241" s="1"/>
  <c r="I46" i="241"/>
  <c r="I96" i="241" s="1"/>
  <c r="I48" i="241"/>
  <c r="I98" i="241" s="1"/>
  <c r="I44" i="241"/>
  <c r="I94" i="241" s="1"/>
  <c r="Q41" i="241"/>
  <c r="Q44" i="241"/>
  <c r="Q94" i="241" s="1"/>
  <c r="Q42" i="241"/>
  <c r="Q92" i="241" s="1"/>
  <c r="Q46" i="241"/>
  <c r="Q96" i="241" s="1"/>
  <c r="Q43" i="241"/>
  <c r="Q93" i="241" s="1"/>
  <c r="Q48" i="241"/>
  <c r="Q98" i="241" s="1"/>
  <c r="Q45" i="241"/>
  <c r="Q95" i="241" s="1"/>
  <c r="Q47" i="241"/>
  <c r="Q97" i="241" s="1"/>
  <c r="Q49" i="241"/>
  <c r="Q99" i="241" s="1"/>
  <c r="L46" i="241"/>
  <c r="L96" i="241" s="1"/>
  <c r="L41" i="241"/>
  <c r="L43" i="241"/>
  <c r="L93" i="241" s="1"/>
  <c r="L44" i="241"/>
  <c r="L94" i="241" s="1"/>
  <c r="L48" i="241"/>
  <c r="L98" i="241" s="1"/>
  <c r="L47" i="241"/>
  <c r="L97" i="241" s="1"/>
  <c r="L42" i="241"/>
  <c r="L92" i="241" s="1"/>
  <c r="L45" i="241"/>
  <c r="L95" i="241" s="1"/>
  <c r="L49" i="241"/>
  <c r="L99" i="241" s="1"/>
  <c r="G16" i="274"/>
  <c r="K16" i="274"/>
  <c r="O16" i="274"/>
  <c r="S16" i="274"/>
  <c r="W16" i="274"/>
  <c r="E16" i="274"/>
  <c r="I16" i="274"/>
  <c r="M16" i="274"/>
  <c r="Q16" i="274"/>
  <c r="U16" i="274"/>
  <c r="H16" i="274"/>
  <c r="P16" i="274"/>
  <c r="X16" i="274"/>
  <c r="J16" i="274"/>
  <c r="R16" i="274"/>
  <c r="D16" i="274"/>
  <c r="L16" i="274"/>
  <c r="T16" i="274"/>
  <c r="F16" i="274"/>
  <c r="N16" i="274"/>
  <c r="V16" i="274"/>
  <c r="S48" i="244"/>
  <c r="S53" i="244"/>
  <c r="S36" i="244"/>
  <c r="Y36" i="244"/>
  <c r="S50" i="244"/>
  <c r="S33" i="244"/>
  <c r="S43" i="244"/>
  <c r="S30" i="244"/>
  <c r="S39" i="244"/>
  <c r="Y39" i="244"/>
  <c r="S14" i="244"/>
  <c r="T19" i="274"/>
  <c r="J27" i="264"/>
  <c r="J29" i="264"/>
  <c r="M33" i="264"/>
  <c r="J37" i="264"/>
  <c r="M34" i="264"/>
  <c r="J31" i="264"/>
  <c r="J28" i="264"/>
  <c r="M31" i="264"/>
  <c r="M32" i="264"/>
  <c r="S49" i="275"/>
  <c r="S33" i="275"/>
  <c r="S42" i="275"/>
  <c r="Y42" i="275"/>
  <c r="S15" i="275"/>
  <c r="S43" i="275"/>
  <c r="S19" i="275"/>
  <c r="S40" i="275"/>
  <c r="Y40" i="275"/>
  <c r="S13" i="275"/>
  <c r="S14" i="275"/>
  <c r="Y55" i="325"/>
  <c r="R68" i="301" a="1"/>
  <c r="R68" i="301" s="1"/>
  <c r="N67" i="244" a="1"/>
  <c r="N67" i="244" s="1"/>
  <c r="J82" i="241"/>
  <c r="S47" i="276"/>
  <c r="S30" i="276"/>
  <c r="S40" i="276"/>
  <c r="Y40" i="276"/>
  <c r="S32" i="276"/>
  <c r="Y32" i="276"/>
  <c r="S38" i="276"/>
  <c r="S49" i="276"/>
  <c r="S33" i="276"/>
  <c r="S35" i="276"/>
  <c r="Q23" i="276"/>
  <c r="Q68" i="276" s="1" a="1"/>
  <c r="Q68" i="276" s="1"/>
  <c r="Q21" i="276"/>
  <c r="Q25" i="276"/>
  <c r="Q24" i="276"/>
  <c r="S11" i="276"/>
  <c r="Q22" i="276"/>
  <c r="Q26" i="276"/>
  <c r="J30" i="310"/>
  <c r="J29" i="310"/>
  <c r="J31" i="310"/>
  <c r="J35" i="310"/>
  <c r="R43" i="241"/>
  <c r="R93" i="241" s="1"/>
  <c r="R47" i="241"/>
  <c r="R97" i="241" s="1"/>
  <c r="R41" i="241"/>
  <c r="R45" i="241"/>
  <c r="R95" i="241" s="1"/>
  <c r="R49" i="241"/>
  <c r="R99" i="241" s="1"/>
  <c r="R44" i="241"/>
  <c r="R94" i="241" s="1"/>
  <c r="R42" i="241"/>
  <c r="R92" i="241" s="1"/>
  <c r="R46" i="241"/>
  <c r="R96" i="241" s="1"/>
  <c r="R48" i="241"/>
  <c r="R98" i="241" s="1"/>
  <c r="M41" i="241"/>
  <c r="M44" i="241"/>
  <c r="M94" i="241" s="1"/>
  <c r="M45" i="241"/>
  <c r="M95" i="241" s="1"/>
  <c r="M49" i="241"/>
  <c r="M99" i="241" s="1"/>
  <c r="M42" i="241"/>
  <c r="M92" i="241" s="1"/>
  <c r="M47" i="241"/>
  <c r="M97" i="241" s="1"/>
  <c r="M43" i="241"/>
  <c r="M93" i="241" s="1"/>
  <c r="M46" i="241"/>
  <c r="M96" i="241" s="1"/>
  <c r="M48" i="241"/>
  <c r="M98" i="241" s="1"/>
  <c r="N68" i="276" a="1"/>
  <c r="N68" i="276" s="1"/>
  <c r="N65" i="276" a="1"/>
  <c r="N65" i="276" s="1"/>
  <c r="AB17" i="332"/>
  <c r="Z55" i="325"/>
  <c r="K67" i="244" a="1"/>
  <c r="K67" i="244" s="1"/>
  <c r="K66" i="244" a="1"/>
  <c r="K66" i="244" s="1"/>
  <c r="P20" i="274"/>
  <c r="R20" i="274"/>
  <c r="S44" i="244"/>
  <c r="S49" i="244"/>
  <c r="S32" i="244"/>
  <c r="Y32" i="244"/>
  <c r="S46" i="244"/>
  <c r="Q55" i="244"/>
  <c r="Q56" i="244"/>
  <c r="Q58" i="244"/>
  <c r="S29" i="244"/>
  <c r="Q60" i="244"/>
  <c r="Q57" i="244"/>
  <c r="Q59" i="244"/>
  <c r="S42" i="244"/>
  <c r="Y42" i="244"/>
  <c r="S19" i="244"/>
  <c r="S35" i="244"/>
  <c r="F13" i="236"/>
  <c r="C46" i="334" s="1"/>
  <c r="E46" i="334" s="1"/>
  <c r="D13" i="236"/>
  <c r="C44" i="334" s="1"/>
  <c r="E44" i="334" s="1"/>
  <c r="E13" i="236"/>
  <c r="C45" i="334" s="1"/>
  <c r="E45" i="334" s="1"/>
  <c r="N64" i="275" a="1"/>
  <c r="N64" i="275" s="1"/>
  <c r="G5" i="282"/>
  <c r="F8" i="282"/>
  <c r="F14" i="282" s="1"/>
  <c r="F18" i="282" s="1"/>
  <c r="N37" i="64"/>
  <c r="I38" i="8"/>
  <c r="I50" i="8" s="1"/>
  <c r="S45" i="275"/>
  <c r="S29" i="275"/>
  <c r="Q59" i="275"/>
  <c r="Q55" i="275"/>
  <c r="Q56" i="275"/>
  <c r="Q57" i="275"/>
  <c r="Q58" i="275"/>
  <c r="Q60" i="275"/>
  <c r="S38" i="275"/>
  <c r="S11" i="275"/>
  <c r="Q24" i="275"/>
  <c r="Q23" i="275"/>
  <c r="Q22" i="275"/>
  <c r="Q26" i="275"/>
  <c r="Q21" i="275"/>
  <c r="Q66" i="275" s="1" a="1"/>
  <c r="Q66" i="275" s="1"/>
  <c r="Q25" i="275"/>
  <c r="S39" i="275"/>
  <c r="Y39" i="275"/>
  <c r="S52" i="275"/>
  <c r="S36" i="275"/>
  <c r="Y36" i="275"/>
  <c r="S16" i="275"/>
  <c r="R10" i="326"/>
  <c r="R12" i="326"/>
  <c r="K14" i="326"/>
  <c r="L14" i="326" s="1"/>
  <c r="J64" i="282"/>
  <c r="I10" i="280"/>
  <c r="R64" i="301" a="1"/>
  <c r="R64" i="301" s="1"/>
  <c r="R67" i="301" a="1"/>
  <c r="R67" i="301" s="1"/>
  <c r="V68" i="301" a="1"/>
  <c r="V68" i="301" s="1"/>
  <c r="W21" i="301"/>
  <c r="W66" i="301" s="1" a="1"/>
  <c r="W66" i="301" s="1"/>
  <c r="W22" i="301"/>
  <c r="W23" i="301"/>
  <c r="W65" i="301" s="1" a="1"/>
  <c r="W65" i="301" s="1"/>
  <c r="W24" i="301"/>
  <c r="W25" i="301"/>
  <c r="W26" i="301"/>
  <c r="W63" i="301" a="1"/>
  <c r="W63" i="301" s="1"/>
  <c r="W67" i="301" a="1"/>
  <c r="W67" i="301" s="1"/>
  <c r="W68" i="301" a="1"/>
  <c r="W68" i="301" s="1"/>
  <c r="B13" i="284"/>
  <c r="G56" i="133"/>
  <c r="B3" i="305" s="1"/>
  <c r="I29" i="301"/>
  <c r="I63" i="301" s="1" a="1"/>
  <c r="I63" i="301" s="1"/>
  <c r="S43" i="276"/>
  <c r="S52" i="276"/>
  <c r="S18" i="276"/>
  <c r="S50" i="276"/>
  <c r="S16" i="276"/>
  <c r="S45" i="276"/>
  <c r="Q60" i="276"/>
  <c r="S29" i="276"/>
  <c r="Q57" i="276"/>
  <c r="Q58" i="276"/>
  <c r="Q55" i="276"/>
  <c r="Q59" i="276"/>
  <c r="Q56" i="276"/>
  <c r="S31" i="276"/>
  <c r="O6" i="276"/>
  <c r="D12" i="274"/>
  <c r="O41" i="241"/>
  <c r="O42" i="241"/>
  <c r="O92" i="241" s="1"/>
  <c r="O46" i="241"/>
  <c r="O96" i="241" s="1"/>
  <c r="O47" i="241"/>
  <c r="O97" i="241" s="1"/>
  <c r="O44" i="241"/>
  <c r="O94" i="241" s="1"/>
  <c r="O49" i="241"/>
  <c r="O99" i="241" s="1"/>
  <c r="O48" i="241"/>
  <c r="O98" i="241" s="1"/>
  <c r="O45" i="241"/>
  <c r="O95" i="241" s="1"/>
  <c r="O43" i="241"/>
  <c r="O93" i="241" s="1"/>
  <c r="N43" i="241"/>
  <c r="N93" i="241" s="1"/>
  <c r="N48" i="241"/>
  <c r="N98" i="241" s="1"/>
  <c r="N41" i="241"/>
  <c r="N45" i="241"/>
  <c r="N95" i="241" s="1"/>
  <c r="N46" i="241"/>
  <c r="N96" i="241" s="1"/>
  <c r="N42" i="241"/>
  <c r="N92" i="241" s="1"/>
  <c r="N49" i="241"/>
  <c r="N99" i="241" s="1"/>
  <c r="N44" i="241"/>
  <c r="N94" i="241" s="1"/>
  <c r="N47" i="241"/>
  <c r="N97" i="241" s="1"/>
  <c r="C14" i="334"/>
  <c r="G64" i="280"/>
  <c r="D22" i="4"/>
  <c r="AD5" i="325"/>
  <c r="AD6" i="325"/>
  <c r="AD11" i="325"/>
  <c r="AD15" i="325"/>
  <c r="AD19" i="325"/>
  <c r="AD22" i="325"/>
  <c r="AD24" i="325"/>
  <c r="AD25" i="325"/>
  <c r="AD27" i="325"/>
  <c r="AD29" i="325"/>
  <c r="AD30" i="325"/>
  <c r="AD32" i="325"/>
  <c r="AD4" i="325"/>
  <c r="AD13" i="325"/>
  <c r="AD16" i="325"/>
  <c r="AD20" i="325"/>
  <c r="AD33" i="325"/>
  <c r="AD7" i="325"/>
  <c r="AD8" i="325"/>
  <c r="AD9" i="325"/>
  <c r="AD10" i="325"/>
  <c r="AD12" i="325"/>
  <c r="AD17" i="325"/>
  <c r="AD21" i="325"/>
  <c r="AD26" i="325"/>
  <c r="AD28" i="325"/>
  <c r="AD31" i="325"/>
  <c r="AD34" i="325"/>
  <c r="AF57" i="325"/>
  <c r="AL57" i="325" s="1"/>
  <c r="AD14" i="325"/>
  <c r="AD35" i="325"/>
  <c r="I78" i="274"/>
  <c r="I104" i="274"/>
  <c r="J15" i="274"/>
  <c r="I62" i="274"/>
  <c r="E39" i="14"/>
  <c r="E42" i="14" s="1"/>
  <c r="S16" i="244"/>
  <c r="S45" i="244"/>
  <c r="S17" i="244"/>
  <c r="Y17" i="244"/>
  <c r="S41" i="244"/>
  <c r="S51" i="244"/>
  <c r="S38" i="244"/>
  <c r="S15" i="244"/>
  <c r="S31" i="244"/>
  <c r="I24" i="8"/>
  <c r="S33" i="8" s="1"/>
  <c r="P48" i="282"/>
  <c r="O22" i="282"/>
  <c r="N15" i="280" s="1"/>
  <c r="C52" i="310"/>
  <c r="O6" i="244"/>
  <c r="D12" i="241"/>
  <c r="D67" i="241" s="1"/>
  <c r="S41" i="275"/>
  <c r="S50" i="275"/>
  <c r="S34" i="275"/>
  <c r="S51" i="275"/>
  <c r="S35" i="275"/>
  <c r="S48" i="275"/>
  <c r="S32" i="275"/>
  <c r="Y32" i="275"/>
  <c r="S12" i="275"/>
  <c r="Q64" i="276" l="1" a="1"/>
  <c r="Q64" i="276" s="1"/>
  <c r="Q68" i="275" a="1"/>
  <c r="Q68" i="275" s="1"/>
  <c r="Q67" i="275" a="1"/>
  <c r="Q67" i="275" s="1"/>
  <c r="S50" i="8"/>
  <c r="I69" i="8"/>
  <c r="D70" i="8" s="1"/>
  <c r="D10" i="248" s="1"/>
  <c r="J70" i="275"/>
  <c r="J72" i="275" s="1"/>
  <c r="J70" i="276"/>
  <c r="J70" i="244"/>
  <c r="T38" i="244"/>
  <c r="X38" i="244"/>
  <c r="AD55" i="325"/>
  <c r="C11" i="334"/>
  <c r="E11" i="334" s="1"/>
  <c r="E14" i="334"/>
  <c r="C38" i="334"/>
  <c r="E38" i="334" s="1"/>
  <c r="O58" i="241"/>
  <c r="O91" i="241"/>
  <c r="W64" i="301" a="1"/>
  <c r="W64" i="301" s="1"/>
  <c r="T52" i="275"/>
  <c r="X52" i="275"/>
  <c r="Q65" i="275" a="1"/>
  <c r="Q65" i="275" s="1"/>
  <c r="Q64" i="275" a="1"/>
  <c r="Q64" i="275" s="1"/>
  <c r="S21" i="275"/>
  <c r="S25" i="275"/>
  <c r="S24" i="275"/>
  <c r="S64" i="275" s="1" a="1"/>
  <c r="S64" i="275" s="1"/>
  <c r="S23" i="275"/>
  <c r="S22" i="275"/>
  <c r="S26" i="275"/>
  <c r="S65" i="275" a="1"/>
  <c r="S65" i="275" s="1"/>
  <c r="E8" i="280"/>
  <c r="F20" i="282"/>
  <c r="Q20" i="274"/>
  <c r="S20" i="274"/>
  <c r="AA7" i="325"/>
  <c r="AA8" i="325"/>
  <c r="AA9" i="325"/>
  <c r="AA10" i="325"/>
  <c r="AA12" i="325"/>
  <c r="AA17" i="325"/>
  <c r="AA18" i="325"/>
  <c r="AA21" i="325"/>
  <c r="AA26" i="325"/>
  <c r="AA4" i="325"/>
  <c r="AA14" i="325"/>
  <c r="AA5" i="325"/>
  <c r="AA6" i="325"/>
  <c r="AA15" i="325"/>
  <c r="AA19" i="325"/>
  <c r="AA22" i="325"/>
  <c r="AA27" i="325"/>
  <c r="AA32" i="325"/>
  <c r="AA13" i="325"/>
  <c r="AA16" i="325"/>
  <c r="AA20" i="325"/>
  <c r="AA23" i="325"/>
  <c r="AA25" i="325"/>
  <c r="AA29" i="325"/>
  <c r="AA24" i="325"/>
  <c r="AA31" i="325"/>
  <c r="AA28" i="325"/>
  <c r="AA11" i="325"/>
  <c r="R58" i="241"/>
  <c r="R91" i="241"/>
  <c r="M31" i="310"/>
  <c r="Q65" i="276" a="1"/>
  <c r="Q65" i="276" s="1"/>
  <c r="Q63" i="276" a="1"/>
  <c r="Q63" i="276" s="1"/>
  <c r="T33" i="276"/>
  <c r="X33" i="276"/>
  <c r="X38" i="276"/>
  <c r="T38" i="276"/>
  <c r="T40" i="276"/>
  <c r="X40" i="276"/>
  <c r="T40" i="275"/>
  <c r="X40" i="275"/>
  <c r="T42" i="275"/>
  <c r="T49" i="275"/>
  <c r="X49" i="275"/>
  <c r="K6" i="265"/>
  <c r="AE31" i="264"/>
  <c r="G12" i="265"/>
  <c r="M37" i="264"/>
  <c r="T33" i="244"/>
  <c r="X33" i="244"/>
  <c r="T36" i="244"/>
  <c r="T48" i="244"/>
  <c r="X48" i="244"/>
  <c r="I58" i="241"/>
  <c r="I91" i="241"/>
  <c r="T42" i="276"/>
  <c r="T51" i="276"/>
  <c r="X51" i="276"/>
  <c r="AO30" i="325"/>
  <c r="K62" i="241"/>
  <c r="L15" i="241"/>
  <c r="K78" i="241"/>
  <c r="K104" i="241"/>
  <c r="Q67" i="244" a="1"/>
  <c r="Q67" i="244" s="1"/>
  <c r="Q66" i="244" a="1"/>
  <c r="Q66" i="244" s="1"/>
  <c r="S24" i="244"/>
  <c r="S22" i="244"/>
  <c r="S26" i="244"/>
  <c r="S21" i="244"/>
  <c r="S66" i="244" s="1" a="1"/>
  <c r="S66" i="244" s="1"/>
  <c r="S23" i="244"/>
  <c r="S25" i="244"/>
  <c r="S67" i="244" a="1"/>
  <c r="S67" i="244" s="1"/>
  <c r="S68" i="244" a="1"/>
  <c r="S68" i="244" s="1"/>
  <c r="K70" i="275"/>
  <c r="T17" i="276"/>
  <c r="T39" i="276"/>
  <c r="X39" i="276"/>
  <c r="O13" i="275"/>
  <c r="O17" i="275"/>
  <c r="O11" i="275"/>
  <c r="O15" i="275"/>
  <c r="O12" i="275"/>
  <c r="O16" i="275"/>
  <c r="T16" i="275" s="1"/>
  <c r="O19" i="275"/>
  <c r="T19" i="275" s="1"/>
  <c r="O31" i="275"/>
  <c r="T31" i="275" s="1"/>
  <c r="O35" i="275"/>
  <c r="O39" i="275"/>
  <c r="O43" i="275"/>
  <c r="T43" i="275" s="1"/>
  <c r="O47" i="275"/>
  <c r="T47" i="275" s="1"/>
  <c r="O51" i="275"/>
  <c r="O30" i="275"/>
  <c r="O34" i="275"/>
  <c r="T34" i="275" s="1"/>
  <c r="O38" i="275"/>
  <c r="O42" i="275"/>
  <c r="O46" i="275"/>
  <c r="O50" i="275"/>
  <c r="O14" i="275"/>
  <c r="T14" i="275" s="1"/>
  <c r="O18" i="275"/>
  <c r="O29" i="275"/>
  <c r="T29" i="275" s="1"/>
  <c r="O33" i="275"/>
  <c r="O37" i="275"/>
  <c r="T37" i="275" s="1"/>
  <c r="O41" i="275"/>
  <c r="O45" i="275"/>
  <c r="T45" i="275" s="1"/>
  <c r="O49" i="275"/>
  <c r="O53" i="275"/>
  <c r="T53" i="275" s="1"/>
  <c r="O32" i="275"/>
  <c r="O36" i="275"/>
  <c r="O40" i="275"/>
  <c r="O44" i="275"/>
  <c r="T44" i="275" s="1"/>
  <c r="O48" i="275"/>
  <c r="O52" i="275"/>
  <c r="O72" i="275"/>
  <c r="O70" i="275"/>
  <c r="G12" i="270"/>
  <c r="F13" i="270"/>
  <c r="I68" i="301" a="1"/>
  <c r="I68" i="301" s="1"/>
  <c r="I64" i="301" a="1"/>
  <c r="I64" i="301" s="1"/>
  <c r="T12" i="275"/>
  <c r="T51" i="275"/>
  <c r="X51" i="275"/>
  <c r="J62" i="274"/>
  <c r="K15" i="274"/>
  <c r="J78" i="274"/>
  <c r="J104" i="274"/>
  <c r="Q63" i="275" a="1"/>
  <c r="Q63" i="275" s="1"/>
  <c r="H5" i="282"/>
  <c r="G8" i="282"/>
  <c r="G14" i="282" s="1"/>
  <c r="G18" i="282" s="1"/>
  <c r="T42" i="244"/>
  <c r="X32" i="244"/>
  <c r="T32" i="244"/>
  <c r="AB18" i="332"/>
  <c r="M58" i="241"/>
  <c r="M91" i="241"/>
  <c r="M29" i="310"/>
  <c r="J52" i="310"/>
  <c r="K29" i="310" s="1"/>
  <c r="M28" i="264"/>
  <c r="K8" i="265"/>
  <c r="AE33" i="264"/>
  <c r="U19" i="274"/>
  <c r="L58" i="241"/>
  <c r="L91" i="241"/>
  <c r="V21" i="274"/>
  <c r="T17" i="275"/>
  <c r="T30" i="275"/>
  <c r="AM55" i="325"/>
  <c r="J58" i="241"/>
  <c r="J91" i="241"/>
  <c r="I67" i="301" a="1"/>
  <c r="I67" i="301" s="1"/>
  <c r="T48" i="275"/>
  <c r="X48" i="275"/>
  <c r="X50" i="275"/>
  <c r="T50" i="275"/>
  <c r="S16" i="8"/>
  <c r="S31" i="8"/>
  <c r="S41" i="8"/>
  <c r="S44" i="8"/>
  <c r="S24" i="8"/>
  <c r="S30" i="8"/>
  <c r="S46" i="8"/>
  <c r="S29" i="8"/>
  <c r="S42" i="8"/>
  <c r="S21" i="8"/>
  <c r="S22" i="8"/>
  <c r="S36" i="8"/>
  <c r="S15" i="8"/>
  <c r="S35" i="8"/>
  <c r="S43" i="8"/>
  <c r="S13" i="8"/>
  <c r="S20" i="8"/>
  <c r="S45" i="8"/>
  <c r="S14" i="8"/>
  <c r="N58" i="241"/>
  <c r="N91" i="241"/>
  <c r="N12" i="274"/>
  <c r="D67" i="274"/>
  <c r="I56" i="301"/>
  <c r="I58" i="301"/>
  <c r="I55" i="301"/>
  <c r="I57" i="301"/>
  <c r="I59" i="301"/>
  <c r="I60" i="301"/>
  <c r="D68" i="241"/>
  <c r="D152" i="241" s="1"/>
  <c r="D150" i="241"/>
  <c r="D73" i="241"/>
  <c r="S18" i="8"/>
  <c r="T51" i="244"/>
  <c r="X51" i="244"/>
  <c r="T17" i="244"/>
  <c r="O14" i="276"/>
  <c r="T14" i="276" s="1"/>
  <c r="O18" i="276"/>
  <c r="T18" i="276" s="1"/>
  <c r="O30" i="276"/>
  <c r="T30" i="276" s="1"/>
  <c r="O34" i="276"/>
  <c r="O12" i="276"/>
  <c r="T12" i="276" s="1"/>
  <c r="O16" i="276"/>
  <c r="T16" i="276" s="1"/>
  <c r="O32" i="276"/>
  <c r="O36" i="276"/>
  <c r="O40" i="276"/>
  <c r="O44" i="276"/>
  <c r="T44" i="276" s="1"/>
  <c r="O48" i="276"/>
  <c r="O52" i="276"/>
  <c r="O11" i="276"/>
  <c r="O15" i="276"/>
  <c r="T15" i="276" s="1"/>
  <c r="O19" i="276"/>
  <c r="T19" i="276" s="1"/>
  <c r="O41" i="276"/>
  <c r="T41" i="276" s="1"/>
  <c r="O45" i="276"/>
  <c r="O49" i="276"/>
  <c r="O53" i="276"/>
  <c r="T53" i="276" s="1"/>
  <c r="O31" i="276"/>
  <c r="T31" i="276" s="1"/>
  <c r="O35" i="276"/>
  <c r="O72" i="276"/>
  <c r="O13" i="276"/>
  <c r="T13" i="276" s="1"/>
  <c r="O17" i="276"/>
  <c r="O39" i="276"/>
  <c r="O43" i="276"/>
  <c r="T43" i="276" s="1"/>
  <c r="O47" i="276"/>
  <c r="T47" i="276" s="1"/>
  <c r="O51" i="276"/>
  <c r="O29" i="276"/>
  <c r="O33" i="276"/>
  <c r="O37" i="276"/>
  <c r="T37" i="276" s="1"/>
  <c r="O38" i="276"/>
  <c r="O42" i="276"/>
  <c r="O46" i="276"/>
  <c r="T46" i="276" s="1"/>
  <c r="O50" i="276"/>
  <c r="O70" i="276"/>
  <c r="T45" i="276"/>
  <c r="T50" i="276"/>
  <c r="X50" i="276"/>
  <c r="X52" i="276"/>
  <c r="T52" i="276"/>
  <c r="T36" i="275"/>
  <c r="X39" i="275"/>
  <c r="T39" i="275"/>
  <c r="T38" i="275"/>
  <c r="X38" i="275"/>
  <c r="S60" i="275"/>
  <c r="S59" i="275"/>
  <c r="S55" i="275"/>
  <c r="S56" i="275"/>
  <c r="S57" i="275"/>
  <c r="S58" i="275"/>
  <c r="S38" i="8"/>
  <c r="S57" i="244"/>
  <c r="S59" i="244"/>
  <c r="S55" i="244"/>
  <c r="S56" i="244"/>
  <c r="S58" i="244"/>
  <c r="S60" i="244"/>
  <c r="M30" i="310"/>
  <c r="K30" i="310"/>
  <c r="Q67" i="276" a="1"/>
  <c r="Q67" i="276" s="1"/>
  <c r="S24" i="276"/>
  <c r="S22" i="276"/>
  <c r="S26" i="276"/>
  <c r="S21" i="276"/>
  <c r="S25" i="276"/>
  <c r="S23" i="276"/>
  <c r="T11" i="276"/>
  <c r="T35" i="276"/>
  <c r="X49" i="276"/>
  <c r="T49" i="276"/>
  <c r="X32" i="276"/>
  <c r="T32" i="276"/>
  <c r="T13" i="275"/>
  <c r="T15" i="275"/>
  <c r="T33" i="275"/>
  <c r="X33" i="275"/>
  <c r="K31" i="264"/>
  <c r="G6" i="265"/>
  <c r="G13" i="265" s="1"/>
  <c r="M29" i="264"/>
  <c r="K29" i="264"/>
  <c r="X39" i="244"/>
  <c r="T39" i="244"/>
  <c r="T43" i="244"/>
  <c r="T50" i="244"/>
  <c r="X50" i="244"/>
  <c r="T53" i="244"/>
  <c r="T36" i="276"/>
  <c r="T34" i="276"/>
  <c r="S48" i="8"/>
  <c r="Q64" i="244" a="1"/>
  <c r="Q64" i="244" s="1"/>
  <c r="X40" i="244"/>
  <c r="T40" i="244"/>
  <c r="T52" i="244"/>
  <c r="X52" i="244"/>
  <c r="P91" i="241"/>
  <c r="P58" i="241"/>
  <c r="K58" i="241"/>
  <c r="K91" i="241"/>
  <c r="X48" i="276"/>
  <c r="T48" i="276"/>
  <c r="L19" i="282"/>
  <c r="M46" i="282"/>
  <c r="I66" i="301" a="1"/>
  <c r="I66" i="301" s="1"/>
  <c r="X32" i="275"/>
  <c r="T32" i="275"/>
  <c r="T35" i="275"/>
  <c r="T41" i="275"/>
  <c r="O13" i="244"/>
  <c r="T13" i="244" s="1"/>
  <c r="O17" i="244"/>
  <c r="O30" i="244"/>
  <c r="T30" i="244" s="1"/>
  <c r="O34" i="244"/>
  <c r="T34" i="244" s="1"/>
  <c r="O38" i="244"/>
  <c r="O42" i="244"/>
  <c r="O14" i="244"/>
  <c r="T14" i="244" s="1"/>
  <c r="O18" i="244"/>
  <c r="T18" i="244" s="1"/>
  <c r="O29" i="244"/>
  <c r="O33" i="244"/>
  <c r="O37" i="244"/>
  <c r="T37" i="244" s="1"/>
  <c r="O41" i="244"/>
  <c r="T41" i="244" s="1"/>
  <c r="O46" i="244"/>
  <c r="O50" i="244"/>
  <c r="O70" i="244"/>
  <c r="O32" i="244"/>
  <c r="O36" i="244"/>
  <c r="O40" i="244"/>
  <c r="O45" i="244"/>
  <c r="T45" i="244" s="1"/>
  <c r="O49" i="244"/>
  <c r="T49" i="244" s="1"/>
  <c r="O53" i="244"/>
  <c r="O12" i="244"/>
  <c r="T12" i="244" s="1"/>
  <c r="O16" i="244"/>
  <c r="T16" i="244" s="1"/>
  <c r="O31" i="244"/>
  <c r="T31" i="244" s="1"/>
  <c r="O35" i="244"/>
  <c r="T35" i="244" s="1"/>
  <c r="O39" i="244"/>
  <c r="O44" i="244"/>
  <c r="T44" i="244" s="1"/>
  <c r="O48" i="244"/>
  <c r="O52" i="244"/>
  <c r="O11" i="244"/>
  <c r="O15" i="244"/>
  <c r="T15" i="244" s="1"/>
  <c r="O19" i="244"/>
  <c r="T19" i="244" s="1"/>
  <c r="O43" i="244"/>
  <c r="O47" i="244"/>
  <c r="T47" i="244" s="1"/>
  <c r="O51" i="244"/>
  <c r="O72" i="244"/>
  <c r="P22" i="282"/>
  <c r="O15" i="280" s="1"/>
  <c r="Q48" i="282"/>
  <c r="G90" i="280"/>
  <c r="S56" i="276"/>
  <c r="S57" i="276"/>
  <c r="S58" i="276"/>
  <c r="S60" i="276"/>
  <c r="S55" i="276"/>
  <c r="S59" i="276"/>
  <c r="T29" i="276"/>
  <c r="T46" i="244"/>
  <c r="M35" i="310"/>
  <c r="K35" i="310"/>
  <c r="Q66" i="276" a="1"/>
  <c r="Q66" i="276" s="1"/>
  <c r="K7" i="265"/>
  <c r="AE32" i="264"/>
  <c r="K9" i="265"/>
  <c r="AE34" i="264"/>
  <c r="M27" i="264"/>
  <c r="J52" i="264"/>
  <c r="K27" i="264"/>
  <c r="AI55" i="325"/>
  <c r="Q58" i="241"/>
  <c r="Q91" i="241"/>
  <c r="AA30" i="325"/>
  <c r="T18" i="275"/>
  <c r="T46" i="275"/>
  <c r="X46" i="275"/>
  <c r="K20" i="133"/>
  <c r="B20" i="133" s="1"/>
  <c r="G20" i="133" s="1"/>
  <c r="B3" i="8" s="1"/>
  <c r="J23" i="133"/>
  <c r="Q65" i="244" a="1"/>
  <c r="Q65" i="244" s="1"/>
  <c r="AQ11" i="325"/>
  <c r="AO55" i="325"/>
  <c r="AP11" i="325" s="1"/>
  <c r="AP63" i="325" s="1"/>
  <c r="K64" i="282"/>
  <c r="J10" i="280"/>
  <c r="D26" i="243"/>
  <c r="D48" i="243"/>
  <c r="F9" i="300"/>
  <c r="H9" i="300" s="1"/>
  <c r="I65" i="301" a="1"/>
  <c r="I65" i="301" s="1"/>
  <c r="S68" i="276" l="1" a="1"/>
  <c r="S68" i="276" s="1"/>
  <c r="S67" i="275" a="1"/>
  <c r="S67" i="275" s="1"/>
  <c r="S66" i="275" a="1"/>
  <c r="S66" i="275" s="1"/>
  <c r="S63" i="275" a="1"/>
  <c r="S63" i="275" s="1"/>
  <c r="S63" i="276" a="1"/>
  <c r="S63" i="276" s="1"/>
  <c r="S66" i="276" a="1"/>
  <c r="S66" i="276" s="1"/>
  <c r="S68" i="275" a="1"/>
  <c r="S68" i="275" s="1"/>
  <c r="U19" i="244"/>
  <c r="W19" i="244" s="1"/>
  <c r="V19" i="244"/>
  <c r="X19" i="244" s="1"/>
  <c r="Y19" i="244" s="1"/>
  <c r="U49" i="244"/>
  <c r="W49" i="244" s="1"/>
  <c r="V49" i="244"/>
  <c r="X49" i="244" s="1"/>
  <c r="Y49" i="244" s="1"/>
  <c r="V18" i="244"/>
  <c r="U18" i="244"/>
  <c r="W18" i="244" s="1"/>
  <c r="U43" i="276"/>
  <c r="W43" i="276" s="1"/>
  <c r="V43" i="276"/>
  <c r="V15" i="276"/>
  <c r="U15" i="276"/>
  <c r="W15" i="276" s="1"/>
  <c r="U16" i="276"/>
  <c r="W16" i="276" s="1"/>
  <c r="V16" i="276"/>
  <c r="U15" i="244"/>
  <c r="W15" i="244" s="1"/>
  <c r="V15" i="244"/>
  <c r="X15" i="244" s="1"/>
  <c r="Y15" i="244" s="1"/>
  <c r="U16" i="244"/>
  <c r="W16" i="244" s="1"/>
  <c r="V16" i="244"/>
  <c r="X16" i="244" s="1"/>
  <c r="Y16" i="244" s="1"/>
  <c r="U45" i="244"/>
  <c r="W45" i="244" s="1"/>
  <c r="V45" i="244"/>
  <c r="X45" i="244" s="1"/>
  <c r="Y45" i="244" s="1"/>
  <c r="V37" i="244"/>
  <c r="U37" i="244"/>
  <c r="W37" i="244" s="1"/>
  <c r="V14" i="244"/>
  <c r="U14" i="244"/>
  <c r="W14" i="244" s="1"/>
  <c r="U30" i="244"/>
  <c r="W30" i="244" s="1"/>
  <c r="V30" i="244"/>
  <c r="X30" i="244" s="1"/>
  <c r="Y30" i="244" s="1"/>
  <c r="U12" i="276"/>
  <c r="W12" i="276" s="1"/>
  <c r="V12" i="276"/>
  <c r="U14" i="276"/>
  <c r="W14" i="276" s="1"/>
  <c r="V14" i="276"/>
  <c r="U45" i="275"/>
  <c r="W45" i="275" s="1"/>
  <c r="V45" i="275"/>
  <c r="V16" i="275"/>
  <c r="U16" i="275"/>
  <c r="W16" i="275" s="1"/>
  <c r="U44" i="244"/>
  <c r="W44" i="244" s="1"/>
  <c r="V44" i="244"/>
  <c r="X44" i="244" s="1"/>
  <c r="Y44" i="244" s="1"/>
  <c r="V47" i="244"/>
  <c r="U47" i="244"/>
  <c r="W47" i="244" s="1"/>
  <c r="U12" i="244"/>
  <c r="W12" i="244" s="1"/>
  <c r="V12" i="244"/>
  <c r="X12" i="244" s="1"/>
  <c r="Y12" i="244" s="1"/>
  <c r="V31" i="276"/>
  <c r="U31" i="276"/>
  <c r="W31" i="276" s="1"/>
  <c r="V31" i="244"/>
  <c r="U31" i="244"/>
  <c r="W31" i="244" s="1"/>
  <c r="V41" i="244"/>
  <c r="U41" i="244"/>
  <c r="W41" i="244" s="1"/>
  <c r="U34" i="244"/>
  <c r="W34" i="244" s="1"/>
  <c r="V34" i="244"/>
  <c r="X34" i="244" s="1"/>
  <c r="Y34" i="244" s="1"/>
  <c r="U44" i="276"/>
  <c r="W44" i="276" s="1"/>
  <c r="V44" i="276"/>
  <c r="U18" i="276"/>
  <c r="W18" i="276" s="1"/>
  <c r="V18" i="276"/>
  <c r="U43" i="275"/>
  <c r="W43" i="275" s="1"/>
  <c r="V43" i="275"/>
  <c r="V35" i="244"/>
  <c r="U35" i="244"/>
  <c r="W35" i="244" s="1"/>
  <c r="U13" i="244"/>
  <c r="W13" i="244" s="1"/>
  <c r="V13" i="244"/>
  <c r="X13" i="244" s="1"/>
  <c r="Y13" i="244" s="1"/>
  <c r="V37" i="276"/>
  <c r="U37" i="276"/>
  <c r="W37" i="276" s="1"/>
  <c r="U47" i="276"/>
  <c r="W47" i="276" s="1"/>
  <c r="V47" i="276"/>
  <c r="V14" i="275"/>
  <c r="U14" i="275"/>
  <c r="W14" i="275" s="1"/>
  <c r="U47" i="275"/>
  <c r="W47" i="275" s="1"/>
  <c r="V47" i="275"/>
  <c r="V18" i="275"/>
  <c r="U18" i="275"/>
  <c r="W18" i="275" s="1"/>
  <c r="AJ7" i="325"/>
  <c r="AJ8" i="325"/>
  <c r="AJ9" i="325"/>
  <c r="AJ10" i="325"/>
  <c r="AJ12" i="325"/>
  <c r="AJ17" i="325"/>
  <c r="AJ21" i="325"/>
  <c r="AJ23" i="325"/>
  <c r="AJ26" i="325"/>
  <c r="AJ40" i="325"/>
  <c r="AJ14" i="325"/>
  <c r="AJ18" i="325"/>
  <c r="AJ25" i="325"/>
  <c r="AJ29" i="325"/>
  <c r="AJ43" i="325"/>
  <c r="AJ49" i="325"/>
  <c r="AJ4" i="325"/>
  <c r="AJ5" i="325"/>
  <c r="AJ6" i="325"/>
  <c r="AJ15" i="325"/>
  <c r="AJ19" i="325"/>
  <c r="AJ27" i="325"/>
  <c r="AJ32" i="325"/>
  <c r="AJ42" i="325"/>
  <c r="AJ13" i="325"/>
  <c r="AJ16" i="325"/>
  <c r="AJ20" i="325"/>
  <c r="AJ50" i="325"/>
  <c r="AJ41" i="325"/>
  <c r="AJ48" i="325"/>
  <c r="AJ36" i="325"/>
  <c r="AJ38" i="325"/>
  <c r="AJ37" i="325"/>
  <c r="AJ22" i="325"/>
  <c r="AJ31" i="325"/>
  <c r="AJ24" i="325"/>
  <c r="AJ28" i="325"/>
  <c r="AJ11" i="325"/>
  <c r="E60" i="280"/>
  <c r="M60" i="280" s="1"/>
  <c r="L9" i="40"/>
  <c r="L3" i="8"/>
  <c r="U46" i="275"/>
  <c r="W46" i="275" s="1"/>
  <c r="V46" i="275"/>
  <c r="Y46" i="275" s="1"/>
  <c r="V44" i="275"/>
  <c r="U44" i="275"/>
  <c r="W44" i="275" s="1"/>
  <c r="K36" i="264"/>
  <c r="K35" i="264"/>
  <c r="H9" i="63"/>
  <c r="J56" i="264"/>
  <c r="Q22" i="282"/>
  <c r="P15" i="280" s="1"/>
  <c r="R48" i="282"/>
  <c r="O22" i="244"/>
  <c r="O26" i="244"/>
  <c r="O21" i="244"/>
  <c r="O23" i="244"/>
  <c r="O25" i="244"/>
  <c r="O24" i="244"/>
  <c r="O64" i="244" s="1" a="1"/>
  <c r="O64" i="244" s="1"/>
  <c r="O65" i="244" a="1"/>
  <c r="O65" i="244" s="1"/>
  <c r="O68" i="244" a="1"/>
  <c r="O68" i="244" s="1"/>
  <c r="O67" i="244" a="1"/>
  <c r="O67" i="244" s="1"/>
  <c r="O66" i="244" a="1"/>
  <c r="O66" i="244" s="1"/>
  <c r="V32" i="275"/>
  <c r="U32" i="275"/>
  <c r="W32" i="275" s="1"/>
  <c r="M19" i="282"/>
  <c r="N46" i="282"/>
  <c r="U48" i="276"/>
  <c r="W48" i="276" s="1"/>
  <c r="V48" i="276"/>
  <c r="Y48" i="276" s="1"/>
  <c r="V41" i="276"/>
  <c r="U41" i="276"/>
  <c r="W41" i="276" s="1"/>
  <c r="U52" i="244"/>
  <c r="W52" i="244" s="1"/>
  <c r="V52" i="244"/>
  <c r="Y52" i="244" s="1"/>
  <c r="V39" i="244"/>
  <c r="U39" i="244"/>
  <c r="W39" i="244" s="1"/>
  <c r="U33" i="275"/>
  <c r="W33" i="275" s="1"/>
  <c r="V33" i="275"/>
  <c r="U19" i="275"/>
  <c r="W19" i="275" s="1"/>
  <c r="V19" i="275"/>
  <c r="X19" i="275" s="1"/>
  <c r="Y19" i="275" s="1"/>
  <c r="V11" i="276"/>
  <c r="T21" i="276"/>
  <c r="T67" i="276" s="1" a="1"/>
  <c r="T67" i="276" s="1"/>
  <c r="T25" i="276"/>
  <c r="T23" i="276"/>
  <c r="T26" i="276"/>
  <c r="T24" i="276"/>
  <c r="U11" i="276"/>
  <c r="T22" i="276"/>
  <c r="T63" i="276" a="1"/>
  <c r="T63" i="276" s="1"/>
  <c r="S65" i="276" a="1"/>
  <c r="S65" i="276" s="1"/>
  <c r="U39" i="275"/>
  <c r="W39" i="275" s="1"/>
  <c r="V39" i="275"/>
  <c r="U52" i="276"/>
  <c r="W52" i="276" s="1"/>
  <c r="V52" i="276"/>
  <c r="D68" i="274"/>
  <c r="D151" i="274" s="1"/>
  <c r="D149" i="274"/>
  <c r="U37" i="275"/>
  <c r="W37" i="275" s="1"/>
  <c r="V37" i="275"/>
  <c r="U31" i="275"/>
  <c r="W31" i="275" s="1"/>
  <c r="V31" i="275"/>
  <c r="AE29" i="310"/>
  <c r="M52" i="310"/>
  <c r="U42" i="244"/>
  <c r="W42" i="244" s="1"/>
  <c r="V42" i="244"/>
  <c r="X42" i="244" s="1"/>
  <c r="I5" i="282"/>
  <c r="H8" i="282"/>
  <c r="H14" i="282" s="1"/>
  <c r="H18" i="282" s="1"/>
  <c r="K78" i="274"/>
  <c r="K62" i="274"/>
  <c r="K104" i="274"/>
  <c r="L15" i="274"/>
  <c r="F20" i="270"/>
  <c r="G13" i="270"/>
  <c r="G14" i="270" s="1"/>
  <c r="O55" i="275"/>
  <c r="O56" i="275"/>
  <c r="O57" i="275"/>
  <c r="O58" i="275"/>
  <c r="O60" i="275"/>
  <c r="O59" i="275"/>
  <c r="S64" i="244" a="1"/>
  <c r="S64" i="244" s="1"/>
  <c r="S63" i="244" a="1"/>
  <c r="S63" i="244" s="1"/>
  <c r="U51" i="276"/>
  <c r="W51" i="276" s="1"/>
  <c r="V51" i="276"/>
  <c r="U42" i="276"/>
  <c r="W42" i="276" s="1"/>
  <c r="V42" i="276"/>
  <c r="U48" i="244"/>
  <c r="W48" i="244" s="1"/>
  <c r="V48" i="244"/>
  <c r="V33" i="244"/>
  <c r="U33" i="244"/>
  <c r="W33" i="244" s="1"/>
  <c r="U42" i="275"/>
  <c r="W42" i="275" s="1"/>
  <c r="V42" i="275"/>
  <c r="V40" i="275"/>
  <c r="U40" i="275"/>
  <c r="W40" i="275" s="1"/>
  <c r="AA55" i="325"/>
  <c r="V52" i="275"/>
  <c r="U52" i="275"/>
  <c r="W52" i="275" s="1"/>
  <c r="U35" i="275"/>
  <c r="W35" i="275" s="1"/>
  <c r="V35" i="275"/>
  <c r="U46" i="276"/>
  <c r="W46" i="276" s="1"/>
  <c r="V46" i="276"/>
  <c r="V19" i="276"/>
  <c r="U19" i="276"/>
  <c r="W19" i="276" s="1"/>
  <c r="D29" i="243"/>
  <c r="D30" i="243" s="1"/>
  <c r="D32" i="243" s="1"/>
  <c r="U53" i="275"/>
  <c r="W53" i="275" s="1"/>
  <c r="V53" i="275"/>
  <c r="X53" i="275" s="1"/>
  <c r="Y53" i="275" s="1"/>
  <c r="AE27" i="264"/>
  <c r="M52" i="264"/>
  <c r="AE35" i="310"/>
  <c r="N35" i="310"/>
  <c r="U46" i="244"/>
  <c r="W46" i="244" s="1"/>
  <c r="V46" i="244"/>
  <c r="X46" i="244" s="1"/>
  <c r="Y46" i="244" s="1"/>
  <c r="O60" i="244"/>
  <c r="O57" i="244"/>
  <c r="O59" i="244"/>
  <c r="O55" i="244"/>
  <c r="O56" i="244"/>
  <c r="O58" i="244"/>
  <c r="U34" i="275"/>
  <c r="W34" i="275" s="1"/>
  <c r="V34" i="275"/>
  <c r="L64" i="282"/>
  <c r="K10" i="280"/>
  <c r="U40" i="244"/>
  <c r="W40" i="244" s="1"/>
  <c r="V40" i="244"/>
  <c r="V53" i="276"/>
  <c r="U53" i="276"/>
  <c r="W53" i="276" s="1"/>
  <c r="U50" i="244"/>
  <c r="W50" i="244" s="1"/>
  <c r="V50" i="244"/>
  <c r="Y50" i="244" s="1"/>
  <c r="U13" i="275"/>
  <c r="W13" i="275" s="1"/>
  <c r="V13" i="275"/>
  <c r="U32" i="276"/>
  <c r="W32" i="276" s="1"/>
  <c r="V32" i="276"/>
  <c r="S67" i="276" a="1"/>
  <c r="S67" i="276" s="1"/>
  <c r="S64" i="276" a="1"/>
  <c r="S64" i="276" s="1"/>
  <c r="Y52" i="276"/>
  <c r="V45" i="276"/>
  <c r="U45" i="276"/>
  <c r="W45" i="276" s="1"/>
  <c r="O57" i="276"/>
  <c r="O59" i="276"/>
  <c r="O55" i="276"/>
  <c r="O60" i="276"/>
  <c r="O56" i="276"/>
  <c r="O58" i="276"/>
  <c r="O22" i="276"/>
  <c r="O26" i="276"/>
  <c r="O24" i="276"/>
  <c r="O25" i="276"/>
  <c r="O23" i="276"/>
  <c r="O21" i="276"/>
  <c r="U17" i="244"/>
  <c r="W17" i="244" s="1"/>
  <c r="V17" i="244"/>
  <c r="X17" i="244" s="1"/>
  <c r="V48" i="275"/>
  <c r="Y48" i="275" s="1"/>
  <c r="U48" i="275"/>
  <c r="W48" i="275" s="1"/>
  <c r="AN13" i="325"/>
  <c r="AN16" i="325"/>
  <c r="AN20" i="325"/>
  <c r="AN22" i="325"/>
  <c r="AN42" i="325"/>
  <c r="AN50" i="325"/>
  <c r="AN7" i="325"/>
  <c r="AN8" i="325"/>
  <c r="AN9" i="325"/>
  <c r="AN10" i="325"/>
  <c r="AN12" i="325"/>
  <c r="AN17" i="325"/>
  <c r="AN21" i="325"/>
  <c r="AN23" i="325"/>
  <c r="AN26" i="325"/>
  <c r="AN38" i="325"/>
  <c r="AN41" i="325"/>
  <c r="AN47" i="325"/>
  <c r="AN14" i="325"/>
  <c r="AN18" i="325"/>
  <c r="AN25" i="325"/>
  <c r="AN29" i="325"/>
  <c r="AN37" i="325"/>
  <c r="AN40" i="325"/>
  <c r="AN45" i="325"/>
  <c r="AN48" i="325"/>
  <c r="AN4" i="325"/>
  <c r="AN5" i="325"/>
  <c r="AN6" i="325"/>
  <c r="AN15" i="325"/>
  <c r="AN19" i="325"/>
  <c r="AN27" i="325"/>
  <c r="AN32" i="325"/>
  <c r="AN36" i="325"/>
  <c r="AN43" i="325"/>
  <c r="AN49" i="325"/>
  <c r="AN46" i="325"/>
  <c r="AN44" i="325"/>
  <c r="AN24" i="325"/>
  <c r="AN31" i="325"/>
  <c r="AN28" i="325"/>
  <c r="AN11" i="325"/>
  <c r="U30" i="275"/>
  <c r="W30" i="275" s="1"/>
  <c r="V30" i="275"/>
  <c r="X30" i="275" s="1"/>
  <c r="Y30" i="275" s="1"/>
  <c r="W21" i="274"/>
  <c r="V19" i="274"/>
  <c r="U32" i="244"/>
  <c r="W32" i="244" s="1"/>
  <c r="V32" i="244"/>
  <c r="V12" i="275"/>
  <c r="U12" i="275"/>
  <c r="W12" i="275" s="1"/>
  <c r="V17" i="276"/>
  <c r="U17" i="276"/>
  <c r="W17" i="276" s="1"/>
  <c r="T11" i="244"/>
  <c r="S65" i="244" a="1"/>
  <c r="S65" i="244" s="1"/>
  <c r="AN30" i="325"/>
  <c r="U36" i="244"/>
  <c r="W36" i="244" s="1"/>
  <c r="V36" i="244"/>
  <c r="X36" i="244" s="1"/>
  <c r="K31" i="310"/>
  <c r="K52" i="310" s="1"/>
  <c r="T20" i="274"/>
  <c r="V29" i="276"/>
  <c r="T55" i="276"/>
  <c r="T56" i="276"/>
  <c r="T58" i="276"/>
  <c r="T59" i="276"/>
  <c r="U29" i="276"/>
  <c r="T57" i="276"/>
  <c r="T60" i="276"/>
  <c r="U41" i="275"/>
  <c r="W41" i="275" s="1"/>
  <c r="V41" i="275"/>
  <c r="U34" i="276"/>
  <c r="W34" i="276" s="1"/>
  <c r="V34" i="276"/>
  <c r="U53" i="244"/>
  <c r="W53" i="244" s="1"/>
  <c r="V53" i="244"/>
  <c r="U15" i="275"/>
  <c r="W15" i="275" s="1"/>
  <c r="V15" i="275"/>
  <c r="V35" i="276"/>
  <c r="U35" i="276"/>
  <c r="W35" i="276" s="1"/>
  <c r="T29" i="244"/>
  <c r="H25" i="300"/>
  <c r="H26" i="300" s="1"/>
  <c r="H29" i="300" s="1"/>
  <c r="H34" i="300" s="1"/>
  <c r="D10" i="300" s="1"/>
  <c r="H10" i="300" s="1"/>
  <c r="H12" i="300" s="1"/>
  <c r="H14" i="300" s="1"/>
  <c r="C44" i="280" s="1"/>
  <c r="U50" i="275"/>
  <c r="W50" i="275" s="1"/>
  <c r="V50" i="275"/>
  <c r="Y50" i="275" s="1"/>
  <c r="U17" i="275"/>
  <c r="W17" i="275" s="1"/>
  <c r="V17" i="275"/>
  <c r="K28" i="264"/>
  <c r="K52" i="264" s="1"/>
  <c r="AB19" i="332"/>
  <c r="K72" i="275"/>
  <c r="T70" i="275"/>
  <c r="AQ30" i="325"/>
  <c r="AQ55" i="325" s="1"/>
  <c r="AP30" i="325"/>
  <c r="K37" i="264"/>
  <c r="U49" i="275"/>
  <c r="W49" i="275" s="1"/>
  <c r="V49" i="275"/>
  <c r="Y49" i="275" s="1"/>
  <c r="U40" i="276"/>
  <c r="W40" i="276" s="1"/>
  <c r="V40" i="276"/>
  <c r="V33" i="276"/>
  <c r="Y33" i="276" s="1"/>
  <c r="U33" i="276"/>
  <c r="W33" i="276" s="1"/>
  <c r="N31" i="310"/>
  <c r="AE31" i="310"/>
  <c r="F21" i="282"/>
  <c r="F23" i="282"/>
  <c r="F26" i="282" s="1"/>
  <c r="F28" i="282"/>
  <c r="J72" i="244"/>
  <c r="K70" i="244"/>
  <c r="AP4" i="325"/>
  <c r="AP57" i="325" s="1"/>
  <c r="AP5" i="325"/>
  <c r="AP59" i="325" s="1"/>
  <c r="AP6" i="325"/>
  <c r="AP60" i="325" s="1"/>
  <c r="AP15" i="325"/>
  <c r="AP19" i="325"/>
  <c r="AP27" i="325"/>
  <c r="AP32" i="325"/>
  <c r="AP34" i="325"/>
  <c r="AP36" i="325"/>
  <c r="AP70" i="325" s="1"/>
  <c r="AP39" i="325"/>
  <c r="AP43" i="325"/>
  <c r="AP49" i="325"/>
  <c r="AP13" i="325"/>
  <c r="AP62" i="325" s="1"/>
  <c r="AP16" i="325"/>
  <c r="AP20" i="325"/>
  <c r="AP22" i="325"/>
  <c r="AP35" i="325"/>
  <c r="AP42" i="325"/>
  <c r="AP50" i="325"/>
  <c r="AP7" i="325"/>
  <c r="AP8" i="325"/>
  <c r="AP9" i="325"/>
  <c r="AP10" i="325"/>
  <c r="AP12" i="325"/>
  <c r="AP61" i="325" s="1"/>
  <c r="AP17" i="325"/>
  <c r="AP21" i="325"/>
  <c r="AP23" i="325"/>
  <c r="AP66" i="325" s="1"/>
  <c r="AP26" i="325"/>
  <c r="AP38" i="325"/>
  <c r="AP72" i="325" s="1"/>
  <c r="AP41" i="325"/>
  <c r="AP47" i="325"/>
  <c r="AP55" i="325"/>
  <c r="AP14" i="325"/>
  <c r="AP64" i="325" s="1"/>
  <c r="AP18" i="325"/>
  <c r="AP25" i="325"/>
  <c r="AP68" i="325" s="1"/>
  <c r="AP29" i="325"/>
  <c r="AP69" i="325" s="1"/>
  <c r="AP33" i="325"/>
  <c r="AP37" i="325"/>
  <c r="AP71" i="325" s="1"/>
  <c r="AP40" i="325"/>
  <c r="AP45" i="325"/>
  <c r="AP48" i="325"/>
  <c r="AP46" i="325"/>
  <c r="AP44" i="325"/>
  <c r="AP31" i="325"/>
  <c r="AP24" i="325"/>
  <c r="AP67" i="325" s="1"/>
  <c r="AP28" i="325"/>
  <c r="K23" i="133"/>
  <c r="B23" i="133" s="1"/>
  <c r="G23" i="133" s="1"/>
  <c r="B3" i="40" s="1"/>
  <c r="B164" i="73" s="1"/>
  <c r="J24" i="133"/>
  <c r="U36" i="276"/>
  <c r="W36" i="276" s="1"/>
  <c r="V36" i="276"/>
  <c r="V13" i="276"/>
  <c r="X13" i="276" s="1"/>
  <c r="Y13" i="276" s="1"/>
  <c r="U13" i="276"/>
  <c r="W13" i="276" s="1"/>
  <c r="V43" i="244"/>
  <c r="U43" i="244"/>
  <c r="W43" i="244" s="1"/>
  <c r="N29" i="264"/>
  <c r="AE29" i="264"/>
  <c r="Y33" i="275"/>
  <c r="U30" i="276"/>
  <c r="W30" i="276" s="1"/>
  <c r="V30" i="276"/>
  <c r="V49" i="276"/>
  <c r="Y49" i="276" s="1"/>
  <c r="U49" i="276"/>
  <c r="W49" i="276" s="1"/>
  <c r="AE30" i="310"/>
  <c r="N30" i="310"/>
  <c r="T58" i="275"/>
  <c r="T60" i="275"/>
  <c r="U29" i="275"/>
  <c r="T59" i="275"/>
  <c r="V29" i="275"/>
  <c r="T55" i="275"/>
  <c r="T56" i="275"/>
  <c r="T57" i="275"/>
  <c r="U38" i="275"/>
  <c r="W38" i="275" s="1"/>
  <c r="V38" i="275"/>
  <c r="Y38" i="275" s="1"/>
  <c r="V36" i="275"/>
  <c r="U36" i="275"/>
  <c r="W36" i="275" s="1"/>
  <c r="U50" i="276"/>
  <c r="W50" i="276" s="1"/>
  <c r="V50" i="276"/>
  <c r="Y50" i="276" s="1"/>
  <c r="V51" i="244"/>
  <c r="Y51" i="244" s="1"/>
  <c r="U51" i="244"/>
  <c r="W51" i="244" s="1"/>
  <c r="AJ30" i="325"/>
  <c r="N28" i="264"/>
  <c r="AE28" i="264"/>
  <c r="K33" i="310"/>
  <c r="K34" i="310"/>
  <c r="J56" i="310"/>
  <c r="F8" i="280"/>
  <c r="G20" i="282"/>
  <c r="U51" i="275"/>
  <c r="W51" i="275" s="1"/>
  <c r="V51" i="275"/>
  <c r="Y51" i="275" s="1"/>
  <c r="O23" i="275"/>
  <c r="O22" i="275"/>
  <c r="O26" i="275"/>
  <c r="O21" i="275"/>
  <c r="O63" i="275" s="1" a="1"/>
  <c r="O63" i="275" s="1"/>
  <c r="O25" i="275"/>
  <c r="O24" i="275"/>
  <c r="U39" i="276"/>
  <c r="W39" i="276" s="1"/>
  <c r="V39" i="276"/>
  <c r="M15" i="241"/>
  <c r="L62" i="241"/>
  <c r="L78" i="241"/>
  <c r="L104" i="241"/>
  <c r="Y51" i="276"/>
  <c r="Y48" i="244"/>
  <c r="Y33" i="244"/>
  <c r="K12" i="265"/>
  <c r="K13" i="265" s="1"/>
  <c r="G14" i="265" s="1"/>
  <c r="N37" i="264"/>
  <c r="AE37" i="264"/>
  <c r="U38" i="276"/>
  <c r="W38" i="276" s="1"/>
  <c r="V38" i="276"/>
  <c r="Y38" i="276" s="1"/>
  <c r="E11" i="280"/>
  <c r="T11" i="275"/>
  <c r="Y52" i="275"/>
  <c r="U38" i="244"/>
  <c r="W38" i="244" s="1"/>
  <c r="V38" i="244"/>
  <c r="Y38" i="244" s="1"/>
  <c r="J72" i="276"/>
  <c r="K70" i="276"/>
  <c r="X19" i="276" l="1"/>
  <c r="Y19" i="276" s="1"/>
  <c r="X30" i="276"/>
  <c r="Y30" i="276" s="1"/>
  <c r="X34" i="275"/>
  <c r="Y34" i="275" s="1"/>
  <c r="X46" i="276"/>
  <c r="Y46" i="276" s="1"/>
  <c r="O65" i="275" a="1"/>
  <c r="O65" i="275" s="1"/>
  <c r="X36" i="276"/>
  <c r="X37" i="275"/>
  <c r="Y37" i="275" s="1"/>
  <c r="X18" i="276"/>
  <c r="Y18" i="276" s="1"/>
  <c r="X45" i="275"/>
  <c r="Y45" i="275" s="1"/>
  <c r="X12" i="276"/>
  <c r="Y12" i="276" s="1"/>
  <c r="T65" i="276" a="1"/>
  <c r="T65" i="276" s="1"/>
  <c r="O68" i="275" a="1"/>
  <c r="O68" i="275" s="1"/>
  <c r="X35" i="276"/>
  <c r="Y35" i="276" s="1"/>
  <c r="O68" i="276" a="1"/>
  <c r="O68" i="276" s="1"/>
  <c r="X53" i="276"/>
  <c r="Y53" i="276" s="1"/>
  <c r="T66" i="276" a="1"/>
  <c r="T66" i="276" s="1"/>
  <c r="O67" i="275" a="1"/>
  <c r="O67" i="275" s="1"/>
  <c r="X17" i="275"/>
  <c r="X15" i="275"/>
  <c r="Y15" i="275" s="1"/>
  <c r="X34" i="276"/>
  <c r="Y34" i="276" s="1"/>
  <c r="X17" i="276"/>
  <c r="X42" i="276"/>
  <c r="X31" i="275"/>
  <c r="Y31" i="275" s="1"/>
  <c r="D73" i="274"/>
  <c r="T64" i="276" a="1"/>
  <c r="T64" i="276" s="1"/>
  <c r="T68" i="276" a="1"/>
  <c r="T68" i="276" s="1"/>
  <c r="X47" i="275"/>
  <c r="Y47" i="275" s="1"/>
  <c r="X47" i="276"/>
  <c r="Y47" i="276" s="1"/>
  <c r="X43" i="275"/>
  <c r="Y43" i="275" s="1"/>
  <c r="X44" i="276"/>
  <c r="Y44" i="276" s="1"/>
  <c r="X14" i="276"/>
  <c r="Y14" i="276" s="1"/>
  <c r="X16" i="276"/>
  <c r="Y16" i="276" s="1"/>
  <c r="X43" i="276"/>
  <c r="Y43" i="276" s="1"/>
  <c r="G44" i="280"/>
  <c r="K44" i="280"/>
  <c r="O44" i="280"/>
  <c r="S44" i="280"/>
  <c r="H51" i="280" s="1"/>
  <c r="P51" i="280" s="1"/>
  <c r="H49" i="280"/>
  <c r="P49" i="280" s="1"/>
  <c r="E44" i="280"/>
  <c r="I44" i="280"/>
  <c r="M44" i="280"/>
  <c r="Q44" i="280"/>
  <c r="H44" i="280"/>
  <c r="P44" i="280"/>
  <c r="J44" i="280"/>
  <c r="R44" i="280"/>
  <c r="L44" i="280"/>
  <c r="F44" i="280"/>
  <c r="N44" i="280"/>
  <c r="F27" i="282"/>
  <c r="F30" i="282"/>
  <c r="AR14" i="325"/>
  <c r="AR18" i="325"/>
  <c r="AR25" i="325"/>
  <c r="AR29" i="325"/>
  <c r="AR33" i="325"/>
  <c r="AR37" i="325"/>
  <c r="AR40" i="325"/>
  <c r="AR45" i="325"/>
  <c r="AR48" i="325"/>
  <c r="AR51" i="325"/>
  <c r="AR4" i="325"/>
  <c r="AR15" i="325"/>
  <c r="AR19" i="325"/>
  <c r="AR27" i="325"/>
  <c r="AR32" i="325"/>
  <c r="AR34" i="325"/>
  <c r="AR36" i="325"/>
  <c r="AR39" i="325"/>
  <c r="AR43" i="325"/>
  <c r="AR49" i="325"/>
  <c r="AL59" i="325"/>
  <c r="AR13" i="325"/>
  <c r="AR16" i="325"/>
  <c r="AR20" i="325"/>
  <c r="AR22" i="325"/>
  <c r="AR35" i="325"/>
  <c r="AR42" i="325"/>
  <c r="AR50" i="325"/>
  <c r="AR7" i="325"/>
  <c r="AR8" i="325"/>
  <c r="AR9" i="325"/>
  <c r="AR10" i="325"/>
  <c r="AR12" i="325"/>
  <c r="AR17" i="325"/>
  <c r="AR21" i="325"/>
  <c r="AR23" i="325"/>
  <c r="AR26" i="325"/>
  <c r="AR38" i="325"/>
  <c r="AR41" i="325"/>
  <c r="AR47" i="325"/>
  <c r="AR55" i="325"/>
  <c r="AR6" i="325"/>
  <c r="AR5" i="325"/>
  <c r="AR44" i="325"/>
  <c r="AR46" i="325"/>
  <c r="AR24" i="325"/>
  <c r="AR31" i="325"/>
  <c r="AR28" i="325"/>
  <c r="AR11" i="325"/>
  <c r="O66" i="275" a="1"/>
  <c r="O66" i="275" s="1"/>
  <c r="G21" i="282"/>
  <c r="G23" i="282"/>
  <c r="G26" i="282" s="1"/>
  <c r="G28" i="282"/>
  <c r="X36" i="275"/>
  <c r="W29" i="275"/>
  <c r="U55" i="275"/>
  <c r="U56" i="275"/>
  <c r="U57" i="275"/>
  <c r="U58" i="275"/>
  <c r="U60" i="275"/>
  <c r="U59" i="275"/>
  <c r="AP73" i="325"/>
  <c r="U70" i="275"/>
  <c r="W70" i="275" s="1"/>
  <c r="V70" i="275"/>
  <c r="V60" i="276"/>
  <c r="V55" i="276"/>
  <c r="V59" i="276"/>
  <c r="V56" i="276"/>
  <c r="V57" i="276"/>
  <c r="V58" i="276"/>
  <c r="T21" i="244"/>
  <c r="T64" i="244" s="1" a="1"/>
  <c r="T64" i="244" s="1"/>
  <c r="T25" i="244"/>
  <c r="T22" i="244"/>
  <c r="T24" i="244"/>
  <c r="U11" i="244"/>
  <c r="T26" i="244"/>
  <c r="V11" i="244"/>
  <c r="T23" i="244"/>
  <c r="T63" i="244" s="1" a="1"/>
  <c r="T63" i="244" s="1"/>
  <c r="T66" i="244" a="1"/>
  <c r="T66" i="244" s="1"/>
  <c r="O63" i="276" a="1"/>
  <c r="O63" i="276" s="1"/>
  <c r="O67" i="276" a="1"/>
  <c r="O67" i="276" s="1"/>
  <c r="X45" i="276"/>
  <c r="Y45" i="276" s="1"/>
  <c r="F21" i="270"/>
  <c r="G20" i="270"/>
  <c r="N34" i="310"/>
  <c r="N33" i="310"/>
  <c r="M54" i="310"/>
  <c r="B92" i="310"/>
  <c r="B93" i="310" s="1"/>
  <c r="M56" i="310"/>
  <c r="V23" i="276"/>
  <c r="V21" i="276"/>
  <c r="V25" i="276"/>
  <c r="V26" i="276"/>
  <c r="V65" i="276" s="1" a="1"/>
  <c r="V65" i="276" s="1"/>
  <c r="V24" i="276"/>
  <c r="V22" i="276"/>
  <c r="N19" i="282"/>
  <c r="O46" i="282"/>
  <c r="R22" i="282"/>
  <c r="Q15" i="280" s="1"/>
  <c r="S48" i="282"/>
  <c r="N15" i="241"/>
  <c r="M62" i="241"/>
  <c r="M78" i="241"/>
  <c r="M104" i="241"/>
  <c r="E18" i="280"/>
  <c r="E33" i="280" s="1"/>
  <c r="O64" i="275" a="1"/>
  <c r="O64" i="275" s="1"/>
  <c r="F11" i="280"/>
  <c r="X43" i="244"/>
  <c r="Y43" i="244" s="1"/>
  <c r="AP58" i="325"/>
  <c r="AP74" i="325" s="1"/>
  <c r="AP65" i="325"/>
  <c r="V29" i="244"/>
  <c r="T60" i="244"/>
  <c r="T57" i="244"/>
  <c r="T59" i="244"/>
  <c r="T55" i="244"/>
  <c r="T56" i="244"/>
  <c r="T58" i="244"/>
  <c r="U29" i="244"/>
  <c r="X12" i="275"/>
  <c r="Y12" i="275" s="1"/>
  <c r="W19" i="274"/>
  <c r="AN55" i="325"/>
  <c r="O65" i="276" a="1"/>
  <c r="O65" i="276" s="1"/>
  <c r="O66" i="276" a="1"/>
  <c r="O66" i="276" s="1"/>
  <c r="X35" i="275"/>
  <c r="Y35" i="275" s="1"/>
  <c r="X42" i="275"/>
  <c r="M15" i="274"/>
  <c r="L62" i="274"/>
  <c r="L104" i="274"/>
  <c r="L78" i="274"/>
  <c r="G8" i="280"/>
  <c r="H20" i="282"/>
  <c r="N29" i="310"/>
  <c r="N52" i="310" s="1"/>
  <c r="AE52" i="310"/>
  <c r="X41" i="276"/>
  <c r="Y41" i="276" s="1"/>
  <c r="M64" i="282"/>
  <c r="L10" i="280"/>
  <c r="O63" i="244" a="1"/>
  <c r="O63" i="244" s="1"/>
  <c r="X18" i="275"/>
  <c r="Y18" i="275" s="1"/>
  <c r="X14" i="275"/>
  <c r="Y14" i="275" s="1"/>
  <c r="X37" i="276"/>
  <c r="Y37" i="276" s="1"/>
  <c r="X35" i="244"/>
  <c r="Y35" i="244" s="1"/>
  <c r="X31" i="244"/>
  <c r="Y31" i="244" s="1"/>
  <c r="X37" i="244"/>
  <c r="Y37" i="244" s="1"/>
  <c r="T70" i="276"/>
  <c r="K72" i="276"/>
  <c r="L34" i="310"/>
  <c r="L33" i="310"/>
  <c r="L35" i="310"/>
  <c r="V59" i="275"/>
  <c r="V55" i="275"/>
  <c r="V56" i="275"/>
  <c r="V57" i="275"/>
  <c r="V58" i="275"/>
  <c r="V60" i="275"/>
  <c r="X29" i="275"/>
  <c r="K24" i="133"/>
  <c r="B24" i="133" s="1"/>
  <c r="G24" i="133" s="1"/>
  <c r="B3" i="38" s="1"/>
  <c r="J27" i="133"/>
  <c r="T70" i="244"/>
  <c r="K72" i="244"/>
  <c r="AR30" i="325"/>
  <c r="X53" i="244"/>
  <c r="Y53" i="244" s="1"/>
  <c r="X41" i="275"/>
  <c r="Y41" i="275" s="1"/>
  <c r="X21" i="274"/>
  <c r="O64" i="276" a="1"/>
  <c r="O64" i="276" s="1"/>
  <c r="X13" i="275"/>
  <c r="Y13" i="275" s="1"/>
  <c r="N36" i="264"/>
  <c r="N35" i="264"/>
  <c r="B92" i="264"/>
  <c r="B93" i="264" s="1"/>
  <c r="I9" i="63"/>
  <c r="M54" i="264"/>
  <c r="M56" i="264"/>
  <c r="N33" i="264"/>
  <c r="N32" i="264"/>
  <c r="N34" i="264"/>
  <c r="N31" i="264"/>
  <c r="N27" i="264"/>
  <c r="I8" i="282"/>
  <c r="I14" i="282" s="1"/>
  <c r="I18" i="282" s="1"/>
  <c r="J5" i="282"/>
  <c r="U22" i="276"/>
  <c r="U26" i="276"/>
  <c r="U24" i="276"/>
  <c r="U23" i="276"/>
  <c r="U21" i="276"/>
  <c r="W11" i="276"/>
  <c r="U25" i="276"/>
  <c r="L35" i="264"/>
  <c r="F10" i="265" s="1"/>
  <c r="L36" i="264"/>
  <c r="F11" i="265" s="1"/>
  <c r="L37" i="264"/>
  <c r="F12" i="265" s="1"/>
  <c r="L31" i="264"/>
  <c r="U11" i="275"/>
  <c r="V11" i="275"/>
  <c r="T22" i="275"/>
  <c r="T26" i="275"/>
  <c r="T21" i="275"/>
  <c r="T25" i="275"/>
  <c r="T24" i="275"/>
  <c r="T23" i="275"/>
  <c r="T68" i="275" s="1" a="1"/>
  <c r="T68" i="275" s="1"/>
  <c r="AB29" i="332"/>
  <c r="U57" i="276"/>
  <c r="U59" i="276"/>
  <c r="U56" i="276"/>
  <c r="W29" i="276"/>
  <c r="U58" i="276"/>
  <c r="U55" i="276"/>
  <c r="U60" i="276"/>
  <c r="U20" i="274"/>
  <c r="AE52" i="264"/>
  <c r="H11" i="63"/>
  <c r="G11" i="64"/>
  <c r="H42" i="63"/>
  <c r="H45" i="63"/>
  <c r="O9" i="63"/>
  <c r="X44" i="275"/>
  <c r="Y44" i="275" s="1"/>
  <c r="AJ55" i="325"/>
  <c r="X41" i="244"/>
  <c r="Y41" i="244" s="1"/>
  <c r="X31" i="276"/>
  <c r="Y31" i="276" s="1"/>
  <c r="X47" i="244"/>
  <c r="Y47" i="244" s="1"/>
  <c r="X16" i="275"/>
  <c r="Y16" i="275" s="1"/>
  <c r="X14" i="244"/>
  <c r="Y14" i="244" s="1"/>
  <c r="X15" i="276"/>
  <c r="Y15" i="276" s="1"/>
  <c r="X18" i="244"/>
  <c r="Y18" i="244" s="1"/>
  <c r="U64" i="276" l="1" a="1"/>
  <c r="U64" i="276" s="1"/>
  <c r="V67" i="276" a="1"/>
  <c r="V67" i="276" s="1"/>
  <c r="T64" i="275" a="1"/>
  <c r="T64" i="275" s="1"/>
  <c r="V64" i="276" a="1"/>
  <c r="V64" i="276" s="1"/>
  <c r="V68" i="276" a="1"/>
  <c r="V68" i="276" s="1"/>
  <c r="U67" i="276" a="1"/>
  <c r="U67" i="276" s="1"/>
  <c r="V66" i="276" a="1"/>
  <c r="V66" i="276" s="1"/>
  <c r="V63" i="276" a="1"/>
  <c r="V63" i="276" s="1"/>
  <c r="G27" i="282"/>
  <c r="G30" i="282"/>
  <c r="G13" i="64"/>
  <c r="G26" i="64"/>
  <c r="G32" i="64"/>
  <c r="G30" i="64"/>
  <c r="G28" i="64"/>
  <c r="W57" i="276"/>
  <c r="W58" i="276"/>
  <c r="W60" i="276"/>
  <c r="W55" i="276"/>
  <c r="W59" i="276"/>
  <c r="W56" i="276"/>
  <c r="U22" i="63"/>
  <c r="O11" i="63"/>
  <c r="O16" i="63" s="1"/>
  <c r="H16" i="63"/>
  <c r="H20" i="63" s="1"/>
  <c r="AA36" i="274"/>
  <c r="U36" i="241"/>
  <c r="T65" i="275" a="1"/>
  <c r="T65" i="275" s="1"/>
  <c r="F6" i="265"/>
  <c r="L56" i="264"/>
  <c r="F5" i="265" s="1"/>
  <c r="F13" i="265" s="1"/>
  <c r="U68" i="276" a="1"/>
  <c r="U68" i="276" s="1"/>
  <c r="U66" i="276" a="1"/>
  <c r="U66" i="276" s="1"/>
  <c r="U63" i="276" a="1"/>
  <c r="U63" i="276" s="1"/>
  <c r="N52" i="264"/>
  <c r="V70" i="244"/>
  <c r="X70" i="244" s="1"/>
  <c r="U70" i="244"/>
  <c r="W70" i="244" s="1"/>
  <c r="X58" i="275"/>
  <c r="X60" i="275"/>
  <c r="X59" i="275"/>
  <c r="X55" i="275"/>
  <c r="X56" i="275"/>
  <c r="X57" i="275"/>
  <c r="Y29" i="275"/>
  <c r="U70" i="276"/>
  <c r="W70" i="276" s="1"/>
  <c r="V70" i="276"/>
  <c r="O19" i="282"/>
  <c r="P46" i="282"/>
  <c r="T67" i="244" a="1"/>
  <c r="T67" i="244" s="1"/>
  <c r="V23" i="244"/>
  <c r="V21" i="244"/>
  <c r="V25" i="244"/>
  <c r="V63" i="244" a="1"/>
  <c r="V63" i="244" s="1"/>
  <c r="V22" i="244"/>
  <c r="V24" i="244"/>
  <c r="V26" i="244"/>
  <c r="V66" i="244" a="1"/>
  <c r="V66" i="244" s="1"/>
  <c r="V65" i="244" a="1"/>
  <c r="V65" i="244" s="1"/>
  <c r="V64" i="244" a="1"/>
  <c r="V64" i="244" s="1"/>
  <c r="V68" i="244" a="1"/>
  <c r="V68" i="244" s="1"/>
  <c r="V67" i="244" a="1"/>
  <c r="V67" i="244" s="1"/>
  <c r="X29" i="276"/>
  <c r="X70" i="275"/>
  <c r="T66" i="275" a="1"/>
  <c r="T66" i="275" s="1"/>
  <c r="T63" i="275" a="1"/>
  <c r="T63" i="275" s="1"/>
  <c r="U65" i="276" a="1"/>
  <c r="U65" i="276" s="1"/>
  <c r="Q15" i="264"/>
  <c r="Q19" i="264"/>
  <c r="Q35" i="264"/>
  <c r="Q13" i="264"/>
  <c r="Q16" i="264"/>
  <c r="Q20" i="264"/>
  <c r="Q24" i="264"/>
  <c r="Q26" i="264"/>
  <c r="O36" i="264"/>
  <c r="J11" i="265" s="1"/>
  <c r="Q4" i="264"/>
  <c r="Q8" i="264"/>
  <c r="Q9" i="264"/>
  <c r="Q10" i="264"/>
  <c r="Q11" i="264"/>
  <c r="Q12" i="264"/>
  <c r="Q17" i="264"/>
  <c r="Q21" i="264"/>
  <c r="O35" i="264"/>
  <c r="J10" i="265" s="1"/>
  <c r="T56" i="264"/>
  <c r="Q5" i="264"/>
  <c r="Q6" i="264"/>
  <c r="Q14" i="264"/>
  <c r="Q18" i="264"/>
  <c r="Q23" i="264"/>
  <c r="Q25" i="264"/>
  <c r="Q36" i="264"/>
  <c r="Q51" i="264"/>
  <c r="B76" i="264"/>
  <c r="O31" i="264"/>
  <c r="Q31" i="264"/>
  <c r="Q33" i="264"/>
  <c r="O33" i="264"/>
  <c r="O32" i="264"/>
  <c r="Q32" i="264"/>
  <c r="Q34" i="264"/>
  <c r="O34" i="264"/>
  <c r="Q29" i="264"/>
  <c r="Q28" i="264"/>
  <c r="Q37" i="264"/>
  <c r="Q27" i="264"/>
  <c r="O37" i="264"/>
  <c r="J12" i="265" s="1"/>
  <c r="K27" i="133"/>
  <c r="B27" i="133" s="1"/>
  <c r="G27" i="133" s="1"/>
  <c r="B3" i="47" s="1"/>
  <c r="J28" i="133"/>
  <c r="H23" i="282"/>
  <c r="H26" i="282"/>
  <c r="H28" i="282"/>
  <c r="H58" i="282" s="1"/>
  <c r="H21" i="282"/>
  <c r="F18" i="280"/>
  <c r="F33" i="280" s="1"/>
  <c r="F35" i="280"/>
  <c r="O15" i="241"/>
  <c r="N78" i="241"/>
  <c r="N104" i="241"/>
  <c r="N62" i="241"/>
  <c r="N64" i="282"/>
  <c r="M10" i="280"/>
  <c r="P13" i="310"/>
  <c r="P24" i="310"/>
  <c r="P28" i="310"/>
  <c r="P34" i="310"/>
  <c r="P8" i="310"/>
  <c r="P9" i="310"/>
  <c r="P10" i="310"/>
  <c r="P11" i="310"/>
  <c r="P12" i="310"/>
  <c r="P33" i="310"/>
  <c r="T54" i="310"/>
  <c r="P5" i="310"/>
  <c r="P6" i="310"/>
  <c r="P14" i="310"/>
  <c r="P25" i="310"/>
  <c r="P4" i="310"/>
  <c r="P29" i="310"/>
  <c r="P31" i="310"/>
  <c r="P35" i="310"/>
  <c r="P30" i="310"/>
  <c r="G21" i="270"/>
  <c r="F22" i="270"/>
  <c r="T68" i="244" a="1"/>
  <c r="T68" i="244" s="1"/>
  <c r="W60" i="275"/>
  <c r="W59" i="275"/>
  <c r="W55" i="275"/>
  <c r="W56" i="275"/>
  <c r="W57" i="275"/>
  <c r="W58" i="275"/>
  <c r="T67" i="275" a="1"/>
  <c r="T67" i="275" s="1"/>
  <c r="V24" i="275"/>
  <c r="V23" i="275"/>
  <c r="V22" i="275"/>
  <c r="V26" i="275"/>
  <c r="V21" i="275"/>
  <c r="V25" i="275"/>
  <c r="W24" i="276"/>
  <c r="W22" i="276"/>
  <c r="W26" i="276"/>
  <c r="W25" i="276"/>
  <c r="W23" i="276"/>
  <c r="W21" i="276"/>
  <c r="J8" i="282"/>
  <c r="J14" i="282" s="1"/>
  <c r="J18" i="282" s="1"/>
  <c r="K5" i="282"/>
  <c r="P4" i="264"/>
  <c r="P13" i="264"/>
  <c r="P24" i="264"/>
  <c r="P26" i="264"/>
  <c r="P8" i="264"/>
  <c r="P9" i="264"/>
  <c r="P10" i="264"/>
  <c r="P11" i="264"/>
  <c r="P12" i="264"/>
  <c r="T54" i="264"/>
  <c r="P5" i="264"/>
  <c r="P6" i="264"/>
  <c r="P14" i="264"/>
  <c r="P25" i="264"/>
  <c r="P36" i="264"/>
  <c r="P35" i="264"/>
  <c r="P33" i="264"/>
  <c r="P34" i="264"/>
  <c r="P31" i="264"/>
  <c r="P32" i="264"/>
  <c r="P37" i="264"/>
  <c r="P29" i="264"/>
  <c r="P27" i="264"/>
  <c r="P28" i="264"/>
  <c r="G11" i="280"/>
  <c r="M78" i="274"/>
  <c r="M104" i="274"/>
  <c r="N15" i="274"/>
  <c r="M62" i="274"/>
  <c r="X19" i="274"/>
  <c r="V55" i="244"/>
  <c r="V56" i="244"/>
  <c r="V58" i="244"/>
  <c r="V60" i="244"/>
  <c r="V57" i="244"/>
  <c r="V59" i="244"/>
  <c r="T48" i="282"/>
  <c r="S22" i="282"/>
  <c r="R15" i="280" s="1"/>
  <c r="X11" i="276"/>
  <c r="T65" i="244" a="1"/>
  <c r="T65" i="244" s="1"/>
  <c r="W11" i="244"/>
  <c r="U22" i="244"/>
  <c r="U26" i="244"/>
  <c r="U23" i="244"/>
  <c r="U65" i="244" s="1" a="1"/>
  <c r="U65" i="244" s="1"/>
  <c r="U25" i="244"/>
  <c r="U24" i="244"/>
  <c r="U21" i="244"/>
  <c r="U64" i="244" s="1" a="1"/>
  <c r="U64" i="244" s="1"/>
  <c r="U63" i="244" a="1"/>
  <c r="U63" i="244" s="1"/>
  <c r="U67" i="244" a="1"/>
  <c r="U67" i="244" s="1"/>
  <c r="F31" i="282"/>
  <c r="F36" i="282"/>
  <c r="V20" i="274"/>
  <c r="AB30" i="332"/>
  <c r="W11" i="275"/>
  <c r="U23" i="275"/>
  <c r="U22" i="275"/>
  <c r="U26" i="275"/>
  <c r="U21" i="275"/>
  <c r="U25" i="275"/>
  <c r="U24" i="275"/>
  <c r="U67" i="275" a="1"/>
  <c r="U67" i="275" s="1"/>
  <c r="H8" i="280"/>
  <c r="I20" i="282"/>
  <c r="I45" i="63"/>
  <c r="I42" i="63"/>
  <c r="H11" i="64"/>
  <c r="I11" i="63"/>
  <c r="W29" i="244"/>
  <c r="U60" i="244"/>
  <c r="U57" i="244"/>
  <c r="U59" i="244"/>
  <c r="U55" i="244"/>
  <c r="U56" i="244"/>
  <c r="U58" i="244"/>
  <c r="Q15" i="310"/>
  <c r="Q19" i="310"/>
  <c r="O33" i="310"/>
  <c r="I10" i="311" s="1"/>
  <c r="B76" i="310"/>
  <c r="Q4" i="310"/>
  <c r="Q13" i="310"/>
  <c r="Q16" i="310"/>
  <c r="Q20" i="310"/>
  <c r="Q24" i="310"/>
  <c r="Q28" i="310"/>
  <c r="Q34" i="310"/>
  <c r="Q8" i="310"/>
  <c r="Q9" i="310"/>
  <c r="Q10" i="310"/>
  <c r="Q11" i="310"/>
  <c r="Q12" i="310"/>
  <c r="Q17" i="310"/>
  <c r="Q21" i="310"/>
  <c r="Q33" i="310"/>
  <c r="Q51" i="310"/>
  <c r="T56" i="310"/>
  <c r="Q5" i="310"/>
  <c r="Q6" i="310"/>
  <c r="Q14" i="310"/>
  <c r="Q18" i="310"/>
  <c r="Q23" i="310"/>
  <c r="Q25" i="310"/>
  <c r="O34" i="310"/>
  <c r="I11" i="311" s="1"/>
  <c r="Q29" i="310"/>
  <c r="Q35" i="310"/>
  <c r="O35" i="310"/>
  <c r="I12" i="311" s="1"/>
  <c r="Q30" i="310"/>
  <c r="Q31" i="310"/>
  <c r="U68" i="275" l="1" a="1"/>
  <c r="U68" i="275" s="1"/>
  <c r="W64" i="276" a="1"/>
  <c r="W64" i="276" s="1"/>
  <c r="V63" i="275" a="1"/>
  <c r="V63" i="275" s="1"/>
  <c r="W66" i="276" a="1"/>
  <c r="W66" i="276" s="1"/>
  <c r="U66" i="275" a="1"/>
  <c r="U66" i="275" s="1"/>
  <c r="W63" i="276" a="1"/>
  <c r="W63" i="276" s="1"/>
  <c r="W67" i="276" a="1"/>
  <c r="W67" i="276" s="1"/>
  <c r="V67" i="275" a="1"/>
  <c r="V67" i="275" s="1"/>
  <c r="Y56" i="310"/>
  <c r="AB30" i="310"/>
  <c r="U64" i="275" a="1"/>
  <c r="U64" i="275" s="1"/>
  <c r="U63" i="275" a="1"/>
  <c r="U63" i="275" s="1"/>
  <c r="AB31" i="332"/>
  <c r="F38" i="282"/>
  <c r="F39" i="282" s="1"/>
  <c r="F41" i="282"/>
  <c r="U68" i="244" a="1"/>
  <c r="U68" i="244" s="1"/>
  <c r="X21" i="276"/>
  <c r="X25" i="276"/>
  <c r="X23" i="276"/>
  <c r="X22" i="276"/>
  <c r="X65" i="276" s="1" a="1"/>
  <c r="X65" i="276" s="1"/>
  <c r="X26" i="276"/>
  <c r="X24" i="276"/>
  <c r="Y11" i="276"/>
  <c r="P52" i="264"/>
  <c r="W68" i="276" a="1"/>
  <c r="W68" i="276" s="1"/>
  <c r="V65" i="275" a="1"/>
  <c r="V65" i="275" s="1"/>
  <c r="V68" i="275" a="1"/>
  <c r="V68" i="275" s="1"/>
  <c r="W13" i="310"/>
  <c r="W16" i="310"/>
  <c r="W20" i="310"/>
  <c r="W22" i="310"/>
  <c r="W24" i="310"/>
  <c r="W25" i="310"/>
  <c r="W28" i="310"/>
  <c r="W9" i="310"/>
  <c r="W10" i="310"/>
  <c r="W12" i="310"/>
  <c r="W17" i="310"/>
  <c r="W21" i="310"/>
  <c r="W6" i="310"/>
  <c r="W14" i="310"/>
  <c r="W27" i="310"/>
  <c r="W34" i="310"/>
  <c r="Y54" i="310"/>
  <c r="AD54" i="310" s="1"/>
  <c r="W4" i="310"/>
  <c r="W11" i="310"/>
  <c r="W15" i="310"/>
  <c r="W19" i="310"/>
  <c r="W26" i="310"/>
  <c r="W32" i="310"/>
  <c r="W33" i="310"/>
  <c r="W7" i="310"/>
  <c r="W8" i="310"/>
  <c r="W5" i="310"/>
  <c r="W29" i="310"/>
  <c r="W31" i="310"/>
  <c r="W30" i="310"/>
  <c r="W35" i="310"/>
  <c r="G16" i="64"/>
  <c r="Q52" i="310"/>
  <c r="W57" i="244"/>
  <c r="W59" i="244"/>
  <c r="W55" i="244"/>
  <c r="W56" i="244"/>
  <c r="W58" i="244"/>
  <c r="W60" i="244"/>
  <c r="I13" i="311"/>
  <c r="I16" i="63"/>
  <c r="I20" i="63" s="1"/>
  <c r="AA37" i="274"/>
  <c r="F137" i="274" s="1"/>
  <c r="U37" i="241"/>
  <c r="I21" i="282"/>
  <c r="I23" i="282"/>
  <c r="I26" i="282" s="1"/>
  <c r="I28" i="282"/>
  <c r="I58" i="282" s="1"/>
  <c r="U65" i="275" a="1"/>
  <c r="U65" i="275" s="1"/>
  <c r="L5" i="282"/>
  <c r="K8" i="282"/>
  <c r="K14" i="282" s="1"/>
  <c r="K18" i="282" s="1"/>
  <c r="W65" i="276" a="1"/>
  <c r="W65" i="276" s="1"/>
  <c r="V66" i="275" a="1"/>
  <c r="V66" i="275" s="1"/>
  <c r="V64" i="275" a="1"/>
  <c r="V64" i="275" s="1"/>
  <c r="F23" i="270"/>
  <c r="G22" i="270"/>
  <c r="O62" i="241"/>
  <c r="O78" i="241"/>
  <c r="P15" i="241"/>
  <c r="O104" i="241"/>
  <c r="J29" i="133"/>
  <c r="K29" i="133" s="1"/>
  <c r="B29" i="133" s="1"/>
  <c r="G29" i="133" s="1"/>
  <c r="B3" i="332" s="1"/>
  <c r="J32" i="133"/>
  <c r="K28" i="133"/>
  <c r="B28" i="133" s="1"/>
  <c r="G28" i="133" s="1"/>
  <c r="B3" i="15" s="1"/>
  <c r="Y56" i="264"/>
  <c r="AB28" i="264"/>
  <c r="X55" i="276"/>
  <c r="X56" i="276"/>
  <c r="X58" i="276"/>
  <c r="X57" i="276"/>
  <c r="X60" i="276"/>
  <c r="X59" i="276"/>
  <c r="Y29" i="276"/>
  <c r="P19" i="282"/>
  <c r="Q46" i="282"/>
  <c r="Y55" i="275"/>
  <c r="Y56" i="275"/>
  <c r="Y57" i="275"/>
  <c r="Y58" i="275"/>
  <c r="AC57" i="275" s="1"/>
  <c r="Y60" i="275"/>
  <c r="Y59" i="275"/>
  <c r="F136" i="241"/>
  <c r="F52" i="73"/>
  <c r="J36" i="241"/>
  <c r="P36" i="241"/>
  <c r="N36" i="241"/>
  <c r="M36" i="241"/>
  <c r="Q36" i="241"/>
  <c r="I36" i="241"/>
  <c r="K36" i="241"/>
  <c r="R36" i="241"/>
  <c r="O36" i="241"/>
  <c r="L36" i="241"/>
  <c r="U52" i="241"/>
  <c r="G31" i="282"/>
  <c r="G36" i="282"/>
  <c r="H26" i="64"/>
  <c r="H13" i="64"/>
  <c r="H16" i="64" s="1"/>
  <c r="H28" i="64"/>
  <c r="H30" i="64"/>
  <c r="U19" i="241" s="1" a="1"/>
  <c r="H32" i="64"/>
  <c r="H11" i="280"/>
  <c r="W20" i="274"/>
  <c r="U66" i="244" a="1"/>
  <c r="U66" i="244" s="1"/>
  <c r="W24" i="244"/>
  <c r="W65" i="244" s="1" a="1"/>
  <c r="W65" i="244" s="1"/>
  <c r="W26" i="244"/>
  <c r="W21" i="244"/>
  <c r="W23" i="244"/>
  <c r="W25" i="244"/>
  <c r="W22" i="244"/>
  <c r="W63" i="244" s="1" a="1"/>
  <c r="W63" i="244" s="1"/>
  <c r="W66" i="244" a="1"/>
  <c r="W66" i="244" s="1"/>
  <c r="T22" i="282"/>
  <c r="S15" i="280" s="1"/>
  <c r="U15" i="280" s="1"/>
  <c r="U48" i="282"/>
  <c r="U22" i="282" s="1"/>
  <c r="N62" i="274"/>
  <c r="O15" i="274"/>
  <c r="N104" i="274"/>
  <c r="N78" i="274"/>
  <c r="G35" i="280"/>
  <c r="G16" i="280"/>
  <c r="G18" i="280"/>
  <c r="G33" i="280" s="1"/>
  <c r="I8" i="280"/>
  <c r="J20" i="282"/>
  <c r="H63" i="282"/>
  <c r="G34" i="280"/>
  <c r="Q52" i="264"/>
  <c r="X11" i="244"/>
  <c r="O64" i="282"/>
  <c r="N10" i="280"/>
  <c r="F136" i="274"/>
  <c r="F144" i="274" s="1"/>
  <c r="AA52" i="274"/>
  <c r="AA19" i="274" a="1"/>
  <c r="W21" i="275"/>
  <c r="W25" i="275"/>
  <c r="W24" i="275"/>
  <c r="W23" i="275"/>
  <c r="W22" i="275"/>
  <c r="W26" i="275"/>
  <c r="X29" i="244"/>
  <c r="W13" i="264"/>
  <c r="W16" i="264"/>
  <c r="W20" i="264"/>
  <c r="W22" i="264"/>
  <c r="W24" i="264"/>
  <c r="W26" i="264"/>
  <c r="W30" i="264"/>
  <c r="W36" i="264"/>
  <c r="W7" i="264"/>
  <c r="W8" i="264"/>
  <c r="W9" i="264"/>
  <c r="W10" i="264"/>
  <c r="W12" i="264"/>
  <c r="W17" i="264"/>
  <c r="W21" i="264"/>
  <c r="W35" i="264"/>
  <c r="W5" i="264"/>
  <c r="W6" i="264"/>
  <c r="W14" i="264"/>
  <c r="W4" i="264"/>
  <c r="W11" i="264"/>
  <c r="W15" i="264"/>
  <c r="W19" i="264"/>
  <c r="Y54" i="264"/>
  <c r="AD54" i="264" s="1"/>
  <c r="W25" i="264"/>
  <c r="W31" i="264"/>
  <c r="W33" i="264"/>
  <c r="W32" i="264"/>
  <c r="W34" i="264"/>
  <c r="W37" i="264"/>
  <c r="W28" i="264"/>
  <c r="W27" i="264"/>
  <c r="W29" i="264"/>
  <c r="X11" i="275"/>
  <c r="P52" i="310"/>
  <c r="H27" i="282"/>
  <c r="H30" i="282"/>
  <c r="O56" i="264"/>
  <c r="J5" i="265" s="1"/>
  <c r="J13" i="265" s="1"/>
  <c r="X70" i="276"/>
  <c r="O20" i="63"/>
  <c r="D22" i="330" s="1"/>
  <c r="X68" i="276" l="1" a="1"/>
  <c r="X68" i="276" s="1"/>
  <c r="W68" i="275" a="1"/>
  <c r="W68" i="275" s="1"/>
  <c r="X64" i="276" a="1"/>
  <c r="X64" i="276" s="1"/>
  <c r="X63" i="276" a="1"/>
  <c r="X63" i="276" s="1"/>
  <c r="W64" i="275" a="1"/>
  <c r="W64" i="275" s="1"/>
  <c r="U22" i="241"/>
  <c r="U26" i="241"/>
  <c r="U19" i="241"/>
  <c r="U23" i="241"/>
  <c r="U27" i="241"/>
  <c r="U21" i="241"/>
  <c r="U25" i="241"/>
  <c r="U20" i="241"/>
  <c r="U24" i="241"/>
  <c r="I27" i="282"/>
  <c r="I30" i="282"/>
  <c r="W52" i="264"/>
  <c r="X20" i="274"/>
  <c r="G38" i="282"/>
  <c r="G39" i="282" s="1"/>
  <c r="L86" i="241"/>
  <c r="I86" i="241"/>
  <c r="P86" i="241"/>
  <c r="P52" i="241"/>
  <c r="P56" i="241" s="1"/>
  <c r="P64" i="282"/>
  <c r="O10" i="280"/>
  <c r="Q15" i="241"/>
  <c r="P78" i="241"/>
  <c r="P104" i="241"/>
  <c r="P62" i="241"/>
  <c r="G23" i="270"/>
  <c r="F24" i="270"/>
  <c r="C15" i="334"/>
  <c r="E15" i="334" s="1"/>
  <c r="W66" i="275" a="1"/>
  <c r="W66" i="275" s="1"/>
  <c r="W65" i="275" a="1"/>
  <c r="W65" i="275" s="1"/>
  <c r="AA20" i="274"/>
  <c r="AA24" i="274"/>
  <c r="AA19" i="274"/>
  <c r="AA22" i="274"/>
  <c r="AA26" i="274"/>
  <c r="AA25" i="274"/>
  <c r="AA27" i="274"/>
  <c r="AA21" i="274"/>
  <c r="AA23" i="274"/>
  <c r="J21" i="282"/>
  <c r="J23" i="282"/>
  <c r="J26" i="282"/>
  <c r="J28" i="282"/>
  <c r="J58" i="282" s="1"/>
  <c r="O78" i="274"/>
  <c r="P15" i="274"/>
  <c r="O62" i="274"/>
  <c r="O104" i="274"/>
  <c r="W68" i="244" a="1"/>
  <c r="W68" i="244" s="1"/>
  <c r="W67" i="244" a="1"/>
  <c r="W67" i="244" s="1"/>
  <c r="H18" i="280"/>
  <c r="H33" i="280" s="1"/>
  <c r="H35" i="280"/>
  <c r="H16" i="280"/>
  <c r="O86" i="241"/>
  <c r="Q86" i="241"/>
  <c r="Q102" i="241" s="1"/>
  <c r="Q52" i="241"/>
  <c r="Q56" i="241" s="1"/>
  <c r="J86" i="241"/>
  <c r="Y57" i="276"/>
  <c r="Y59" i="276"/>
  <c r="Y56" i="276"/>
  <c r="Y55" i="276"/>
  <c r="Y58" i="276"/>
  <c r="AC57" i="276" s="1"/>
  <c r="AC58" i="276" s="1"/>
  <c r="AC61" i="276" s="1"/>
  <c r="D14" i="248" s="1"/>
  <c r="Y60" i="276"/>
  <c r="K32" i="133"/>
  <c r="B32" i="133" s="1"/>
  <c r="G32" i="133" s="1"/>
  <c r="B3" i="57" s="1"/>
  <c r="J33" i="133"/>
  <c r="J8" i="280"/>
  <c r="K20" i="282"/>
  <c r="I63" i="282"/>
  <c r="H34" i="280"/>
  <c r="F137" i="241"/>
  <c r="F53" i="73"/>
  <c r="D53" i="73" s="1"/>
  <c r="J37" i="241"/>
  <c r="J87" i="241" s="1"/>
  <c r="P37" i="241"/>
  <c r="P87" i="241" s="1"/>
  <c r="R37" i="241"/>
  <c r="R87" i="241" s="1"/>
  <c r="O37" i="241"/>
  <c r="O87" i="241" s="1"/>
  <c r="L37" i="241"/>
  <c r="L87" i="241" s="1"/>
  <c r="M37" i="241"/>
  <c r="M87" i="241" s="1"/>
  <c r="N37" i="241"/>
  <c r="N87" i="241" s="1"/>
  <c r="K37" i="241"/>
  <c r="K87" i="241" s="1"/>
  <c r="I37" i="241"/>
  <c r="I87" i="241" s="1"/>
  <c r="Q37" i="241"/>
  <c r="Q87" i="241" s="1"/>
  <c r="D19" i="73"/>
  <c r="D20" i="73" s="1"/>
  <c r="C55" i="334" s="1"/>
  <c r="E55" i="334" s="1"/>
  <c r="W52" i="310"/>
  <c r="X67" i="276" a="1"/>
  <c r="X67" i="276" s="1"/>
  <c r="X60" i="244"/>
  <c r="X57" i="244"/>
  <c r="X59" i="244"/>
  <c r="X55" i="244"/>
  <c r="X56" i="244"/>
  <c r="X58" i="244"/>
  <c r="Y29" i="244"/>
  <c r="H31" i="282"/>
  <c r="H36" i="282"/>
  <c r="X22" i="275"/>
  <c r="X26" i="275"/>
  <c r="X21" i="275"/>
  <c r="X25" i="275"/>
  <c r="X24" i="275"/>
  <c r="X23" i="275"/>
  <c r="Y11" i="275"/>
  <c r="W67" i="275" a="1"/>
  <c r="W67" i="275" s="1"/>
  <c r="W63" i="275" a="1"/>
  <c r="W63" i="275" s="1"/>
  <c r="Z52" i="274"/>
  <c r="X21" i="244"/>
  <c r="X64" i="244" s="1" a="1"/>
  <c r="X64" i="244" s="1"/>
  <c r="X25" i="244"/>
  <c r="X22" i="244"/>
  <c r="X65" i="244" s="1" a="1"/>
  <c r="X65" i="244" s="1"/>
  <c r="X24" i="244"/>
  <c r="X26" i="244"/>
  <c r="X23" i="244"/>
  <c r="X66" i="244" a="1"/>
  <c r="X66" i="244" s="1"/>
  <c r="Y11" i="244"/>
  <c r="I11" i="280"/>
  <c r="W64" i="244" a="1"/>
  <c r="W64" i="244" s="1"/>
  <c r="H37" i="64"/>
  <c r="H40" i="64" s="1"/>
  <c r="R86" i="241"/>
  <c r="R102" i="241" s="1"/>
  <c r="R52" i="241"/>
  <c r="R56" i="241" s="1"/>
  <c r="M86" i="241"/>
  <c r="M52" i="241"/>
  <c r="M56" i="241" s="1"/>
  <c r="D52" i="73"/>
  <c r="F68" i="73"/>
  <c r="M5" i="282"/>
  <c r="L8" i="282"/>
  <c r="L14" i="282" s="1"/>
  <c r="L18" i="282" s="1"/>
  <c r="G37" i="64"/>
  <c r="G40" i="64" s="1"/>
  <c r="Z19" i="274" a="1"/>
  <c r="F33" i="73" a="1"/>
  <c r="T19" i="241" a="1"/>
  <c r="AB32" i="332"/>
  <c r="AB6" i="310"/>
  <c r="AB11" i="310"/>
  <c r="AB14" i="310"/>
  <c r="AB18" i="310"/>
  <c r="AB23" i="310"/>
  <c r="AB27" i="310"/>
  <c r="AB33" i="310"/>
  <c r="AA33" i="310" s="1"/>
  <c r="AB36" i="310"/>
  <c r="AB38" i="310"/>
  <c r="AB40" i="310"/>
  <c r="AB42" i="310"/>
  <c r="AB4" i="310"/>
  <c r="AD56" i="310"/>
  <c r="AB15" i="310"/>
  <c r="AB19" i="310"/>
  <c r="AB25" i="310"/>
  <c r="AB26" i="310"/>
  <c r="AB32" i="310"/>
  <c r="AB13" i="310"/>
  <c r="AB16" i="310"/>
  <c r="AB20" i="310"/>
  <c r="AB22" i="310"/>
  <c r="AB24" i="310"/>
  <c r="AB28" i="310"/>
  <c r="AB37" i="310"/>
  <c r="AB39" i="310"/>
  <c r="AB41" i="310"/>
  <c r="AB7" i="310"/>
  <c r="AB9" i="310"/>
  <c r="AB12" i="310"/>
  <c r="AB17" i="310"/>
  <c r="AB21" i="310"/>
  <c r="AB34" i="310"/>
  <c r="AA34" i="310" s="1"/>
  <c r="M11" i="311" s="1"/>
  <c r="N11" i="311" s="1"/>
  <c r="AB50" i="310"/>
  <c r="B88" i="310"/>
  <c r="AB8" i="310"/>
  <c r="AB10" i="310"/>
  <c r="AB5" i="310"/>
  <c r="AB51" i="310"/>
  <c r="AB31" i="310"/>
  <c r="AB35" i="310"/>
  <c r="AA35" i="310" s="1"/>
  <c r="M12" i="311" s="1"/>
  <c r="N12" i="311" s="1"/>
  <c r="AB29" i="310"/>
  <c r="T52" i="241"/>
  <c r="K86" i="241"/>
  <c r="K52" i="241"/>
  <c r="K56" i="241" s="1"/>
  <c r="N86" i="241"/>
  <c r="N52" i="241"/>
  <c r="N56" i="241" s="1"/>
  <c r="F144" i="241"/>
  <c r="Q19" i="282"/>
  <c r="R46" i="282"/>
  <c r="AB5" i="264"/>
  <c r="AB6" i="264"/>
  <c r="AB11" i="264"/>
  <c r="AB14" i="264"/>
  <c r="AB18" i="264"/>
  <c r="AB23" i="264"/>
  <c r="AB4" i="264"/>
  <c r="AD56" i="264"/>
  <c r="AB15" i="264"/>
  <c r="AB19" i="264"/>
  <c r="AB36" i="264"/>
  <c r="AA36" i="264" s="1"/>
  <c r="O11" i="265" s="1"/>
  <c r="AB13" i="264"/>
  <c r="AB16" i="264"/>
  <c r="AB20" i="264"/>
  <c r="AB22" i="264"/>
  <c r="AB24" i="264"/>
  <c r="AB26" i="264"/>
  <c r="AB30" i="264"/>
  <c r="AB35" i="264"/>
  <c r="AA35" i="264" s="1"/>
  <c r="O10" i="265" s="1"/>
  <c r="AB7" i="264"/>
  <c r="AB8" i="264"/>
  <c r="AB10" i="264"/>
  <c r="AB12" i="264"/>
  <c r="AB17" i="264"/>
  <c r="AB21" i="264"/>
  <c r="AB39" i="264"/>
  <c r="AB41" i="264"/>
  <c r="AB38" i="264"/>
  <c r="AB40" i="264"/>
  <c r="AB42" i="264"/>
  <c r="AB43" i="264"/>
  <c r="AB44" i="264"/>
  <c r="AB45" i="264"/>
  <c r="AB46" i="264"/>
  <c r="AB47" i="264"/>
  <c r="AB48" i="264"/>
  <c r="AB49" i="264"/>
  <c r="AB50" i="264"/>
  <c r="AB51" i="264"/>
  <c r="B88" i="264"/>
  <c r="AB9" i="264"/>
  <c r="AB25" i="264"/>
  <c r="AB31" i="264"/>
  <c r="AA31" i="264" s="1"/>
  <c r="AB33" i="264"/>
  <c r="AA33" i="264" s="1"/>
  <c r="O8" i="265" s="1"/>
  <c r="AB32" i="264"/>
  <c r="AA32" i="264" s="1"/>
  <c r="O7" i="265" s="1"/>
  <c r="AB34" i="264"/>
  <c r="AA34" i="264" s="1"/>
  <c r="O9" i="265" s="1"/>
  <c r="AB29" i="264"/>
  <c r="AB27" i="264"/>
  <c r="AB37" i="264"/>
  <c r="AA37" i="264" s="1"/>
  <c r="O12" i="265" s="1"/>
  <c r="Y22" i="276"/>
  <c r="Y26" i="276"/>
  <c r="Y24" i="276"/>
  <c r="Y25" i="276"/>
  <c r="Y23" i="276"/>
  <c r="Y21" i="276"/>
  <c r="X66" i="276" a="1"/>
  <c r="X66" i="276" s="1"/>
  <c r="Y68" i="276" l="1" a="1"/>
  <c r="Y68" i="276" s="1"/>
  <c r="X63" i="275" a="1"/>
  <c r="X63" i="275" s="1"/>
  <c r="X66" i="275" a="1"/>
  <c r="X66" i="275" s="1"/>
  <c r="Y63" i="276" a="1"/>
  <c r="Y63" i="276" s="1"/>
  <c r="G41" i="64"/>
  <c r="Y67" i="276" a="1"/>
  <c r="Y67" i="276" s="1"/>
  <c r="X65" i="275" a="1"/>
  <c r="X65" i="275" s="1"/>
  <c r="AB52" i="310"/>
  <c r="T22" i="241"/>
  <c r="V22" i="241" s="1"/>
  <c r="T26" i="241"/>
  <c r="V26" i="241" s="1"/>
  <c r="T23" i="241"/>
  <c r="V23" i="241" s="1"/>
  <c r="T27" i="241"/>
  <c r="V27" i="241" s="1"/>
  <c r="T19" i="241"/>
  <c r="T21" i="241"/>
  <c r="V21" i="241" s="1"/>
  <c r="T25" i="241"/>
  <c r="V25" i="241" s="1"/>
  <c r="T24" i="241"/>
  <c r="V24" i="241" s="1"/>
  <c r="T20" i="241"/>
  <c r="V20" i="241" s="1"/>
  <c r="K8" i="280"/>
  <c r="L20" i="282"/>
  <c r="X67" i="244" a="1"/>
  <c r="X67" i="244" s="1"/>
  <c r="X63" i="244" a="1"/>
  <c r="X63" i="244" s="1"/>
  <c r="X68" i="275" a="1"/>
  <c r="X68" i="275" s="1"/>
  <c r="Y60" i="244"/>
  <c r="Y57" i="244"/>
  <c r="Y59" i="244"/>
  <c r="Y55" i="244"/>
  <c r="Y56" i="244"/>
  <c r="Y58" i="244"/>
  <c r="AC57" i="244" s="1"/>
  <c r="AC58" i="244" s="1"/>
  <c r="AC61" i="244" s="1"/>
  <c r="D12" i="248" s="1"/>
  <c r="K21" i="282"/>
  <c r="K26" i="282" s="1"/>
  <c r="K23" i="282"/>
  <c r="K28" i="282"/>
  <c r="K58" i="282" s="1"/>
  <c r="Q15" i="274"/>
  <c r="P62" i="274"/>
  <c r="P78" i="274"/>
  <c r="P104" i="274"/>
  <c r="AA29" i="274"/>
  <c r="P102" i="241"/>
  <c r="P162" i="241" s="1"/>
  <c r="L102" i="241"/>
  <c r="L161" i="241" s="1"/>
  <c r="X29" i="274"/>
  <c r="I31" i="282"/>
  <c r="I36" i="282"/>
  <c r="U29" i="241"/>
  <c r="Y65" i="276" a="1"/>
  <c r="Y65" i="276" s="1"/>
  <c r="Y66" i="276" a="1"/>
  <c r="Y66" i="276" s="1"/>
  <c r="AA53" i="310"/>
  <c r="AA54" i="310" s="1"/>
  <c r="M10" i="311"/>
  <c r="F33" i="73"/>
  <c r="F37" i="73"/>
  <c r="F41" i="73"/>
  <c r="F34" i="73"/>
  <c r="F38" i="73"/>
  <c r="F35" i="73"/>
  <c r="F39" i="73"/>
  <c r="F36" i="73"/>
  <c r="F40" i="73"/>
  <c r="M8" i="282"/>
  <c r="M14" i="282" s="1"/>
  <c r="M18" i="282" s="1"/>
  <c r="N5" i="282"/>
  <c r="M102" i="241"/>
  <c r="M161" i="241" s="1"/>
  <c r="Y22" i="244"/>
  <c r="Y26" i="244"/>
  <c r="Y24" i="244"/>
  <c r="Y21" i="244"/>
  <c r="Y64" i="244" s="1" a="1"/>
  <c r="Y64" i="244" s="1"/>
  <c r="Y23" i="244"/>
  <c r="Y25" i="244"/>
  <c r="Y63" i="244" a="1"/>
  <c r="Y63" i="244" s="1"/>
  <c r="Y65" i="244" a="1"/>
  <c r="Y65" i="244" s="1"/>
  <c r="Y67" i="244" a="1"/>
  <c r="Y67" i="244" s="1"/>
  <c r="Y66" i="244" a="1"/>
  <c r="Y66" i="244" s="1"/>
  <c r="X68" i="244" a="1"/>
  <c r="X68" i="244" s="1"/>
  <c r="Y23" i="275"/>
  <c r="Y22" i="275"/>
  <c r="Y26" i="275"/>
  <c r="Y21" i="275"/>
  <c r="Y25" i="275"/>
  <c r="Y24" i="275"/>
  <c r="X64" i="275" a="1"/>
  <c r="X64" i="275" s="1"/>
  <c r="J11" i="280"/>
  <c r="I52" i="241"/>
  <c r="I56" i="241" s="1"/>
  <c r="G41" i="282"/>
  <c r="K102" i="241"/>
  <c r="K161" i="241" s="1"/>
  <c r="Y64" i="276" a="1"/>
  <c r="Y64" i="276" s="1"/>
  <c r="AF13" i="264"/>
  <c r="AF16" i="264"/>
  <c r="AF26" i="264"/>
  <c r="AF4" i="264"/>
  <c r="AF5" i="264"/>
  <c r="AF6" i="264"/>
  <c r="AF11" i="264"/>
  <c r="AF14" i="264"/>
  <c r="AF18" i="264"/>
  <c r="AF23" i="264"/>
  <c r="AF50" i="264"/>
  <c r="AF51" i="264"/>
  <c r="AF38" i="264"/>
  <c r="AF40" i="264"/>
  <c r="AF42" i="264"/>
  <c r="AF43" i="264"/>
  <c r="AF44" i="264"/>
  <c r="AF45" i="264"/>
  <c r="AF46" i="264"/>
  <c r="AF47" i="264"/>
  <c r="AF48" i="264"/>
  <c r="AF49" i="264"/>
  <c r="AF39" i="264"/>
  <c r="AF24" i="264"/>
  <c r="AF36" i="264"/>
  <c r="AF12" i="264"/>
  <c r="AF17" i="264"/>
  <c r="AF20" i="264"/>
  <c r="AF41" i="264"/>
  <c r="AF21" i="264"/>
  <c r="AF30" i="264"/>
  <c r="AF8" i="264"/>
  <c r="AF10" i="264"/>
  <c r="AF22" i="264"/>
  <c r="AF7" i="264"/>
  <c r="AF19" i="264"/>
  <c r="AF35" i="264"/>
  <c r="AF15" i="264"/>
  <c r="AF9" i="264"/>
  <c r="AF25" i="264"/>
  <c r="AF33" i="264"/>
  <c r="AF31" i="264"/>
  <c r="AF34" i="264"/>
  <c r="AF32" i="264"/>
  <c r="AF37" i="264"/>
  <c r="AF29" i="264"/>
  <c r="AF28" i="264"/>
  <c r="AF27" i="264"/>
  <c r="R19" i="282"/>
  <c r="S46" i="282"/>
  <c r="N102" i="241"/>
  <c r="N162" i="241" s="1"/>
  <c r="Z19" i="274"/>
  <c r="Z20" i="274"/>
  <c r="AB20" i="274" s="1"/>
  <c r="Z24" i="274"/>
  <c r="AB24" i="274" s="1"/>
  <c r="Z22" i="274"/>
  <c r="AB22" i="274" s="1"/>
  <c r="Z26" i="274"/>
  <c r="AB26" i="274" s="1"/>
  <c r="Z25" i="274"/>
  <c r="AB25" i="274" s="1"/>
  <c r="Z27" i="274"/>
  <c r="AB27" i="274" s="1"/>
  <c r="Z21" i="274"/>
  <c r="AB21" i="274" s="1"/>
  <c r="Z23" i="274"/>
  <c r="AB23" i="274" s="1"/>
  <c r="X67" i="275" a="1"/>
  <c r="X67" i="275" s="1"/>
  <c r="H38" i="282"/>
  <c r="H39" i="282" s="1"/>
  <c r="H41" i="282"/>
  <c r="M162" i="241"/>
  <c r="K33" i="133"/>
  <c r="B33" i="133" s="1"/>
  <c r="G33" i="133" s="1"/>
  <c r="B3" i="59" s="1"/>
  <c r="J34" i="133"/>
  <c r="K34" i="133" s="1"/>
  <c r="B34" i="133" s="1"/>
  <c r="G34" i="133" s="1"/>
  <c r="B3" i="330" s="1"/>
  <c r="J37" i="133"/>
  <c r="J52" i="241"/>
  <c r="J56" i="241" s="1"/>
  <c r="O52" i="241"/>
  <c r="O56" i="241" s="1"/>
  <c r="J63" i="282"/>
  <c r="I34" i="280"/>
  <c r="F25" i="270"/>
  <c r="G24" i="270"/>
  <c r="I102" i="241"/>
  <c r="I161" i="241" s="1"/>
  <c r="O6" i="265"/>
  <c r="AA53" i="264"/>
  <c r="AA54" i="264" s="1"/>
  <c r="AB52" i="264"/>
  <c r="Q64" i="282"/>
  <c r="P10" i="280"/>
  <c r="AF50" i="310"/>
  <c r="AF4" i="310"/>
  <c r="AF6" i="310"/>
  <c r="AF11" i="310"/>
  <c r="AF14" i="310"/>
  <c r="AF18" i="310"/>
  <c r="AF23" i="310"/>
  <c r="AF27" i="310"/>
  <c r="AF34" i="310"/>
  <c r="AF43" i="310"/>
  <c r="AF45" i="310"/>
  <c r="AF49" i="310"/>
  <c r="AF15" i="310"/>
  <c r="AF19" i="310"/>
  <c r="AF25" i="310"/>
  <c r="AF26" i="310"/>
  <c r="AF32" i="310"/>
  <c r="AF33" i="310"/>
  <c r="AF36" i="310"/>
  <c r="AF38" i="310"/>
  <c r="AF40" i="310"/>
  <c r="AF42" i="310"/>
  <c r="AF48" i="310"/>
  <c r="AF28" i="310"/>
  <c r="AF7" i="310"/>
  <c r="AF21" i="310"/>
  <c r="AF22" i="310"/>
  <c r="AF20" i="310"/>
  <c r="AF17" i="310"/>
  <c r="AF16" i="310"/>
  <c r="AF44" i="310"/>
  <c r="AF9" i="310"/>
  <c r="AF37" i="310"/>
  <c r="AF24" i="310"/>
  <c r="AF13" i="310"/>
  <c r="AF41" i="310"/>
  <c r="AF47" i="310"/>
  <c r="AF12" i="310"/>
  <c r="AF39" i="310"/>
  <c r="AF46" i="310"/>
  <c r="AF51" i="310"/>
  <c r="AF5" i="310"/>
  <c r="AF10" i="310"/>
  <c r="AF8" i="310"/>
  <c r="AF31" i="310"/>
  <c r="AF35" i="310"/>
  <c r="AF29" i="310"/>
  <c r="AF30" i="310"/>
  <c r="AB33" i="332"/>
  <c r="H41" i="64"/>
  <c r="AD19" i="274" s="1" a="1"/>
  <c r="N47" i="64"/>
  <c r="D54" i="274" s="1" a="1"/>
  <c r="D68" i="73"/>
  <c r="D78" i="73" s="1"/>
  <c r="I18" i="280"/>
  <c r="I33" i="280" s="1"/>
  <c r="I35" i="280"/>
  <c r="I16" i="280"/>
  <c r="I162" i="241"/>
  <c r="L162" i="241"/>
  <c r="J102" i="241"/>
  <c r="J161" i="241" s="1"/>
  <c r="O102" i="241"/>
  <c r="O162" i="241" s="1"/>
  <c r="J27" i="282"/>
  <c r="J30" i="282"/>
  <c r="R15" i="241"/>
  <c r="Q62" i="241"/>
  <c r="Q78" i="241"/>
  <c r="Q104" i="241"/>
  <c r="L52" i="241"/>
  <c r="L56" i="241" s="1"/>
  <c r="Y67" i="275" l="1" a="1"/>
  <c r="Y67" i="275" s="1"/>
  <c r="Y64" i="275" a="1"/>
  <c r="Y64" i="275" s="1"/>
  <c r="Y65" i="275" a="1"/>
  <c r="Y65" i="275" s="1"/>
  <c r="Y63" i="275" a="1"/>
  <c r="Y63" i="275" s="1"/>
  <c r="AD22" i="274"/>
  <c r="AD26" i="274"/>
  <c r="AD20" i="274"/>
  <c r="AD24" i="274"/>
  <c r="AD23" i="274"/>
  <c r="AD25" i="274"/>
  <c r="AD19" i="274"/>
  <c r="AD27" i="274"/>
  <c r="AD21" i="274"/>
  <c r="K27" i="282"/>
  <c r="K30" i="282"/>
  <c r="D83" i="73"/>
  <c r="D90" i="73"/>
  <c r="D81" i="73"/>
  <c r="D77" i="73"/>
  <c r="D75" i="73"/>
  <c r="D87" i="73"/>
  <c r="D85" i="73"/>
  <c r="D84" i="73"/>
  <c r="D91" i="73"/>
  <c r="D89" i="73"/>
  <c r="D88" i="73"/>
  <c r="D86" i="73"/>
  <c r="D92" i="73"/>
  <c r="D98" i="73" s="1"/>
  <c r="D101" i="73" s="1"/>
  <c r="D105" i="73" s="1"/>
  <c r="F11" i="236" s="1"/>
  <c r="F14" i="236" s="1"/>
  <c r="D80" i="73"/>
  <c r="D76" i="73"/>
  <c r="D82" i="73"/>
  <c r="D74" i="73"/>
  <c r="F23" i="274"/>
  <c r="J23" i="274"/>
  <c r="N23" i="274"/>
  <c r="R23" i="274"/>
  <c r="H23" i="274"/>
  <c r="L23" i="274"/>
  <c r="P23" i="274"/>
  <c r="T23" i="274"/>
  <c r="M23" i="274"/>
  <c r="U23" i="274"/>
  <c r="G23" i="274"/>
  <c r="O23" i="274"/>
  <c r="I23" i="274"/>
  <c r="Q23" i="274"/>
  <c r="K23" i="274"/>
  <c r="S23" i="274"/>
  <c r="H26" i="274"/>
  <c r="L26" i="274"/>
  <c r="P26" i="274"/>
  <c r="T26" i="274"/>
  <c r="F26" i="274"/>
  <c r="J26" i="274"/>
  <c r="N26" i="274"/>
  <c r="R26" i="274"/>
  <c r="V26" i="274"/>
  <c r="E26" i="274"/>
  <c r="E89" i="274" s="1"/>
  <c r="M26" i="274"/>
  <c r="U26" i="274"/>
  <c r="G26" i="274"/>
  <c r="O26" i="274"/>
  <c r="I26" i="274"/>
  <c r="Q26" i="274"/>
  <c r="K26" i="274"/>
  <c r="S26" i="274"/>
  <c r="AB19" i="274"/>
  <c r="Z29" i="274"/>
  <c r="R64" i="282"/>
  <c r="Q10" i="280"/>
  <c r="N10" i="311"/>
  <c r="N13" i="311" s="1"/>
  <c r="M13" i="311"/>
  <c r="P175" i="241"/>
  <c r="P164" i="241"/>
  <c r="P160" i="241"/>
  <c r="P158" i="241"/>
  <c r="P159" i="241"/>
  <c r="P163" i="241"/>
  <c r="P165" i="241"/>
  <c r="P171" i="241"/>
  <c r="P169" i="241"/>
  <c r="P168" i="241"/>
  <c r="P167" i="241"/>
  <c r="P173" i="241"/>
  <c r="P170" i="241"/>
  <c r="P157" i="241"/>
  <c r="P172" i="241"/>
  <c r="P174" i="241"/>
  <c r="P166" i="241"/>
  <c r="K63" i="282"/>
  <c r="J34" i="280"/>
  <c r="D79" i="73"/>
  <c r="F24" i="241"/>
  <c r="F87" i="241" s="1"/>
  <c r="J24" i="241"/>
  <c r="N24" i="241"/>
  <c r="R24" i="241"/>
  <c r="G24" i="241"/>
  <c r="K24" i="241"/>
  <c r="O24" i="241"/>
  <c r="I24" i="241"/>
  <c r="M24" i="241"/>
  <c r="Q24" i="241"/>
  <c r="H24" i="241"/>
  <c r="L24" i="241"/>
  <c r="P24" i="241"/>
  <c r="E27" i="241"/>
  <c r="I27" i="241"/>
  <c r="M27" i="241"/>
  <c r="Q27" i="241"/>
  <c r="F27" i="241"/>
  <c r="J27" i="241"/>
  <c r="N27" i="241"/>
  <c r="R27" i="241"/>
  <c r="D27" i="241"/>
  <c r="H27" i="241"/>
  <c r="L27" i="241"/>
  <c r="P27" i="241"/>
  <c r="G27" i="241"/>
  <c r="K27" i="241"/>
  <c r="O27" i="241"/>
  <c r="J31" i="282"/>
  <c r="J36" i="282"/>
  <c r="J160" i="241"/>
  <c r="J175" i="241"/>
  <c r="J158" i="241"/>
  <c r="J164" i="241"/>
  <c r="J163" i="241"/>
  <c r="J165" i="241"/>
  <c r="J159" i="241"/>
  <c r="J167" i="241"/>
  <c r="J172" i="241"/>
  <c r="J171" i="241"/>
  <c r="J157" i="241"/>
  <c r="J169" i="241"/>
  <c r="J173" i="241"/>
  <c r="J170" i="241"/>
  <c r="J168" i="241"/>
  <c r="J174" i="241"/>
  <c r="J166" i="241"/>
  <c r="I21" i="274"/>
  <c r="M21" i="274"/>
  <c r="G21" i="274"/>
  <c r="K21" i="274"/>
  <c r="O21" i="274"/>
  <c r="H21" i="274"/>
  <c r="J21" i="274"/>
  <c r="L21" i="274"/>
  <c r="N21" i="274"/>
  <c r="J22" i="274"/>
  <c r="N22" i="274"/>
  <c r="H22" i="274"/>
  <c r="L22" i="274"/>
  <c r="M22" i="274"/>
  <c r="G22" i="274"/>
  <c r="G85" i="274" s="1"/>
  <c r="O22" i="274"/>
  <c r="I22" i="274"/>
  <c r="K22" i="274"/>
  <c r="N160" i="241"/>
  <c r="N163" i="241"/>
  <c r="N175" i="241"/>
  <c r="N165" i="241"/>
  <c r="N159" i="241"/>
  <c r="N158" i="241"/>
  <c r="N164" i="241"/>
  <c r="N157" i="241"/>
  <c r="N174" i="241"/>
  <c r="N169" i="241"/>
  <c r="N167" i="241"/>
  <c r="N172" i="241"/>
  <c r="N168" i="241"/>
  <c r="N170" i="241"/>
  <c r="N173" i="241"/>
  <c r="N171" i="241"/>
  <c r="N166" i="241"/>
  <c r="AF52" i="264"/>
  <c r="Y66" i="275" a="1"/>
  <c r="Y66" i="275" s="1"/>
  <c r="Y68" i="244" a="1"/>
  <c r="Y68" i="244" s="1"/>
  <c r="O5" i="282"/>
  <c r="N8" i="282"/>
  <c r="N14" i="282" s="1"/>
  <c r="N18" i="282" s="1"/>
  <c r="P161" i="241"/>
  <c r="L23" i="282"/>
  <c r="L26" i="282" s="1"/>
  <c r="L28" i="282"/>
  <c r="L58" i="282" s="1"/>
  <c r="L21" i="282"/>
  <c r="F25" i="241"/>
  <c r="J25" i="241"/>
  <c r="N25" i="241"/>
  <c r="R25" i="241"/>
  <c r="G25" i="241"/>
  <c r="K25" i="241"/>
  <c r="O25" i="241"/>
  <c r="E25" i="241"/>
  <c r="I25" i="241"/>
  <c r="M25" i="241"/>
  <c r="Q25" i="241"/>
  <c r="P25" i="241"/>
  <c r="H25" i="241"/>
  <c r="L25" i="241"/>
  <c r="I23" i="241"/>
  <c r="M23" i="241"/>
  <c r="Q23" i="241"/>
  <c r="F23" i="241"/>
  <c r="J23" i="241"/>
  <c r="N23" i="241"/>
  <c r="R23" i="241"/>
  <c r="H23" i="241"/>
  <c r="L23" i="241"/>
  <c r="P23" i="241"/>
  <c r="G23" i="241"/>
  <c r="K23" i="241"/>
  <c r="O23" i="241"/>
  <c r="N54" i="274"/>
  <c r="P54" i="274"/>
  <c r="R54" i="274"/>
  <c r="T54" i="274"/>
  <c r="V54" i="274"/>
  <c r="X54" i="274"/>
  <c r="G54" i="274"/>
  <c r="M54" i="274"/>
  <c r="O54" i="274"/>
  <c r="Q54" i="274"/>
  <c r="S54" i="274"/>
  <c r="U54" i="274"/>
  <c r="W54" i="274"/>
  <c r="F54" i="274"/>
  <c r="H54" i="274"/>
  <c r="D54" i="274"/>
  <c r="D56" i="274" s="1"/>
  <c r="I54" i="274"/>
  <c r="J54" i="274"/>
  <c r="K54" i="274"/>
  <c r="E54" i="274"/>
  <c r="L54" i="274"/>
  <c r="O175" i="241"/>
  <c r="O159" i="241"/>
  <c r="O160" i="241"/>
  <c r="O164" i="241"/>
  <c r="O158" i="241"/>
  <c r="O165" i="241"/>
  <c r="O163" i="241"/>
  <c r="O157" i="241"/>
  <c r="O168" i="241"/>
  <c r="O170" i="241"/>
  <c r="O173" i="241"/>
  <c r="O169" i="241"/>
  <c r="O172" i="241"/>
  <c r="O171" i="241"/>
  <c r="O174" i="241"/>
  <c r="O167" i="241"/>
  <c r="O166" i="241"/>
  <c r="J162" i="241"/>
  <c r="D194" i="73"/>
  <c r="D195" i="73" s="1"/>
  <c r="R78" i="241"/>
  <c r="R62" i="241"/>
  <c r="R104" i="241"/>
  <c r="O161" i="241"/>
  <c r="AF52" i="310"/>
  <c r="O5" i="265"/>
  <c r="O13" i="265" s="1"/>
  <c r="P9" i="265"/>
  <c r="M14" i="265"/>
  <c r="N14" i="265" s="1"/>
  <c r="N5" i="265" s="1"/>
  <c r="G25" i="270"/>
  <c r="F26" i="270"/>
  <c r="F27" i="274"/>
  <c r="J27" i="274"/>
  <c r="N27" i="274"/>
  <c r="R27" i="274"/>
  <c r="V27" i="274"/>
  <c r="D27" i="274"/>
  <c r="H27" i="274"/>
  <c r="L27" i="274"/>
  <c r="P27" i="274"/>
  <c r="T27" i="274"/>
  <c r="E27" i="274"/>
  <c r="M27" i="274"/>
  <c r="U27" i="274"/>
  <c r="G27" i="274"/>
  <c r="O27" i="274"/>
  <c r="W27" i="274"/>
  <c r="I27" i="274"/>
  <c r="Q27" i="274"/>
  <c r="K27" i="274"/>
  <c r="S27" i="274"/>
  <c r="F24" i="274"/>
  <c r="F87" i="274" s="1"/>
  <c r="J24" i="274"/>
  <c r="N24" i="274"/>
  <c r="R24" i="274"/>
  <c r="H24" i="274"/>
  <c r="L24" i="274"/>
  <c r="P24" i="274"/>
  <c r="T24" i="274"/>
  <c r="M24" i="274"/>
  <c r="U24" i="274"/>
  <c r="G24" i="274"/>
  <c r="O24" i="274"/>
  <c r="I24" i="274"/>
  <c r="Q24" i="274"/>
  <c r="K24" i="274"/>
  <c r="S24" i="274"/>
  <c r="N161" i="241"/>
  <c r="K175" i="241"/>
  <c r="K158" i="241"/>
  <c r="K159" i="241"/>
  <c r="K163" i="241"/>
  <c r="K160" i="241"/>
  <c r="K164" i="241"/>
  <c r="K165" i="241"/>
  <c r="K157" i="241"/>
  <c r="K169" i="241"/>
  <c r="K168" i="241"/>
  <c r="K170" i="241"/>
  <c r="K171" i="241"/>
  <c r="K174" i="241"/>
  <c r="K172" i="241"/>
  <c r="K173" i="241"/>
  <c r="K167" i="241"/>
  <c r="K166" i="241"/>
  <c r="J18" i="280"/>
  <c r="J33" i="280" s="1"/>
  <c r="J35" i="280"/>
  <c r="J16" i="280"/>
  <c r="Y68" i="275" a="1"/>
  <c r="Y68" i="275" s="1"/>
  <c r="L8" i="280"/>
  <c r="M20" i="282"/>
  <c r="I38" i="282"/>
  <c r="I39" i="282" s="1"/>
  <c r="L160" i="241"/>
  <c r="L159" i="241"/>
  <c r="L165" i="241"/>
  <c r="L175" i="241"/>
  <c r="L164" i="241"/>
  <c r="L163" i="241"/>
  <c r="L158" i="241"/>
  <c r="L157" i="241"/>
  <c r="L171" i="241"/>
  <c r="L167" i="241"/>
  <c r="L172" i="241"/>
  <c r="L168" i="241"/>
  <c r="L174" i="241"/>
  <c r="L170" i="241"/>
  <c r="L173" i="241"/>
  <c r="L169" i="241"/>
  <c r="L166" i="241"/>
  <c r="Q78" i="274"/>
  <c r="Q104" i="274"/>
  <c r="R15" i="274"/>
  <c r="Q62" i="274"/>
  <c r="K162" i="241"/>
  <c r="K11" i="280"/>
  <c r="J21" i="241"/>
  <c r="N21" i="241"/>
  <c r="R21" i="241"/>
  <c r="G21" i="241"/>
  <c r="K21" i="241"/>
  <c r="O21" i="241"/>
  <c r="I21" i="241"/>
  <c r="M21" i="241"/>
  <c r="Q21" i="241"/>
  <c r="H21" i="241"/>
  <c r="L21" i="241"/>
  <c r="P21" i="241"/>
  <c r="F26" i="241"/>
  <c r="J26" i="241"/>
  <c r="N26" i="241"/>
  <c r="R26" i="241"/>
  <c r="G26" i="241"/>
  <c r="K26" i="241"/>
  <c r="O26" i="241"/>
  <c r="E26" i="241"/>
  <c r="E89" i="241" s="1"/>
  <c r="I26" i="241"/>
  <c r="M26" i="241"/>
  <c r="Q26" i="241"/>
  <c r="L26" i="241"/>
  <c r="P26" i="241"/>
  <c r="H26" i="241"/>
  <c r="AB34" i="332"/>
  <c r="I165" i="241"/>
  <c r="I160" i="241"/>
  <c r="I159" i="241"/>
  <c r="I158" i="241"/>
  <c r="I163" i="241"/>
  <c r="I164" i="241"/>
  <c r="I175" i="241"/>
  <c r="I157" i="241"/>
  <c r="I173" i="241"/>
  <c r="I172" i="241"/>
  <c r="I171" i="241"/>
  <c r="I170" i="241"/>
  <c r="I168" i="241"/>
  <c r="I167" i="241"/>
  <c r="I169" i="241"/>
  <c r="I174" i="241"/>
  <c r="I166" i="241"/>
  <c r="J38" i="133"/>
  <c r="K37" i="133"/>
  <c r="B37" i="133" s="1"/>
  <c r="G37" i="133" s="1"/>
  <c r="B3" i="63" s="1"/>
  <c r="E25" i="274"/>
  <c r="I25" i="274"/>
  <c r="M25" i="274"/>
  <c r="M38" i="274" s="1"/>
  <c r="M88" i="274" s="1"/>
  <c r="Q25" i="274"/>
  <c r="U25" i="274"/>
  <c r="G25" i="274"/>
  <c r="K25" i="274"/>
  <c r="K38" i="274" s="1"/>
  <c r="K88" i="274" s="1"/>
  <c r="O25" i="274"/>
  <c r="S25" i="274"/>
  <c r="L25" i="274"/>
  <c r="T25" i="274"/>
  <c r="T38" i="274" s="1"/>
  <c r="T88" i="274" s="1"/>
  <c r="F25" i="274"/>
  <c r="N25" i="274"/>
  <c r="N38" i="274" s="1"/>
  <c r="N88" i="274" s="1"/>
  <c r="V25" i="274"/>
  <c r="H25" i="274"/>
  <c r="P25" i="274"/>
  <c r="J25" i="274"/>
  <c r="R25" i="274"/>
  <c r="H20" i="274"/>
  <c r="H83" i="274" s="1"/>
  <c r="I20" i="274"/>
  <c r="S19" i="282"/>
  <c r="T46" i="282"/>
  <c r="M165" i="241"/>
  <c r="M163" i="241"/>
  <c r="M175" i="241"/>
  <c r="M159" i="241"/>
  <c r="M160" i="241"/>
  <c r="M158" i="241"/>
  <c r="M164" i="241"/>
  <c r="M157" i="241"/>
  <c r="M167" i="241"/>
  <c r="M172" i="241"/>
  <c r="M169" i="241"/>
  <c r="M171" i="241"/>
  <c r="M173" i="241"/>
  <c r="M174" i="241"/>
  <c r="M168" i="241"/>
  <c r="M170" i="241"/>
  <c r="M166" i="241"/>
  <c r="F43" i="73"/>
  <c r="H39" i="73" s="1"/>
  <c r="H20" i="241"/>
  <c r="H83" i="241" s="1"/>
  <c r="L20" i="241"/>
  <c r="P20" i="241"/>
  <c r="I20" i="241"/>
  <c r="M20" i="241"/>
  <c r="Q20" i="241"/>
  <c r="K20" i="241"/>
  <c r="O20" i="241"/>
  <c r="J20" i="241"/>
  <c r="N20" i="241"/>
  <c r="R20" i="241"/>
  <c r="T29" i="241"/>
  <c r="V19" i="241"/>
  <c r="H22" i="241"/>
  <c r="L22" i="241"/>
  <c r="P22" i="241"/>
  <c r="I22" i="241"/>
  <c r="M22" i="241"/>
  <c r="Q22" i="241"/>
  <c r="G22" i="241"/>
  <c r="G85" i="241" s="1"/>
  <c r="K22" i="241"/>
  <c r="O22" i="241"/>
  <c r="J22" i="241"/>
  <c r="N22" i="241"/>
  <c r="R22" i="241"/>
  <c r="J38" i="274" l="1"/>
  <c r="J88" i="274" s="1"/>
  <c r="P37" i="274"/>
  <c r="P87" i="274" s="1"/>
  <c r="M37" i="274"/>
  <c r="M87" i="274" s="1"/>
  <c r="U40" i="274"/>
  <c r="U90" i="274" s="1"/>
  <c r="P40" i="274"/>
  <c r="P90" i="274" s="1"/>
  <c r="I37" i="274"/>
  <c r="I87" i="274" s="1"/>
  <c r="I40" i="274"/>
  <c r="I90" i="274" s="1"/>
  <c r="V40" i="274"/>
  <c r="V90" i="274" s="1"/>
  <c r="R38" i="274"/>
  <c r="R88" i="274" s="1"/>
  <c r="L38" i="274"/>
  <c r="L88" i="274" s="1"/>
  <c r="I38" i="274"/>
  <c r="I88" i="274" s="1"/>
  <c r="S37" i="274"/>
  <c r="S87" i="274" s="1"/>
  <c r="R37" i="274"/>
  <c r="R87" i="274" s="1"/>
  <c r="S40" i="274"/>
  <c r="S90" i="274" s="1"/>
  <c r="R40" i="274"/>
  <c r="R90" i="274" s="1"/>
  <c r="I33" i="274"/>
  <c r="I83" i="274" s="1"/>
  <c r="O38" i="274"/>
  <c r="O88" i="274" s="1"/>
  <c r="J34" i="274"/>
  <c r="J84" i="274" s="1"/>
  <c r="D197" i="73"/>
  <c r="D198" i="73" s="1"/>
  <c r="T37" i="274"/>
  <c r="T87" i="274" s="1"/>
  <c r="M40" i="274"/>
  <c r="M90" i="274" s="1"/>
  <c r="S38" i="274"/>
  <c r="S88" i="274" s="1"/>
  <c r="U38" i="274"/>
  <c r="U88" i="274" s="1"/>
  <c r="K37" i="274"/>
  <c r="K87" i="274" s="1"/>
  <c r="K40" i="274"/>
  <c r="K90" i="274" s="1"/>
  <c r="P38" i="274"/>
  <c r="P88" i="274" s="1"/>
  <c r="Q38" i="274"/>
  <c r="Q88" i="274" s="1"/>
  <c r="Q37" i="274"/>
  <c r="Q87" i="274" s="1"/>
  <c r="U37" i="274"/>
  <c r="U87" i="274" s="1"/>
  <c r="J37" i="274"/>
  <c r="J87" i="274" s="1"/>
  <c r="Q40" i="274"/>
  <c r="Q90" i="274" s="1"/>
  <c r="J40" i="274"/>
  <c r="J90" i="274" s="1"/>
  <c r="L27" i="282"/>
  <c r="L30" i="282"/>
  <c r="H37" i="73"/>
  <c r="O37" i="274"/>
  <c r="O87" i="274" s="1"/>
  <c r="W40" i="274"/>
  <c r="W90" i="274" s="1"/>
  <c r="W29" i="274"/>
  <c r="L40" i="274"/>
  <c r="L90" i="274" s="1"/>
  <c r="E45" i="274"/>
  <c r="E49" i="274"/>
  <c r="E43" i="274"/>
  <c r="E47" i="274"/>
  <c r="E41" i="274"/>
  <c r="E46" i="274"/>
  <c r="E48" i="274"/>
  <c r="E42" i="274"/>
  <c r="E44" i="274"/>
  <c r="U42" i="274"/>
  <c r="U92" i="274" s="1"/>
  <c r="U46" i="274"/>
  <c r="U96" i="274" s="1"/>
  <c r="U44" i="274"/>
  <c r="U94" i="274" s="1"/>
  <c r="U48" i="274"/>
  <c r="U98" i="274" s="1"/>
  <c r="U45" i="274"/>
  <c r="U95" i="274" s="1"/>
  <c r="U49" i="274"/>
  <c r="U99" i="274" s="1"/>
  <c r="U47" i="274"/>
  <c r="U97" i="274" s="1"/>
  <c r="U41" i="274"/>
  <c r="U43" i="274"/>
  <c r="U93" i="274" s="1"/>
  <c r="U35" i="274"/>
  <c r="U85" i="274" s="1"/>
  <c r="U34" i="274"/>
  <c r="U84" i="274" s="1"/>
  <c r="U32" i="274"/>
  <c r="U33" i="274"/>
  <c r="U83" i="274" s="1"/>
  <c r="M42" i="274"/>
  <c r="M92" i="274" s="1"/>
  <c r="M45" i="274"/>
  <c r="M95" i="274" s="1"/>
  <c r="M49" i="274"/>
  <c r="M99" i="274" s="1"/>
  <c r="M43" i="274"/>
  <c r="M93" i="274" s="1"/>
  <c r="M47" i="274"/>
  <c r="M97" i="274" s="1"/>
  <c r="M46" i="274"/>
  <c r="M96" i="274" s="1"/>
  <c r="M32" i="274"/>
  <c r="M48" i="274"/>
  <c r="M98" i="274" s="1"/>
  <c r="M41" i="274"/>
  <c r="M44" i="274"/>
  <c r="M94" i="274" s="1"/>
  <c r="M33" i="274"/>
  <c r="M83" i="274" s="1"/>
  <c r="T41" i="274"/>
  <c r="T45" i="274"/>
  <c r="T95" i="274" s="1"/>
  <c r="T48" i="274"/>
  <c r="T98" i="274" s="1"/>
  <c r="T49" i="274"/>
  <c r="T99" i="274" s="1"/>
  <c r="T43" i="274"/>
  <c r="T93" i="274" s="1"/>
  <c r="T47" i="274"/>
  <c r="T97" i="274" s="1"/>
  <c r="T46" i="274"/>
  <c r="T96" i="274" s="1"/>
  <c r="T42" i="274"/>
  <c r="T92" i="274" s="1"/>
  <c r="T44" i="274"/>
  <c r="T94" i="274" s="1"/>
  <c r="T35" i="274"/>
  <c r="T85" i="274" s="1"/>
  <c r="T34" i="274"/>
  <c r="T84" i="274" s="1"/>
  <c r="T32" i="274"/>
  <c r="T33" i="274"/>
  <c r="T83" i="274" s="1"/>
  <c r="E29" i="241"/>
  <c r="E60" i="241" s="1"/>
  <c r="E88" i="241"/>
  <c r="M8" i="280"/>
  <c r="N20" i="282"/>
  <c r="K35" i="274"/>
  <c r="K85" i="274" s="1"/>
  <c r="M35" i="274"/>
  <c r="M85" i="274" s="1"/>
  <c r="J35" i="274"/>
  <c r="J85" i="274" s="1"/>
  <c r="M34" i="274"/>
  <c r="M84" i="274" s="1"/>
  <c r="M29" i="274"/>
  <c r="H34" i="73"/>
  <c r="S39" i="274"/>
  <c r="S89" i="274" s="1"/>
  <c r="O39" i="274"/>
  <c r="O89" i="274" s="1"/>
  <c r="J39" i="274"/>
  <c r="J89" i="274" s="1"/>
  <c r="L39" i="274"/>
  <c r="L89" i="274" s="1"/>
  <c r="Q36" i="274"/>
  <c r="Q86" i="274" s="1"/>
  <c r="Q29" i="274"/>
  <c r="U36" i="274"/>
  <c r="U86" i="274" s="1"/>
  <c r="U29" i="274"/>
  <c r="L36" i="274"/>
  <c r="L86" i="274" s="1"/>
  <c r="J36" i="274"/>
  <c r="J86" i="274" s="1"/>
  <c r="D126" i="73"/>
  <c r="D130" i="73" s="1"/>
  <c r="F17" i="236" s="1"/>
  <c r="D187" i="73"/>
  <c r="D188" i="73" s="1"/>
  <c r="K31" i="282"/>
  <c r="K36" i="282"/>
  <c r="L15" i="40"/>
  <c r="C20" i="236"/>
  <c r="C28" i="236"/>
  <c r="H33" i="73"/>
  <c r="M176" i="241"/>
  <c r="T19" i="282"/>
  <c r="U46" i="282"/>
  <c r="U19" i="282" s="1"/>
  <c r="K38" i="133"/>
  <c r="B38" i="133" s="1"/>
  <c r="G38" i="133" s="1"/>
  <c r="B3" i="64" s="1"/>
  <c r="J41" i="133"/>
  <c r="I19" i="241"/>
  <c r="I29" i="241" s="1"/>
  <c r="I60" i="241" s="1"/>
  <c r="M19" i="241"/>
  <c r="M29" i="241" s="1"/>
  <c r="M60" i="241" s="1"/>
  <c r="Q19" i="241"/>
  <c r="Q29" i="241" s="1"/>
  <c r="Q60" i="241" s="1"/>
  <c r="J19" i="241"/>
  <c r="J29" i="241" s="1"/>
  <c r="J60" i="241" s="1"/>
  <c r="N19" i="241"/>
  <c r="N29" i="241" s="1"/>
  <c r="N60" i="241" s="1"/>
  <c r="R19" i="241"/>
  <c r="R29" i="241" s="1"/>
  <c r="R60" i="241" s="1"/>
  <c r="H19" i="241"/>
  <c r="L19" i="241"/>
  <c r="L29" i="241" s="1"/>
  <c r="L60" i="241" s="1"/>
  <c r="P19" i="241"/>
  <c r="P29" i="241" s="1"/>
  <c r="P60" i="241" s="1"/>
  <c r="V29" i="241"/>
  <c r="K19" i="241"/>
  <c r="K29" i="241" s="1"/>
  <c r="K60" i="241" s="1"/>
  <c r="O19" i="241"/>
  <c r="O29" i="241" s="1"/>
  <c r="O60" i="241" s="1"/>
  <c r="H38" i="73"/>
  <c r="S64" i="282"/>
  <c r="R10" i="280"/>
  <c r="V38" i="274"/>
  <c r="V88" i="274" s="1"/>
  <c r="V29" i="274"/>
  <c r="H35" i="73"/>
  <c r="N37" i="274"/>
  <c r="N87" i="274" s="1"/>
  <c r="O40" i="274"/>
  <c r="O90" i="274" s="1"/>
  <c r="N40" i="274"/>
  <c r="N90" i="274" s="1"/>
  <c r="F27" i="270"/>
  <c r="G26" i="270"/>
  <c r="K43" i="274"/>
  <c r="K93" i="274" s="1"/>
  <c r="K47" i="274"/>
  <c r="K97" i="274" s="1"/>
  <c r="K33" i="274"/>
  <c r="K83" i="274" s="1"/>
  <c r="K45" i="274"/>
  <c r="K95" i="274" s="1"/>
  <c r="K49" i="274"/>
  <c r="K99" i="274" s="1"/>
  <c r="K48" i="274"/>
  <c r="K98" i="274" s="1"/>
  <c r="K41" i="274"/>
  <c r="K42" i="274"/>
  <c r="K92" i="274" s="1"/>
  <c r="K44" i="274"/>
  <c r="K94" i="274" s="1"/>
  <c r="K46" i="274"/>
  <c r="K96" i="274" s="1"/>
  <c r="H44" i="274"/>
  <c r="H48" i="274"/>
  <c r="H42" i="274"/>
  <c r="H46" i="274"/>
  <c r="H43" i="274"/>
  <c r="H45" i="274"/>
  <c r="H49" i="274"/>
  <c r="H41" i="274"/>
  <c r="H47" i="274"/>
  <c r="S44" i="274"/>
  <c r="S94" i="274" s="1"/>
  <c r="S47" i="274"/>
  <c r="S97" i="274" s="1"/>
  <c r="S42" i="274"/>
  <c r="S92" i="274" s="1"/>
  <c r="S46" i="274"/>
  <c r="S96" i="274" s="1"/>
  <c r="S48" i="274"/>
  <c r="S98" i="274" s="1"/>
  <c r="S41" i="274"/>
  <c r="S43" i="274"/>
  <c r="S93" i="274" s="1"/>
  <c r="S45" i="274"/>
  <c r="S95" i="274" s="1"/>
  <c r="S49" i="274"/>
  <c r="S99" i="274" s="1"/>
  <c r="S35" i="274"/>
  <c r="S85" i="274" s="1"/>
  <c r="S34" i="274"/>
  <c r="S84" i="274" s="1"/>
  <c r="S32" i="274"/>
  <c r="S33" i="274"/>
  <c r="S83" i="274" s="1"/>
  <c r="G43" i="274"/>
  <c r="G47" i="274"/>
  <c r="G45" i="274"/>
  <c r="G49" i="274"/>
  <c r="G42" i="274"/>
  <c r="G44" i="274"/>
  <c r="G46" i="274"/>
  <c r="G41" i="274"/>
  <c r="G48" i="274"/>
  <c r="R43" i="274"/>
  <c r="R93" i="274" s="1"/>
  <c r="R41" i="274"/>
  <c r="R45" i="274"/>
  <c r="R95" i="274" s="1"/>
  <c r="R48" i="274"/>
  <c r="R98" i="274" s="1"/>
  <c r="R35" i="274"/>
  <c r="R85" i="274" s="1"/>
  <c r="R46" i="274"/>
  <c r="R96" i="274" s="1"/>
  <c r="R47" i="274"/>
  <c r="R97" i="274" s="1"/>
  <c r="R49" i="274"/>
  <c r="R99" i="274" s="1"/>
  <c r="R42" i="274"/>
  <c r="R92" i="274" s="1"/>
  <c r="R44" i="274"/>
  <c r="R94" i="274" s="1"/>
  <c r="R34" i="274"/>
  <c r="R84" i="274" s="1"/>
  <c r="R32" i="274"/>
  <c r="R33" i="274"/>
  <c r="R83" i="274" s="1"/>
  <c r="L63" i="282"/>
  <c r="K34" i="280"/>
  <c r="P5" i="282"/>
  <c r="O8" i="282"/>
  <c r="O14" i="282" s="1"/>
  <c r="O18" i="282" s="1"/>
  <c r="I35" i="274"/>
  <c r="I85" i="274" s="1"/>
  <c r="L35" i="274"/>
  <c r="L85" i="274" s="1"/>
  <c r="N34" i="274"/>
  <c r="N84" i="274" s="1"/>
  <c r="N29" i="274"/>
  <c r="O34" i="274"/>
  <c r="O84" i="274" s="1"/>
  <c r="O29" i="274"/>
  <c r="I34" i="274"/>
  <c r="I84" i="274" s="1"/>
  <c r="D201" i="73"/>
  <c r="D202" i="73" s="1"/>
  <c r="H36" i="73"/>
  <c r="K39" i="274"/>
  <c r="K89" i="274" s="1"/>
  <c r="V39" i="274"/>
  <c r="V89" i="274" s="1"/>
  <c r="I36" i="274"/>
  <c r="I86" i="274" s="1"/>
  <c r="M36" i="274"/>
  <c r="M86" i="274" s="1"/>
  <c r="F29" i="274"/>
  <c r="F86" i="274"/>
  <c r="D180" i="73"/>
  <c r="D181" i="73" s="1"/>
  <c r="D142" i="73"/>
  <c r="D146" i="73" s="1"/>
  <c r="F25" i="236" s="1"/>
  <c r="H40" i="73"/>
  <c r="E29" i="274"/>
  <c r="E88" i="274"/>
  <c r="G29" i="241"/>
  <c r="G60" i="241" s="1"/>
  <c r="G84" i="241"/>
  <c r="K18" i="280"/>
  <c r="K33" i="280" s="1"/>
  <c r="K35" i="280"/>
  <c r="K16" i="280"/>
  <c r="R62" i="274"/>
  <c r="S15" i="274"/>
  <c r="R78" i="274"/>
  <c r="R104" i="274"/>
  <c r="L176" i="241"/>
  <c r="I41" i="282"/>
  <c r="M21" i="282"/>
  <c r="M23" i="282"/>
  <c r="M26" i="282" s="1"/>
  <c r="M28" i="282"/>
  <c r="M58" i="282" s="1"/>
  <c r="K176" i="241"/>
  <c r="L37" i="274"/>
  <c r="L87" i="274" s="1"/>
  <c r="T40" i="274"/>
  <c r="T90" i="274" s="1"/>
  <c r="D29" i="274"/>
  <c r="D60" i="274" s="1"/>
  <c r="D65" i="274" s="1"/>
  <c r="D90" i="274"/>
  <c r="F71" i="236"/>
  <c r="O176" i="241"/>
  <c r="J42" i="274"/>
  <c r="J92" i="274" s="1"/>
  <c r="J46" i="274"/>
  <c r="J96" i="274" s="1"/>
  <c r="J44" i="274"/>
  <c r="J94" i="274" s="1"/>
  <c r="J48" i="274"/>
  <c r="J98" i="274" s="1"/>
  <c r="J33" i="274"/>
  <c r="J83" i="274" s="1"/>
  <c r="J41" i="274"/>
  <c r="J47" i="274"/>
  <c r="J97" i="274" s="1"/>
  <c r="J43" i="274"/>
  <c r="J93" i="274" s="1"/>
  <c r="J45" i="274"/>
  <c r="J95" i="274" s="1"/>
  <c r="J49" i="274"/>
  <c r="J99" i="274" s="1"/>
  <c r="F42" i="274"/>
  <c r="F46" i="274"/>
  <c r="F44" i="274"/>
  <c r="F48" i="274"/>
  <c r="F41" i="274"/>
  <c r="F47" i="274"/>
  <c r="F43" i="274"/>
  <c r="F45" i="274"/>
  <c r="F49" i="274"/>
  <c r="Q35" i="274"/>
  <c r="Q85" i="274" s="1"/>
  <c r="Q42" i="274"/>
  <c r="Q92" i="274" s="1"/>
  <c r="Q49" i="274"/>
  <c r="Q99" i="274" s="1"/>
  <c r="Q44" i="274"/>
  <c r="Q94" i="274" s="1"/>
  <c r="Q47" i="274"/>
  <c r="Q97" i="274" s="1"/>
  <c r="Q48" i="274"/>
  <c r="Q98" i="274" s="1"/>
  <c r="Q41" i="274"/>
  <c r="Q43" i="274"/>
  <c r="Q93" i="274" s="1"/>
  <c r="Q45" i="274"/>
  <c r="Q95" i="274" s="1"/>
  <c r="Q46" i="274"/>
  <c r="Q96" i="274" s="1"/>
  <c r="Q34" i="274"/>
  <c r="Q84" i="274" s="1"/>
  <c r="Q32" i="274"/>
  <c r="Q33" i="274"/>
  <c r="Q83" i="274" s="1"/>
  <c r="X41" i="274"/>
  <c r="X45" i="274"/>
  <c r="X95" i="274" s="1"/>
  <c r="X49" i="274"/>
  <c r="X99" i="274" s="1"/>
  <c r="X43" i="274"/>
  <c r="X93" i="274" s="1"/>
  <c r="X47" i="274"/>
  <c r="X97" i="274" s="1"/>
  <c r="X40" i="274"/>
  <c r="X90" i="274" s="1"/>
  <c r="X48" i="274"/>
  <c r="X98" i="274" s="1"/>
  <c r="X38" i="274"/>
  <c r="X88" i="274" s="1"/>
  <c r="X42" i="274"/>
  <c r="X92" i="274" s="1"/>
  <c r="X44" i="274"/>
  <c r="X94" i="274" s="1"/>
  <c r="X39" i="274"/>
  <c r="X89" i="274" s="1"/>
  <c r="X46" i="274"/>
  <c r="X96" i="274" s="1"/>
  <c r="X36" i="274"/>
  <c r="X86" i="274" s="1"/>
  <c r="X37" i="274"/>
  <c r="X87" i="274" s="1"/>
  <c r="X35" i="274"/>
  <c r="X85" i="274" s="1"/>
  <c r="X34" i="274"/>
  <c r="X84" i="274" s="1"/>
  <c r="X32" i="274"/>
  <c r="X33" i="274"/>
  <c r="X83" i="274" s="1"/>
  <c r="P41" i="274"/>
  <c r="P48" i="274"/>
  <c r="P98" i="274" s="1"/>
  <c r="P43" i="274"/>
  <c r="P93" i="274" s="1"/>
  <c r="P46" i="274"/>
  <c r="P96" i="274" s="1"/>
  <c r="P45" i="274"/>
  <c r="P95" i="274" s="1"/>
  <c r="P49" i="274"/>
  <c r="P99" i="274" s="1"/>
  <c r="P34" i="274"/>
  <c r="P84" i="274" s="1"/>
  <c r="P42" i="274"/>
  <c r="P92" i="274" s="1"/>
  <c r="P44" i="274"/>
  <c r="P94" i="274" s="1"/>
  <c r="P35" i="274"/>
  <c r="P85" i="274" s="1"/>
  <c r="P47" i="274"/>
  <c r="P97" i="274" s="1"/>
  <c r="P32" i="274"/>
  <c r="P33" i="274"/>
  <c r="P83" i="274" s="1"/>
  <c r="F29" i="241"/>
  <c r="F60" i="241" s="1"/>
  <c r="F86" i="241"/>
  <c r="H41" i="73"/>
  <c r="O35" i="274"/>
  <c r="O85" i="274" s="1"/>
  <c r="L34" i="274"/>
  <c r="L84" i="274" s="1"/>
  <c r="L29" i="274"/>
  <c r="K34" i="274"/>
  <c r="K84" i="274" s="1"/>
  <c r="J38" i="282"/>
  <c r="J39" i="282" s="1"/>
  <c r="Q39" i="274"/>
  <c r="Q89" i="274" s="1"/>
  <c r="U39" i="274"/>
  <c r="U89" i="274" s="1"/>
  <c r="R39" i="274"/>
  <c r="R89" i="274" s="1"/>
  <c r="T39" i="274"/>
  <c r="T89" i="274" s="1"/>
  <c r="S36" i="274"/>
  <c r="S86" i="274" s="1"/>
  <c r="S29" i="274"/>
  <c r="O36" i="274"/>
  <c r="O86" i="274" s="1"/>
  <c r="T36" i="274"/>
  <c r="T86" i="274" s="1"/>
  <c r="T29" i="274"/>
  <c r="R36" i="274"/>
  <c r="R86" i="274" s="1"/>
  <c r="R29" i="274"/>
  <c r="D208" i="73"/>
  <c r="D209" i="73" s="1"/>
  <c r="I176" i="241"/>
  <c r="AB35" i="332"/>
  <c r="L11" i="280"/>
  <c r="N13" i="265"/>
  <c r="N21" i="265" s="1"/>
  <c r="M5" i="265"/>
  <c r="L41" i="274"/>
  <c r="L44" i="274"/>
  <c r="L94" i="274" s="1"/>
  <c r="L48" i="274"/>
  <c r="L98" i="274" s="1"/>
  <c r="L42" i="274"/>
  <c r="L92" i="274" s="1"/>
  <c r="L46" i="274"/>
  <c r="L96" i="274" s="1"/>
  <c r="L32" i="274"/>
  <c r="L33" i="274"/>
  <c r="L83" i="274" s="1"/>
  <c r="L47" i="274"/>
  <c r="L97" i="274" s="1"/>
  <c r="L43" i="274"/>
  <c r="L93" i="274" s="1"/>
  <c r="L45" i="274"/>
  <c r="L95" i="274" s="1"/>
  <c r="L49" i="274"/>
  <c r="L99" i="274" s="1"/>
  <c r="I41" i="274"/>
  <c r="I45" i="274"/>
  <c r="I95" i="274" s="1"/>
  <c r="I49" i="274"/>
  <c r="I99" i="274" s="1"/>
  <c r="I43" i="274"/>
  <c r="I93" i="274" s="1"/>
  <c r="I47" i="274"/>
  <c r="I97" i="274" s="1"/>
  <c r="I48" i="274"/>
  <c r="I98" i="274" s="1"/>
  <c r="I42" i="274"/>
  <c r="I92" i="274" s="1"/>
  <c r="I44" i="274"/>
  <c r="I94" i="274" s="1"/>
  <c r="I46" i="274"/>
  <c r="I96" i="274" s="1"/>
  <c r="W36" i="274"/>
  <c r="W86" i="274" s="1"/>
  <c r="W38" i="274"/>
  <c r="W88" i="274" s="1"/>
  <c r="W44" i="274"/>
  <c r="W94" i="274" s="1"/>
  <c r="W48" i="274"/>
  <c r="W98" i="274" s="1"/>
  <c r="W39" i="274"/>
  <c r="W89" i="274" s="1"/>
  <c r="W42" i="274"/>
  <c r="W92" i="274" s="1"/>
  <c r="W46" i="274"/>
  <c r="W96" i="274" s="1"/>
  <c r="W41" i="274"/>
  <c r="W43" i="274"/>
  <c r="W93" i="274" s="1"/>
  <c r="W45" i="274"/>
  <c r="W95" i="274" s="1"/>
  <c r="W49" i="274"/>
  <c r="W99" i="274" s="1"/>
  <c r="W47" i="274"/>
  <c r="W97" i="274" s="1"/>
  <c r="W37" i="274"/>
  <c r="W87" i="274" s="1"/>
  <c r="W35" i="274"/>
  <c r="W85" i="274" s="1"/>
  <c r="W34" i="274"/>
  <c r="W84" i="274" s="1"/>
  <c r="W32" i="274"/>
  <c r="W33" i="274"/>
  <c r="W83" i="274" s="1"/>
  <c r="O44" i="274"/>
  <c r="O94" i="274" s="1"/>
  <c r="O47" i="274"/>
  <c r="O97" i="274" s="1"/>
  <c r="O42" i="274"/>
  <c r="O92" i="274" s="1"/>
  <c r="O45" i="274"/>
  <c r="O95" i="274" s="1"/>
  <c r="O49" i="274"/>
  <c r="O99" i="274" s="1"/>
  <c r="O41" i="274"/>
  <c r="O43" i="274"/>
  <c r="O93" i="274" s="1"/>
  <c r="O46" i="274"/>
  <c r="O96" i="274" s="1"/>
  <c r="O48" i="274"/>
  <c r="O98" i="274" s="1"/>
  <c r="O32" i="274"/>
  <c r="O33" i="274"/>
  <c r="O83" i="274" s="1"/>
  <c r="V43" i="274"/>
  <c r="V93" i="274" s="1"/>
  <c r="V47" i="274"/>
  <c r="V97" i="274" s="1"/>
  <c r="V41" i="274"/>
  <c r="V45" i="274"/>
  <c r="V95" i="274" s="1"/>
  <c r="V49" i="274"/>
  <c r="V99" i="274" s="1"/>
  <c r="V36" i="274"/>
  <c r="V86" i="274" s="1"/>
  <c r="V42" i="274"/>
  <c r="V92" i="274" s="1"/>
  <c r="V44" i="274"/>
  <c r="V94" i="274" s="1"/>
  <c r="V37" i="274"/>
  <c r="V87" i="274" s="1"/>
  <c r="V46" i="274"/>
  <c r="V96" i="274" s="1"/>
  <c r="V48" i="274"/>
  <c r="V98" i="274" s="1"/>
  <c r="V35" i="274"/>
  <c r="V85" i="274" s="1"/>
  <c r="V34" i="274"/>
  <c r="V84" i="274" s="1"/>
  <c r="V32" i="274"/>
  <c r="V33" i="274"/>
  <c r="V83" i="274" s="1"/>
  <c r="N43" i="274"/>
  <c r="N93" i="274" s="1"/>
  <c r="N46" i="274"/>
  <c r="N96" i="274" s="1"/>
  <c r="N41" i="274"/>
  <c r="N44" i="274"/>
  <c r="N94" i="274" s="1"/>
  <c r="N48" i="274"/>
  <c r="N98" i="274" s="1"/>
  <c r="N42" i="274"/>
  <c r="N92" i="274" s="1"/>
  <c r="N32" i="274"/>
  <c r="N47" i="274"/>
  <c r="N97" i="274" s="1"/>
  <c r="N45" i="274"/>
  <c r="N95" i="274" s="1"/>
  <c r="N49" i="274"/>
  <c r="N99" i="274" s="1"/>
  <c r="N33" i="274"/>
  <c r="N83" i="274" s="1"/>
  <c r="N176" i="241"/>
  <c r="N35" i="274"/>
  <c r="N85" i="274" s="1"/>
  <c r="G84" i="274"/>
  <c r="G29" i="274"/>
  <c r="J176" i="241"/>
  <c r="D90" i="241"/>
  <c r="D29" i="241"/>
  <c r="D60" i="241" s="1"/>
  <c r="D65" i="241" s="1"/>
  <c r="P176" i="241"/>
  <c r="H19" i="274"/>
  <c r="J19" i="274"/>
  <c r="I19" i="274"/>
  <c r="AB29" i="274"/>
  <c r="K19" i="274"/>
  <c r="I39" i="274"/>
  <c r="I89" i="274" s="1"/>
  <c r="M39" i="274"/>
  <c r="M89" i="274" s="1"/>
  <c r="N39" i="274"/>
  <c r="N89" i="274" s="1"/>
  <c r="P39" i="274"/>
  <c r="P89" i="274" s="1"/>
  <c r="K36" i="274"/>
  <c r="K86" i="274" s="1"/>
  <c r="P36" i="274"/>
  <c r="P86" i="274" s="1"/>
  <c r="P29" i="274"/>
  <c r="N36" i="274"/>
  <c r="N86" i="274" s="1"/>
  <c r="D94" i="73"/>
  <c r="D95" i="73" s="1"/>
  <c r="F95" i="73" s="1"/>
  <c r="D8" i="248" s="1"/>
  <c r="D110" i="73"/>
  <c r="D173" i="73"/>
  <c r="D174" i="73" s="1"/>
  <c r="D167" i="73"/>
  <c r="D168" i="73" s="1"/>
  <c r="D169" i="73" s="1"/>
  <c r="D17" i="40" s="1"/>
  <c r="H17" i="40" s="1"/>
  <c r="D176" i="73" l="1"/>
  <c r="D177" i="73" s="1"/>
  <c r="F68" i="236" s="1"/>
  <c r="D183" i="73"/>
  <c r="D184" i="73" s="1"/>
  <c r="F69" i="236" s="1"/>
  <c r="D149" i="73"/>
  <c r="D153" i="73" s="1"/>
  <c r="F26" i="236" s="1"/>
  <c r="F27" i="236" s="1"/>
  <c r="D133" i="73"/>
  <c r="D137" i="73" s="1"/>
  <c r="F18" i="236" s="1"/>
  <c r="F19" i="236" s="1"/>
  <c r="E64" i="274"/>
  <c r="E67" i="274" s="1"/>
  <c r="D70" i="274"/>
  <c r="M27" i="282"/>
  <c r="M30" i="282"/>
  <c r="D114" i="73"/>
  <c r="I32" i="274"/>
  <c r="I29" i="274"/>
  <c r="N82" i="274"/>
  <c r="N52" i="274"/>
  <c r="N56" i="274" s="1"/>
  <c r="V82" i="274"/>
  <c r="V52" i="274"/>
  <c r="V56" i="274" s="1"/>
  <c r="J29" i="274"/>
  <c r="J32" i="274"/>
  <c r="E64" i="241"/>
  <c r="E67" i="241" s="1"/>
  <c r="D70" i="241"/>
  <c r="L58" i="274"/>
  <c r="L91" i="274"/>
  <c r="D211" i="73"/>
  <c r="D212" i="73" s="1"/>
  <c r="J41" i="282"/>
  <c r="E65" i="241"/>
  <c r="F65" i="241" s="1"/>
  <c r="M63" i="282"/>
  <c r="L34" i="280"/>
  <c r="S78" i="274"/>
  <c r="S62" i="274"/>
  <c r="S104" i="274"/>
  <c r="T15" i="274"/>
  <c r="D204" i="73"/>
  <c r="D205" i="73" s="1"/>
  <c r="F72" i="236" s="1"/>
  <c r="N8" i="280"/>
  <c r="O20" i="282"/>
  <c r="R58" i="274"/>
  <c r="R91" i="274"/>
  <c r="S82" i="274"/>
  <c r="S52" i="274"/>
  <c r="S56" i="274" s="1"/>
  <c r="K91" i="274"/>
  <c r="K58" i="274"/>
  <c r="H43" i="73"/>
  <c r="K38" i="282"/>
  <c r="K39" i="282" s="1"/>
  <c r="K41" i="282"/>
  <c r="E102" i="241"/>
  <c r="E163" i="241" s="1"/>
  <c r="T52" i="274"/>
  <c r="T56" i="274" s="1"/>
  <c r="T82" i="274"/>
  <c r="M52" i="274"/>
  <c r="M56" i="274" s="1"/>
  <c r="M82" i="274"/>
  <c r="U52" i="274"/>
  <c r="U56" i="274" s="1"/>
  <c r="U82" i="274"/>
  <c r="U58" i="274"/>
  <c r="U91" i="274"/>
  <c r="V58" i="274"/>
  <c r="V91" i="274"/>
  <c r="O58" i="274"/>
  <c r="O91" i="274"/>
  <c r="L5" i="265"/>
  <c r="L17" i="265" s="1"/>
  <c r="L22" i="265" s="1"/>
  <c r="M19" i="265"/>
  <c r="D117" i="73"/>
  <c r="D121" i="73" s="1"/>
  <c r="H13" i="40" s="1"/>
  <c r="K32" i="274"/>
  <c r="K29" i="274"/>
  <c r="H29" i="274"/>
  <c r="H82" i="274"/>
  <c r="D165" i="241"/>
  <c r="D102" i="241"/>
  <c r="G102" i="274"/>
  <c r="G158" i="274" s="1"/>
  <c r="W82" i="274"/>
  <c r="W52" i="274"/>
  <c r="W56" i="274" s="1"/>
  <c r="W58" i="274"/>
  <c r="W91" i="274"/>
  <c r="I58" i="274"/>
  <c r="I91" i="274"/>
  <c r="L18" i="280"/>
  <c r="L33" i="280" s="1"/>
  <c r="L35" i="280"/>
  <c r="AA20" i="280"/>
  <c r="AA23" i="280" s="1"/>
  <c r="L16" i="280"/>
  <c r="P58" i="274"/>
  <c r="P91" i="274"/>
  <c r="Q52" i="274"/>
  <c r="Q56" i="274" s="1"/>
  <c r="Q82" i="274"/>
  <c r="F58" i="274"/>
  <c r="F52" i="274"/>
  <c r="F56" i="274" s="1"/>
  <c r="Q5" i="282"/>
  <c r="P8" i="282"/>
  <c r="P14" i="282" s="1"/>
  <c r="P18" i="282" s="1"/>
  <c r="H58" i="274"/>
  <c r="H52" i="274"/>
  <c r="H56" i="274" s="1"/>
  <c r="G27" i="270"/>
  <c r="F28" i="270"/>
  <c r="K41" i="133"/>
  <c r="B41" i="133" s="1"/>
  <c r="G41" i="133" s="1"/>
  <c r="B3" i="243" s="1"/>
  <c r="B63" i="236" s="1"/>
  <c r="J42" i="133"/>
  <c r="U20" i="282"/>
  <c r="U64" i="282"/>
  <c r="E52" i="274"/>
  <c r="E56" i="274" s="1"/>
  <c r="E58" i="274"/>
  <c r="L31" i="282"/>
  <c r="L36" i="282"/>
  <c r="P82" i="274"/>
  <c r="P52" i="274"/>
  <c r="P56" i="274" s="1"/>
  <c r="Q91" i="274"/>
  <c r="Q58" i="274"/>
  <c r="J58" i="274"/>
  <c r="J91" i="274"/>
  <c r="G159" i="241"/>
  <c r="G102" i="241"/>
  <c r="R82" i="274"/>
  <c r="R52" i="274"/>
  <c r="R56" i="274" s="1"/>
  <c r="S58" i="274"/>
  <c r="S91" i="274"/>
  <c r="H29" i="241"/>
  <c r="H60" i="241" s="1"/>
  <c r="H82" i="241"/>
  <c r="T64" i="282"/>
  <c r="S10" i="280"/>
  <c r="N21" i="282"/>
  <c r="N23" i="282"/>
  <c r="N26" i="282" s="1"/>
  <c r="N28" i="282"/>
  <c r="N58" i="282" s="1"/>
  <c r="M91" i="274"/>
  <c r="M58" i="274"/>
  <c r="O82" i="274"/>
  <c r="O52" i="274"/>
  <c r="O56" i="274" s="1"/>
  <c r="O60" i="274" s="1"/>
  <c r="N58" i="274"/>
  <c r="N91" i="274"/>
  <c r="L52" i="274"/>
  <c r="L56" i="274" s="1"/>
  <c r="L82" i="274"/>
  <c r="AB36" i="332"/>
  <c r="F73" i="236"/>
  <c r="F161" i="241"/>
  <c r="F102" i="241"/>
  <c r="X82" i="274"/>
  <c r="X52" i="274"/>
  <c r="X56" i="274" s="1"/>
  <c r="X58" i="274"/>
  <c r="X91" i="274"/>
  <c r="D102" i="274"/>
  <c r="E162" i="274"/>
  <c r="E102" i="274"/>
  <c r="F102" i="274"/>
  <c r="G52" i="274"/>
  <c r="G56" i="274" s="1"/>
  <c r="G58" i="274"/>
  <c r="D190" i="73"/>
  <c r="D191" i="73" s="1"/>
  <c r="F70" i="236" s="1"/>
  <c r="M11" i="280"/>
  <c r="T58" i="274"/>
  <c r="T91" i="274"/>
  <c r="L60" i="274" l="1"/>
  <c r="R60" i="274"/>
  <c r="H60" i="274"/>
  <c r="W60" i="274"/>
  <c r="E60" i="274"/>
  <c r="N27" i="282"/>
  <c r="N30" i="282"/>
  <c r="D156" i="274"/>
  <c r="D157" i="274"/>
  <c r="D158" i="274"/>
  <c r="D159" i="274"/>
  <c r="D163" i="274"/>
  <c r="D165" i="274"/>
  <c r="D166" i="274"/>
  <c r="D167" i="274"/>
  <c r="D168" i="274"/>
  <c r="D169" i="274"/>
  <c r="D170" i="274"/>
  <c r="D171" i="274"/>
  <c r="D172" i="274"/>
  <c r="D173" i="274"/>
  <c r="D174" i="274"/>
  <c r="D160" i="274"/>
  <c r="D161" i="274"/>
  <c r="D162" i="274"/>
  <c r="Z18" i="280"/>
  <c r="AB18" i="280"/>
  <c r="U10" i="280"/>
  <c r="AA18" i="280"/>
  <c r="H157" i="241"/>
  <c r="H102" i="241"/>
  <c r="O8" i="280"/>
  <c r="P20" i="282"/>
  <c r="F60" i="274"/>
  <c r="E65" i="274" s="1"/>
  <c r="Q102" i="274"/>
  <c r="Q156" i="274" s="1"/>
  <c r="H102" i="274"/>
  <c r="H156" i="274" s="1"/>
  <c r="U102" i="274"/>
  <c r="U156" i="274" s="1"/>
  <c r="M60" i="274"/>
  <c r="T102" i="274"/>
  <c r="T165" i="274" s="1"/>
  <c r="S60" i="274"/>
  <c r="U15" i="274"/>
  <c r="T62" i="274"/>
  <c r="T78" i="274"/>
  <c r="T104" i="274"/>
  <c r="E70" i="241"/>
  <c r="E71" i="241" s="1"/>
  <c r="E74" i="241" s="1"/>
  <c r="F64" i="241"/>
  <c r="F67" i="241" s="1"/>
  <c r="J82" i="274"/>
  <c r="J52" i="274"/>
  <c r="J56" i="274" s="1"/>
  <c r="J60" i="274" s="1"/>
  <c r="V60" i="274"/>
  <c r="G60" i="274"/>
  <c r="F65" i="274" s="1"/>
  <c r="M18" i="280"/>
  <c r="M33" i="280" s="1"/>
  <c r="M16" i="280"/>
  <c r="M35" i="280"/>
  <c r="F156" i="274"/>
  <c r="F157" i="274"/>
  <c r="F158" i="274"/>
  <c r="F159" i="274"/>
  <c r="F162" i="274"/>
  <c r="F163" i="274"/>
  <c r="F164" i="274"/>
  <c r="F165" i="274"/>
  <c r="F166" i="274"/>
  <c r="F167" i="274"/>
  <c r="F168" i="274"/>
  <c r="F169" i="274"/>
  <c r="F170" i="274"/>
  <c r="F171" i="274"/>
  <c r="F172" i="274"/>
  <c r="F173" i="274"/>
  <c r="F174" i="274"/>
  <c r="F161" i="274"/>
  <c r="X60" i="274"/>
  <c r="L102" i="274"/>
  <c r="L165" i="274" s="1"/>
  <c r="O102" i="274"/>
  <c r="O156" i="274" s="1"/>
  <c r="N63" i="282"/>
  <c r="M34" i="280"/>
  <c r="G65" i="241"/>
  <c r="R102" i="274"/>
  <c r="R156" i="274" s="1"/>
  <c r="G157" i="241"/>
  <c r="G161" i="241"/>
  <c r="G163" i="241"/>
  <c r="G165" i="241"/>
  <c r="G167" i="241"/>
  <c r="G169" i="241"/>
  <c r="G171" i="241"/>
  <c r="G173" i="241"/>
  <c r="G175" i="241"/>
  <c r="G158" i="241"/>
  <c r="G162" i="241"/>
  <c r="G164" i="241"/>
  <c r="G166" i="241"/>
  <c r="G168" i="241"/>
  <c r="G170" i="241"/>
  <c r="G172" i="241"/>
  <c r="G174" i="241"/>
  <c r="G160" i="241"/>
  <c r="P60" i="274"/>
  <c r="U21" i="282"/>
  <c r="U23" i="282"/>
  <c r="U26" i="282" s="1"/>
  <c r="U28" i="282"/>
  <c r="U58" i="282" s="1"/>
  <c r="U63" i="282" s="1"/>
  <c r="Q8" i="282"/>
  <c r="Q14" i="282" s="1"/>
  <c r="Q18" i="282" s="1"/>
  <c r="R5" i="282"/>
  <c r="Q60" i="274"/>
  <c r="G157" i="274"/>
  <c r="G161" i="274"/>
  <c r="G165" i="274"/>
  <c r="G169" i="274"/>
  <c r="G173" i="274"/>
  <c r="G162" i="274"/>
  <c r="G166" i="274"/>
  <c r="G170" i="274"/>
  <c r="G174" i="274"/>
  <c r="G163" i="274"/>
  <c r="G167" i="274"/>
  <c r="G171" i="274"/>
  <c r="G156" i="274"/>
  <c r="G160" i="274"/>
  <c r="G164" i="274"/>
  <c r="G168" i="274"/>
  <c r="G172" i="274"/>
  <c r="G159" i="274"/>
  <c r="O165" i="274"/>
  <c r="U60" i="274"/>
  <c r="T60" i="274"/>
  <c r="S102" i="274"/>
  <c r="S156" i="274" s="1"/>
  <c r="V102" i="274"/>
  <c r="V156" i="274" s="1"/>
  <c r="AD73" i="275"/>
  <c r="H11" i="40"/>
  <c r="D71" i="274"/>
  <c r="D74" i="274" s="1"/>
  <c r="D76" i="274" s="1"/>
  <c r="F160" i="274"/>
  <c r="F70" i="241"/>
  <c r="G64" i="241"/>
  <c r="G67" i="241" s="1"/>
  <c r="X102" i="274"/>
  <c r="F157" i="241"/>
  <c r="F159" i="241"/>
  <c r="F163" i="241"/>
  <c r="F165" i="241"/>
  <c r="F167" i="241"/>
  <c r="F169" i="241"/>
  <c r="F171" i="241"/>
  <c r="F173" i="241"/>
  <c r="F175" i="241"/>
  <c r="F158" i="241"/>
  <c r="F160" i="241"/>
  <c r="F164" i="241"/>
  <c r="F166" i="241"/>
  <c r="F168" i="241"/>
  <c r="F170" i="241"/>
  <c r="F172" i="241"/>
  <c r="F174" i="241"/>
  <c r="F162" i="241"/>
  <c r="P102" i="274"/>
  <c r="P156" i="274" s="1"/>
  <c r="J43" i="133"/>
  <c r="K42" i="133"/>
  <c r="B42" i="133" s="1"/>
  <c r="G42" i="133" s="1"/>
  <c r="B3" i="244" s="1"/>
  <c r="E11" i="241" s="1"/>
  <c r="L11" i="241" s="1"/>
  <c r="F29" i="270"/>
  <c r="G28" i="270"/>
  <c r="W102" i="274"/>
  <c r="D158" i="241"/>
  <c r="D160" i="241"/>
  <c r="D162" i="241"/>
  <c r="D164" i="241"/>
  <c r="D166" i="241"/>
  <c r="D168" i="241"/>
  <c r="D170" i="241"/>
  <c r="D172" i="241"/>
  <c r="D174" i="241"/>
  <c r="D157" i="241"/>
  <c r="D159" i="241"/>
  <c r="D161" i="241"/>
  <c r="D163" i="241"/>
  <c r="D167" i="241"/>
  <c r="D169" i="241"/>
  <c r="D171" i="241"/>
  <c r="D173" i="241"/>
  <c r="D175" i="241"/>
  <c r="O21" i="282"/>
  <c r="O23" i="282"/>
  <c r="O26" i="282"/>
  <c r="O28" i="282"/>
  <c r="O58" i="282" s="1"/>
  <c r="J27" i="236"/>
  <c r="F30" i="236"/>
  <c r="D71" i="241"/>
  <c r="D74" i="241" s="1"/>
  <c r="D76" i="241" s="1"/>
  <c r="N60" i="274"/>
  <c r="I52" i="274"/>
  <c r="I56" i="274" s="1"/>
  <c r="I60" i="274" s="1"/>
  <c r="I82" i="274"/>
  <c r="G110" i="73"/>
  <c r="E68" i="274"/>
  <c r="E151" i="274" s="1"/>
  <c r="E149" i="274"/>
  <c r="E156" i="274"/>
  <c r="E157" i="274"/>
  <c r="E158" i="274"/>
  <c r="E160" i="274"/>
  <c r="E161" i="274"/>
  <c r="E164" i="274"/>
  <c r="E165" i="274"/>
  <c r="E166" i="274"/>
  <c r="E167" i="274"/>
  <c r="E168" i="274"/>
  <c r="E169" i="274"/>
  <c r="E170" i="274"/>
  <c r="E171" i="274"/>
  <c r="E172" i="274"/>
  <c r="E173" i="274"/>
  <c r="E174" i="274"/>
  <c r="E159" i="274"/>
  <c r="E163" i="274"/>
  <c r="D164" i="274"/>
  <c r="AB37" i="332"/>
  <c r="L38" i="282"/>
  <c r="L39" i="282" s="1"/>
  <c r="L41" i="282"/>
  <c r="J19" i="236"/>
  <c r="F22" i="236"/>
  <c r="K82" i="274"/>
  <c r="K52" i="274"/>
  <c r="K56" i="274" s="1"/>
  <c r="K60" i="274" s="1"/>
  <c r="V165" i="274"/>
  <c r="M102" i="274"/>
  <c r="E158" i="241"/>
  <c r="E160" i="241"/>
  <c r="E162" i="241"/>
  <c r="E166" i="241"/>
  <c r="E168" i="241"/>
  <c r="E170" i="241"/>
  <c r="E172" i="241"/>
  <c r="E174" i="241"/>
  <c r="E157" i="241"/>
  <c r="E159" i="241"/>
  <c r="E161" i="241"/>
  <c r="E165" i="241"/>
  <c r="E167" i="241"/>
  <c r="E169" i="241"/>
  <c r="E171" i="241"/>
  <c r="E173" i="241"/>
  <c r="E175" i="241"/>
  <c r="E164" i="241"/>
  <c r="N11" i="280"/>
  <c r="E68" i="241"/>
  <c r="E152" i="241" s="1"/>
  <c r="E150" i="241"/>
  <c r="N102" i="274"/>
  <c r="N156" i="274" s="1"/>
  <c r="M31" i="282"/>
  <c r="M36" i="282"/>
  <c r="E73" i="274" l="1"/>
  <c r="L156" i="274"/>
  <c r="R165" i="274"/>
  <c r="Q165" i="274"/>
  <c r="G65" i="274"/>
  <c r="H64" i="274" s="1"/>
  <c r="H67" i="274" s="1"/>
  <c r="S165" i="274"/>
  <c r="F71" i="241"/>
  <c r="F74" i="241" s="1"/>
  <c r="E73" i="241"/>
  <c r="E76" i="241" s="1"/>
  <c r="E107" i="241" s="1"/>
  <c r="U165" i="274"/>
  <c r="E119" i="241"/>
  <c r="E116" i="241"/>
  <c r="E113" i="241"/>
  <c r="E106" i="241"/>
  <c r="E110" i="241"/>
  <c r="E122" i="241"/>
  <c r="D108" i="241"/>
  <c r="D112" i="241"/>
  <c r="D116" i="241"/>
  <c r="D120" i="241"/>
  <c r="D124" i="241"/>
  <c r="D109" i="241"/>
  <c r="D113" i="241"/>
  <c r="D117" i="241"/>
  <c r="D121" i="241"/>
  <c r="D106" i="241"/>
  <c r="D110" i="241"/>
  <c r="D114" i="241"/>
  <c r="D118" i="241"/>
  <c r="D122" i="241"/>
  <c r="D107" i="241"/>
  <c r="D111" i="241"/>
  <c r="D115" i="241"/>
  <c r="D119" i="241"/>
  <c r="D123" i="241"/>
  <c r="D107" i="274"/>
  <c r="D111" i="274"/>
  <c r="D115" i="274"/>
  <c r="D112" i="274"/>
  <c r="D123" i="274"/>
  <c r="D110" i="274"/>
  <c r="D113" i="274"/>
  <c r="D116" i="274"/>
  <c r="D120" i="274"/>
  <c r="D108" i="274"/>
  <c r="D114" i="274"/>
  <c r="D117" i="274"/>
  <c r="D119" i="274"/>
  <c r="D106" i="274"/>
  <c r="D109" i="274"/>
  <c r="D118" i="274"/>
  <c r="D124" i="274"/>
  <c r="U27" i="282"/>
  <c r="U30" i="282"/>
  <c r="M174" i="274"/>
  <c r="M162" i="274"/>
  <c r="M164" i="274"/>
  <c r="M161" i="274"/>
  <c r="M163" i="274"/>
  <c r="M170" i="274"/>
  <c r="M173" i="274"/>
  <c r="M169" i="274"/>
  <c r="M171" i="274"/>
  <c r="M172" i="274"/>
  <c r="M157" i="274"/>
  <c r="M160" i="274"/>
  <c r="M158" i="274"/>
  <c r="M166" i="274"/>
  <c r="M167" i="274"/>
  <c r="M159" i="274"/>
  <c r="M168" i="274"/>
  <c r="G70" i="274"/>
  <c r="H65" i="274"/>
  <c r="I65" i="274" s="1"/>
  <c r="J65" i="274" s="1"/>
  <c r="G68" i="241"/>
  <c r="G152" i="241" s="1"/>
  <c r="G150" i="241"/>
  <c r="H19" i="40"/>
  <c r="J19" i="40" s="1"/>
  <c r="J21" i="40"/>
  <c r="G175" i="274"/>
  <c r="P8" i="280"/>
  <c r="Q20" i="282"/>
  <c r="G176" i="241"/>
  <c r="G70" i="241"/>
  <c r="G71" i="241" s="1"/>
  <c r="G74" i="241" s="1"/>
  <c r="H64" i="241"/>
  <c r="H67" i="241" s="1"/>
  <c r="H65" i="241"/>
  <c r="F68" i="241"/>
  <c r="F152" i="241" s="1"/>
  <c r="F150" i="241"/>
  <c r="T156" i="274"/>
  <c r="Q174" i="274"/>
  <c r="Q161" i="274"/>
  <c r="Q164" i="274"/>
  <c r="Q162" i="274"/>
  <c r="Q169" i="274"/>
  <c r="Q167" i="274"/>
  <c r="Q173" i="274"/>
  <c r="Q171" i="274"/>
  <c r="Q168" i="274"/>
  <c r="Q158" i="274"/>
  <c r="Q170" i="274"/>
  <c r="Q159" i="274"/>
  <c r="Q172" i="274"/>
  <c r="Q160" i="274"/>
  <c r="Q163" i="274"/>
  <c r="Q157" i="274"/>
  <c r="Q166" i="274"/>
  <c r="P23" i="282"/>
  <c r="P28" i="282"/>
  <c r="P58" i="282" s="1"/>
  <c r="P21" i="282"/>
  <c r="P26" i="282" s="1"/>
  <c r="M165" i="274"/>
  <c r="E176" i="241"/>
  <c r="N165" i="274"/>
  <c r="N18" i="280"/>
  <c r="N33" i="280" s="1"/>
  <c r="N35" i="280"/>
  <c r="N16" i="280"/>
  <c r="M156" i="274"/>
  <c r="K102" i="274"/>
  <c r="K156" i="274"/>
  <c r="D176" i="241"/>
  <c r="P165" i="274"/>
  <c r="K43" i="133"/>
  <c r="B43" i="133" s="1"/>
  <c r="G43" i="133" s="1"/>
  <c r="B3" i="276" s="1"/>
  <c r="E11" i="274" s="1"/>
  <c r="O11" i="274" s="1"/>
  <c r="J44" i="133"/>
  <c r="S174" i="274"/>
  <c r="S162" i="274"/>
  <c r="S161" i="274"/>
  <c r="S164" i="274"/>
  <c r="S169" i="274"/>
  <c r="S158" i="274"/>
  <c r="S168" i="274"/>
  <c r="S170" i="274"/>
  <c r="S163" i="274"/>
  <c r="S167" i="274"/>
  <c r="S171" i="274"/>
  <c r="S157" i="274"/>
  <c r="S166" i="274"/>
  <c r="S159" i="274"/>
  <c r="S160" i="274"/>
  <c r="S173" i="274"/>
  <c r="S172" i="274"/>
  <c r="O174" i="274"/>
  <c r="O162" i="274"/>
  <c r="O166" i="274"/>
  <c r="O159" i="274"/>
  <c r="O171" i="274"/>
  <c r="O173" i="274"/>
  <c r="O164" i="274"/>
  <c r="O170" i="274"/>
  <c r="O168" i="274"/>
  <c r="O158" i="274"/>
  <c r="O169" i="274"/>
  <c r="O157" i="274"/>
  <c r="O160" i="274"/>
  <c r="O167" i="274"/>
  <c r="O172" i="274"/>
  <c r="O163" i="274"/>
  <c r="O161" i="274"/>
  <c r="F175" i="274"/>
  <c r="J102" i="274"/>
  <c r="J156" i="274" s="1"/>
  <c r="T174" i="274"/>
  <c r="T161" i="274"/>
  <c r="T162" i="274"/>
  <c r="T163" i="274"/>
  <c r="T166" i="274"/>
  <c r="T158" i="274"/>
  <c r="T159" i="274"/>
  <c r="T173" i="274"/>
  <c r="T170" i="274"/>
  <c r="T171" i="274"/>
  <c r="T168" i="274"/>
  <c r="T164" i="274"/>
  <c r="T172" i="274"/>
  <c r="T169" i="274"/>
  <c r="T167" i="274"/>
  <c r="T160" i="274"/>
  <c r="T157" i="274"/>
  <c r="F64" i="274"/>
  <c r="F67" i="274" s="1"/>
  <c r="E70" i="274"/>
  <c r="E71" i="274" s="1"/>
  <c r="O11" i="280"/>
  <c r="N31" i="282"/>
  <c r="N36" i="282"/>
  <c r="E175" i="274"/>
  <c r="O63" i="282"/>
  <c r="N34" i="280"/>
  <c r="F176" i="241"/>
  <c r="R174" i="274"/>
  <c r="R164" i="274"/>
  <c r="R162" i="274"/>
  <c r="R161" i="274"/>
  <c r="R157" i="274"/>
  <c r="R173" i="274"/>
  <c r="R158" i="274"/>
  <c r="R166" i="274"/>
  <c r="R172" i="274"/>
  <c r="R171" i="274"/>
  <c r="R168" i="274"/>
  <c r="R159" i="274"/>
  <c r="R160" i="274"/>
  <c r="R169" i="274"/>
  <c r="R170" i="274"/>
  <c r="R163" i="274"/>
  <c r="R167" i="274"/>
  <c r="G64" i="274"/>
  <c r="G67" i="274" s="1"/>
  <c r="F70" i="274"/>
  <c r="F71" i="274" s="1"/>
  <c r="F74" i="274" s="1"/>
  <c r="U78" i="274"/>
  <c r="U104" i="274"/>
  <c r="V15" i="274"/>
  <c r="U62" i="274"/>
  <c r="H158" i="274"/>
  <c r="H159" i="274"/>
  <c r="H160" i="274"/>
  <c r="H161" i="274"/>
  <c r="H162" i="274"/>
  <c r="H163" i="274"/>
  <c r="H164" i="274"/>
  <c r="H165" i="274"/>
  <c r="H166" i="274"/>
  <c r="H167" i="274"/>
  <c r="H168" i="274"/>
  <c r="H169" i="274"/>
  <c r="H170" i="274"/>
  <c r="H171" i="274"/>
  <c r="H172" i="274"/>
  <c r="H173" i="274"/>
  <c r="H174" i="274"/>
  <c r="H157" i="274"/>
  <c r="H160" i="241"/>
  <c r="H162" i="241"/>
  <c r="H164" i="241"/>
  <c r="H166" i="241"/>
  <c r="H168" i="241"/>
  <c r="H170" i="241"/>
  <c r="H172" i="241"/>
  <c r="H174" i="241"/>
  <c r="H159" i="241"/>
  <c r="H161" i="241"/>
  <c r="H163" i="241"/>
  <c r="H165" i="241"/>
  <c r="H167" i="241"/>
  <c r="H169" i="241"/>
  <c r="H171" i="241"/>
  <c r="H173" i="241"/>
  <c r="H175" i="241"/>
  <c r="H158" i="241"/>
  <c r="N174" i="274"/>
  <c r="N162" i="274"/>
  <c r="N170" i="274"/>
  <c r="N169" i="274"/>
  <c r="N171" i="274"/>
  <c r="N168" i="274"/>
  <c r="N172" i="274"/>
  <c r="N158" i="274"/>
  <c r="N164" i="274"/>
  <c r="N173" i="274"/>
  <c r="N160" i="274"/>
  <c r="N167" i="274"/>
  <c r="N161" i="274"/>
  <c r="N157" i="274"/>
  <c r="N159" i="274"/>
  <c r="N166" i="274"/>
  <c r="N163" i="274"/>
  <c r="M38" i="282"/>
  <c r="M39" i="282" s="1"/>
  <c r="AB38" i="332"/>
  <c r="I102" i="274"/>
  <c r="I156" i="274" s="1"/>
  <c r="O27" i="282"/>
  <c r="O30" i="282"/>
  <c r="G29" i="270"/>
  <c r="F30" i="270"/>
  <c r="G30" i="270" s="1"/>
  <c r="G31" i="270" s="1"/>
  <c r="P174" i="274"/>
  <c r="P161" i="274"/>
  <c r="P162" i="274"/>
  <c r="P164" i="274"/>
  <c r="P159" i="274"/>
  <c r="P170" i="274"/>
  <c r="P167" i="274"/>
  <c r="P173" i="274"/>
  <c r="P157" i="274"/>
  <c r="P172" i="274"/>
  <c r="P168" i="274"/>
  <c r="P171" i="274"/>
  <c r="P158" i="274"/>
  <c r="P160" i="274"/>
  <c r="P163" i="274"/>
  <c r="P169" i="274"/>
  <c r="P166" i="274"/>
  <c r="V174" i="274"/>
  <c r="V164" i="274"/>
  <c r="V160" i="274"/>
  <c r="V167" i="274"/>
  <c r="V168" i="274"/>
  <c r="V162" i="274"/>
  <c r="V158" i="274"/>
  <c r="V169" i="274"/>
  <c r="V172" i="274"/>
  <c r="V157" i="274"/>
  <c r="V170" i="274"/>
  <c r="V161" i="274"/>
  <c r="V166" i="274"/>
  <c r="V171" i="274"/>
  <c r="V173" i="274"/>
  <c r="V159" i="274"/>
  <c r="V163" i="274"/>
  <c r="R8" i="282"/>
  <c r="R14" i="282" s="1"/>
  <c r="R18" i="282" s="1"/>
  <c r="S5" i="282"/>
  <c r="L174" i="274"/>
  <c r="L162" i="274"/>
  <c r="L163" i="274"/>
  <c r="L173" i="274"/>
  <c r="L159" i="274"/>
  <c r="L169" i="274"/>
  <c r="L167" i="274"/>
  <c r="L161" i="274"/>
  <c r="L157" i="274"/>
  <c r="L171" i="274"/>
  <c r="L160" i="274"/>
  <c r="L170" i="274"/>
  <c r="L158" i="274"/>
  <c r="L172" i="274"/>
  <c r="L166" i="274"/>
  <c r="L164" i="274"/>
  <c r="L168" i="274"/>
  <c r="U174" i="274"/>
  <c r="U162" i="274"/>
  <c r="U161" i="274"/>
  <c r="U164" i="274"/>
  <c r="U168" i="274"/>
  <c r="U173" i="274"/>
  <c r="U160" i="274"/>
  <c r="U170" i="274"/>
  <c r="U169" i="274"/>
  <c r="U167" i="274"/>
  <c r="U172" i="274"/>
  <c r="U158" i="274"/>
  <c r="U166" i="274"/>
  <c r="U171" i="274"/>
  <c r="U163" i="274"/>
  <c r="U159" i="274"/>
  <c r="U157" i="274"/>
  <c r="H176" i="241"/>
  <c r="D175" i="274"/>
  <c r="H175" i="274" l="1"/>
  <c r="N175" i="274"/>
  <c r="G71" i="274"/>
  <c r="O175" i="274"/>
  <c r="Q175" i="274"/>
  <c r="L175" i="274"/>
  <c r="P175" i="274"/>
  <c r="R175" i="274"/>
  <c r="E74" i="274"/>
  <c r="E76" i="274" s="1"/>
  <c r="E116" i="274" s="1"/>
  <c r="V175" i="274"/>
  <c r="E118" i="241"/>
  <c r="E121" i="241"/>
  <c r="E124" i="241"/>
  <c r="E108" i="241"/>
  <c r="E111" i="241"/>
  <c r="S175" i="274"/>
  <c r="E109" i="241"/>
  <c r="E126" i="241" s="1"/>
  <c r="E112" i="241"/>
  <c r="E115" i="241"/>
  <c r="U175" i="274"/>
  <c r="M175" i="274"/>
  <c r="G73" i="241"/>
  <c r="G74" i="274"/>
  <c r="E114" i="241"/>
  <c r="E117" i="241"/>
  <c r="E120" i="241"/>
  <c r="E123" i="241"/>
  <c r="K64" i="274"/>
  <c r="K67" i="274" s="1"/>
  <c r="J70" i="274"/>
  <c r="J71" i="274" s="1"/>
  <c r="K65" i="274"/>
  <c r="P27" i="282"/>
  <c r="P30" i="282"/>
  <c r="G76" i="241"/>
  <c r="AB39" i="332"/>
  <c r="K174" i="274"/>
  <c r="K162" i="274"/>
  <c r="K161" i="274"/>
  <c r="K164" i="274"/>
  <c r="K160" i="274"/>
  <c r="K157" i="274"/>
  <c r="K158" i="274"/>
  <c r="K167" i="274"/>
  <c r="K170" i="274"/>
  <c r="K166" i="274"/>
  <c r="K163" i="274"/>
  <c r="K172" i="274"/>
  <c r="K168" i="274"/>
  <c r="K169" i="274"/>
  <c r="K171" i="274"/>
  <c r="K159" i="274"/>
  <c r="K173" i="274"/>
  <c r="K165" i="274"/>
  <c r="F73" i="241"/>
  <c r="F76" i="241" s="1"/>
  <c r="I64" i="241"/>
  <c r="I67" i="241" s="1"/>
  <c r="H70" i="241"/>
  <c r="H71" i="241" s="1"/>
  <c r="I65" i="241"/>
  <c r="P11" i="280"/>
  <c r="I64" i="274"/>
  <c r="I67" i="274" s="1"/>
  <c r="H70" i="274"/>
  <c r="H71" i="274" s="1"/>
  <c r="D126" i="274"/>
  <c r="I174" i="274"/>
  <c r="I162" i="274"/>
  <c r="I164" i="274"/>
  <c r="I161" i="274"/>
  <c r="I157" i="274"/>
  <c r="I169" i="274"/>
  <c r="I158" i="274"/>
  <c r="I163" i="274"/>
  <c r="I170" i="274"/>
  <c r="I167" i="274"/>
  <c r="I171" i="274"/>
  <c r="I166" i="274"/>
  <c r="I159" i="274"/>
  <c r="I172" i="274"/>
  <c r="I168" i="274"/>
  <c r="I160" i="274"/>
  <c r="I173" i="274"/>
  <c r="I165" i="274"/>
  <c r="M41" i="282"/>
  <c r="J45" i="133"/>
  <c r="K44" i="133"/>
  <c r="B44" i="133" s="1"/>
  <c r="G44" i="133" s="1"/>
  <c r="B3" i="275" s="1"/>
  <c r="F12" i="243" s="1"/>
  <c r="F27" i="243" s="1"/>
  <c r="F40" i="243" s="1"/>
  <c r="T5" i="282"/>
  <c r="T8" i="282" s="1"/>
  <c r="T14" i="282" s="1"/>
  <c r="T18" i="282" s="1"/>
  <c r="S8" i="282"/>
  <c r="S14" i="282" s="1"/>
  <c r="S18" i="282" s="1"/>
  <c r="G68" i="274"/>
  <c r="G151" i="274" s="1"/>
  <c r="G149" i="274"/>
  <c r="N38" i="282"/>
  <c r="N39" i="282" s="1"/>
  <c r="O35" i="280"/>
  <c r="O16" i="280"/>
  <c r="O18" i="280"/>
  <c r="O33" i="280" s="1"/>
  <c r="F149" i="274"/>
  <c r="F68" i="274"/>
  <c r="F151" i="274" s="1"/>
  <c r="F73" i="274"/>
  <c r="F76" i="274" s="1"/>
  <c r="J174" i="274"/>
  <c r="J161" i="274"/>
  <c r="J164" i="274"/>
  <c r="J158" i="274"/>
  <c r="J162" i="274"/>
  <c r="J172" i="274"/>
  <c r="J171" i="274"/>
  <c r="J170" i="274"/>
  <c r="J169" i="274"/>
  <c r="J168" i="274"/>
  <c r="J173" i="274"/>
  <c r="J160" i="274"/>
  <c r="J157" i="274"/>
  <c r="J159" i="274"/>
  <c r="J163" i="274"/>
  <c r="J166" i="274"/>
  <c r="J167" i="274"/>
  <c r="J165" i="274"/>
  <c r="P63" i="282"/>
  <c r="O34" i="280"/>
  <c r="T175" i="274"/>
  <c r="J64" i="274"/>
  <c r="J67" i="274" s="1"/>
  <c r="I70" i="274"/>
  <c r="H68" i="274"/>
  <c r="H151" i="274" s="1"/>
  <c r="H149" i="274"/>
  <c r="D126" i="241"/>
  <c r="Q8" i="280"/>
  <c r="R20" i="282"/>
  <c r="O31" i="282"/>
  <c r="O36" i="282"/>
  <c r="V62" i="274"/>
  <c r="W15" i="274"/>
  <c r="V104" i="274"/>
  <c r="V78" i="274"/>
  <c r="H68" i="241"/>
  <c r="H152" i="241" s="1"/>
  <c r="H150" i="241"/>
  <c r="Q21" i="282"/>
  <c r="Q23" i="282"/>
  <c r="Q26" i="282" s="1"/>
  <c r="Q28" i="282"/>
  <c r="Q58" i="282" s="1"/>
  <c r="U31" i="282"/>
  <c r="U36" i="282"/>
  <c r="E112" i="274" l="1"/>
  <c r="I175" i="274"/>
  <c r="H74" i="274"/>
  <c r="K175" i="274"/>
  <c r="E111" i="274"/>
  <c r="E115" i="274"/>
  <c r="G73" i="274"/>
  <c r="G76" i="274" s="1"/>
  <c r="G110" i="274" s="1"/>
  <c r="E123" i="274"/>
  <c r="E120" i="274"/>
  <c r="E109" i="274"/>
  <c r="E108" i="274"/>
  <c r="E117" i="274"/>
  <c r="E113" i="274"/>
  <c r="E124" i="274"/>
  <c r="E106" i="274"/>
  <c r="J175" i="274"/>
  <c r="E119" i="274"/>
  <c r="E107" i="274"/>
  <c r="H74" i="241"/>
  <c r="J74" i="274"/>
  <c r="E114" i="274"/>
  <c r="E110" i="274"/>
  <c r="E118" i="274"/>
  <c r="Q27" i="282"/>
  <c r="Q30" i="282"/>
  <c r="I71" i="274"/>
  <c r="I74" i="274" s="1"/>
  <c r="F109" i="274"/>
  <c r="F113" i="274"/>
  <c r="F117" i="274"/>
  <c r="F111" i="274"/>
  <c r="F114" i="274"/>
  <c r="F119" i="274"/>
  <c r="F106" i="274"/>
  <c r="F112" i="274"/>
  <c r="F115" i="274"/>
  <c r="F118" i="274"/>
  <c r="F124" i="274"/>
  <c r="F107" i="274"/>
  <c r="F116" i="274"/>
  <c r="F123" i="274"/>
  <c r="F108" i="274"/>
  <c r="F110" i="274"/>
  <c r="F120" i="274"/>
  <c r="I68" i="241"/>
  <c r="I152" i="241" s="1"/>
  <c r="I150" i="241"/>
  <c r="P31" i="282"/>
  <c r="P36" i="282"/>
  <c r="Q63" i="282"/>
  <c r="P34" i="280"/>
  <c r="Q11" i="280"/>
  <c r="U38" i="282"/>
  <c r="U39" i="282" s="1"/>
  <c r="H73" i="241"/>
  <c r="W78" i="274"/>
  <c r="X15" i="274"/>
  <c r="W104" i="274"/>
  <c r="W62" i="274"/>
  <c r="O38" i="282"/>
  <c r="O39" i="282" s="1"/>
  <c r="O41" i="282"/>
  <c r="G106" i="274"/>
  <c r="G108" i="274"/>
  <c r="G119" i="274"/>
  <c r="G118" i="274"/>
  <c r="G124" i="274"/>
  <c r="R8" i="280"/>
  <c r="S20" i="282"/>
  <c r="I70" i="241"/>
  <c r="I71" i="241" s="1"/>
  <c r="J64" i="241"/>
  <c r="J67" i="241" s="1"/>
  <c r="J65" i="241"/>
  <c r="S8" i="280"/>
  <c r="T20" i="282"/>
  <c r="I68" i="274"/>
  <c r="I151" i="274" s="1"/>
  <c r="D152" i="274" s="1"/>
  <c r="I149" i="274"/>
  <c r="AB40" i="332"/>
  <c r="L64" i="274"/>
  <c r="L67" i="274" s="1"/>
  <c r="K70" i="274"/>
  <c r="L65" i="274"/>
  <c r="R21" i="282"/>
  <c r="R26" i="282" s="1"/>
  <c r="R23" i="282"/>
  <c r="R28" i="282"/>
  <c r="R58" i="282" s="1"/>
  <c r="H73" i="274"/>
  <c r="J68" i="274"/>
  <c r="J151" i="274" s="1"/>
  <c r="J149" i="274"/>
  <c r="N41" i="282"/>
  <c r="K45" i="133"/>
  <c r="B45" i="133" s="1"/>
  <c r="G45" i="133" s="1"/>
  <c r="B3" i="13" s="1"/>
  <c r="J46" i="133"/>
  <c r="P16" i="280"/>
  <c r="P18" i="280"/>
  <c r="P33" i="280" s="1"/>
  <c r="P35" i="280"/>
  <c r="AB20" i="280"/>
  <c r="AB23" i="280" s="1"/>
  <c r="F106" i="241"/>
  <c r="F110" i="241"/>
  <c r="F114" i="241"/>
  <c r="F118" i="241"/>
  <c r="F122" i="241"/>
  <c r="F107" i="241"/>
  <c r="F111" i="241"/>
  <c r="F115" i="241"/>
  <c r="F119" i="241"/>
  <c r="F123" i="241"/>
  <c r="F108" i="241"/>
  <c r="F112" i="241"/>
  <c r="F116" i="241"/>
  <c r="F120" i="241"/>
  <c r="F124" i="241"/>
  <c r="F109" i="241"/>
  <c r="F113" i="241"/>
  <c r="F117" i="241"/>
  <c r="F121" i="241"/>
  <c r="G109" i="241"/>
  <c r="G113" i="241"/>
  <c r="G117" i="241"/>
  <c r="G121" i="241"/>
  <c r="G106" i="241"/>
  <c r="G110" i="241"/>
  <c r="G114" i="241"/>
  <c r="G118" i="241"/>
  <c r="G122" i="241"/>
  <c r="G107" i="241"/>
  <c r="G111" i="241"/>
  <c r="G115" i="241"/>
  <c r="G119" i="241"/>
  <c r="G123" i="241"/>
  <c r="G108" i="241"/>
  <c r="G112" i="241"/>
  <c r="G116" i="241"/>
  <c r="G120" i="241"/>
  <c r="G124" i="241"/>
  <c r="K68" i="274"/>
  <c r="K151" i="274" s="1"/>
  <c r="K149" i="274"/>
  <c r="G123" i="274" l="1"/>
  <c r="G111" i="274"/>
  <c r="G107" i="274"/>
  <c r="G117" i="274"/>
  <c r="H76" i="274"/>
  <c r="E72" i="276" s="1"/>
  <c r="I73" i="274"/>
  <c r="G116" i="274"/>
  <c r="G115" i="274"/>
  <c r="G109" i="274"/>
  <c r="G114" i="274"/>
  <c r="I73" i="241"/>
  <c r="E126" i="274"/>
  <c r="J73" i="274"/>
  <c r="J76" i="274" s="1"/>
  <c r="G113" i="274"/>
  <c r="G112" i="274"/>
  <c r="G120" i="274"/>
  <c r="H76" i="241"/>
  <c r="H72" i="276"/>
  <c r="I72" i="276"/>
  <c r="R27" i="282"/>
  <c r="R30" i="282"/>
  <c r="M14" i="280"/>
  <c r="G14" i="280"/>
  <c r="K14" i="280"/>
  <c r="H14" i="280"/>
  <c r="L14" i="280"/>
  <c r="E14" i="280"/>
  <c r="I14" i="280"/>
  <c r="N14" i="280"/>
  <c r="F14" i="280"/>
  <c r="J14" i="280"/>
  <c r="O14" i="280"/>
  <c r="P14" i="280"/>
  <c r="R63" i="282"/>
  <c r="Q34" i="280"/>
  <c r="K71" i="274"/>
  <c r="K74" i="274" s="1"/>
  <c r="K73" i="274"/>
  <c r="J47" i="133"/>
  <c r="K46" i="133"/>
  <c r="B46" i="133" s="1"/>
  <c r="G46" i="133" s="1"/>
  <c r="B3" i="14" s="1"/>
  <c r="M64" i="274"/>
  <c r="M67" i="274" s="1"/>
  <c r="L70" i="274"/>
  <c r="L71" i="274" s="1"/>
  <c r="L74" i="274" s="1"/>
  <c r="M65" i="274"/>
  <c r="L68" i="274"/>
  <c r="L151" i="274" s="1"/>
  <c r="L149" i="274"/>
  <c r="AB41" i="332"/>
  <c r="T23" i="282"/>
  <c r="T26" i="282"/>
  <c r="T28" i="282"/>
  <c r="T58" i="282" s="1"/>
  <c r="T21" i="282"/>
  <c r="J68" i="241"/>
  <c r="J152" i="241" s="1"/>
  <c r="D153" i="241" s="1"/>
  <c r="J150" i="241"/>
  <c r="X62" i="274"/>
  <c r="X78" i="274"/>
  <c r="X104" i="274"/>
  <c r="G126" i="241"/>
  <c r="I76" i="274"/>
  <c r="S11" i="280"/>
  <c r="U8" i="280"/>
  <c r="S14" i="280"/>
  <c r="I74" i="241"/>
  <c r="I76" i="241" s="1"/>
  <c r="S21" i="282"/>
  <c r="S26" i="282" s="1"/>
  <c r="S23" i="282"/>
  <c r="S28" i="282"/>
  <c r="S58" i="282" s="1"/>
  <c r="Q14" i="280"/>
  <c r="Q20" i="280" s="1"/>
  <c r="F126" i="274"/>
  <c r="Q31" i="282"/>
  <c r="Q36" i="282"/>
  <c r="F126" i="241"/>
  <c r="H107" i="274"/>
  <c r="H111" i="274"/>
  <c r="H115" i="274"/>
  <c r="H110" i="274"/>
  <c r="H113" i="274"/>
  <c r="H116" i="274"/>
  <c r="H123" i="274"/>
  <c r="H108" i="274"/>
  <c r="H114" i="274"/>
  <c r="H117" i="274"/>
  <c r="H120" i="274"/>
  <c r="H106" i="274"/>
  <c r="H109" i="274"/>
  <c r="H119" i="274"/>
  <c r="H112" i="274"/>
  <c r="H118" i="274"/>
  <c r="H124" i="274"/>
  <c r="AC73" i="275"/>
  <c r="R14" i="280"/>
  <c r="R11" i="280"/>
  <c r="H108" i="241"/>
  <c r="H112" i="241"/>
  <c r="H116" i="241"/>
  <c r="H124" i="241"/>
  <c r="H109" i="241"/>
  <c r="H113" i="241"/>
  <c r="H121" i="241"/>
  <c r="H106" i="241"/>
  <c r="H110" i="241"/>
  <c r="H118" i="241"/>
  <c r="H122" i="241"/>
  <c r="H107" i="241"/>
  <c r="H115" i="241"/>
  <c r="H119" i="241"/>
  <c r="H123" i="241"/>
  <c r="Q18" i="280"/>
  <c r="Q33" i="280" s="1"/>
  <c r="Q35" i="280"/>
  <c r="Q16" i="280"/>
  <c r="P38" i="282"/>
  <c r="P39" i="282" s="1"/>
  <c r="J109" i="274"/>
  <c r="J113" i="274"/>
  <c r="J117" i="274"/>
  <c r="J106" i="274"/>
  <c r="J112" i="274"/>
  <c r="J115" i="274"/>
  <c r="J119" i="274"/>
  <c r="J107" i="274"/>
  <c r="J116" i="274"/>
  <c r="J118" i="274"/>
  <c r="J121" i="274"/>
  <c r="J124" i="274"/>
  <c r="J108" i="274"/>
  <c r="J110" i="274"/>
  <c r="J123" i="274"/>
  <c r="J111" i="274"/>
  <c r="J114" i="274"/>
  <c r="J120" i="274"/>
  <c r="J122" i="274"/>
  <c r="J70" i="241"/>
  <c r="J71" i="241" s="1"/>
  <c r="J74" i="241" s="1"/>
  <c r="K64" i="241"/>
  <c r="K67" i="241" s="1"/>
  <c r="K65" i="241"/>
  <c r="U41" i="282"/>
  <c r="G126" i="274" l="1"/>
  <c r="J73" i="241"/>
  <c r="L73" i="274"/>
  <c r="L76" i="274"/>
  <c r="L108" i="274" s="1"/>
  <c r="J76" i="241"/>
  <c r="J106" i="241" s="1"/>
  <c r="AB73" i="275"/>
  <c r="AB75" i="275" s="1"/>
  <c r="E72" i="275" s="1"/>
  <c r="H72" i="275" s="1"/>
  <c r="E72" i="244"/>
  <c r="H111" i="241"/>
  <c r="H126" i="241" s="1"/>
  <c r="H114" i="241"/>
  <c r="H117" i="241"/>
  <c r="H120" i="241"/>
  <c r="H126" i="274"/>
  <c r="S27" i="282"/>
  <c r="S30" i="282"/>
  <c r="Q25" i="280"/>
  <c r="L107" i="274"/>
  <c r="J111" i="241"/>
  <c r="J124" i="241"/>
  <c r="Q38" i="282"/>
  <c r="Q39" i="282" s="1"/>
  <c r="S63" i="282"/>
  <c r="R34" i="280"/>
  <c r="I107" i="241"/>
  <c r="I111" i="241"/>
  <c r="I115" i="241"/>
  <c r="I119" i="241"/>
  <c r="I123" i="241"/>
  <c r="I108" i="241"/>
  <c r="I112" i="241"/>
  <c r="I116" i="241"/>
  <c r="I120" i="241"/>
  <c r="I124" i="241"/>
  <c r="I109" i="241"/>
  <c r="I113" i="241"/>
  <c r="I117" i="241"/>
  <c r="I121" i="241"/>
  <c r="I106" i="241"/>
  <c r="I110" i="241"/>
  <c r="I114" i="241"/>
  <c r="I118" i="241"/>
  <c r="I122" i="241"/>
  <c r="I108" i="274"/>
  <c r="I112" i="274"/>
  <c r="I116" i="274"/>
  <c r="I107" i="274"/>
  <c r="I118" i="274"/>
  <c r="I121" i="274"/>
  <c r="I124" i="274"/>
  <c r="I110" i="274"/>
  <c r="I113" i="274"/>
  <c r="I123" i="274"/>
  <c r="I111" i="274"/>
  <c r="I114" i="274"/>
  <c r="I117" i="274"/>
  <c r="I120" i="274"/>
  <c r="I122" i="274"/>
  <c r="I106" i="274"/>
  <c r="I109" i="274"/>
  <c r="I115" i="274"/>
  <c r="I119" i="274"/>
  <c r="K47" i="133"/>
  <c r="B47" i="133" s="1"/>
  <c r="G47" i="133" s="1"/>
  <c r="B3" i="233" s="1"/>
  <c r="J48" i="133"/>
  <c r="K48" i="133" s="1"/>
  <c r="B48" i="133" s="1"/>
  <c r="G48" i="133" s="1"/>
  <c r="J21" i="280"/>
  <c r="J20" i="280"/>
  <c r="E21" i="280"/>
  <c r="E20" i="280"/>
  <c r="G21" i="280"/>
  <c r="G20" i="280"/>
  <c r="K150" i="241"/>
  <c r="K68" i="241"/>
  <c r="K152" i="241" s="1"/>
  <c r="R18" i="280"/>
  <c r="R33" i="280" s="1"/>
  <c r="R20" i="280"/>
  <c r="R35" i="280"/>
  <c r="R16" i="280"/>
  <c r="R21" i="280" s="1"/>
  <c r="AB42" i="332"/>
  <c r="N64" i="274"/>
  <c r="N67" i="274" s="1"/>
  <c r="M70" i="274"/>
  <c r="N65" i="274"/>
  <c r="F21" i="280"/>
  <c r="F20" i="280"/>
  <c r="L21" i="280"/>
  <c r="L20" i="280"/>
  <c r="M21" i="280"/>
  <c r="M20" i="280"/>
  <c r="K70" i="241"/>
  <c r="K71" i="241" s="1"/>
  <c r="L64" i="241"/>
  <c r="L67" i="241" s="1"/>
  <c r="L65" i="241"/>
  <c r="P41" i="282"/>
  <c r="U14" i="280"/>
  <c r="U11" i="280"/>
  <c r="T63" i="282"/>
  <c r="S34" i="280"/>
  <c r="C67" i="280" s="1" a="1"/>
  <c r="M68" i="274"/>
  <c r="M151" i="274" s="1"/>
  <c r="M149" i="274"/>
  <c r="K76" i="274"/>
  <c r="P21" i="280"/>
  <c r="P20" i="280"/>
  <c r="N21" i="280"/>
  <c r="N20" i="280"/>
  <c r="H21" i="280"/>
  <c r="H20" i="280"/>
  <c r="J126" i="274"/>
  <c r="Q21" i="280"/>
  <c r="S18" i="280"/>
  <c r="S33" i="280" s="1"/>
  <c r="S20" i="280"/>
  <c r="S35" i="280"/>
  <c r="S16" i="280"/>
  <c r="S21" i="280" s="1"/>
  <c r="T27" i="282"/>
  <c r="T30" i="282"/>
  <c r="J30" i="300"/>
  <c r="F10" i="243"/>
  <c r="F26" i="243" s="1"/>
  <c r="E12" i="274"/>
  <c r="O12" i="274" s="1"/>
  <c r="E12" i="241"/>
  <c r="L12" i="241" s="1"/>
  <c r="O21" i="280"/>
  <c r="O20" i="280"/>
  <c r="I21" i="280"/>
  <c r="I20" i="280"/>
  <c r="K21" i="280"/>
  <c r="K20" i="280"/>
  <c r="R31" i="282"/>
  <c r="R36" i="282"/>
  <c r="T72" i="276"/>
  <c r="I72" i="275" l="1"/>
  <c r="L122" i="274"/>
  <c r="L121" i="274"/>
  <c r="L123" i="274"/>
  <c r="M73" i="274"/>
  <c r="L118" i="274"/>
  <c r="L117" i="274"/>
  <c r="L119" i="274"/>
  <c r="L111" i="274"/>
  <c r="J112" i="241"/>
  <c r="J121" i="241"/>
  <c r="J108" i="241"/>
  <c r="J114" i="241"/>
  <c r="L113" i="274"/>
  <c r="L120" i="274"/>
  <c r="L114" i="274"/>
  <c r="J118" i="241"/>
  <c r="J109" i="241"/>
  <c r="J115" i="241"/>
  <c r="L124" i="274"/>
  <c r="L110" i="274"/>
  <c r="L109" i="274"/>
  <c r="L115" i="274"/>
  <c r="J117" i="241"/>
  <c r="J120" i="241"/>
  <c r="J123" i="241"/>
  <c r="J107" i="241"/>
  <c r="J110" i="241"/>
  <c r="J113" i="241"/>
  <c r="J116" i="241"/>
  <c r="J119" i="241"/>
  <c r="J122" i="241"/>
  <c r="L116" i="274"/>
  <c r="L112" i="274"/>
  <c r="L106" i="274"/>
  <c r="H72" i="244"/>
  <c r="T72" i="244" s="1"/>
  <c r="I72" i="244"/>
  <c r="F25" i="280"/>
  <c r="F29" i="280" s="1"/>
  <c r="F30" i="280" s="1"/>
  <c r="F31" i="280" s="1"/>
  <c r="F37" i="280" s="1"/>
  <c r="F41" i="280" s="1"/>
  <c r="F46" i="280" s="1"/>
  <c r="F26" i="280"/>
  <c r="I25" i="280"/>
  <c r="I29" i="280" s="1"/>
  <c r="I30" i="280" s="1"/>
  <c r="I31" i="280"/>
  <c r="I37" i="280" s="1"/>
  <c r="I41" i="280" s="1"/>
  <c r="I46" i="280" s="1"/>
  <c r="I26" i="280"/>
  <c r="T31" i="282"/>
  <c r="T36" i="282"/>
  <c r="S25" i="280"/>
  <c r="P25" i="280"/>
  <c r="U18" i="280"/>
  <c r="U33" i="280" s="1"/>
  <c r="U34" i="280" s="1"/>
  <c r="U16" i="280"/>
  <c r="U20" i="280" s="1"/>
  <c r="K74" i="241"/>
  <c r="V72" i="276"/>
  <c r="U72" i="276"/>
  <c r="W72" i="276" s="1"/>
  <c r="K25" i="280"/>
  <c r="O25" i="280"/>
  <c r="N25" i="280"/>
  <c r="K106" i="274"/>
  <c r="K110" i="274"/>
  <c r="K114" i="274"/>
  <c r="K109" i="274"/>
  <c r="K111" i="274"/>
  <c r="K120" i="274"/>
  <c r="K122" i="274"/>
  <c r="K112" i="274"/>
  <c r="K115" i="274"/>
  <c r="K119" i="274"/>
  <c r="K107" i="274"/>
  <c r="K113" i="274"/>
  <c r="K116" i="274"/>
  <c r="K118" i="274"/>
  <c r="K121" i="274"/>
  <c r="K108" i="274"/>
  <c r="K117" i="274"/>
  <c r="K123" i="274"/>
  <c r="K124" i="274"/>
  <c r="C69" i="280"/>
  <c r="G69" i="280" s="1"/>
  <c r="C73" i="280"/>
  <c r="K73" i="280" s="1"/>
  <c r="C77" i="280"/>
  <c r="O77" i="280" s="1"/>
  <c r="C81" i="280"/>
  <c r="S81" i="280" s="1"/>
  <c r="C67" i="280"/>
  <c r="E67" i="280" s="1"/>
  <c r="C71" i="280"/>
  <c r="I71" i="280" s="1"/>
  <c r="C75" i="280"/>
  <c r="M75" i="280" s="1"/>
  <c r="C79" i="280"/>
  <c r="Q79" i="280" s="1"/>
  <c r="C74" i="280"/>
  <c r="L74" i="280" s="1"/>
  <c r="C82" i="280"/>
  <c r="C68" i="280"/>
  <c r="F68" i="280" s="1"/>
  <c r="C76" i="280"/>
  <c r="N76" i="280" s="1"/>
  <c r="C70" i="280"/>
  <c r="H70" i="280" s="1"/>
  <c r="C78" i="280"/>
  <c r="P78" i="280" s="1"/>
  <c r="C72" i="280"/>
  <c r="J72" i="280" s="1"/>
  <c r="C80" i="280"/>
  <c r="R80" i="280" s="1"/>
  <c r="S80" i="280" s="1"/>
  <c r="L68" i="241"/>
  <c r="L152" i="241" s="1"/>
  <c r="L150" i="241"/>
  <c r="T72" i="275"/>
  <c r="M71" i="274"/>
  <c r="M74" i="274" s="1"/>
  <c r="M76" i="274" s="1"/>
  <c r="K73" i="241"/>
  <c r="M64" i="241"/>
  <c r="M67" i="241" s="1"/>
  <c r="L70" i="241"/>
  <c r="M65" i="241"/>
  <c r="E25" i="280"/>
  <c r="E26" i="280"/>
  <c r="V72" i="244"/>
  <c r="U72" i="244"/>
  <c r="W72" i="244" s="1"/>
  <c r="R25" i="280"/>
  <c r="I126" i="274"/>
  <c r="I126" i="241"/>
  <c r="M25" i="280"/>
  <c r="R38" i="282"/>
  <c r="R39" i="282" s="1"/>
  <c r="R41" i="282"/>
  <c r="H25" i="280"/>
  <c r="H29" i="280" s="1"/>
  <c r="H30" i="280" s="1"/>
  <c r="H31" i="280" s="1"/>
  <c r="H37" i="280" s="1"/>
  <c r="H41" i="280" s="1"/>
  <c r="H46" i="280" s="1"/>
  <c r="H26" i="280"/>
  <c r="U21" i="280"/>
  <c r="L25" i="280"/>
  <c r="O64" i="274"/>
  <c r="O67" i="274" s="1"/>
  <c r="N70" i="274"/>
  <c r="O65" i="274"/>
  <c r="N149" i="274"/>
  <c r="N68" i="274"/>
  <c r="N151" i="274" s="1"/>
  <c r="AB43" i="332"/>
  <c r="G25" i="280"/>
  <c r="G29" i="280" s="1"/>
  <c r="G30" i="280" s="1"/>
  <c r="G31" i="280" s="1"/>
  <c r="G37" i="280" s="1"/>
  <c r="G41" i="280" s="1"/>
  <c r="G46" i="280" s="1"/>
  <c r="G26" i="280"/>
  <c r="J25" i="280"/>
  <c r="Q41" i="282"/>
  <c r="S31" i="282"/>
  <c r="S36" i="282"/>
  <c r="N73" i="274" l="1"/>
  <c r="J126" i="241"/>
  <c r="K76" i="241"/>
  <c r="L126" i="274"/>
  <c r="M108" i="274"/>
  <c r="M112" i="274"/>
  <c r="M116" i="274"/>
  <c r="M110" i="274"/>
  <c r="M113" i="274"/>
  <c r="M118" i="274"/>
  <c r="M121" i="274"/>
  <c r="M124" i="274"/>
  <c r="M111" i="274"/>
  <c r="M114" i="274"/>
  <c r="M117" i="274"/>
  <c r="M123" i="274"/>
  <c r="M106" i="274"/>
  <c r="M109" i="274"/>
  <c r="M115" i="274"/>
  <c r="M120" i="274"/>
  <c r="M122" i="274"/>
  <c r="M107" i="274"/>
  <c r="M119" i="274"/>
  <c r="U25" i="280"/>
  <c r="N71" i="274"/>
  <c r="N74" i="274" s="1"/>
  <c r="N76" i="274" s="1"/>
  <c r="X72" i="244"/>
  <c r="Y72" i="244" s="1"/>
  <c r="AC56" i="244" s="1"/>
  <c r="L71" i="241"/>
  <c r="L74" i="241" s="1"/>
  <c r="R78" i="280"/>
  <c r="S78" i="280" s="1"/>
  <c r="Q78" i="280"/>
  <c r="J71" i="280"/>
  <c r="K71" i="280"/>
  <c r="L73" i="280"/>
  <c r="K126" i="274"/>
  <c r="V72" i="275"/>
  <c r="U72" i="275"/>
  <c r="W72" i="275" s="1"/>
  <c r="I70" i="280"/>
  <c r="L70" i="280"/>
  <c r="J70" i="280"/>
  <c r="K70" i="280"/>
  <c r="N74" i="280"/>
  <c r="R74" i="280" s="1"/>
  <c r="P74" i="280"/>
  <c r="Q74" i="280" s="1"/>
  <c r="M74" i="280"/>
  <c r="O74" i="280"/>
  <c r="E83" i="280"/>
  <c r="F67" i="280"/>
  <c r="F83" i="280" s="1"/>
  <c r="G67" i="280"/>
  <c r="I69" i="280"/>
  <c r="H69" i="280"/>
  <c r="S38" i="282"/>
  <c r="S39" i="282" s="1"/>
  <c r="S41" i="282"/>
  <c r="AB44" i="332"/>
  <c r="P64" i="274"/>
  <c r="P67" i="274" s="1"/>
  <c r="O70" i="274"/>
  <c r="O71" i="274" s="1"/>
  <c r="P65" i="274"/>
  <c r="E29" i="280"/>
  <c r="E30" i="280" s="1"/>
  <c r="E31" i="280" s="1"/>
  <c r="E37" i="280" s="1"/>
  <c r="E41" i="280" s="1"/>
  <c r="E46" i="280" s="1"/>
  <c r="E27" i="280"/>
  <c r="F24" i="280" s="1"/>
  <c r="F27" i="280" s="1"/>
  <c r="G24" i="280" s="1"/>
  <c r="G27" i="280" s="1"/>
  <c r="H24" i="280" s="1"/>
  <c r="H27" i="280" s="1"/>
  <c r="I24" i="280" s="1"/>
  <c r="I27" i="280" s="1"/>
  <c r="J24" i="280" s="1"/>
  <c r="M68" i="241"/>
  <c r="M152" i="241" s="1"/>
  <c r="M150" i="241"/>
  <c r="P76" i="280"/>
  <c r="Q76" i="280" s="1"/>
  <c r="O76" i="280"/>
  <c r="R79" i="280"/>
  <c r="S79" i="280" s="1"/>
  <c r="T38" i="282"/>
  <c r="T39" i="282" s="1"/>
  <c r="T41" i="282"/>
  <c r="O68" i="274"/>
  <c r="O151" i="274" s="1"/>
  <c r="O149" i="274"/>
  <c r="M70" i="241"/>
  <c r="M71" i="241" s="1"/>
  <c r="M74" i="241" s="1"/>
  <c r="N64" i="241"/>
  <c r="N67" i="241" s="1"/>
  <c r="N65" i="241"/>
  <c r="K109" i="241"/>
  <c r="K113" i="241"/>
  <c r="K117" i="241"/>
  <c r="K121" i="241"/>
  <c r="K106" i="241"/>
  <c r="K110" i="241"/>
  <c r="K114" i="241"/>
  <c r="K118" i="241"/>
  <c r="K122" i="241"/>
  <c r="K107" i="241"/>
  <c r="K111" i="241"/>
  <c r="K115" i="241"/>
  <c r="K119" i="241"/>
  <c r="K123" i="241"/>
  <c r="K108" i="241"/>
  <c r="K112" i="241"/>
  <c r="K116" i="241"/>
  <c r="K120" i="241"/>
  <c r="K124" i="241"/>
  <c r="L73" i="241"/>
  <c r="K72" i="280"/>
  <c r="M72" i="280" s="1"/>
  <c r="L72" i="280"/>
  <c r="G68" i="280"/>
  <c r="H68" i="280" s="1"/>
  <c r="N75" i="280"/>
  <c r="Q77" i="280"/>
  <c r="R77" i="280" s="1"/>
  <c r="P77" i="280"/>
  <c r="X72" i="276"/>
  <c r="Y72" i="276" s="1"/>
  <c r="AC56" i="276" s="1"/>
  <c r="X72" i="275" l="1"/>
  <c r="Y72" i="275" s="1"/>
  <c r="AC56" i="275" s="1"/>
  <c r="AC59" i="275" s="1"/>
  <c r="AC61" i="275" s="1"/>
  <c r="D16" i="248" s="1"/>
  <c r="O73" i="274"/>
  <c r="O74" i="274"/>
  <c r="I68" i="280"/>
  <c r="J68" i="280"/>
  <c r="S77" i="280"/>
  <c r="S74" i="280"/>
  <c r="N109" i="274"/>
  <c r="N113" i="274"/>
  <c r="N107" i="274"/>
  <c r="N116" i="274"/>
  <c r="N119" i="274"/>
  <c r="N108" i="274"/>
  <c r="N110" i="274"/>
  <c r="N118" i="274"/>
  <c r="N121" i="274"/>
  <c r="N124" i="274"/>
  <c r="N111" i="274"/>
  <c r="N114" i="274"/>
  <c r="N117" i="274"/>
  <c r="N106" i="274"/>
  <c r="N112" i="274"/>
  <c r="N115" i="274"/>
  <c r="N120" i="274"/>
  <c r="N122" i="274"/>
  <c r="N123" i="274"/>
  <c r="N72" i="280"/>
  <c r="O72" i="280" s="1"/>
  <c r="R76" i="280"/>
  <c r="S76" i="280" s="1"/>
  <c r="J26" i="280"/>
  <c r="J29" i="280" s="1"/>
  <c r="J30" i="280" s="1"/>
  <c r="J31" i="280" s="1"/>
  <c r="J37" i="280" s="1"/>
  <c r="J41" i="280" s="1"/>
  <c r="J46" i="280" s="1"/>
  <c r="Q64" i="274"/>
  <c r="Q67" i="274" s="1"/>
  <c r="P70" i="274"/>
  <c r="P71" i="274"/>
  <c r="P74" i="274" s="1"/>
  <c r="Q65" i="274"/>
  <c r="P68" i="274"/>
  <c r="P151" i="274" s="1"/>
  <c r="P149" i="274"/>
  <c r="AB45" i="332"/>
  <c r="G83" i="280"/>
  <c r="L71" i="280"/>
  <c r="O71" i="280" s="1"/>
  <c r="O75" i="280"/>
  <c r="M73" i="241"/>
  <c r="M76" i="241" s="1"/>
  <c r="J69" i="280"/>
  <c r="H67" i="280"/>
  <c r="M70" i="280"/>
  <c r="M73" i="280"/>
  <c r="N73" i="280" s="1"/>
  <c r="K126" i="241"/>
  <c r="N68" i="241"/>
  <c r="N152" i="241" s="1"/>
  <c r="N73" i="241"/>
  <c r="N150" i="241"/>
  <c r="M71" i="280"/>
  <c r="N71" i="280" s="1"/>
  <c r="M126" i="274"/>
  <c r="L76" i="241"/>
  <c r="N70" i="241"/>
  <c r="N71" i="241" s="1"/>
  <c r="O64" i="241"/>
  <c r="O67" i="241" s="1"/>
  <c r="O65" i="241"/>
  <c r="P73" i="274" l="1"/>
  <c r="O76" i="274"/>
  <c r="P72" i="280"/>
  <c r="Q72" i="280" s="1"/>
  <c r="P76" i="274"/>
  <c r="P71" i="280"/>
  <c r="Q71" i="280"/>
  <c r="R71" i="280" s="1"/>
  <c r="S71" i="280" s="1"/>
  <c r="O70" i="241"/>
  <c r="O71" i="241" s="1"/>
  <c r="O74" i="241" s="1"/>
  <c r="P64" i="241"/>
  <c r="P67" i="241" s="1"/>
  <c r="P65" i="241"/>
  <c r="O68" i="241"/>
  <c r="O152" i="241" s="1"/>
  <c r="O150" i="241"/>
  <c r="O73" i="241"/>
  <c r="N74" i="241"/>
  <c r="N76" i="241" s="1"/>
  <c r="H83" i="280"/>
  <c r="I67" i="280"/>
  <c r="L108" i="241"/>
  <c r="L112" i="241"/>
  <c r="L116" i="241"/>
  <c r="L120" i="241"/>
  <c r="L124" i="241"/>
  <c r="L109" i="241"/>
  <c r="L113" i="241"/>
  <c r="L117" i="241"/>
  <c r="L121" i="241"/>
  <c r="L106" i="241"/>
  <c r="L110" i="241"/>
  <c r="L114" i="241"/>
  <c r="L118" i="241"/>
  <c r="L122" i="241"/>
  <c r="L107" i="241"/>
  <c r="L111" i="241"/>
  <c r="L115" i="241"/>
  <c r="L119" i="241"/>
  <c r="L123" i="241"/>
  <c r="Q68" i="274"/>
  <c r="Q151" i="274" s="1"/>
  <c r="Q149" i="274"/>
  <c r="N126" i="274"/>
  <c r="M107" i="241"/>
  <c r="M111" i="241"/>
  <c r="M115" i="241"/>
  <c r="M119" i="241"/>
  <c r="M123" i="241"/>
  <c r="M108" i="241"/>
  <c r="M112" i="241"/>
  <c r="M116" i="241"/>
  <c r="M120" i="241"/>
  <c r="M124" i="241"/>
  <c r="M109" i="241"/>
  <c r="M113" i="241"/>
  <c r="M117" i="241"/>
  <c r="M121" i="241"/>
  <c r="M106" i="241"/>
  <c r="M110" i="241"/>
  <c r="M114" i="241"/>
  <c r="M118" i="241"/>
  <c r="M122" i="241"/>
  <c r="N70" i="280"/>
  <c r="O70" i="280" s="1"/>
  <c r="P70" i="280" s="1"/>
  <c r="Q70" i="280" s="1"/>
  <c r="R70" i="280" s="1"/>
  <c r="S70" i="280" s="1"/>
  <c r="R72" i="280"/>
  <c r="S72" i="280" s="1"/>
  <c r="O73" i="280"/>
  <c r="P73" i="280" s="1"/>
  <c r="Q73" i="280" s="1"/>
  <c r="J67" i="280"/>
  <c r="J83" i="280" s="1"/>
  <c r="J27" i="280"/>
  <c r="K24" i="280" s="1"/>
  <c r="P75" i="280"/>
  <c r="Q75" i="280" s="1"/>
  <c r="R75" i="280" s="1"/>
  <c r="S75" i="280" s="1"/>
  <c r="K68" i="280"/>
  <c r="AB46" i="332"/>
  <c r="R64" i="274"/>
  <c r="R67" i="274" s="1"/>
  <c r="Q70" i="274"/>
  <c r="Q71" i="274" s="1"/>
  <c r="Q74" i="274" s="1"/>
  <c r="R65" i="274"/>
  <c r="K69" i="280"/>
  <c r="O114" i="274" l="1"/>
  <c r="O122" i="274"/>
  <c r="O119" i="274"/>
  <c r="O109" i="274"/>
  <c r="O124" i="274"/>
  <c r="O106" i="274"/>
  <c r="O113" i="274"/>
  <c r="O117" i="274"/>
  <c r="O110" i="274"/>
  <c r="O120" i="274"/>
  <c r="O116" i="274"/>
  <c r="O121" i="274"/>
  <c r="O123" i="274"/>
  <c r="O112" i="274"/>
  <c r="O107" i="274"/>
  <c r="O108" i="274"/>
  <c r="O111" i="274"/>
  <c r="O115" i="274"/>
  <c r="O118" i="274"/>
  <c r="Q76" i="274"/>
  <c r="Q108" i="274" s="1"/>
  <c r="Q73" i="274"/>
  <c r="N106" i="241"/>
  <c r="N110" i="241"/>
  <c r="N114" i="241"/>
  <c r="N118" i="241"/>
  <c r="N122" i="241"/>
  <c r="N107" i="241"/>
  <c r="N111" i="241"/>
  <c r="N115" i="241"/>
  <c r="N119" i="241"/>
  <c r="N123" i="241"/>
  <c r="N108" i="241"/>
  <c r="N112" i="241"/>
  <c r="N116" i="241"/>
  <c r="N120" i="241"/>
  <c r="N124" i="241"/>
  <c r="N109" i="241"/>
  <c r="N113" i="241"/>
  <c r="N117" i="241"/>
  <c r="N121" i="241"/>
  <c r="O76" i="241"/>
  <c r="AB47" i="332"/>
  <c r="L69" i="280"/>
  <c r="L68" i="280"/>
  <c r="M68" i="280" s="1"/>
  <c r="N68" i="280" s="1"/>
  <c r="O68" i="280" s="1"/>
  <c r="P68" i="280" s="1"/>
  <c r="Q68" i="280" s="1"/>
  <c r="R68" i="280" s="1"/>
  <c r="S68" i="280" s="1"/>
  <c r="M126" i="241"/>
  <c r="K67" i="280"/>
  <c r="I83" i="280"/>
  <c r="L67" i="280"/>
  <c r="L83" i="280" s="1"/>
  <c r="M69" i="280"/>
  <c r="N69" i="280" s="1"/>
  <c r="O69" i="280" s="1"/>
  <c r="P69" i="280" s="1"/>
  <c r="Q69" i="280" s="1"/>
  <c r="R69" i="280" s="1"/>
  <c r="S69" i="280" s="1"/>
  <c r="S64" i="274"/>
  <c r="S67" i="274" s="1"/>
  <c r="R70" i="274"/>
  <c r="R71" i="274" s="1"/>
  <c r="S65" i="274"/>
  <c r="R68" i="274"/>
  <c r="R151" i="274" s="1"/>
  <c r="R149" i="274"/>
  <c r="K26" i="280"/>
  <c r="K29" i="280" s="1"/>
  <c r="K30" i="280" s="1"/>
  <c r="K31" i="280" s="1"/>
  <c r="K37" i="280" s="1"/>
  <c r="K41" i="280" s="1"/>
  <c r="K46" i="280" s="1"/>
  <c r="P68" i="241"/>
  <c r="P152" i="241" s="1"/>
  <c r="P150" i="241"/>
  <c r="P107" i="274"/>
  <c r="P111" i="274"/>
  <c r="P115" i="274"/>
  <c r="P106" i="274"/>
  <c r="P109" i="274"/>
  <c r="P117" i="274"/>
  <c r="P123" i="274"/>
  <c r="P112" i="274"/>
  <c r="P120" i="274"/>
  <c r="P122" i="274"/>
  <c r="P110" i="274"/>
  <c r="P113" i="274"/>
  <c r="P116" i="274"/>
  <c r="P119" i="274"/>
  <c r="P108" i="274"/>
  <c r="P114" i="274"/>
  <c r="P118" i="274"/>
  <c r="P121" i="274"/>
  <c r="P124" i="274"/>
  <c r="R73" i="280"/>
  <c r="S73" i="280" s="1"/>
  <c r="L126" i="241"/>
  <c r="P71" i="241"/>
  <c r="Q64" i="241"/>
  <c r="Q67" i="241" s="1"/>
  <c r="P70" i="241"/>
  <c r="Q65" i="241"/>
  <c r="Q122" i="274" l="1"/>
  <c r="Q117" i="274"/>
  <c r="Q124" i="274"/>
  <c r="P74" i="241"/>
  <c r="Q111" i="274"/>
  <c r="Q119" i="274"/>
  <c r="Q120" i="274"/>
  <c r="Q121" i="274"/>
  <c r="Q116" i="274"/>
  <c r="R74" i="274"/>
  <c r="Q113" i="274"/>
  <c r="Q107" i="274"/>
  <c r="Q109" i="274"/>
  <c r="Q118" i="274"/>
  <c r="Q112" i="274"/>
  <c r="O126" i="274"/>
  <c r="Q115" i="274"/>
  <c r="P73" i="241"/>
  <c r="P76" i="241" s="1"/>
  <c r="P108" i="241" s="1"/>
  <c r="Q110" i="274"/>
  <c r="Q123" i="274"/>
  <c r="Q106" i="274"/>
  <c r="Q114" i="274"/>
  <c r="P116" i="241"/>
  <c r="P120" i="241"/>
  <c r="P109" i="241"/>
  <c r="P117" i="241"/>
  <c r="P106" i="241"/>
  <c r="P110" i="241"/>
  <c r="P122" i="241"/>
  <c r="P107" i="241"/>
  <c r="P111" i="241"/>
  <c r="P123" i="241"/>
  <c r="K27" i="280"/>
  <c r="L24" i="280" s="1"/>
  <c r="AB48" i="332"/>
  <c r="T64" i="274"/>
  <c r="T67" i="274" s="1"/>
  <c r="S70" i="274"/>
  <c r="T65" i="274"/>
  <c r="M67" i="280"/>
  <c r="O109" i="241"/>
  <c r="O113" i="241"/>
  <c r="O117" i="241"/>
  <c r="O121" i="241"/>
  <c r="O106" i="241"/>
  <c r="O110" i="241"/>
  <c r="O114" i="241"/>
  <c r="O118" i="241"/>
  <c r="O122" i="241"/>
  <c r="O107" i="241"/>
  <c r="O111" i="241"/>
  <c r="O115" i="241"/>
  <c r="O119" i="241"/>
  <c r="O123" i="241"/>
  <c r="O108" i="241"/>
  <c r="O112" i="241"/>
  <c r="O116" i="241"/>
  <c r="O120" i="241"/>
  <c r="O124" i="241"/>
  <c r="N126" i="241"/>
  <c r="Q68" i="241"/>
  <c r="Q73" i="241" s="1"/>
  <c r="Q70" i="241"/>
  <c r="R64" i="241"/>
  <c r="R67" i="241" s="1"/>
  <c r="P126" i="274"/>
  <c r="R73" i="274"/>
  <c r="R76" i="274" s="1"/>
  <c r="S68" i="274"/>
  <c r="S151" i="274" s="1"/>
  <c r="S149" i="274"/>
  <c r="K83" i="280"/>
  <c r="P119" i="241" l="1"/>
  <c r="P114" i="241"/>
  <c r="P113" i="241"/>
  <c r="P112" i="241"/>
  <c r="Q126" i="274"/>
  <c r="S73" i="274"/>
  <c r="P115" i="241"/>
  <c r="P118" i="241"/>
  <c r="P121" i="241"/>
  <c r="P124" i="241"/>
  <c r="Q71" i="241"/>
  <c r="Q74" i="241" s="1"/>
  <c r="Q76" i="241" s="1"/>
  <c r="M83" i="280"/>
  <c r="S71" i="274"/>
  <c r="S74" i="274" s="1"/>
  <c r="N67" i="280"/>
  <c r="R68" i="241"/>
  <c r="R73" i="241"/>
  <c r="R76" i="241" s="1"/>
  <c r="U64" i="274"/>
  <c r="U67" i="274" s="1"/>
  <c r="T70" i="274"/>
  <c r="T71" i="274" s="1"/>
  <c r="T74" i="274" s="1"/>
  <c r="U65" i="274"/>
  <c r="T68" i="274"/>
  <c r="T151" i="274" s="1"/>
  <c r="T149" i="274"/>
  <c r="L26" i="280"/>
  <c r="L29" i="280" s="1"/>
  <c r="L30" i="280" s="1"/>
  <c r="L31" i="280" s="1"/>
  <c r="L37" i="280" s="1"/>
  <c r="L41" i="280" s="1"/>
  <c r="L46" i="280" s="1"/>
  <c r="R109" i="274"/>
  <c r="R113" i="274"/>
  <c r="R108" i="274"/>
  <c r="R110" i="274"/>
  <c r="R119" i="274"/>
  <c r="R111" i="274"/>
  <c r="R114" i="274"/>
  <c r="R118" i="274"/>
  <c r="R121" i="274"/>
  <c r="R124" i="274"/>
  <c r="R106" i="274"/>
  <c r="R112" i="274"/>
  <c r="R115" i="274"/>
  <c r="R117" i="274"/>
  <c r="R107" i="274"/>
  <c r="R116" i="274"/>
  <c r="R120" i="274"/>
  <c r="R122" i="274"/>
  <c r="R123" i="274"/>
  <c r="O126" i="241"/>
  <c r="AB49" i="332"/>
  <c r="T73" i="274" l="1"/>
  <c r="S76" i="274"/>
  <c r="P126" i="241"/>
  <c r="T76" i="274"/>
  <c r="T112" i="274" s="1"/>
  <c r="S106" i="274"/>
  <c r="S110" i="274"/>
  <c r="S114" i="274"/>
  <c r="S107" i="274"/>
  <c r="S113" i="274"/>
  <c r="S116" i="274"/>
  <c r="S120" i="274"/>
  <c r="S122" i="274"/>
  <c r="S108" i="274"/>
  <c r="S119" i="274"/>
  <c r="S109" i="274"/>
  <c r="S111" i="274"/>
  <c r="S118" i="274"/>
  <c r="S121" i="274"/>
  <c r="S112" i="274"/>
  <c r="S115" i="274"/>
  <c r="S117" i="274"/>
  <c r="S123" i="274"/>
  <c r="S124" i="274"/>
  <c r="T107" i="274"/>
  <c r="T122" i="274"/>
  <c r="AB50" i="332"/>
  <c r="U68" i="274"/>
  <c r="U151" i="274" s="1"/>
  <c r="U149" i="274"/>
  <c r="R106" i="241"/>
  <c r="R110" i="241"/>
  <c r="R114" i="241"/>
  <c r="R118" i="241"/>
  <c r="R122" i="241"/>
  <c r="R107" i="241"/>
  <c r="R111" i="241"/>
  <c r="R115" i="241"/>
  <c r="T115" i="241" s="1"/>
  <c r="R119" i="241"/>
  <c r="R123" i="241"/>
  <c r="R108" i="241"/>
  <c r="R112" i="241"/>
  <c r="T112" i="241" s="1"/>
  <c r="D138" i="241" s="1"/>
  <c r="R116" i="241"/>
  <c r="R120" i="241"/>
  <c r="R124" i="241"/>
  <c r="R109" i="241"/>
  <c r="T109" i="241" s="1"/>
  <c r="D135" i="241" s="1"/>
  <c r="R113" i="241"/>
  <c r="R117" i="241"/>
  <c r="R121" i="241"/>
  <c r="Q107" i="241"/>
  <c r="Q111" i="241"/>
  <c r="Q115" i="241"/>
  <c r="Q119" i="241"/>
  <c r="Q123" i="241"/>
  <c r="Q108" i="241"/>
  <c r="Q112" i="241"/>
  <c r="Q116" i="241"/>
  <c r="Q120" i="241"/>
  <c r="Q124" i="241"/>
  <c r="Q109" i="241"/>
  <c r="Q113" i="241"/>
  <c r="Q117" i="241"/>
  <c r="Q121" i="241"/>
  <c r="Q106" i="241"/>
  <c r="Q110" i="241"/>
  <c r="Q114" i="241"/>
  <c r="Q118" i="241"/>
  <c r="Q122" i="241"/>
  <c r="R126" i="274"/>
  <c r="L27" i="280"/>
  <c r="M24" i="280" s="1"/>
  <c r="V64" i="274"/>
  <c r="V67" i="274" s="1"/>
  <c r="U70" i="274"/>
  <c r="V65" i="274"/>
  <c r="N83" i="280"/>
  <c r="O67" i="280"/>
  <c r="T110" i="274" l="1"/>
  <c r="T118" i="274"/>
  <c r="T123" i="274"/>
  <c r="T121" i="274"/>
  <c r="T114" i="274"/>
  <c r="T111" i="274"/>
  <c r="T106" i="274"/>
  <c r="T120" i="274"/>
  <c r="T117" i="274"/>
  <c r="U73" i="274"/>
  <c r="T124" i="274"/>
  <c r="T119" i="274"/>
  <c r="T116" i="274"/>
  <c r="T115" i="274"/>
  <c r="U71" i="274"/>
  <c r="U74" i="274" s="1"/>
  <c r="T109" i="274"/>
  <c r="T108" i="274"/>
  <c r="T113" i="274"/>
  <c r="T117" i="241"/>
  <c r="T120" i="241"/>
  <c r="T123" i="241"/>
  <c r="T107" i="241"/>
  <c r="D133" i="241" s="1"/>
  <c r="H133" i="241" s="1"/>
  <c r="T110" i="241"/>
  <c r="D136" i="241" s="1"/>
  <c r="O83" i="280"/>
  <c r="P67" i="280"/>
  <c r="M27" i="280"/>
  <c r="N24" i="280" s="1"/>
  <c r="M26" i="280"/>
  <c r="M29" i="280" s="1"/>
  <c r="M30" i="280" s="1"/>
  <c r="M31" i="280" s="1"/>
  <c r="M37" i="280" s="1"/>
  <c r="M41" i="280" s="1"/>
  <c r="M46" i="280" s="1"/>
  <c r="T113" i="241"/>
  <c r="D139" i="241" s="1"/>
  <c r="T116" i="241"/>
  <c r="T119" i="241"/>
  <c r="T122" i="241"/>
  <c r="R126" i="241"/>
  <c r="T106" i="241"/>
  <c r="AB51" i="332"/>
  <c r="H135" i="241"/>
  <c r="D70" i="236"/>
  <c r="H138" i="241"/>
  <c r="D73" i="236"/>
  <c r="T118" i="241"/>
  <c r="W64" i="274"/>
  <c r="W67" i="274" s="1"/>
  <c r="V70" i="274"/>
  <c r="V71" i="274" s="1"/>
  <c r="V74" i="274" s="1"/>
  <c r="W65" i="274"/>
  <c r="V149" i="274"/>
  <c r="V68" i="274"/>
  <c r="V151" i="274" s="1"/>
  <c r="Q126" i="241"/>
  <c r="T121" i="241"/>
  <c r="T124" i="241"/>
  <c r="D142" i="241" s="1"/>
  <c r="H142" i="241" s="1"/>
  <c r="D11" i="236" s="1"/>
  <c r="D14" i="236" s="1"/>
  <c r="T108" i="241"/>
  <c r="D134" i="241" s="1"/>
  <c r="T111" i="241"/>
  <c r="D137" i="241" s="1"/>
  <c r="T114" i="241"/>
  <c r="D140" i="241" s="1"/>
  <c r="S126" i="274"/>
  <c r="V73" i="274" l="1"/>
  <c r="T126" i="274"/>
  <c r="U76" i="274"/>
  <c r="U112" i="274"/>
  <c r="U115" i="274"/>
  <c r="U107" i="274"/>
  <c r="U113" i="274"/>
  <c r="U114" i="274"/>
  <c r="U108" i="274"/>
  <c r="U111" i="274"/>
  <c r="U116" i="274"/>
  <c r="U118" i="274"/>
  <c r="U117" i="274"/>
  <c r="U120" i="274"/>
  <c r="U119" i="274"/>
  <c r="U124" i="274"/>
  <c r="U106" i="274"/>
  <c r="U121" i="274"/>
  <c r="U123" i="274"/>
  <c r="U122" i="274"/>
  <c r="U109" i="274"/>
  <c r="U110" i="274"/>
  <c r="D141" i="241"/>
  <c r="H141" i="241" s="1"/>
  <c r="V76" i="274"/>
  <c r="H137" i="241"/>
  <c r="D72" i="236"/>
  <c r="X64" i="274"/>
  <c r="X67" i="274" s="1"/>
  <c r="W70" i="274"/>
  <c r="T126" i="241"/>
  <c r="U126" i="241" s="1"/>
  <c r="D132" i="241"/>
  <c r="P83" i="280"/>
  <c r="Q67" i="280"/>
  <c r="H139" i="241"/>
  <c r="D30" i="236" s="1"/>
  <c r="D27" i="236"/>
  <c r="H134" i="241"/>
  <c r="D69" i="236"/>
  <c r="W68" i="274"/>
  <c r="W73" i="274" s="1"/>
  <c r="H136" i="241"/>
  <c r="D71" i="236"/>
  <c r="H140" i="241"/>
  <c r="D22" i="236" s="1"/>
  <c r="D19" i="236"/>
  <c r="AB52" i="332"/>
  <c r="N27" i="280"/>
  <c r="O24" i="280" s="1"/>
  <c r="N26" i="280"/>
  <c r="N29" i="280" s="1"/>
  <c r="N30" i="280" s="1"/>
  <c r="N31" i="280" s="1"/>
  <c r="N37" i="280" s="1"/>
  <c r="N41" i="280" s="1"/>
  <c r="N46" i="280" s="1"/>
  <c r="U126" i="274" l="1"/>
  <c r="H27" i="236"/>
  <c r="O26" i="280"/>
  <c r="O29" i="280" s="1"/>
  <c r="O30" i="280" s="1"/>
  <c r="O31" i="280" s="1"/>
  <c r="O37" i="280" s="1"/>
  <c r="O41" i="280" s="1"/>
  <c r="O46" i="280" s="1"/>
  <c r="AB53" i="332"/>
  <c r="P63" i="332" a="1"/>
  <c r="P63" i="332" s="1"/>
  <c r="R64" i="332" a="1"/>
  <c r="R64" i="332" s="1"/>
  <c r="H63" i="332" a="1"/>
  <c r="H63" i="332" s="1"/>
  <c r="O63" i="332" a="1"/>
  <c r="O63" i="332" s="1"/>
  <c r="Y65" i="332" a="1"/>
  <c r="Y65" i="332" s="1"/>
  <c r="V64" i="332" a="1"/>
  <c r="V64" i="332" s="1"/>
  <c r="P64" i="332" a="1"/>
  <c r="P64" i="332" s="1"/>
  <c r="L66" i="332" a="1"/>
  <c r="L66" i="332" s="1"/>
  <c r="S67" i="332" a="1"/>
  <c r="S67" i="332" s="1"/>
  <c r="Y68" i="332" a="1"/>
  <c r="Y68" i="332" s="1"/>
  <c r="T68" i="332" a="1"/>
  <c r="T68" i="332" s="1"/>
  <c r="K67" i="332" a="1"/>
  <c r="K67" i="332" s="1"/>
  <c r="T65" i="332" a="1"/>
  <c r="T65" i="332" s="1"/>
  <c r="Z65" i="332" a="1"/>
  <c r="Z65" i="332" s="1"/>
  <c r="J67" i="332" a="1"/>
  <c r="J67" i="332" s="1"/>
  <c r="P65" i="332" a="1"/>
  <c r="P65" i="332" s="1"/>
  <c r="E66" i="332" a="1"/>
  <c r="E66" i="332" s="1"/>
  <c r="I65" i="332" a="1"/>
  <c r="I65" i="332" s="1"/>
  <c r="U64" i="332" a="1"/>
  <c r="U64" i="332" s="1"/>
  <c r="R66" i="332" a="1"/>
  <c r="R66" i="332" s="1"/>
  <c r="T63" i="332" a="1"/>
  <c r="T63" i="332" s="1"/>
  <c r="X67" i="332" a="1"/>
  <c r="X67" i="332" s="1"/>
  <c r="G63" i="332" a="1"/>
  <c r="G63" i="332" s="1"/>
  <c r="T67" i="332" a="1"/>
  <c r="T67" i="332" s="1"/>
  <c r="K64" i="332" a="1"/>
  <c r="K64" i="332" s="1"/>
  <c r="R67" i="332" a="1"/>
  <c r="R67" i="332" s="1"/>
  <c r="G66" i="332" a="1"/>
  <c r="G66" i="332" s="1"/>
  <c r="D68" i="332" a="1"/>
  <c r="D68" i="332" s="1"/>
  <c r="V68" i="332" a="1"/>
  <c r="V68" i="332" s="1"/>
  <c r="J64" i="332" a="1"/>
  <c r="J64" i="332" s="1"/>
  <c r="Q65" i="332" a="1"/>
  <c r="Q65" i="332" s="1"/>
  <c r="Z66" i="332" a="1"/>
  <c r="Z66" i="332" s="1"/>
  <c r="K68" i="332" a="1"/>
  <c r="K68" i="332" s="1"/>
  <c r="K65" i="332" a="1"/>
  <c r="K65" i="332" s="1"/>
  <c r="Q66" i="332" a="1"/>
  <c r="Q66" i="332" s="1"/>
  <c r="R63" i="332" a="1"/>
  <c r="R63" i="332" s="1"/>
  <c r="N63" i="332" a="1"/>
  <c r="N63" i="332" s="1"/>
  <c r="U63" i="332" a="1"/>
  <c r="U63" i="332" s="1"/>
  <c r="P68" i="332" a="1"/>
  <c r="P68" i="332" s="1"/>
  <c r="S63" i="332" a="1"/>
  <c r="S63" i="332" s="1"/>
  <c r="D64" i="332" a="1"/>
  <c r="D64" i="332" s="1"/>
  <c r="Z67" i="332" a="1"/>
  <c r="Z67" i="332" s="1"/>
  <c r="O65" i="332" a="1"/>
  <c r="O65" i="332" s="1"/>
  <c r="Q68" i="332" a="1"/>
  <c r="Q68" i="332" s="1"/>
  <c r="D63" i="332" a="1"/>
  <c r="D63" i="332" s="1"/>
  <c r="V67" i="332" a="1"/>
  <c r="V67" i="332" s="1"/>
  <c r="F64" i="332" a="1"/>
  <c r="F64" i="332" s="1"/>
  <c r="V66" i="332" a="1"/>
  <c r="V66" i="332" s="1"/>
  <c r="N65" i="332" a="1"/>
  <c r="N65" i="332" s="1"/>
  <c r="E63" i="332" a="1"/>
  <c r="E63" i="332" s="1"/>
  <c r="X63" i="332" a="1"/>
  <c r="X63" i="332" s="1"/>
  <c r="H68" i="332" a="1"/>
  <c r="H68" i="332" s="1"/>
  <c r="I66" i="332" a="1"/>
  <c r="I66" i="332" s="1"/>
  <c r="N66" i="332" a="1"/>
  <c r="N66" i="332" s="1"/>
  <c r="L64" i="332" a="1"/>
  <c r="L64" i="332" s="1"/>
  <c r="V65" i="332" a="1"/>
  <c r="V65" i="332" s="1"/>
  <c r="Z64" i="332" a="1"/>
  <c r="Z64" i="332" s="1"/>
  <c r="S64" i="332" a="1"/>
  <c r="S64" i="332" s="1"/>
  <c r="H67" i="332" a="1"/>
  <c r="H67" i="332" s="1"/>
  <c r="U67" i="332" a="1"/>
  <c r="U67" i="332" s="1"/>
  <c r="Y66" i="332" a="1"/>
  <c r="Y66" i="332" s="1"/>
  <c r="H64" i="332" a="1"/>
  <c r="H64" i="332" s="1"/>
  <c r="K66" i="332" a="1"/>
  <c r="K66" i="332" s="1"/>
  <c r="X64" i="332" a="1"/>
  <c r="X64" i="332" s="1"/>
  <c r="L63" i="332" a="1"/>
  <c r="L63" i="332" s="1"/>
  <c r="P67" i="332" a="1"/>
  <c r="P67" i="332" s="1"/>
  <c r="T66" i="332" a="1"/>
  <c r="T66" i="332" s="1"/>
  <c r="U66" i="332" a="1"/>
  <c r="U66" i="332" s="1"/>
  <c r="R65" i="332" a="1"/>
  <c r="R65" i="332" s="1"/>
  <c r="O64" i="332" a="1"/>
  <c r="O64" i="332" s="1"/>
  <c r="L67" i="332" a="1"/>
  <c r="L67" i="332" s="1"/>
  <c r="O67" i="332" a="1"/>
  <c r="O67" i="332" s="1"/>
  <c r="N64" i="332" a="1"/>
  <c r="N64" i="332" s="1"/>
  <c r="Z63" i="332" a="1"/>
  <c r="Z63" i="332" s="1"/>
  <c r="Q63" i="332" a="1"/>
  <c r="Q63" i="332" s="1"/>
  <c r="F63" i="332" a="1"/>
  <c r="F63" i="332" s="1"/>
  <c r="G67" i="332" a="1"/>
  <c r="G67" i="332" s="1"/>
  <c r="J68" i="332" a="1"/>
  <c r="J68" i="332" s="1"/>
  <c r="H132" i="241"/>
  <c r="D68" i="236"/>
  <c r="D144" i="241"/>
  <c r="T141" i="241" s="1"/>
  <c r="W71" i="274"/>
  <c r="W74" i="274" s="1"/>
  <c r="W76" i="274" s="1"/>
  <c r="X68" i="274"/>
  <c r="X73" i="274" s="1"/>
  <c r="X76" i="274" s="1"/>
  <c r="H19" i="236"/>
  <c r="Q83" i="280"/>
  <c r="R67" i="280"/>
  <c r="V109" i="274"/>
  <c r="V113" i="274"/>
  <c r="V111" i="274"/>
  <c r="V114" i="274"/>
  <c r="V119" i="274"/>
  <c r="V106" i="274"/>
  <c r="V112" i="274"/>
  <c r="V115" i="274"/>
  <c r="V118" i="274"/>
  <c r="V121" i="274"/>
  <c r="V124" i="274"/>
  <c r="V107" i="274"/>
  <c r="V116" i="274"/>
  <c r="V117" i="274"/>
  <c r="V108" i="274"/>
  <c r="V110" i="274"/>
  <c r="V120" i="274"/>
  <c r="V122" i="274"/>
  <c r="V123" i="274"/>
  <c r="X107" i="274" l="1"/>
  <c r="X111" i="274"/>
  <c r="X115" i="274"/>
  <c r="X110" i="274"/>
  <c r="X113" i="274"/>
  <c r="X116" i="274"/>
  <c r="X117" i="274"/>
  <c r="X123" i="274"/>
  <c r="X108" i="274"/>
  <c r="X114" i="274"/>
  <c r="X120" i="274"/>
  <c r="X122" i="274"/>
  <c r="Z122" i="274" s="1"/>
  <c r="X106" i="274"/>
  <c r="X109" i="274"/>
  <c r="X119" i="274"/>
  <c r="X112" i="274"/>
  <c r="Z112" i="274" s="1"/>
  <c r="D138" i="274" s="1"/>
  <c r="X118" i="274"/>
  <c r="X121" i="274"/>
  <c r="X124" i="274"/>
  <c r="W106" i="274"/>
  <c r="W110" i="274"/>
  <c r="W114" i="274"/>
  <c r="W108" i="274"/>
  <c r="W120" i="274"/>
  <c r="W122" i="274"/>
  <c r="W109" i="274"/>
  <c r="W111" i="274"/>
  <c r="W119" i="274"/>
  <c r="W112" i="274"/>
  <c r="W115" i="274"/>
  <c r="W118" i="274"/>
  <c r="W121" i="274"/>
  <c r="W107" i="274"/>
  <c r="W113" i="274"/>
  <c r="W116" i="274"/>
  <c r="W117" i="274"/>
  <c r="W123" i="274"/>
  <c r="W124" i="274"/>
  <c r="R83" i="280"/>
  <c r="S67" i="280"/>
  <c r="S83" i="280" s="1"/>
  <c r="O27" i="280"/>
  <c r="P24" i="280" s="1"/>
  <c r="V126" i="274"/>
  <c r="E67" i="332" a="1"/>
  <c r="E67" i="332" s="1"/>
  <c r="J65" i="332" a="1"/>
  <c r="J65" i="332" s="1"/>
  <c r="U65" i="332" a="1"/>
  <c r="U65" i="332" s="1"/>
  <c r="L65" i="332" a="1"/>
  <c r="L65" i="332" s="1"/>
  <c r="Y63" i="332" a="1"/>
  <c r="Y63" i="332" s="1"/>
  <c r="L68" i="332" a="1"/>
  <c r="L68" i="332" s="1"/>
  <c r="S66" i="332" a="1"/>
  <c r="S66" i="332" s="1"/>
  <c r="G68" i="332" a="1"/>
  <c r="G68" i="332" s="1"/>
  <c r="N68" i="332" a="1"/>
  <c r="N68" i="332" s="1"/>
  <c r="S68" i="332" a="1"/>
  <c r="S68" i="332" s="1"/>
  <c r="X66" i="332" a="1"/>
  <c r="X66" i="332" s="1"/>
  <c r="I64" i="332" a="1"/>
  <c r="I64" i="332" s="1"/>
  <c r="O66" i="332" a="1"/>
  <c r="O66" i="332" s="1"/>
  <c r="V63" i="332" a="1"/>
  <c r="V63" i="332" s="1"/>
  <c r="R68" i="332" a="1"/>
  <c r="R68" i="332" s="1"/>
  <c r="F67" i="332" a="1"/>
  <c r="F67" i="332" s="1"/>
  <c r="E64" i="332" a="1"/>
  <c r="E64" i="332" s="1"/>
  <c r="Y64" i="332" a="1"/>
  <c r="Y64" i="332" s="1"/>
  <c r="Y67" i="332" a="1"/>
  <c r="Y67" i="332" s="1"/>
  <c r="X68" i="332" a="1"/>
  <c r="X68" i="332" s="1"/>
  <c r="Q64" i="332" a="1"/>
  <c r="Q64" i="332" s="1"/>
  <c r="F68" i="332" a="1"/>
  <c r="F68" i="332" s="1"/>
  <c r="G65" i="332" a="1"/>
  <c r="G65" i="332" s="1"/>
  <c r="J66" i="332" a="1"/>
  <c r="J66" i="332" s="1"/>
  <c r="I63" i="332" a="1"/>
  <c r="I63" i="332" s="1"/>
  <c r="O68" i="332" a="1"/>
  <c r="O68" i="332" s="1"/>
  <c r="Z68" i="332" a="1"/>
  <c r="Z68" i="332" s="1"/>
  <c r="D67" i="332" a="1"/>
  <c r="D67" i="332" s="1"/>
  <c r="I67" i="332" a="1"/>
  <c r="I67" i="332" s="1"/>
  <c r="H66" i="332" a="1"/>
  <c r="H66" i="332" s="1"/>
  <c r="T64" i="332" a="1"/>
  <c r="T64" i="332" s="1"/>
  <c r="F66" i="332" a="1"/>
  <c r="F66" i="332" s="1"/>
  <c r="E68" i="332" a="1"/>
  <c r="E68" i="332" s="1"/>
  <c r="Q67" i="332" a="1"/>
  <c r="Q67" i="332" s="1"/>
  <c r="J63" i="332" a="1"/>
  <c r="J63" i="332" s="1"/>
  <c r="U68" i="332" a="1"/>
  <c r="U68" i="332" s="1"/>
  <c r="N67" i="332" a="1"/>
  <c r="N67" i="332" s="1"/>
  <c r="S65" i="332" a="1"/>
  <c r="S65" i="332" s="1"/>
  <c r="I68" i="332" a="1"/>
  <c r="I68" i="332" s="1"/>
  <c r="H65" i="332" a="1"/>
  <c r="H65" i="332" s="1"/>
  <c r="K63" i="332" a="1"/>
  <c r="K63" i="332" s="1"/>
  <c r="X65" i="332" a="1"/>
  <c r="X65" i="332" s="1"/>
  <c r="D66" i="332" a="1"/>
  <c r="D66" i="332" s="1"/>
  <c r="E65" i="332" a="1"/>
  <c r="E65" i="332" s="1"/>
  <c r="P66" i="332" a="1"/>
  <c r="P66" i="332" s="1"/>
  <c r="G64" i="332" a="1"/>
  <c r="G64" i="332" s="1"/>
  <c r="F65" i="332" a="1"/>
  <c r="F65" i="332" s="1"/>
  <c r="D65" i="332" a="1"/>
  <c r="D65" i="332" s="1"/>
  <c r="W126" i="274" l="1"/>
  <c r="H138" i="274"/>
  <c r="E73" i="236"/>
  <c r="H73" i="236" s="1"/>
  <c r="D14" i="320" s="1"/>
  <c r="Z123" i="274"/>
  <c r="Z110" i="274"/>
  <c r="D136" i="274" s="1"/>
  <c r="Z124" i="274"/>
  <c r="D142" i="274" s="1"/>
  <c r="H142" i="274" s="1"/>
  <c r="E11" i="236" s="1"/>
  <c r="E14" i="236" s="1"/>
  <c r="C36" i="236" s="1"/>
  <c r="F9" i="4" s="1"/>
  <c r="F11" i="4" s="1"/>
  <c r="Z119" i="274"/>
  <c r="Z120" i="274"/>
  <c r="Z117" i="274"/>
  <c r="Z115" i="274"/>
  <c r="Z121" i="274"/>
  <c r="Z109" i="274"/>
  <c r="D135" i="274" s="1"/>
  <c r="Z114" i="274"/>
  <c r="D140" i="274" s="1"/>
  <c r="Z116" i="274"/>
  <c r="Z111" i="274"/>
  <c r="D137" i="274" s="1"/>
  <c r="P26" i="280"/>
  <c r="P29" i="280" s="1"/>
  <c r="P30" i="280" s="1"/>
  <c r="P31" i="280" s="1"/>
  <c r="P37" i="280" s="1"/>
  <c r="P41" i="280" s="1"/>
  <c r="P46" i="280" s="1"/>
  <c r="Z118" i="274"/>
  <c r="X126" i="274"/>
  <c r="Z106" i="274"/>
  <c r="Z108" i="274"/>
  <c r="D134" i="274" s="1"/>
  <c r="Z113" i="274"/>
  <c r="D139" i="274" s="1"/>
  <c r="Z107" i="274"/>
  <c r="D133" i="274" s="1"/>
  <c r="H133" i="274" s="1"/>
  <c r="H134" i="274" l="1"/>
  <c r="E69" i="236"/>
  <c r="H69" i="236" s="1"/>
  <c r="D10" i="320" s="1"/>
  <c r="D132" i="274"/>
  <c r="Z126" i="274"/>
  <c r="AA126" i="274" s="1"/>
  <c r="P27" i="280"/>
  <c r="Q24" i="280" s="1"/>
  <c r="H135" i="274"/>
  <c r="E70" i="236"/>
  <c r="H70" i="236" s="1"/>
  <c r="D11" i="320" s="1"/>
  <c r="H137" i="274"/>
  <c r="E72" i="236"/>
  <c r="H72" i="236" s="1"/>
  <c r="D13" i="320" s="1"/>
  <c r="H139" i="274"/>
  <c r="E30" i="236" s="1"/>
  <c r="C40" i="236" s="1"/>
  <c r="C52" i="236" s="1"/>
  <c r="E27" i="236"/>
  <c r="D141" i="274"/>
  <c r="H141" i="274" s="1"/>
  <c r="C18" i="334"/>
  <c r="J12" i="4"/>
  <c r="D18" i="248" s="1"/>
  <c r="F16" i="4"/>
  <c r="H140" i="274"/>
  <c r="E22" i="236" s="1"/>
  <c r="C38" i="236" s="1"/>
  <c r="C51" i="236" s="1"/>
  <c r="C54" i="236" s="1"/>
  <c r="C56" i="236" s="1"/>
  <c r="J42" i="236" s="1"/>
  <c r="J43" i="236" s="1"/>
  <c r="E19" i="236"/>
  <c r="H136" i="274"/>
  <c r="E71" i="236"/>
  <c r="H71" i="236" s="1"/>
  <c r="D12" i="320" s="1"/>
  <c r="I27" i="236" l="1"/>
  <c r="D15" i="320"/>
  <c r="D144" i="274"/>
  <c r="Z141" i="274" s="1"/>
  <c r="H132" i="274"/>
  <c r="E68" i="236"/>
  <c r="H68" i="236" s="1"/>
  <c r="I9" i="1"/>
  <c r="I9" i="283"/>
  <c r="I19" i="236"/>
  <c r="D16" i="320"/>
  <c r="E18" i="334"/>
  <c r="C19" i="334"/>
  <c r="E19" i="334" s="1"/>
  <c r="Q26" i="280"/>
  <c r="Q29" i="280" s="1"/>
  <c r="Q30" i="280" s="1"/>
  <c r="Q31" i="280" s="1"/>
  <c r="Q37" i="280" s="1"/>
  <c r="Q41" i="280" s="1"/>
  <c r="Q46" i="280" s="1"/>
  <c r="Q27" i="280" l="1"/>
  <c r="R24" i="280" s="1"/>
  <c r="I68" i="236"/>
  <c r="D9" i="320"/>
  <c r="R26" i="280" l="1"/>
  <c r="R29" i="280" s="1"/>
  <c r="R30" i="280" s="1"/>
  <c r="R31" i="280" s="1"/>
  <c r="R37" i="280" s="1"/>
  <c r="R41" i="280" s="1"/>
  <c r="R46" i="280" s="1"/>
  <c r="R27" i="280" l="1"/>
  <c r="S24" i="280" s="1"/>
  <c r="S26" i="280" l="1"/>
  <c r="S29" i="280" s="1"/>
  <c r="S30" i="280" s="1"/>
  <c r="S31" i="280" s="1"/>
  <c r="S37" i="280" s="1"/>
  <c r="S41" i="280" s="1"/>
  <c r="S46" i="280" s="1"/>
  <c r="C48" i="280" s="1"/>
  <c r="S27" i="280" l="1"/>
  <c r="U24" i="280" s="1"/>
  <c r="U26" i="280" l="1"/>
  <c r="U29" i="280" s="1"/>
  <c r="U30" i="280" s="1"/>
  <c r="U31" i="280" s="1"/>
  <c r="U37" i="280" s="1"/>
  <c r="U41" i="280" s="1"/>
  <c r="H50" i="280" s="1"/>
  <c r="C49" i="280" l="1"/>
  <c r="C51" i="280" s="1"/>
  <c r="P50" i="280"/>
  <c r="U27" i="280"/>
  <c r="F90" i="280" l="1"/>
  <c r="H90" i="280" s="1"/>
  <c r="D14" i="4"/>
  <c r="D15" i="4" s="1"/>
  <c r="H64" i="280"/>
</calcChain>
</file>

<file path=xl/comments1.xml><?xml version="1.0" encoding="utf-8"?>
<comments xmlns="http://schemas.openxmlformats.org/spreadsheetml/2006/main">
  <authors>
    <author>Knowcraft Common</author>
  </authors>
  <commentList>
    <comment ref="C8" authorId="0" shapeId="0">
      <text>
        <r>
          <rPr>
            <b/>
            <sz val="9"/>
            <color indexed="81"/>
            <rFont val="Tahoma"/>
            <family val="2"/>
          </rPr>
          <t>Knowcraft Common:</t>
        </r>
        <r>
          <rPr>
            <sz val="9"/>
            <color indexed="81"/>
            <rFont val="Tahoma"/>
            <family val="2"/>
          </rPr>
          <t xml:space="preserve">
Please add reference to ASC 718 in case of FV.</t>
        </r>
      </text>
    </comment>
  </commentList>
</comments>
</file>

<file path=xl/comments2.xml><?xml version="1.0" encoding="utf-8"?>
<comments xmlns="http://schemas.openxmlformats.org/spreadsheetml/2006/main">
  <authors>
    <author>Ruchit Shah</author>
  </authors>
  <commentList>
    <comment ref="J20" authorId="0" shapeId="0">
      <text>
        <r>
          <rPr>
            <b/>
            <sz val="9"/>
            <color indexed="81"/>
            <rFont val="Tahoma"/>
            <family val="2"/>
          </rPr>
          <t>Ruchit Shah:</t>
        </r>
        <r>
          <rPr>
            <sz val="9"/>
            <color indexed="81"/>
            <rFont val="Tahoma"/>
            <family val="2"/>
          </rPr>
          <t xml:space="preserve">
Linked to Workpapers Sheet</t>
        </r>
      </text>
    </comment>
  </commentList>
</comments>
</file>

<file path=xl/comments3.xml><?xml version="1.0" encoding="utf-8"?>
<comments xmlns="http://schemas.openxmlformats.org/spreadsheetml/2006/main">
  <authors>
    <author>Harpreet Singh</author>
    <author>Knowcraft Common</author>
  </authors>
  <commentList>
    <comment ref="T52" authorId="0" shapeId="0">
      <text>
        <r>
          <rPr>
            <sz val="9"/>
            <color indexed="81"/>
            <rFont val="Tahoma"/>
            <family val="2"/>
          </rPr>
          <t>Check formulae</t>
        </r>
      </text>
    </comment>
    <comment ref="D153" authorId="1" shapeId="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4.xml><?xml version="1.0" encoding="utf-8"?>
<comments xmlns="http://schemas.openxmlformats.org/spreadsheetml/2006/main">
  <authors>
    <author>Harpreet Singh</author>
    <author>Knowcraft Common</author>
  </authors>
  <commentList>
    <comment ref="Z52" authorId="0" shapeId="0">
      <text>
        <r>
          <rPr>
            <sz val="9"/>
            <color indexed="81"/>
            <rFont val="Tahoma"/>
            <family val="2"/>
          </rPr>
          <t>Check formulae</t>
        </r>
      </text>
    </comment>
    <comment ref="D152" authorId="1" shapeId="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5.xml><?xml version="1.0" encoding="utf-8"?>
<comments xmlns="http://schemas.openxmlformats.org/spreadsheetml/2006/main">
  <authors>
    <author>CIQ RNA</author>
  </authors>
  <commentList>
    <comment ref="R9" authorId="0" shapeId="0">
      <text>
        <r>
          <rPr>
            <b/>
            <sz val="9"/>
            <color indexed="81"/>
            <rFont val="Tahoma"/>
            <family val="2"/>
          </rPr>
          <t>CIQ RNA:</t>
        </r>
        <r>
          <rPr>
            <sz val="9"/>
            <color indexed="81"/>
            <rFont val="Tahoma"/>
            <family val="2"/>
          </rPr>
          <t xml:space="preserve">
=CIQ(R8, "IQ_LASTSALEPRICE", I8, "USD", "H")</t>
        </r>
      </text>
    </comment>
  </commentList>
</comments>
</file>

<file path=xl/comments6.xml><?xml version="1.0" encoding="utf-8"?>
<comments xmlns="http://schemas.openxmlformats.org/spreadsheetml/2006/main">
  <authors>
    <author>Knowcraft Common</author>
  </authors>
  <commentList>
    <comment ref="B9" authorId="0" shapeId="0">
      <text>
        <r>
          <rPr>
            <b/>
            <sz val="9"/>
            <color indexed="81"/>
            <rFont val="Tahoma"/>
            <family val="2"/>
          </rPr>
          <t>Knowcraft Common:</t>
        </r>
        <r>
          <rPr>
            <sz val="9"/>
            <color indexed="81"/>
            <rFont val="Tahoma"/>
            <family val="2"/>
          </rPr>
          <t xml:space="preserve">
Group debt and update footnote numbering if applicable.</t>
        </r>
      </text>
    </comment>
  </commentList>
</comments>
</file>

<file path=xl/comments7.xml><?xml version="1.0" encoding="utf-8"?>
<comments xmlns="http://schemas.openxmlformats.org/spreadsheetml/2006/main">
  <authors>
    <author>Knowcraft Common</author>
  </authors>
  <commentList>
    <comment ref="B15" authorId="0" shapeId="0">
      <text>
        <r>
          <rPr>
            <b/>
            <sz val="9"/>
            <color indexed="81"/>
            <rFont val="Tahoma"/>
            <family val="2"/>
          </rPr>
          <t>Knowcraft Common:</t>
        </r>
        <r>
          <rPr>
            <sz val="9"/>
            <color indexed="81"/>
            <rFont val="Tahoma"/>
            <family val="2"/>
          </rPr>
          <t xml:space="preserve">
Group if PWERM WACC or CAPM WACC is used</t>
        </r>
      </text>
    </comment>
  </commentList>
</comments>
</file>

<file path=xl/comments8.xml><?xml version="1.0" encoding="utf-8"?>
<comments xmlns="http://schemas.openxmlformats.org/spreadsheetml/2006/main">
  <authors>
    <author>Priyadarshini Pant</author>
  </authors>
  <commentList>
    <comment ref="E9" authorId="0" shapeId="0">
      <text>
        <r>
          <rPr>
            <b/>
            <sz val="9"/>
            <color indexed="81"/>
            <rFont val="Tahoma"/>
            <family val="2"/>
          </rPr>
          <t>Priyadarshini Pant:</t>
        </r>
        <r>
          <rPr>
            <sz val="9"/>
            <color indexed="81"/>
            <rFont val="Tahoma"/>
            <family val="2"/>
          </rPr>
          <t xml:space="preserve">
Reflects SAIL secondary transaction.</t>
        </r>
      </text>
    </comment>
  </commentList>
</comments>
</file>

<file path=xl/comments9.xml><?xml version="1.0" encoding="utf-8"?>
<comments xmlns="http://schemas.openxmlformats.org/spreadsheetml/2006/main">
  <authors>
    <author>RNA</author>
    <author>Harsh Mansatta</author>
  </authors>
  <commentList>
    <comment ref="D10" authorId="0" shapeId="0">
      <text>
        <r>
          <rPr>
            <b/>
            <sz val="9"/>
            <color indexed="81"/>
            <rFont val="Tahoma"/>
            <family val="2"/>
          </rPr>
          <t>RNA:</t>
        </r>
        <r>
          <rPr>
            <sz val="9"/>
            <color indexed="81"/>
            <rFont val="Tahoma"/>
            <family val="2"/>
          </rPr>
          <t xml:space="preserve">
Date of Note Holders converting to A-2</t>
        </r>
      </text>
    </comment>
    <comment ref="K36" authorId="1" shapeId="0">
      <text>
        <r>
          <rPr>
            <b/>
            <sz val="9"/>
            <color indexed="81"/>
            <rFont val="Tahoma"/>
            <family val="2"/>
          </rPr>
          <t>Harsh Mansatta:</t>
        </r>
        <r>
          <rPr>
            <sz val="9"/>
            <color indexed="81"/>
            <rFont val="Tahoma"/>
            <family val="2"/>
          </rPr>
          <t xml:space="preserve">
Page 3/5 of term sheet</t>
        </r>
      </text>
    </comment>
  </commentList>
</comments>
</file>

<file path=xl/comments10.xml><?xml version="1.0" encoding="utf-8"?>
<comments xmlns="http://schemas.openxmlformats.org/spreadsheetml/2006/main">
  <authors>
    <author>Priyadarshini Pant</author>
  </authors>
  <commentList>
    <comment ref="B50" authorId="0" shapeId="0">
      <text>
        <r>
          <rPr>
            <b/>
            <sz val="9"/>
            <color indexed="81"/>
            <rFont val="Tahoma"/>
            <family val="2"/>
          </rPr>
          <t>Priyadarshini Pant:</t>
        </r>
        <r>
          <rPr>
            <sz val="9"/>
            <color indexed="81"/>
            <rFont val="Tahoma"/>
            <family val="2"/>
          </rPr>
          <t xml:space="preserve">
Secondary comps</t>
        </r>
      </text>
    </comment>
  </commentList>
</comments>
</file>

<file path=xl/comments11.xml><?xml version="1.0" encoding="utf-8"?>
<comments xmlns="http://schemas.openxmlformats.org/spreadsheetml/2006/main">
  <authors>
    <author>Windows User</author>
  </authors>
  <commentList>
    <comment ref="I8" authorId="0" shapeId="0">
      <text>
        <r>
          <rPr>
            <b/>
            <sz val="9"/>
            <color indexed="81"/>
            <rFont val="Tahoma"/>
            <family val="2"/>
          </rPr>
          <t>Windows User:</t>
        </r>
        <r>
          <rPr>
            <sz val="9"/>
            <color indexed="81"/>
            <rFont val="Tahoma"/>
            <family val="2"/>
          </rPr>
          <t xml:space="preserve">
0</t>
        </r>
      </text>
    </comment>
  </commentList>
</comments>
</file>

<file path=xl/comments12.xml><?xml version="1.0" encoding="utf-8"?>
<comments xmlns="http://schemas.openxmlformats.org/spreadsheetml/2006/main">
  <authors>
    <author>Valuation Common</author>
    <author>KC</author>
  </authors>
  <commentList>
    <comment ref="R12" authorId="0" shapeId="0">
      <text>
        <r>
          <rPr>
            <b/>
            <sz val="9"/>
            <color indexed="81"/>
            <rFont val="Tahoma"/>
            <family val="2"/>
          </rPr>
          <t>=IFERROR(CIQ(C11, "IQ_LASTSALEPRICE", $W$4, $AB$3, $AB$4),"n/a")</t>
        </r>
      </text>
    </comment>
    <comment ref="S12" authorId="0" shapeId="0">
      <text>
        <r>
          <rPr>
            <b/>
            <sz val="9"/>
            <color indexed="81"/>
            <rFont val="Tahoma"/>
            <family val="2"/>
          </rPr>
          <t>=IFERROR(CIQ(C11, "IQ_MARKETCAP", $W$4, $AB$3, $AB$4)*1000,"n/a")</t>
        </r>
      </text>
    </comment>
    <comment ref="T12" authorId="0" shapeId="0">
      <text>
        <r>
          <rPr>
            <b/>
            <sz val="9"/>
            <color indexed="81"/>
            <rFont val="Tahoma"/>
            <family val="2"/>
          </rPr>
          <t>=IFERROR(CIQ(C11, "IQ_TEV", $W$4, $AB$3, $AB$4)*1000,"n/a")</t>
        </r>
      </text>
    </comment>
    <comment ref="R13" authorId="0" shapeId="0">
      <text>
        <r>
          <rPr>
            <b/>
            <sz val="9"/>
            <color indexed="81"/>
            <rFont val="Tahoma"/>
            <family val="2"/>
          </rPr>
          <t>=CIQ(C12, "IQ_LASTSALEPRICE", $W$4, $AB$3, $AB$4)</t>
        </r>
      </text>
    </comment>
    <comment ref="S13" authorId="0" shapeId="0">
      <text>
        <r>
          <rPr>
            <b/>
            <sz val="9"/>
            <color indexed="81"/>
            <rFont val="Tahoma"/>
            <family val="2"/>
          </rPr>
          <t>=IFERROR(CIQ(C12, "IQ_MARKETCAP", $W$4, $AB$3, $AB$4)*1000,"n/a")</t>
        </r>
      </text>
    </comment>
    <comment ref="T13" authorId="0" shapeId="0">
      <text>
        <r>
          <rPr>
            <b/>
            <sz val="9"/>
            <color indexed="81"/>
            <rFont val="Tahoma"/>
            <family val="2"/>
          </rPr>
          <t>=IFERROR(CIQ(C12, "IQ_TEV", $W$4, $AB$3, $AB$4)*1000,"n/a")</t>
        </r>
      </text>
    </comment>
    <comment ref="B209" authorId="1" shapeId="0">
      <text>
        <r>
          <rPr>
            <b/>
            <sz val="9"/>
            <color indexed="81"/>
            <rFont val="Tahoma"/>
            <family val="2"/>
          </rPr>
          <t>KC:</t>
        </r>
        <r>
          <rPr>
            <sz val="9"/>
            <color indexed="81"/>
            <rFont val="Tahoma"/>
            <family val="2"/>
          </rPr>
          <t xml:space="preserve">
Company has become Private as of 02/28/17 (Closed Date)</t>
        </r>
      </text>
    </comment>
  </commentList>
</comments>
</file>

<file path=xl/comments13.xml><?xml version="1.0" encoding="utf-8"?>
<comments xmlns="http://schemas.openxmlformats.org/spreadsheetml/2006/main">
  <authors>
    <author>Ruchit Shah</author>
  </authors>
  <commentList>
    <comment ref="J20" authorId="0" shapeId="0">
      <text>
        <r>
          <rPr>
            <b/>
            <sz val="9"/>
            <color indexed="81"/>
            <rFont val="Tahoma"/>
            <family val="2"/>
          </rPr>
          <t>Ruchit Shah:</t>
        </r>
        <r>
          <rPr>
            <sz val="9"/>
            <color indexed="81"/>
            <rFont val="Tahoma"/>
            <family val="2"/>
          </rPr>
          <t xml:space="preserve">
Linked to Workpapers Sheet</t>
        </r>
      </text>
    </comment>
  </commentList>
</comments>
</file>

<file path=xl/comments14.xml><?xml version="1.0" encoding="utf-8"?>
<comments xmlns="http://schemas.openxmlformats.org/spreadsheetml/2006/main">
  <authors>
    <author>Kayvon Namvar</author>
  </authors>
  <commentList>
    <comment ref="U14" authorId="0" shapeId="0">
      <text>
        <r>
          <rPr>
            <b/>
            <sz val="9"/>
            <color indexed="81"/>
            <rFont val="Tahoma"/>
            <family val="2"/>
          </rPr>
          <t>Kayvon Namvar:</t>
        </r>
        <r>
          <rPr>
            <sz val="9"/>
            <color indexed="81"/>
            <rFont val="Tahoma"/>
            <family val="2"/>
          </rPr>
          <t xml:space="preserve">
</t>
        </r>
      </text>
    </comment>
  </commentList>
</comments>
</file>

<file path=xl/comments15.xml><?xml version="1.0" encoding="utf-8"?>
<comments xmlns="http://schemas.openxmlformats.org/spreadsheetml/2006/main">
  <authors>
    <author>Priyadarshini Pant</author>
  </authors>
  <commentList>
    <comment ref="B42" authorId="0" shapeId="0">
      <text>
        <r>
          <rPr>
            <b/>
            <sz val="9"/>
            <color indexed="81"/>
            <rFont val="Tahoma"/>
            <family val="2"/>
          </rPr>
          <t>Priyadarshini Pant:</t>
        </r>
        <r>
          <rPr>
            <sz val="9"/>
            <color indexed="81"/>
            <rFont val="Tahoma"/>
            <family val="2"/>
          </rPr>
          <t xml:space="preserve">
Make sure to update this whenever WACC CAPM is used.</t>
        </r>
      </text>
    </comment>
  </commentList>
</comments>
</file>

<file path=xl/comments16.xml><?xml version="1.0" encoding="utf-8"?>
<comments xmlns="http://schemas.openxmlformats.org/spreadsheetml/2006/main">
  <authors>
    <author>Dhara Shah</author>
    <author>Valuation Common</author>
    <author>Windows User</author>
  </authors>
  <commentList>
    <comment ref="AB8" authorId="0" shapeId="0">
      <text>
        <r>
          <rPr>
            <b/>
            <sz val="9"/>
            <color indexed="81"/>
            <rFont val="Tahoma"/>
            <family val="2"/>
          </rPr>
          <t>Dhara Shah:</t>
        </r>
        <r>
          <rPr>
            <sz val="9"/>
            <color indexed="81"/>
            <rFont val="Tahoma"/>
            <family val="2"/>
          </rPr>
          <t xml:space="preserve">
Do not delete. This is an array formula, so please adjust (Ctrl+Shift+Enter) if range changes</t>
        </r>
      </text>
    </comment>
    <comment ref="D11" authorId="1" shapeId="0">
      <text>
        <r>
          <rPr>
            <b/>
            <sz val="9"/>
            <color indexed="81"/>
            <rFont val="Tahoma"/>
            <family val="2"/>
          </rPr>
          <t>Valuation Common:</t>
        </r>
        <r>
          <rPr>
            <sz val="9"/>
            <color indexed="81"/>
            <rFont val="Tahoma"/>
            <family val="2"/>
          </rPr>
          <t xml:space="preserve">
Update if selected levered beta is not available or applicable</t>
        </r>
      </text>
    </comment>
    <comment ref="E80" authorId="2" shapeId="0">
      <text>
        <r>
          <rPr>
            <b/>
            <sz val="9"/>
            <color indexed="81"/>
            <rFont val="Tahoma"/>
            <family val="2"/>
          </rPr>
          <t>Windows User:</t>
        </r>
        <r>
          <rPr>
            <sz val="9"/>
            <color indexed="81"/>
            <rFont val="Tahoma"/>
            <family val="2"/>
          </rPr>
          <t xml:space="preserve">
MSCI emerging markets</t>
        </r>
      </text>
    </comment>
  </commentList>
</comments>
</file>

<file path=xl/comments17.xml><?xml version="1.0" encoding="utf-8"?>
<comments xmlns="http://schemas.openxmlformats.org/spreadsheetml/2006/main">
  <authors>
    <author>RNA</author>
  </authors>
  <commentList>
    <comment ref="AW6" authorId="0" shapeId="0">
      <text>
        <r>
          <rPr>
            <b/>
            <sz val="9"/>
            <color indexed="81"/>
            <rFont val="Tahoma"/>
            <family val="2"/>
          </rPr>
          <t>RNA:</t>
        </r>
        <r>
          <rPr>
            <sz val="9"/>
            <color indexed="81"/>
            <rFont val="Tahoma"/>
            <family val="2"/>
          </rPr>
          <t xml:space="preserve">
This was $7.00 earlier, changed to $11.0 to reconcile with the auditor file</t>
        </r>
      </text>
    </comment>
    <comment ref="AW17" authorId="0" shapeId="0">
      <text>
        <r>
          <rPr>
            <b/>
            <sz val="9"/>
            <color indexed="81"/>
            <rFont val="Tahoma"/>
            <family val="2"/>
          </rPr>
          <t>RNA:</t>
        </r>
        <r>
          <rPr>
            <sz val="9"/>
            <color indexed="81"/>
            <rFont val="Tahoma"/>
            <family val="2"/>
          </rPr>
          <t xml:space="preserve">
This was $7.00 earlier, changed to $11.0 to reconcile with the auditor file</t>
        </r>
      </text>
    </comment>
    <comment ref="AR62" authorId="0" shapeId="0">
      <text>
        <r>
          <rPr>
            <b/>
            <sz val="9"/>
            <color indexed="81"/>
            <rFont val="Tahoma"/>
            <family val="2"/>
          </rPr>
          <t>RNA:</t>
        </r>
        <r>
          <rPr>
            <sz val="9"/>
            <color indexed="81"/>
            <rFont val="Tahoma"/>
            <family val="2"/>
          </rPr>
          <t xml:space="preserve">
This was $7.00. We changed to $10.00 based on audit-provided file for reconciliation
</t>
        </r>
      </text>
    </comment>
    <comment ref="BB62" authorId="0" shapeId="0">
      <text>
        <r>
          <rPr>
            <b/>
            <sz val="9"/>
            <color indexed="81"/>
            <rFont val="Tahoma"/>
            <family val="2"/>
          </rPr>
          <t>RNA:</t>
        </r>
        <r>
          <rPr>
            <sz val="9"/>
            <color indexed="81"/>
            <rFont val="Tahoma"/>
            <family val="2"/>
          </rPr>
          <t xml:space="preserve">
This was $7.0 earlier, changed to $3.7 to reconcile with the audit-provided file</t>
        </r>
      </text>
    </comment>
  </commentList>
</comments>
</file>

<file path=xl/comments18.xml><?xml version="1.0" encoding="utf-8"?>
<comments xmlns="http://schemas.openxmlformats.org/spreadsheetml/2006/main">
  <authors>
    <author>BofAML</author>
  </authors>
  <commentList>
    <comment ref="U3" authorId="0" shapeId="0">
      <text>
        <r>
          <rPr>
            <b/>
            <sz val="9"/>
            <color indexed="81"/>
            <rFont val="Tahoma"/>
            <family val="2"/>
          </rPr>
          <t>BofAML:</t>
        </r>
        <r>
          <rPr>
            <sz val="9"/>
            <color indexed="81"/>
            <rFont val="Tahoma"/>
            <family val="2"/>
          </rPr>
          <t xml:space="preserve">
LOE</t>
        </r>
      </text>
    </comment>
    <comment ref="A24" authorId="0" shapeId="0">
      <text>
        <r>
          <rPr>
            <sz val="9"/>
            <color indexed="81"/>
            <rFont val="Tahoma"/>
            <family val="2"/>
          </rPr>
          <t>Not affected by PoS</t>
        </r>
      </text>
    </comment>
    <comment ref="C27" authorId="0" shapeId="0">
      <text>
        <r>
          <rPr>
            <sz val="9"/>
            <color indexed="81"/>
            <rFont val="Tahoma"/>
            <family val="2"/>
          </rPr>
          <t>Betta pharm</t>
        </r>
      </text>
    </comment>
    <comment ref="D27" authorId="0" shapeId="0">
      <text>
        <r>
          <rPr>
            <sz val="9"/>
            <color indexed="81"/>
            <rFont val="Tahoma"/>
            <family val="2"/>
          </rPr>
          <t>Betta pharm</t>
        </r>
      </text>
    </comment>
    <comment ref="E27" authorId="0" shapeId="0">
      <text>
        <r>
          <rPr>
            <sz val="9"/>
            <color indexed="81"/>
            <rFont val="Tahoma"/>
            <family val="2"/>
          </rPr>
          <t>Betta pharm</t>
        </r>
      </text>
    </comment>
    <comment ref="F27" authorId="0" shapeId="0">
      <text>
        <r>
          <rPr>
            <sz val="9"/>
            <color indexed="81"/>
            <rFont val="Tahoma"/>
            <family val="2"/>
          </rPr>
          <t>Betta pharm</t>
        </r>
      </text>
    </comment>
    <comment ref="G27" authorId="0" shapeId="0">
      <text>
        <r>
          <rPr>
            <sz val="9"/>
            <color indexed="81"/>
            <rFont val="Tahoma"/>
            <family val="2"/>
          </rPr>
          <t>Betta pharm</t>
        </r>
      </text>
    </comment>
    <comment ref="C31" authorId="0" shapeId="0">
      <text>
        <r>
          <rPr>
            <sz val="9"/>
            <color indexed="81"/>
            <rFont val="Tahoma"/>
            <family val="2"/>
          </rPr>
          <t>Betta pharm</t>
        </r>
      </text>
    </comment>
    <comment ref="D31" authorId="0" shapeId="0">
      <text>
        <r>
          <rPr>
            <sz val="9"/>
            <color indexed="81"/>
            <rFont val="Tahoma"/>
            <family val="2"/>
          </rPr>
          <t>Betta pharm</t>
        </r>
      </text>
    </comment>
    <comment ref="E31" authorId="0" shapeId="0">
      <text>
        <r>
          <rPr>
            <sz val="9"/>
            <color indexed="81"/>
            <rFont val="Tahoma"/>
            <family val="2"/>
          </rPr>
          <t>Betta pharm</t>
        </r>
      </text>
    </comment>
    <comment ref="F53" authorId="0" shapeId="0">
      <text>
        <r>
          <rPr>
            <sz val="9"/>
            <color indexed="81"/>
            <rFont val="Tahoma"/>
            <family val="2"/>
          </rPr>
          <t>Betta pharm</t>
        </r>
      </text>
    </comment>
    <comment ref="G53" authorId="0" shapeId="0">
      <text>
        <r>
          <rPr>
            <sz val="9"/>
            <color indexed="81"/>
            <rFont val="Tahoma"/>
            <family val="2"/>
          </rPr>
          <t>Betta pharm</t>
        </r>
      </text>
    </comment>
  </commentList>
</comments>
</file>

<file path=xl/comments19.xml><?xml version="1.0" encoding="utf-8"?>
<comments xmlns="http://schemas.openxmlformats.org/spreadsheetml/2006/main">
  <authors>
    <author>Author</author>
  </authors>
  <commentList>
    <comment ref="J3" authorId="0" shapeId="0">
      <text>
        <r>
          <rPr>
            <b/>
            <sz val="9"/>
            <color indexed="81"/>
            <rFont val="Tahoma"/>
            <family val="2"/>
          </rPr>
          <t>Author:</t>
        </r>
        <r>
          <rPr>
            <sz val="9"/>
            <color indexed="81"/>
            <rFont val="Tahoma"/>
            <family val="2"/>
          </rPr>
          <t xml:space="preserve">
deloitte is still assessing if there is any derivative embeded in the PS under IFRS. If material derivative intrument were identified, a fair value assessment for each stream of PS would be needed as of each balance sheet date.</t>
        </r>
      </text>
    </comment>
  </commentList>
</comments>
</file>

<file path=xl/comments20.xml><?xml version="1.0" encoding="utf-8"?>
<comments xmlns="http://schemas.openxmlformats.org/spreadsheetml/2006/main">
  <authors>
    <author>KC</author>
  </authors>
  <commentList>
    <comment ref="X7" authorId="0" shapeId="0">
      <text>
        <r>
          <rPr>
            <b/>
            <sz val="9"/>
            <color indexed="81"/>
            <rFont val="Tahoma"/>
            <family val="2"/>
          </rPr>
          <t>KC:</t>
        </r>
        <r>
          <rPr>
            <sz val="9"/>
            <color indexed="81"/>
            <rFont val="Tahoma"/>
            <family val="2"/>
          </rPr>
          <t xml:space="preserve">
Add Phase of lead drug</t>
        </r>
      </text>
    </comment>
  </commentList>
</comments>
</file>

<file path=xl/comments21.xml><?xml version="1.0" encoding="utf-8"?>
<comments xmlns="http://schemas.openxmlformats.org/spreadsheetml/2006/main">
  <authors>
    <author>Harpreet Singh</author>
  </authors>
  <commentList>
    <comment ref="T13" authorId="0" shapeId="0">
      <text>
        <r>
          <rPr>
            <b/>
            <sz val="9"/>
            <color indexed="81"/>
            <rFont val="Tahoma"/>
            <family val="2"/>
          </rPr>
          <t xml:space="preserve">Estimates
</t>
        </r>
      </text>
    </comment>
    <comment ref="U13" authorId="0" shapeId="0">
      <text>
        <r>
          <rPr>
            <b/>
            <sz val="9"/>
            <color indexed="81"/>
            <rFont val="Tahoma"/>
            <family val="2"/>
          </rPr>
          <t xml:space="preserve">Estimates
</t>
        </r>
      </text>
    </comment>
    <comment ref="AC13" authorId="0" shapeId="0">
      <text>
        <r>
          <rPr>
            <b/>
            <sz val="9"/>
            <color indexed="81"/>
            <rFont val="Tahoma"/>
            <family val="2"/>
          </rPr>
          <t xml:space="preserve">Estimates
</t>
        </r>
      </text>
    </comment>
    <comment ref="AD13" authorId="0" shapeId="0">
      <text>
        <r>
          <rPr>
            <b/>
            <sz val="9"/>
            <color indexed="81"/>
            <rFont val="Tahoma"/>
            <family val="2"/>
          </rPr>
          <t xml:space="preserve">Estimates
</t>
        </r>
      </text>
    </comment>
    <comment ref="AE13" authorId="0" shapeId="0">
      <text>
        <r>
          <rPr>
            <b/>
            <sz val="9"/>
            <color indexed="81"/>
            <rFont val="Tahoma"/>
            <family val="2"/>
          </rPr>
          <t xml:space="preserve">Estimates
</t>
        </r>
      </text>
    </comment>
  </commentList>
</comments>
</file>

<file path=xl/sharedStrings.xml><?xml version="1.0" encoding="utf-8"?>
<sst xmlns="http://schemas.openxmlformats.org/spreadsheetml/2006/main" count="9097" uniqueCount="4067">
  <si>
    <t>(in thousands of USD)</t>
  </si>
  <si>
    <t>n/a</t>
  </si>
  <si>
    <t>Mean</t>
  </si>
  <si>
    <t>Median</t>
  </si>
  <si>
    <t>Reference</t>
  </si>
  <si>
    <t>Duration (Years)</t>
  </si>
  <si>
    <t>Risk-Free Rate</t>
  </si>
  <si>
    <t>Dividend Yield</t>
  </si>
  <si>
    <t>Volatility</t>
  </si>
  <si>
    <t>Calculated DLOM</t>
  </si>
  <si>
    <t>Protective Put (European)</t>
  </si>
  <si>
    <t>Starting Price</t>
  </si>
  <si>
    <t>Strike Price</t>
  </si>
  <si>
    <t>Years to Maturity</t>
  </si>
  <si>
    <t>D1</t>
  </si>
  <si>
    <t>D2</t>
  </si>
  <si>
    <t>Footnotes:</t>
  </si>
  <si>
    <t>Val Date</t>
  </si>
  <si>
    <t>(in millions of USD)</t>
  </si>
  <si>
    <t>Conversion</t>
  </si>
  <si>
    <t>H</t>
  </si>
  <si>
    <t>Capitalization</t>
  </si>
  <si>
    <t>Asset Volatility Key Terms</t>
  </si>
  <si>
    <t>Asset Volatility Calculations</t>
  </si>
  <si>
    <t>Market Cap</t>
  </si>
  <si>
    <t>Debt</t>
  </si>
  <si>
    <t>Pref.</t>
  </si>
  <si>
    <t>Min. Int.</t>
  </si>
  <si>
    <t>Total Debt, Pref., MI</t>
  </si>
  <si>
    <t>MVIC</t>
  </si>
  <si>
    <t>Cash &amp; Equiv.</t>
  </si>
  <si>
    <t>Ent. Value</t>
  </si>
  <si>
    <t>Term</t>
  </si>
  <si>
    <t>Equity Vol.</t>
  </si>
  <si>
    <t>Variance</t>
  </si>
  <si>
    <t>N(D1)</t>
  </si>
  <si>
    <t>N(D2)</t>
  </si>
  <si>
    <t>Call Value</t>
  </si>
  <si>
    <t>Ticker</t>
  </si>
  <si>
    <t>EV</t>
  </si>
  <si>
    <t>Check</t>
  </si>
  <si>
    <t>High</t>
  </si>
  <si>
    <t>Low</t>
  </si>
  <si>
    <t xml:space="preserve">Mean </t>
  </si>
  <si>
    <t>1st Quartile</t>
  </si>
  <si>
    <t>3rd Quartile</t>
  </si>
  <si>
    <t>Source: Capital IQ</t>
  </si>
  <si>
    <t>Equity Volatility</t>
  </si>
  <si>
    <t>Years Lookback</t>
  </si>
  <si>
    <t>Risk-Free Rates</t>
  </si>
  <si>
    <t>Term (Years)</t>
  </si>
  <si>
    <t>Description</t>
  </si>
  <si>
    <t>Cap IQ</t>
  </si>
  <si>
    <t>Min</t>
  </si>
  <si>
    <t>Max</t>
  </si>
  <si>
    <t>IQ36183813</t>
  </si>
  <si>
    <t>IQ36183816</t>
  </si>
  <si>
    <t>IQ36183819</t>
  </si>
  <si>
    <t>IQ36183822</t>
  </si>
  <si>
    <t>IQ36183825</t>
  </si>
  <si>
    <t>IQ36183828</t>
  </si>
  <si>
    <t>IQ36183831</t>
  </si>
  <si>
    <t>IQ36183834</t>
  </si>
  <si>
    <t>IQ36183837</t>
  </si>
  <si>
    <t>IQ36183840</t>
  </si>
  <si>
    <t>IQ36183843</t>
  </si>
  <si>
    <t>Term Same As Risk-Free Rate Duration</t>
  </si>
  <si>
    <t>Interpolated Risk-Free Rate</t>
  </si>
  <si>
    <t>(in thousands of USD, except price per share)</t>
  </si>
  <si>
    <t>Valuation Summary</t>
  </si>
  <si>
    <t>Guideline Transaction Method</t>
  </si>
  <si>
    <t>Enterprise Value</t>
  </si>
  <si>
    <t>Equity Value</t>
  </si>
  <si>
    <t>Allocation of Value</t>
  </si>
  <si>
    <t>Common Stock</t>
  </si>
  <si>
    <t>PWERM</t>
  </si>
  <si>
    <t xml:space="preserve">Concluded Price Per Share (Non-Marketable, Minority) </t>
  </si>
  <si>
    <t>Allocation Methodology</t>
  </si>
  <si>
    <t>Historical Income Statement</t>
  </si>
  <si>
    <t>Historical Balance Sheet</t>
  </si>
  <si>
    <t>Revenue</t>
  </si>
  <si>
    <t>Total</t>
  </si>
  <si>
    <t>Operating Expenses</t>
  </si>
  <si>
    <t>General &amp; Administrative</t>
  </si>
  <si>
    <t>Depreciation &amp; Amortization</t>
  </si>
  <si>
    <t>EBITDA</t>
  </si>
  <si>
    <t>EBIT</t>
  </si>
  <si>
    <t>Discount Factor</t>
  </si>
  <si>
    <t>Present Value</t>
  </si>
  <si>
    <t>Time in Period</t>
  </si>
  <si>
    <t>1 Year</t>
  </si>
  <si>
    <t>Operating Income</t>
  </si>
  <si>
    <t>Other Income/Expense, Net</t>
  </si>
  <si>
    <t>Pre-Tax Income (Loss)</t>
  </si>
  <si>
    <t>Income Taxes</t>
  </si>
  <si>
    <t>Net Income (Loss)</t>
  </si>
  <si>
    <t>Other Items:</t>
  </si>
  <si>
    <t>Capital Expenditures</t>
  </si>
  <si>
    <t>(1) Reflects financial information as of [DATE}, which Management indicated was the latest available as of the Valuation Date.</t>
  </si>
  <si>
    <t>As of</t>
  </si>
  <si>
    <t>Assets</t>
  </si>
  <si>
    <t>Current Assets</t>
  </si>
  <si>
    <t>Cash &amp; Equivalents</t>
  </si>
  <si>
    <t>Accounts Receivable</t>
  </si>
  <si>
    <t>Prepaid Expenses</t>
  </si>
  <si>
    <t>Other Current Assets</t>
  </si>
  <si>
    <t>Net Fixed Assets</t>
  </si>
  <si>
    <t>Intangible Assets</t>
  </si>
  <si>
    <t>Total Current Assets</t>
  </si>
  <si>
    <t>Total Assets</t>
  </si>
  <si>
    <t>Liabilities &amp; Shareholders' Equity</t>
  </si>
  <si>
    <t>Current Liabilities</t>
  </si>
  <si>
    <t>Accounts Payable</t>
  </si>
  <si>
    <t>Other Current Liabilities</t>
  </si>
  <si>
    <t>Total Current Liabilities</t>
  </si>
  <si>
    <t>Total Liabilities</t>
  </si>
  <si>
    <t>Common</t>
  </si>
  <si>
    <t>Retained Earnings</t>
  </si>
  <si>
    <t>Shareholders' Equity</t>
  </si>
  <si>
    <t>Total Liabilities &amp; Shareholders' Equity</t>
  </si>
  <si>
    <t>Total Shareholders' Equity</t>
  </si>
  <si>
    <t>CHECK</t>
  </si>
  <si>
    <t>Summary</t>
  </si>
  <si>
    <t>Excess Cash</t>
  </si>
  <si>
    <t>Less: Required Cash</t>
  </si>
  <si>
    <t>Total Cash &amp; Cash Equivalents</t>
  </si>
  <si>
    <t>Total Debt</t>
  </si>
  <si>
    <t>(2)</t>
  </si>
  <si>
    <t>(1)</t>
  </si>
  <si>
    <t>50% to 70%</t>
  </si>
  <si>
    <t>50% to 100%</t>
  </si>
  <si>
    <t>40% to 60%</t>
  </si>
  <si>
    <t>35% to 50%</t>
  </si>
  <si>
    <t>30% to 50%</t>
  </si>
  <si>
    <t>30% to 40%</t>
  </si>
  <si>
    <t>25% to 35%</t>
  </si>
  <si>
    <t>20% to 35%</t>
  </si>
  <si>
    <t>20% to 30%</t>
  </si>
  <si>
    <t xml:space="preserve">Stage of Development </t>
  </si>
  <si>
    <t>Start Up (5)</t>
  </si>
  <si>
    <t>Early Development (6)</t>
  </si>
  <si>
    <t>Expansion (7)</t>
  </si>
  <si>
    <t>Bridge/IPO (8)</t>
  </si>
  <si>
    <t>Applied</t>
  </si>
  <si>
    <t>(3)</t>
  </si>
  <si>
    <t>(4)</t>
  </si>
  <si>
    <t>(5)</t>
  </si>
  <si>
    <t>Index</t>
  </si>
  <si>
    <t>Frequency</t>
  </si>
  <si>
    <t>W</t>
  </si>
  <si>
    <t>^SPX</t>
  </si>
  <si>
    <t>Shares</t>
  </si>
  <si>
    <t>Price</t>
  </si>
  <si>
    <t>Value</t>
  </si>
  <si>
    <t>Rate</t>
  </si>
  <si>
    <t>Capital Structure Component</t>
  </si>
  <si>
    <t>Preferred (Debt-Like)</t>
  </si>
  <si>
    <t>Preferred (Equity-Like)</t>
  </si>
  <si>
    <t>Calculated WACC</t>
  </si>
  <si>
    <t>Expected VC Portfolio Return (Total Preferred)</t>
  </si>
  <si>
    <t>Applied WACC - Enterprise Level (Portfolio Basis)</t>
  </si>
  <si>
    <t>(6)</t>
  </si>
  <si>
    <t>(7)</t>
  </si>
  <si>
    <t>(8)</t>
  </si>
  <si>
    <t>LTM-1</t>
  </si>
  <si>
    <t>LTM</t>
  </si>
  <si>
    <t>Calendar Year</t>
  </si>
  <si>
    <t>Multiples</t>
  </si>
  <si>
    <t>Implied Equity Value</t>
  </si>
  <si>
    <t>LTM-2</t>
  </si>
  <si>
    <t>Close Date</t>
  </si>
  <si>
    <t>Target</t>
  </si>
  <si>
    <t>% Sought</t>
  </si>
  <si>
    <t>CIQ ID</t>
  </si>
  <si>
    <t>Stake</t>
  </si>
  <si>
    <t>LTM Multiple</t>
  </si>
  <si>
    <t>LTM Performance</t>
  </si>
  <si>
    <t>NTM Performance</t>
  </si>
  <si>
    <t>NTM Multiple</t>
  </si>
  <si>
    <t>1 Week</t>
  </si>
  <si>
    <t>1 Month</t>
  </si>
  <si>
    <t>Premium</t>
  </si>
  <si>
    <t xml:space="preserve">Options Outstanding </t>
  </si>
  <si>
    <t>Option Pool Remaining</t>
  </si>
  <si>
    <t>Grand Total</t>
  </si>
  <si>
    <t>Conversion Ratio</t>
  </si>
  <si>
    <t>Common Stock Equivalents (CSEs)</t>
  </si>
  <si>
    <t>Redemption</t>
  </si>
  <si>
    <t xml:space="preserve">Dividend Rate </t>
  </si>
  <si>
    <t>Participating Preferred</t>
  </si>
  <si>
    <t>Anti-Dilution</t>
  </si>
  <si>
    <t>No</t>
  </si>
  <si>
    <t>Wtd. Avg.</t>
  </si>
  <si>
    <t>Date Raised</t>
  </si>
  <si>
    <t>Participation Cap Multiple</t>
  </si>
  <si>
    <t>Accrued Dividend as of Valuation Date</t>
  </si>
  <si>
    <t>DLOM</t>
  </si>
  <si>
    <t>Allocable Value</t>
  </si>
  <si>
    <t>Time to Liquidity (Years)</t>
  </si>
  <si>
    <t>Option Pricing Model Assumptions</t>
  </si>
  <si>
    <t>Breakpoint Calculations</t>
  </si>
  <si>
    <t>Series E Receives Liquidation Preference</t>
  </si>
  <si>
    <t>Liquidation Preference Seniority</t>
  </si>
  <si>
    <t>Series D Receives Liquidation Preference</t>
  </si>
  <si>
    <t>Series C Receives Liquidation Preference</t>
  </si>
  <si>
    <t>Series B Receives Liquidation Preference</t>
  </si>
  <si>
    <t>Series A Receives Liquidation Preference</t>
  </si>
  <si>
    <t>Liq. Pref</t>
  </si>
  <si>
    <t>Liquidation Preference</t>
  </si>
  <si>
    <t>Shares Outstanding</t>
  </si>
  <si>
    <t>Strike/Stock Price</t>
  </si>
  <si>
    <t>Additional Value</t>
  </si>
  <si>
    <t>Less: Exercise Proceeds</t>
  </si>
  <si>
    <t>Calculated Breakpoint</t>
  </si>
  <si>
    <t>Allocation</t>
  </si>
  <si>
    <t>Tranche Calculation</t>
  </si>
  <si>
    <t>Range (Low)</t>
  </si>
  <si>
    <t>Range (High)</t>
  </si>
  <si>
    <t>Black Scholes Call (Low)</t>
  </si>
  <si>
    <t>Black Scholes Call (High)</t>
  </si>
  <si>
    <t>Tranche Value</t>
  </si>
  <si>
    <t>D1 Low</t>
  </si>
  <si>
    <t>D1 High</t>
  </si>
  <si>
    <t>D2 Low</t>
  </si>
  <si>
    <t>D2 High</t>
  </si>
  <si>
    <t>Tranche Allocation</t>
  </si>
  <si>
    <t>Value Conclusion</t>
  </si>
  <si>
    <t>Value/Share</t>
  </si>
  <si>
    <t>Valuation Date</t>
  </si>
  <si>
    <t>Implied Exit Date</t>
  </si>
  <si>
    <t>Time to Exit (Years)</t>
  </si>
  <si>
    <t>Exit Value</t>
  </si>
  <si>
    <t>Exit Date</t>
  </si>
  <si>
    <t>Exit Metric</t>
  </si>
  <si>
    <t>Exit Metric Value</t>
  </si>
  <si>
    <t>Exit Multiple</t>
  </si>
  <si>
    <t>Waterfall</t>
  </si>
  <si>
    <t>Value Allocable to Existing Investors</t>
  </si>
  <si>
    <t>Liquidation Preferences</t>
  </si>
  <si>
    <t>Remainder</t>
  </si>
  <si>
    <t>Shares (As Converted)</t>
  </si>
  <si>
    <t>Present Value Determination - Common</t>
  </si>
  <si>
    <t>Future Value Allocable</t>
  </si>
  <si>
    <t>Future Price Per Share</t>
  </si>
  <si>
    <t>Present Value Per Share</t>
  </si>
  <si>
    <t>Present Value Determination - Preferred</t>
  </si>
  <si>
    <t>Remaining Allocable Value</t>
  </si>
  <si>
    <t>Exercise Proceeds</t>
  </si>
  <si>
    <t>Total Debt-Like Component</t>
  </si>
  <si>
    <t>Future Allocable Value</t>
  </si>
  <si>
    <t>Total Equity-Like Component</t>
  </si>
  <si>
    <t>Debt-Like Component</t>
  </si>
  <si>
    <t>Equity-Like Component</t>
  </si>
  <si>
    <t>Original Issue Price</t>
  </si>
  <si>
    <t>Template Date</t>
  </si>
  <si>
    <t>Template Inputs</t>
  </si>
  <si>
    <t>Industry - Primary</t>
  </si>
  <si>
    <t>Industry - Niche</t>
  </si>
  <si>
    <t>Project ID</t>
  </si>
  <si>
    <t>Client name</t>
  </si>
  <si>
    <t>Valuation date</t>
  </si>
  <si>
    <t>Engagement lead</t>
  </si>
  <si>
    <t>Engagement analyst</t>
  </si>
  <si>
    <t>Effective tax rate</t>
  </si>
  <si>
    <t>Sr. No.</t>
  </si>
  <si>
    <t>CIQ Ticker</t>
  </si>
  <si>
    <t>Summary Valuation Results</t>
  </si>
  <si>
    <t xml:space="preserve">for </t>
  </si>
  <si>
    <t>Privileged and Confidential</t>
  </si>
  <si>
    <t xml:space="preserve">Forecasting | Modeling | Valuation | Market Assessment
</t>
  </si>
  <si>
    <t>Date Prepared:</t>
  </si>
  <si>
    <t>Scope of valuation</t>
  </si>
  <si>
    <t>Company Name</t>
  </si>
  <si>
    <t>Filing</t>
  </si>
  <si>
    <t>Currency</t>
  </si>
  <si>
    <t>F</t>
  </si>
  <si>
    <t>USD</t>
  </si>
  <si>
    <t>Revenue Analysis</t>
  </si>
  <si>
    <t>Discount Rates</t>
  </si>
  <si>
    <t>Capitalization Summary</t>
  </si>
  <si>
    <t>Asian Put</t>
  </si>
  <si>
    <t>Appendices</t>
  </si>
  <si>
    <t>v2T</t>
  </si>
  <si>
    <t>vT</t>
  </si>
  <si>
    <t>Finnerty</t>
  </si>
  <si>
    <t>Type of Client</t>
  </si>
  <si>
    <t>Values</t>
  </si>
  <si>
    <t>Total Trans. Value</t>
  </si>
  <si>
    <t>Price/Book Value</t>
  </si>
  <si>
    <t>Price/Net Income</t>
  </si>
  <si>
    <t>Target Segment</t>
  </si>
  <si>
    <t>Angel</t>
  </si>
  <si>
    <t>Common A</t>
  </si>
  <si>
    <t>Common B</t>
  </si>
  <si>
    <t>Common Warrants</t>
  </si>
  <si>
    <t xml:space="preserve">Common Options </t>
  </si>
  <si>
    <t>Series 1</t>
  </si>
  <si>
    <t>Series 2</t>
  </si>
  <si>
    <t>Series 3</t>
  </si>
  <si>
    <t>Series 4</t>
  </si>
  <si>
    <t>Series A</t>
  </si>
  <si>
    <t>Series A-1</t>
  </si>
  <si>
    <t>Series A-2</t>
  </si>
  <si>
    <t>Series A-3</t>
  </si>
  <si>
    <t>Series A-4</t>
  </si>
  <si>
    <t>Series A-5</t>
  </si>
  <si>
    <t>Series B</t>
  </si>
  <si>
    <t>Series B-1</t>
  </si>
  <si>
    <t>Series B-2</t>
  </si>
  <si>
    <t>Series B-3</t>
  </si>
  <si>
    <t>Series C</t>
  </si>
  <si>
    <t>Series C-1</t>
  </si>
  <si>
    <t>Series C-2</t>
  </si>
  <si>
    <t>Series C-3</t>
  </si>
  <si>
    <t>Series D</t>
  </si>
  <si>
    <t>Series E</t>
  </si>
  <si>
    <t>Series F</t>
  </si>
  <si>
    <t>Series FF</t>
  </si>
  <si>
    <t>Series G</t>
  </si>
  <si>
    <t>Series D-1</t>
  </si>
  <si>
    <t>Series D-2</t>
  </si>
  <si>
    <t>Series F-1</t>
  </si>
  <si>
    <t>Share Class</t>
  </si>
  <si>
    <t>Estimated</t>
  </si>
  <si>
    <t>Series D-3</t>
  </si>
  <si>
    <t>Series E-1</t>
  </si>
  <si>
    <t>Series E-2</t>
  </si>
  <si>
    <t>Series E-3</t>
  </si>
  <si>
    <t>Series F-2</t>
  </si>
  <si>
    <t>Series F-3</t>
  </si>
  <si>
    <t>Input #1</t>
  </si>
  <si>
    <t>Input #2</t>
  </si>
  <si>
    <t>Input #3</t>
  </si>
  <si>
    <t>Input #4</t>
  </si>
  <si>
    <t>Select Type</t>
  </si>
  <si>
    <t>Yes</t>
  </si>
  <si>
    <t>Duration as of Valuation Date</t>
  </si>
  <si>
    <t>Dividend Inclusion</t>
  </si>
  <si>
    <t>Dividend Declaration</t>
  </si>
  <si>
    <t>Cumulative</t>
  </si>
  <si>
    <t>Non-Cumulative</t>
  </si>
  <si>
    <t>Not Declared</t>
  </si>
  <si>
    <t>Simple</t>
  </si>
  <si>
    <t>Compounding</t>
  </si>
  <si>
    <t>Total Investment</t>
  </si>
  <si>
    <t>Total Liquidation Preference</t>
  </si>
  <si>
    <t>Liquidation Preference Per Share</t>
  </si>
  <si>
    <t>Shares Outstanding / Converted to Common Stock</t>
  </si>
  <si>
    <t>Last Financial Year Ending</t>
  </si>
  <si>
    <t>Descending Order Only</t>
  </si>
  <si>
    <t>Pending points:</t>
  </si>
  <si>
    <t>Probability of exit</t>
  </si>
  <si>
    <t>POTs</t>
  </si>
  <si>
    <t>Capped participation</t>
  </si>
  <si>
    <t>Formatting</t>
  </si>
  <si>
    <t>Guideline</t>
  </si>
  <si>
    <t>Per share price</t>
  </si>
  <si>
    <t>Currency format
Two decimal precision
If it is $0.00, then change to three decimal precision</t>
  </si>
  <si>
    <t>Discount rate</t>
  </si>
  <si>
    <t>Discount factor</t>
  </si>
  <si>
    <t>Any number or dollar value</t>
  </si>
  <si>
    <t>Blue color font</t>
  </si>
  <si>
    <t>Hardcoded value/number (not applicable for text)</t>
  </si>
  <si>
    <t>Other points</t>
  </si>
  <si>
    <t>Do not use any name managers</t>
  </si>
  <si>
    <t>GCM</t>
  </si>
  <si>
    <t>Add multiple summary sheet</t>
  </si>
  <si>
    <t>Add discounting factor</t>
  </si>
  <si>
    <t>OPM</t>
  </si>
  <si>
    <t>Common breakpoint functionality</t>
  </si>
  <si>
    <t>GTM</t>
  </si>
  <si>
    <t>Per share value for each class</t>
  </si>
  <si>
    <t>Hybrid</t>
  </si>
  <si>
    <t>NEW to add</t>
  </si>
  <si>
    <t>Test volatility</t>
  </si>
  <si>
    <t>&lt;&lt;--- Don’t Change</t>
  </si>
  <si>
    <t>Phase Ib</t>
  </si>
  <si>
    <t>Phase II</t>
  </si>
  <si>
    <t>Scenarios</t>
  </si>
  <si>
    <t>Phase</t>
  </si>
  <si>
    <t>Date</t>
  </si>
  <si>
    <t>NA</t>
  </si>
  <si>
    <t>Phase I</t>
  </si>
  <si>
    <t>Phase III</t>
  </si>
  <si>
    <t>Done</t>
  </si>
  <si>
    <t>Total Value Allocable By Class</t>
  </si>
  <si>
    <t>Earnings</t>
  </si>
  <si>
    <t>Total Equity</t>
  </si>
  <si>
    <t>added more functionality such that n/a appears after last breakpoint. Need to test on live project</t>
  </si>
  <si>
    <t>Mergerstat data</t>
  </si>
  <si>
    <t>Please confirm if this needs to be added</t>
  </si>
  <si>
    <t>Outline</t>
  </si>
  <si>
    <t>Exhibit Number</t>
  </si>
  <si>
    <t>Notes &amp; Assumptions</t>
  </si>
  <si>
    <t>Section</t>
  </si>
  <si>
    <t>Importance</t>
  </si>
  <si>
    <t>Questions</t>
  </si>
  <si>
    <t>Response</t>
  </si>
  <si>
    <t>Notes/Assumptions</t>
  </si>
  <si>
    <t>Questions/Clarifications/Open Items</t>
  </si>
  <si>
    <t>Source</t>
  </si>
  <si>
    <t>Status</t>
  </si>
  <si>
    <t>Difference</t>
  </si>
  <si>
    <t>Asset Volatility</t>
  </si>
  <si>
    <t>Ensure to update this --&gt;&gt;</t>
  </si>
  <si>
    <t>Automated TOC with Workpapers</t>
  </si>
  <si>
    <t>Automated PDF with or w/o Workpapers</t>
  </si>
  <si>
    <t>Mehul</t>
  </si>
  <si>
    <t>Graphs from VRC report page 13</t>
  </si>
  <si>
    <t>Sensitivity in OPM</t>
  </si>
  <si>
    <t>Cap Table - Pie of Pie Chart</t>
  </si>
  <si>
    <t>not created graph for R&amp;D Exp</t>
  </si>
  <si>
    <t xml:space="preserve">Created Pie of Pie chart (added some dummy data using RANDBETWEEN formula) </t>
  </si>
  <si>
    <t>Graph - Price (High/Low) in Equity Vol tab</t>
  </si>
  <si>
    <t>Built for the art and science of the deal</t>
  </si>
  <si>
    <t>Series Seed</t>
  </si>
  <si>
    <t>Company ABC, Inc.</t>
  </si>
  <si>
    <t>DO NOT DELETE</t>
  </si>
  <si>
    <t>Amount</t>
  </si>
  <si>
    <t>&lt;- Input VC % over here, this flows to Future Financing in PWERM</t>
  </si>
  <si>
    <t>One decimal precision
If it is 0.0%, then change to two decimal precision</t>
  </si>
  <si>
    <t>One decimal precision
If it is 0.00, then change to three decimal precision</t>
  </si>
  <si>
    <t>One decimal precision, if it is 0.0, then change to two decimal precision. Don’t put $ sign</t>
  </si>
  <si>
    <t>Label Format #1</t>
  </si>
  <si>
    <t>Label Format #2</t>
  </si>
  <si>
    <t>Label Format #3</t>
  </si>
  <si>
    <t>(in thousands of USD and shares, except price per share)</t>
  </si>
  <si>
    <t>(in millions of USD, except price per share)</t>
  </si>
  <si>
    <t>Label Format #4</t>
  </si>
  <si>
    <t>Label Format #5</t>
  </si>
  <si>
    <t>Value based on balance sheet information provided by Management as of the Valuation Date.</t>
  </si>
  <si>
    <t>Rate based on our observations of the cost of debt for similar stage enterprises.</t>
  </si>
  <si>
    <t>The expected rate of return is based on SVB debt rates for venture debt, as well as our observations of subordinated (or mezzanine) debt rates.</t>
  </si>
  <si>
    <t>Value calculated as the probability-weighted present value of returns above and beyond liquidation preferences (or equivalent value to the extent preferred converts/participates).</t>
  </si>
  <si>
    <t>Price of Equity generally reconciles with the concluded price of the Subject Interest.</t>
  </si>
  <si>
    <t>&lt;- input final value of common stock</t>
  </si>
  <si>
    <t>Exhibit Labeling</t>
  </si>
  <si>
    <t xml:space="preserve">Rate of Return By Stage of Development </t>
  </si>
  <si>
    <t xml:space="preserve">Capitalization Table </t>
  </si>
  <si>
    <t xml:space="preserve">Economic Rights Summary </t>
  </si>
  <si>
    <t>Capex</t>
  </si>
  <si>
    <t>(1) Based on discussions with Management and reflects cash required for operations.</t>
  </si>
  <si>
    <t>Stock Price</t>
  </si>
  <si>
    <t>Descending EV order for comps</t>
  </si>
  <si>
    <t>Update</t>
  </si>
  <si>
    <t>For the Period Ending December 31,</t>
  </si>
  <si>
    <t>As of December 31,</t>
  </si>
  <si>
    <t>Historical Balance Sheet - Common Size</t>
  </si>
  <si>
    <t>Guideline Comparables Method</t>
  </si>
  <si>
    <r>
      <t xml:space="preserve">Plummer </t>
    </r>
    <r>
      <rPr>
        <sz val="10"/>
        <color rgb="FFFFFFFF"/>
        <rFont val="Times New Roman"/>
        <family val="1"/>
      </rPr>
      <t>(2)</t>
    </r>
  </si>
  <si>
    <r>
      <t>Scherlis &amp; Sahlman</t>
    </r>
    <r>
      <rPr>
        <sz val="10"/>
        <color rgb="FFFFFFFF"/>
        <rFont val="Times New Roman"/>
        <family val="1"/>
      </rPr>
      <t xml:space="preserve"> (3)</t>
    </r>
  </si>
  <si>
    <r>
      <t>Sahlman &amp; Others</t>
    </r>
    <r>
      <rPr>
        <sz val="10"/>
        <color rgb="FFFFFFFF"/>
        <rFont val="Times New Roman"/>
        <family val="1"/>
      </rPr>
      <t xml:space="preserve"> (4)</t>
    </r>
  </si>
  <si>
    <t>Financial Performance (Actual &amp; Estimates)</t>
  </si>
  <si>
    <t>Actual</t>
  </si>
  <si>
    <t>Financial Performance (Actual)</t>
  </si>
  <si>
    <t>Guideline Public Companies</t>
  </si>
  <si>
    <t>Guideline Public Companies' Revenue Multiples</t>
  </si>
  <si>
    <t>Guideline Public Companies' Descriptions</t>
  </si>
  <si>
    <t>Guideline Transactions' Multiples Analysis</t>
  </si>
  <si>
    <t>Guideline Transactions' Target Descriptions</t>
  </si>
  <si>
    <t>Target Companies</t>
  </si>
  <si>
    <r>
      <t>Shareholders</t>
    </r>
    <r>
      <rPr>
        <sz val="10"/>
        <color rgb="FFFFFFFF"/>
        <rFont val="Times New Roman"/>
        <family val="1"/>
      </rPr>
      <t xml:space="preserve"> (1)</t>
    </r>
  </si>
  <si>
    <r>
      <t xml:space="preserve">Features </t>
    </r>
    <r>
      <rPr>
        <sz val="10"/>
        <color theme="1"/>
        <rFont val="Times New Roman"/>
        <family val="1"/>
      </rPr>
      <t>(1)</t>
    </r>
  </si>
  <si>
    <r>
      <t xml:space="preserve">Asset Vol. </t>
    </r>
    <r>
      <rPr>
        <sz val="10"/>
        <rFont val="Times New Roman"/>
        <family val="1"/>
      </rPr>
      <t>(1)</t>
    </r>
  </si>
  <si>
    <t>VD</t>
  </si>
  <si>
    <t>LAST FYE-1</t>
  </si>
  <si>
    <t>LAST FYE</t>
  </si>
  <si>
    <t>CY+1</t>
  </si>
  <si>
    <t>CY+2</t>
  </si>
  <si>
    <t>CY+3</t>
  </si>
  <si>
    <t>Previous Valuation VD</t>
  </si>
  <si>
    <t>CIQ_ID</t>
  </si>
  <si>
    <t>NAME</t>
  </si>
  <si>
    <t>EXCHANGE</t>
  </si>
  <si>
    <t>FY_END</t>
  </si>
  <si>
    <t>FIRST_PRICE_DATE</t>
  </si>
  <si>
    <t>EBITDA_LTM</t>
  </si>
  <si>
    <t>BETA_5YR</t>
  </si>
  <si>
    <t>BETA_2YR</t>
  </si>
  <si>
    <t>BETA_1YR</t>
  </si>
  <si>
    <t>EFF_TAX</t>
  </si>
  <si>
    <t>CAGR_REV_2YR</t>
  </si>
  <si>
    <t>CAGR_REV_3YR</t>
  </si>
  <si>
    <t>CAGR_REV_5YR</t>
  </si>
  <si>
    <t>CAGR_EBITDA_2YR</t>
  </si>
  <si>
    <t>CAGR_EBITDA_3YR</t>
  </si>
  <si>
    <t>CAGR_EBITDA_5YR</t>
  </si>
  <si>
    <t>Dep &amp; Amort % Rev</t>
  </si>
  <si>
    <t>Term (years)</t>
  </si>
  <si>
    <t>Risk Free Rate</t>
  </si>
  <si>
    <t>BAA Rate</t>
  </si>
  <si>
    <t>IQ2668642</t>
  </si>
  <si>
    <t>Prime Rate</t>
  </si>
  <si>
    <t>%USPMRT</t>
  </si>
  <si>
    <t>CY2016</t>
  </si>
  <si>
    <t>CY2017</t>
  </si>
  <si>
    <t>CY2018</t>
  </si>
  <si>
    <t>Comparable Public Companies (Primary)</t>
  </si>
  <si>
    <t>Year 1</t>
  </si>
  <si>
    <t>Year 2</t>
  </si>
  <si>
    <t>Year 3</t>
  </si>
  <si>
    <t>Year 4</t>
  </si>
  <si>
    <t>Year 5</t>
  </si>
  <si>
    <t>NasdaqGM</t>
  </si>
  <si>
    <t>NM</t>
  </si>
  <si>
    <t>NasdaqGS</t>
  </si>
  <si>
    <t>(Invalid Identifier)</t>
  </si>
  <si>
    <t>Comparable Public Companies (Secondary)</t>
  </si>
  <si>
    <t>(Invalid Transaction Id)</t>
  </si>
  <si>
    <t>United States Treasury Constant Maturity - 1 Month</t>
  </si>
  <si>
    <t>United States Treasury Constant Maturity - 3 Month</t>
  </si>
  <si>
    <t>United States Treasury Constant Maturity - 6 Month</t>
  </si>
  <si>
    <t>United States Treasury Constant Maturity - 1 Year</t>
  </si>
  <si>
    <t>United States Treasury Constant Maturity - 2 Year</t>
  </si>
  <si>
    <t>United States Treasury Constant Maturity - 3 Year</t>
  </si>
  <si>
    <t>United States Treasury Constant Maturity - 5 Year</t>
  </si>
  <si>
    <t>United States Treasury Constant Maturity - 7 Year</t>
  </si>
  <si>
    <t>United States Treasury Constant Maturity - 10 Year</t>
  </si>
  <si>
    <t>United States Treasury Constant Maturity - 20 Year</t>
  </si>
  <si>
    <t>United States Treasury Constant Maturity - 30 Year</t>
  </si>
  <si>
    <t>Rev_LTM-2</t>
  </si>
  <si>
    <t>Rev_LTM-1</t>
  </si>
  <si>
    <t>Rev_LTM</t>
  </si>
  <si>
    <t>EBITDA_LTM-2</t>
  </si>
  <si>
    <t>EBITDA_LTM-1</t>
  </si>
  <si>
    <t>EBITDA_2014</t>
  </si>
  <si>
    <t>EBITDA_2015</t>
  </si>
  <si>
    <t>EBITDA_2016</t>
  </si>
  <si>
    <t>EBITDA_2017</t>
  </si>
  <si>
    <t>EBITDA_2018</t>
  </si>
  <si>
    <t>Exhibit F.2</t>
  </si>
  <si>
    <t>Majority</t>
  </si>
  <si>
    <t>Gross Margin</t>
  </si>
  <si>
    <t>NWC</t>
  </si>
  <si>
    <t>NasdaqCM</t>
  </si>
  <si>
    <t>Biotechnology</t>
  </si>
  <si>
    <t>Start date</t>
  </si>
  <si>
    <t>Voyager Therapeutics, Inc.</t>
  </si>
  <si>
    <t>Teaching Note 9-288-006 (Boston: Harvard Business School Publishing, 1989).</t>
  </si>
  <si>
    <t>School Publishing, 1998).</t>
  </si>
  <si>
    <t>to be used substantially for product development, prototype testing, and test marketing.</t>
  </si>
  <si>
    <t>and for which further technical risk is deemed minimal, although commercial risk may be significant.</t>
  </si>
  <si>
    <t>testing, as well as bridge financing in anticipation of a later IPO.</t>
  </si>
  <si>
    <t>Version</t>
  </si>
  <si>
    <t>LFR</t>
  </si>
  <si>
    <t>CY+4</t>
  </si>
  <si>
    <t>CY2019</t>
  </si>
  <si>
    <t>Latest filing date</t>
  </si>
  <si>
    <t>REV_CY2016</t>
  </si>
  <si>
    <t>REV_CY2017</t>
  </si>
  <si>
    <t>REV_CY2018</t>
  </si>
  <si>
    <t>REV_CY2019</t>
  </si>
  <si>
    <t>Stockprice_EQ_PVD</t>
  </si>
  <si>
    <t>Marketcap_EQ_PVD</t>
  </si>
  <si>
    <t>Debt_EQ_PVD</t>
  </si>
  <si>
    <t>PFD_EQ_PVD</t>
  </si>
  <si>
    <t>MIN_INT_PVD</t>
  </si>
  <si>
    <t>Cash_EQ_PVD</t>
  </si>
  <si>
    <t>Acquirer</t>
  </si>
  <si>
    <t>EBITDA Margin</t>
  </si>
  <si>
    <t>EBIT Margin</t>
  </si>
  <si>
    <t>Net Income Margin</t>
  </si>
  <si>
    <t>Business Description</t>
  </si>
  <si>
    <t>Beta Look back year</t>
  </si>
  <si>
    <t>Moody's Bond Yield Avg - BAA Rated Corporates</t>
  </si>
  <si>
    <t>CIQ numbers</t>
  </si>
  <si>
    <t>Unlinked numbers</t>
  </si>
  <si>
    <t>CIQ Check</t>
  </si>
  <si>
    <t>M&amp;A</t>
  </si>
  <si>
    <t>Rate reflects a back solve in order to achieve approximately 15%-20% venture capital portfolio returns (across the total preferred investment). Such expected VC Portfolio Returns are generally consistent with observations of historical venture capital returns.</t>
  </si>
  <si>
    <t>Options (Treasury Method)</t>
  </si>
  <si>
    <t>Value to Options</t>
  </si>
  <si>
    <t>Prob. Wtd. Present Value</t>
  </si>
  <si>
    <t>Treasury Method - Options</t>
  </si>
  <si>
    <t>Line Items</t>
  </si>
  <si>
    <t>Count</t>
  </si>
  <si>
    <t>RNA Capital Advisors</t>
  </si>
  <si>
    <t>Preclinical</t>
  </si>
  <si>
    <t>NasdaqGS:ONCE</t>
  </si>
  <si>
    <t>IQ249341857</t>
  </si>
  <si>
    <t>Spark Therapeutics, Inc.</t>
  </si>
  <si>
    <t>Spark Therapeutics, Inc. focuses on the development of gene therapy products for patients suffering from debilitating genetic diseases. The company develops SPK-RPE65, which is in Phase III clinical trial for the treatment of genetic blinding conditions called inherited retinal diseases caused by non sex-linked, autosomal recessive, or mutations in the RPE65 gene; and SPK-CHM that is in Phase I/II clinical trial for the treatment of choroideremia. It is also developing SPK-FIX program for hemophilia B; SPK-FVIII program to treat hemophilia A; SPK-TPP1 program for the treatment of a form of Batten disease; RhoNova for the treatment of rhodopsin-linked autosomal dominant retinitis pigmentosa; and SPK-LHON for treating Leber hereditary optic neuropathy, as well as preclinical programs in development for the treatment of Huntington's disease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t>
  </si>
  <si>
    <t>NasdaqGM:CRSP</t>
  </si>
  <si>
    <t>IQ262549448</t>
  </si>
  <si>
    <t>CRISPR Therapeutics AG</t>
  </si>
  <si>
    <t>CRISPR Therapeutics AG focuses on the development of transformative gene-based medicines for serious diseases using its proprietary CRISPR/Cas9 gene-editing platform. The CRISPR/Cas9 technology allows for changes to genomic DNA. The company has strategic collaborations with Bayer AG and Vertex Pharmaceuticals to develop CRISPR-based therapeutics in other diseases. It operates in Switzerland, the United States, and the United Kingdom. CRISPR Therapeutics AG is headquartered in Basel, Switzerland.</t>
  </si>
  <si>
    <t>NasdaqGM:WVE</t>
  </si>
  <si>
    <t>IQ256557334</t>
  </si>
  <si>
    <t>WAVE Life Sciences Ltd.</t>
  </si>
  <si>
    <t>WAVE Life Sciences Ltd., a preclinical biopharmaceutical company, designs, develops, and commercializes nucleic acid therapeutic candidates. The company is developing nucleic acid therapeutics that target genetic defects to either reduce the expression of disease-promoting proteins or transform the production of dysfunctional mutant proteins into the production of functional proteins. Its advanced therapeutic programs are in Huntington’s disease, Duchenne muscular dystrophy (DMD), and inflammatory bowel disease (IBD). In Huntington’s disease, it has programs targeting HTT SNP-1 and HTT SNP-2; in DMD, targeting Exon 51; and in IBD, targeting SMAD7. The company also has product candidates in its programs targeting HTT SNP-1 and Exon 51. In addition, it has late-stage discovery programs in epidermolysis bullosa simplex, targeting KRT14 SNP-1 and KRT14 SNP-2, as well as in DMD, focuses on an additional DMD target, AcRIIb. The company has a research, license, and option agreement with Pfizer Inc. for the discovery, development, and commercialization of stereopure oligonucleotide therapeutics. WAVE Life Sciences Ltd. was founded in 2012 and is based in Cambridge, Massachusetts.</t>
  </si>
  <si>
    <t>NasdaqGS:RGNX</t>
  </si>
  <si>
    <t>IQ130641748</t>
  </si>
  <si>
    <t>Regenxbio Inc.</t>
  </si>
  <si>
    <t>REGENXBIO Inc., a biotechnology company, focuses on the development, commercialization, and licensing of recombinant adeno-associated virus (AAV) gene therapy. The company’s development programs include RGX-501, a product candidate for the treatment of homozygous familial hypercholesterolemia, which uses the AAV8 vector to deliver the human low-density lipoprotein receptor gene to liver cells; and RGX-111, a product candidate for the treatment of Mucopolysaccharidosis Type I, which uses the AAV9 vector to deliver the human a-l-iduronidase gene to the central nervous system (CNS). Its programs also include RGX-121, a product candidate for the treatment of Mucopolysaccharidosis Type II that uses the AAV9 vector to deliver the human iduronate-2-sulfatase gene to the CNS; RGX-314, a product candidate for the treatment of wet age-related macular degeneration; and RGX-321, a product candidate for the treatment of X-linked retinitis pigmentosa. The company was formerly known as REGENX Biosciences, LLC and changed its name to REGENXBIO Inc. in September 2014. REGENXBIO Inc. was founded in 2008 and is headquartered in Rockville, Maryland.</t>
  </si>
  <si>
    <t>NasdaqGS:EDIT</t>
  </si>
  <si>
    <t>IQ252050056</t>
  </si>
  <si>
    <t>Editas Medicine, Inc.</t>
  </si>
  <si>
    <t>Editas Medicine, Inc. operates as a genome editing company. It focuses on treating patients with genetically defined diseases by correcting their disease causing genes. It is developing a proprietary genome editing platform based on CRISPR/Cas9 technology to target genetically defined diseases with an initial focus on debilitating illnesses where there are no approved treatments. Editas Medicine, Inc. has a collaboration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headquartered in Cambridge, Massachusetts.</t>
  </si>
  <si>
    <t>NasdaqGS:NK</t>
  </si>
  <si>
    <t>IQ262241549</t>
  </si>
  <si>
    <t>NantKwest, Inc.</t>
  </si>
  <si>
    <t>NantKwest, Inc., a biotechnology company, engages in developing immunotherapeutic agents for various clinical conditions in the United States. The company’s product candidates include activated natural killer candidates for the treatment of virally-induced cancers, such as human papilloma virus induced cervical, and head and neck cancers; ebola; and serious viral, fungal, and bacterial infections, as well as that is in Phase II clinical trials for the treatment of polyoma virus induced merkel cell carcinoma. It is also developing high-affinity natural killer product candidates primarily for the treatment of solid tumors, breast cancer, multiple myeloma, lymphoma, and colorectal cancer; and target activated natural killer product candidates for the treatment of breast cancer, non-hodgkin lymphoma, and myelodysplastic syndrome. The company has a co-development agreement with Altor BioScience Corporation to collaborate on the development of therapeutic applications combining Altor’s proprietary IL-15 superagonist (ALT-803) and its single-chain T cell receptor/IL-2 fusion protein products with the company’s proprietary NK cell therapy platforms for oncology indications. The company was formerly known as Conkwest, Inc. and changed its name to NantKwest, Inc. in July 2015. NantKwest, Inc. was founded in 2002 and is headquartered in San Diego, California.</t>
  </si>
  <si>
    <t>NasdaqGM:NTLA</t>
  </si>
  <si>
    <t>IQ277799796</t>
  </si>
  <si>
    <t>Intellia Therapeutics Inc.</t>
  </si>
  <si>
    <t>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and ex vivo applications of the technology in chimeric antigen receptor T cell and hematopoietic stem cell product candidates. It has a strategic collaboration and license agreement with Novartis focused on the development of new ex vivo CRISPR/Cas9-based therapies. Intellia Therapeutics Inc. was formerly known as AZRN, Inc. and changed its name to Intellia Therapeutics Inc. in July 2014. The company was founded in 2014 and is headquartered in Cambridge, Massachusetts.</t>
  </si>
  <si>
    <t>ENXTPA</t>
  </si>
  <si>
    <t>NasdaqGM:BOLD</t>
  </si>
  <si>
    <t>IQ243223852</t>
  </si>
  <si>
    <t>Audentes Therapeutics, Inc.</t>
  </si>
  <si>
    <t>Audentes Therapeutics, Inc., a biotechnology company, focuses on developing and commercializing gene therapy products for patients suffering from diseases caused by single gene defects in the United States. The company is developing four products, including AT132 for the treatment of X-linked myotubular myopathy; AT342 for the treatment of crigler-najjar syndrome type 1; AT307 for the treatment of the CASQ2 subtype of catecholaminergic polymorphic ventricular tachycardia; and AT982 for the treatment of pompe disease. Audentes Therapeutics, Inc. has a collaboration with the University of Pennsylvania to develop AT342, an AAV gene therapy for Crigler-Najjar Syndrome, an inherited, metabolic liver disease. The company was founded in 2012 and is based in San Francisco, California.</t>
  </si>
  <si>
    <t>NasdaqGS:SYRS</t>
  </si>
  <si>
    <t>IQ236291486</t>
  </si>
  <si>
    <t>Syros Pharmaceuticals, Inc.</t>
  </si>
  <si>
    <t>Syros Pharmaceuticals, Inc., a biopharmaceutical company, focuses on developing treatments for cancer and immune-mediated diseases, and building a pipeline of gene control medicines. It intends to begin a Phase II clinical trial for its lead product candidate, SY-1425 (tamibarotene); and to initiate a Phase I/II clinical trial for its SY-1365 candidate, initially for the treatment of acute leukemia. Syros Pharmaceuticals, Inc. The company was formerly known as LS22, Inc. Syros Pharmaceuticals, Inc. was founded in 2011 and is based in Cambridge, Massachusetts.</t>
  </si>
  <si>
    <t>NasdaqGM:IMDZ</t>
  </si>
  <si>
    <t>IQ41693120</t>
  </si>
  <si>
    <t>PhaseRx, Inc.</t>
  </si>
  <si>
    <t>PhaseRx, Inc., a biopharmaceutical company, engages in developing a portfolio of mRNA products to correct life-threatening inherited liver diseases in children. Its initial product development focus is on urea cycle disorders, a group of rare genetic diseases that generally present before the age of 12 and are characterized by the body's inability to remove ammonia from the blood. The company's i-ERT approach is enabled by its proprietary Hybrid mRNA Technology platform and is applicable to various inherited liver diseases. Its product pipeline includes PRX-OTC for Ornithine Transarbamylase deficiency; PRX-ASL for Argininosuccinate Lyase deficiency; and PRX-ASS1 for Argininosuccinatesynthetase 1 deficiency. The company was incorporated in 2006 and is headquartered in Seattle, Washington.</t>
  </si>
  <si>
    <t>OTCPK</t>
  </si>
  <si>
    <t xml:space="preserve">Based on information published in the AICPA Practice Aid under Appendix B. </t>
  </si>
  <si>
    <t>James L. Plummer, QED Report on Venture Capital Financial Analysis (Palo Alto: QED Research, Inc., 1987).</t>
  </si>
  <si>
    <t xml:space="preserve">Daniel R. Scherlis and William A. Sahlman, “A Method for Valuing High-Risk, Long Term, Investments: The Venture Capital Method,” Harvard Business School </t>
  </si>
  <si>
    <t xml:space="preserve">William A. Sahlman, Howard H. Stevenson, Amar V. Bhide, et al., “Financing Entrepreneurial Ventures,” Business Fundamental Series (Boston: Harvard Business </t>
  </si>
  <si>
    <t xml:space="preserve">As described in the publications referenced herein, Start Up-stage investments typically are made in enterprises that are less than a year old. The venture funding is </t>
  </si>
  <si>
    <t xml:space="preserve">As described in the publications referenced herein, Early Development-stage investments are made in enterprises that have developed prototypes that appear viable </t>
  </si>
  <si>
    <t>As described in the publications referenced herein, enterprises in the Expansion stage usually have shipped some product to consumers (including beta versions).</t>
  </si>
  <si>
    <t xml:space="preserve">As described in the publications referenced herein, Bridge/IPO-stage financing covers such activities as pilot plant construction, production design, and production </t>
  </si>
  <si>
    <t>Outliers above</t>
  </si>
  <si>
    <t>Outliers below</t>
  </si>
  <si>
    <r>
      <t xml:space="preserve">The derivation of asset volatilities was estimated based on the methodologies outlined in Crosbie's paper entitled </t>
    </r>
    <r>
      <rPr>
        <i/>
        <sz val="10"/>
        <color theme="1"/>
        <rFont val="Times New Roman"/>
        <family val="1"/>
      </rPr>
      <t>Modeling Default Risk</t>
    </r>
    <r>
      <rPr>
        <sz val="10"/>
        <color theme="1"/>
        <rFont val="Times New Roman"/>
        <family val="1"/>
      </rPr>
      <t>.</t>
    </r>
  </si>
  <si>
    <t>Debt reflects senior debt based on the balance sheet as of the Valuation Date.</t>
  </si>
  <si>
    <t>Debt reflects senior debt based on the balance sheet as of the Valuation Date plus the value of liquidation preferences under the OPM for preferred stock.</t>
  </si>
  <si>
    <t>Based on information provided by Management.</t>
  </si>
  <si>
    <t>TRACON Pharmaceuticals, Inc.</t>
  </si>
  <si>
    <t>Discovery</t>
  </si>
  <si>
    <t>Corvus Pharmaceuticals, Inc.</t>
  </si>
  <si>
    <t>Syndax Pharmaceuticals, Inc.</t>
  </si>
  <si>
    <t>Marketed</t>
  </si>
  <si>
    <t>NDA</t>
  </si>
  <si>
    <t>Blueprint Medicines Corporation</t>
  </si>
  <si>
    <t>Initial Public Offerings Data</t>
  </si>
  <si>
    <t>IPO - METRICS (BIOPHARMA)</t>
  </si>
  <si>
    <t>IPO</t>
  </si>
  <si>
    <t>Offering Price at IPO</t>
  </si>
  <si>
    <t>Price Range</t>
  </si>
  <si>
    <t>Trading Price after 1 month of listing</t>
  </si>
  <si>
    <t>Shares Offered</t>
  </si>
  <si>
    <t>Shares After IPO</t>
  </si>
  <si>
    <t>Pre-IPO 
Equity Value</t>
  </si>
  <si>
    <t>Company ID</t>
  </si>
  <si>
    <t>Post IPO Value</t>
  </si>
  <si>
    <t>Public Companies</t>
  </si>
  <si>
    <t>Company Ticker</t>
  </si>
  <si>
    <t>ID</t>
  </si>
  <si>
    <t>Ra Pharmaceuticals, Inc.</t>
  </si>
  <si>
    <t>NasdaqGM:RARX</t>
  </si>
  <si>
    <t>IQTR403436222</t>
  </si>
  <si>
    <t>IQ58798789</t>
  </si>
  <si>
    <t>Ra Pharmaceuticals, Inc., a clinical-stage biopharmaceutical company, engages in the discovery and development of novel therapeutics for the treatment of diseases caused by excessive or uncontrolled activation of the complement system. Its peptide chemistry platform delivers enables the production of synthetic macrocyclic peptides that combine the diversity and specificity of antibodies with the pharmacological properties of small molecules. The company’s lead product candidate is RA101495, an injection into the tissue under the skin for the treatment of paroxysmal nocturnal hemoglobinuria (PNH). It also develops Factor D inhibition for age-related macular degeneration and geographic atrophy; Oral C5 inhibitor for refractory generalized myasthenia gravis, lupus nephritis, and central nervous system (CNS) diseases; C1s inhibition for autoimmune/CNS diseases. The company has multi-target collaboration and license agreement with Merck &amp; Co., Inc. Ra Pharmaceuticals, Inc. was founded in 2008 and is based in Cambridge, Massachusetts.</t>
  </si>
  <si>
    <t>IQTR383418153</t>
  </si>
  <si>
    <t>AzurRx BioPharma, Inc.</t>
  </si>
  <si>
    <t>NasdaqCM:AZRX</t>
  </si>
  <si>
    <t>IQTR374467498</t>
  </si>
  <si>
    <t>IQ261738327</t>
  </si>
  <si>
    <t>AzurRx BioPharma, Inc. engages in the research and development of non-systemic biologics for the treatment of patients with gastrointestinal disorders. Its product pipeline consists of two therapeutic proteins under development, including MS1819, an autologous yeast recombinant lipase for exocrine pancreatic insufficiency associated with chronic pancreatitis and cystic fibrosis; and AZX1101, a recombinant ß-lactamase combination of bacterial origin for the prevention of hospital-acquired infections, as well as antibiotic-associated diarrhea. The company was incorporated in 2014 and is based in Brooklyn, New York.</t>
  </si>
  <si>
    <t>Novan, Inc.</t>
  </si>
  <si>
    <t>NasdaqGM:NOVN</t>
  </si>
  <si>
    <t>IQTR381637523</t>
  </si>
  <si>
    <t>IQ115977469</t>
  </si>
  <si>
    <t>Novan, Inc., a clinical-stage drug development company, focuses on the development and commercialization of nitric oxide-based therapies in dermatology. Its lead product candidate is SB204, a cosmetically elegant topical gel that targets multiple mechanisms of action for the treatment of acne vulgaris. The company’s product candidates also include SB206, SB208, and SB414, which are targeted toward the treatment of either a specific microorganism or inflammatory components of disease pathology. Novan, Inc. was founded in 2006 and is headquartered in Durham, North Carolina.</t>
  </si>
  <si>
    <t>Protagonist Therapeutics, Inc.</t>
  </si>
  <si>
    <t>NasdaqGM:PTGX</t>
  </si>
  <si>
    <t>IQTR373820913</t>
  </si>
  <si>
    <t>IQ129263324</t>
  </si>
  <si>
    <t>Protagonist Therapeutics, Inc., a clinical-stage biopharmaceutical company, focuses on discovering and developing peptide-based new chemical entities to address significant unmet medical needs. Its product candidates include PTG-100, which has first-in-class potential as an oral, a4b7 integrin-specific antagonist peptide for the treatment of inflammatory bowel disease (IBD); PTG-200, a gastrointestinal-restricted peptide product candidate for the treatment of IBD; and PTG-300, an injectable hepcidin mimetic peptide for the treatment of iron overload disorders, such as transfusion-dependent b-Thalassemia, hereditary hemochromatosis, and sickle cell disease. The company was founded in 2006 and is headquartered in Milpitas, California.</t>
  </si>
  <si>
    <t>Gemphire Therapeutics Inc.</t>
  </si>
  <si>
    <t>NasdaqGM:GEMP</t>
  </si>
  <si>
    <t>IQTR331335499</t>
  </si>
  <si>
    <t>IQ290658496</t>
  </si>
  <si>
    <t>Gemphire Therapeutics Inc., a clinical-stage biopharmaceutical company, focuses on developing and commercializing therapies for the treatment of dyslipidemia cardiovascular disease. Its product candidate is gemcabene (CI-1027), an oral therapy for patients who are unable to achieve normal levels of LDL-C or triglycerides with currently approved therapies. The company was founded in 2008 and is headquartered in Northville, Michigan.</t>
  </si>
  <si>
    <t>Kadmon Holdings, LLC</t>
  </si>
  <si>
    <t>NYSE:KDMN</t>
  </si>
  <si>
    <t>IQTR377971681</t>
  </si>
  <si>
    <t>IQ114935891</t>
  </si>
  <si>
    <t>Kadmon Holdings, LLC, a biopharmaceutical company, discovers, develops, and commercializes small molecules and biologics to address unmet medical needs. The company markets and distributes a portfolio of branded generic ribavirin products for chronic hepatitis C virus infection; co-promotes a product for chronic weight management; distributes products for chorea, cytomegalovirus retinitis, and for the prevention of CMV disease. It is also developing product candidates in autoimmune and fibrotic diseases, oncology, and genetic diseases. The company is headquartered in New York, New York.</t>
  </si>
  <si>
    <t>IQTR321225694</t>
  </si>
  <si>
    <t>IQTR345618574</t>
  </si>
  <si>
    <t>Selecta Biosciences, Inc.</t>
  </si>
  <si>
    <t>NasdaqGM:SELB</t>
  </si>
  <si>
    <t>IQTR342393493</t>
  </si>
  <si>
    <t>IQ53339386</t>
  </si>
  <si>
    <t>Selecta Biosciences, Inc., a clinical-stage biotechnology company, develops targeted therapies that use immunomodulators encapsulated in nanoparticles to induce antigen-specific immune responses to prevent and treat disease. The company focus is on developing and commercializing differentiated therapies that are designed to modulate the immune system to effectively and safely treat rare diseases by mitigating the formation of anti-drug antibodies in response to life-sustaining biologic drugs. Its lead product candidate is SEL-212 for the treatment of refractory and chronic tophaceous gout. The company serves customers in the United States and internationally. Selecta Biosciences, Inc. was founded in 2007 and is headquartered in Watertown, Massachusetts.</t>
  </si>
  <si>
    <t>Moleculin Biotech, Inc.</t>
  </si>
  <si>
    <t>NasdaqCM:MBRX</t>
  </si>
  <si>
    <t>IQTR324310661</t>
  </si>
  <si>
    <t>IQ320105606</t>
  </si>
  <si>
    <t>Moleculin Biotech, Inc., a preclinical and clinical-stage pharmaceutical company, focuses on the development of anti-cancer drug candidates. Its lead drug candidate is liposomal Annamycin, an anthracycline intended for the treatment of relapsed or refractory acute myeloid leukemia. The company also develops other drugs, including WP1066 Portfolio, a portfolio of small molecules targeting the modulation of transcription factors involved in cancer; and WP1122 Portfolio, a suite of molecules targeting the metabolic processes involved in cancer and glioblastoma. Moleculin Biotech, Inc. was founded in 2015 and is headquartered in Houston, Texas.</t>
  </si>
  <si>
    <t>Reata Pharmaceuticals, Inc.</t>
  </si>
  <si>
    <t>NasdaqGM:RETA</t>
  </si>
  <si>
    <t>IQTR321226326</t>
  </si>
  <si>
    <t>IQ6966894</t>
  </si>
  <si>
    <t>Reata Pharmaceuticals, Inc., a clinical stage biopharmaceutical company, focuses on identifying, developing, and commercializing product candidates that modulate the activity of key regulatory proteins involved in the biology of mitochondrial function, oxidative stress, and inflammation to address the unmet medical needs of patients with various serious or life-threatening diseases. The company focuses on drugs with novel mechanisms of action that modulate regulatory proteins called transcription factors. Its lead product candidates include bardoxolone methyl and RTA 408, which are members of a class of small molecules called antioxidant inflammation modulators. It is involved in LARIAT, a Phase II study of bardoxolone methyl for the treatment of pulmonary arterial hypertension and pulmonary hypertension due to interstitial lung disease. RTA 408 is in Phase II clinical development for the treatment of multiple diseases, including Friedreich’s ataxia and mitochondrial myopathies. Reata Pharmaceuticals, Inc. was formerly known as Reata Discovery, Inc. and changed its name to Reata Pharmaceuticals, Inc. in May 2005. The company was founded in 2002 and is headquartered in Irving, Texas.</t>
  </si>
  <si>
    <t>Merus B.V.</t>
  </si>
  <si>
    <t>NasdaqGM:MRUS</t>
  </si>
  <si>
    <t>IQTR314642761</t>
  </si>
  <si>
    <t>IQ24929296</t>
  </si>
  <si>
    <t>Merus B.V., a clinical-stage immuno-oncology company, engages in developing bispecific antibody therapeutics. Its lead bispecific antibody candidate is MCLA-128, which is in Phase I/II clinical trials in Europe for the treatment of various solid tumors, including breast, colorectal, and ovarian cancers. The company also develops MCLA-117, a bispecific antibody candidate that is expected to commence a Phase I/II clinical trial for the treatment of patients with acute myeloid leukemia, as well as for the treatment of myelodysplastic syndrome in pre-clinical studies. Its pre-clinical bispecific antibody candidates include MCLA-134, MCLA-114, and MCLA-145, as well as other early research projects. The company has a strategic collaboration with Gustave Roussy to develop innovative bispecific antibodies for therapeutic immuno-oncology applications. Merus B.V. was founded in 2003 and is headquartered in Utrecht, the Netherlands.</t>
  </si>
  <si>
    <t>IQTR340252019</t>
  </si>
  <si>
    <t>Oncobiologics, Inc.</t>
  </si>
  <si>
    <t>IQTR322256741</t>
  </si>
  <si>
    <t>IQ145859589</t>
  </si>
  <si>
    <t>Oncobiologics, Inc., a clinical-stage biopharmaceutical company, focuses on identifying, developing, manufacturing, and commercializing complex biosimilar therapeutics in the disease areas of immunology and oncology. It engages in developing ONS-3010, an adalimumab (Humira) biosimilar, which is in Phase 1 clinical trial. Humira is a subcutaneous injectable monoclonal antibody (mAb) that binds to tumor necrosis factor-alpha. The company also develops ONS-1045, a bevacizumab (Avastin) biosimilar that has completed a Phase 1 clinical trial. Avastin is a mAb administered by infusion that interferes with tumor growth by binding to vascular endothelial growth factor. In addition, it develops ONS-1050, a trastuzumab (Herceptin) biosimilar. Herceptin is a mAb administered by infusion that binds to human epidermal growth factor receptor 2. Further, the company develops ONS-4010, a biosimilar to denosumab (Prolia/Xgeva), has cell lines developed with clone selection completed. Oncobiologics, Inc. has collaboration and license agreements with Selexis SA; IPCA Laboratories Limited; Laboratories Liomont, S.A. de C.V.; and Zhejiang Huahai Pharmaceutical Co., Ltd. The company was founded in 2010 and is headquartered in Cranbury, New Jersey.</t>
  </si>
  <si>
    <t>IQTR330695573</t>
  </si>
  <si>
    <t>Spring Bank Pharmaceuticals, Inc.</t>
  </si>
  <si>
    <t>NasdaqCM:SBPH</t>
  </si>
  <si>
    <t>IQTR321347619</t>
  </si>
  <si>
    <t>IQ108747575</t>
  </si>
  <si>
    <t>Aeglea Biotherapeutics, Inc.</t>
  </si>
  <si>
    <t>NasdaqGM:AGLE</t>
  </si>
  <si>
    <t>IQTR304173186</t>
  </si>
  <si>
    <t>IQ253892234</t>
  </si>
  <si>
    <t>Aeglea Biotherapeutics, Inc., a biopharmaceutical company, engages in developing engineered human enzymes for the treatment of inborn errors of metabolism and cancer. It develops AERase/AEB1102, an amino acid for the degradation of arginine in the circulation, as well as for the treatment of hyperargininemia and cancer; and AECase/AEB3103, an engineered and PEGylated human cysteine/cystine degrading enzyme that increases oxidative stress through glutathione depletion for treatment of hematologic and solid malignancies. The company also engages in developing AEMase/AEB2109, an engineered human enzyme that degrades methionine for the treatment of solid tumors; and AEB4104, an engineered human enzyme that degrades homocysteine in the circulation for the treatment of inborn error of metabolism homocystinuria. It has a strategic partnership with KBI Biopharma. Aeglea Biotherapeutics, Inc. was formerly known as Aeglea BioTherapeutics Holdings, LLC. The company was founded in 2013 and is based in Austin, Texas.</t>
  </si>
  <si>
    <t>NasdaqGM:CRVS</t>
  </si>
  <si>
    <t>Phase I/Ib</t>
  </si>
  <si>
    <t>IQTR321229945</t>
  </si>
  <si>
    <t>IQ279359732</t>
  </si>
  <si>
    <t>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plan to initiate a Phase 1/1b clinical trial for adenosine, an immune checkpoint. The company also develops a product candidate, an anti-CD73 monoclonal antibody that inhibits the production of adenosine. Corvus Pharmaceuticals, Inc. was founded in 2014 and is based in Burlingame, California.</t>
  </si>
  <si>
    <t>NasdaqGS:SNDX</t>
  </si>
  <si>
    <t>IQTR321228672</t>
  </si>
  <si>
    <t>IQ27240138</t>
  </si>
  <si>
    <t>Syndax Pharmaceuticals, Inc., a late-stage biopharmaceutical company, focuses on the development and commercialization of therapeutics in oncology. The company’s lead product candidate is entinostat, an epigenetic therapy for treatment-resistant cancers, such as breast cancer and lung cancer, as well as other indications comprising solid tumors and hematological malignancies. Its Entinostat is an oral histone deacetylase inhibitor that targets cancer cell growth and resistance pathways that limit the effectiveness and durability of cancer therapies. The company has a collaborative research and development agreement with the National Cancer Institute; and Genentech. Syndax Pharmaceuticals, Inc. was founded in 2005 and is headquartered in Waltham, Massachusetts.</t>
  </si>
  <si>
    <t>AveXis, Inc.</t>
  </si>
  <si>
    <t>NasdaqGS:AVXS</t>
  </si>
  <si>
    <t>IQTR322268720</t>
  </si>
  <si>
    <t>IQ259659904</t>
  </si>
  <si>
    <t>AveXis, Inc., a clinical-stage gene therapy company, engages in developing and commercializing novel treatments for patients suffering from rare and life-threatening neurological genetic diseases. Its initial product candidate is AVXS-101, a gene therapy product candidate that is in a Phase I clinical trial for the treatment of spinal muscular atrophy Type 1. The company also intends to identify, acquire, develop, and commercialize gene therapy product candidates for the treatment of other rare and life-threatening neurological genetic diseases. It has strategic collaboration and license agreements with Nationwide Children's Hospital; The Research Institute at Nationwide Children's Hospital; REGENXBIO Inc.; and Asklepios Biopharmaceutical, Inc. The company was formerly known as BioLife Cell Bank, Inc. and changed its name to AveXis, Inc. in January 2014. AveXis, Inc. was founded in 2010 and is headquartered in Bannockburn, Illinois.</t>
  </si>
  <si>
    <t>Proteostasis Therapeutics, Inc.</t>
  </si>
  <si>
    <t>NasdaqGM:PTI</t>
  </si>
  <si>
    <t>IQTR320299118</t>
  </si>
  <si>
    <t>IQ46008307</t>
  </si>
  <si>
    <t>Proteostasis Therapeutics, Inc., a biopharmaceutical company, develops therapeutics to treat protein conformational diseases. Its lead product candidate is PTI-428, an orally bioavailable cystic fibrosis transmembrane conductance regulator modulator belonging to the amplifier class. The company is also developing PTI-NC-733, a novel combination therapy; and PTI-130 for the treatment of chronic obstructive pulmonary disease. It has strategic alliance with Biogen New Ventures Inc. to enhance the clearance of misfolded aggregation-prone proteins in neurodegenerative diseases, such as in Alzheimer’s and Parkinson’s disease; and Astellas Pharma Inc. to research, develop, and commercialize therapies targeting unfolded protein response. The company was formerly known as Proteoguard, Inc. and changed its name to Proteostasis Therapeutics, Inc. in September 2007. Proteostasis Therapeutics, Inc. was founded in 2006 and is based in Cambridge, Massachusetts.</t>
  </si>
  <si>
    <t>IQTR321228585</t>
  </si>
  <si>
    <t>Axsome Therapeutics, Inc.</t>
  </si>
  <si>
    <t>IQTR313935119</t>
  </si>
  <si>
    <t>IQ241907563</t>
  </si>
  <si>
    <t>Axsome Therapeutics, Inc., a clinical stage biopharmaceutical company, develops therapies for the management and treatment of central nervous system disorders. Its product candidates include AXS-02, which is in Phase III trial for the treatment of complex regional pain syndrome, knee osteoarthritis, and chronic low back pain; and AXS-05 that is in Phase III trial for the treatment of resistant depression and agitation in patients with Alzheimer's disease. The company is also developing AXS-06 for the treatment of chronic pain disorders. Axsome Therapeutics, Inc. was founded in 2012 and is based in New York, New York.</t>
  </si>
  <si>
    <t>NasdaqGS:VYGR</t>
  </si>
  <si>
    <t>IQTR313272598</t>
  </si>
  <si>
    <t>IQ256887902</t>
  </si>
  <si>
    <t>IQTR313273040</t>
  </si>
  <si>
    <t>MyoKardia, Inc.</t>
  </si>
  <si>
    <t>NasdaqGS:MYOK</t>
  </si>
  <si>
    <t>IQTR312333034</t>
  </si>
  <si>
    <t>IQ217502341</t>
  </si>
  <si>
    <t>MyoKardia, Inc., a clinical stage biopharmaceutical company, engages in discovering, developing, and commercializing therapies for the treatment of serious and neglected rare cardiovascular diseases. Its lead product candidate is MYK-461, a small molecule that is in three Phase I clinical trials designed to reduce excessive cardiac muscle contractility leading to hypertrophic cardiomyopathy (HCM). The company also develops DCM-1, a drug compound that treats heritable dilated cardiomyopathy (DCM) by restoring normal contractility in the diseased DCM heart. In addition, it develops HCM-2, a product candidate to reduce cardiac muscle contractility to normal levels in HCM patients; and LUS-1, a product candidate, which is intended to counteract a muscle disruption that results in impaired relaxation of the heart. The company has a strategic collaboration with Sanofi S.A. MyoKardia, Inc. was founded in 2012 and is headquartered in South San Francisco, California.</t>
  </si>
  <si>
    <t>Dimension Therapeutics, Inc.</t>
  </si>
  <si>
    <t>Phase I/II</t>
  </si>
  <si>
    <t>IQTR311391393</t>
  </si>
  <si>
    <t>IQ249256428</t>
  </si>
  <si>
    <t>Dimension Therapeutics, Inc., a gene therapy platform company, focuses on discovering and developing therapeutic products for people living with rare diseases associated with the liver and caused by genetic mutations. The company's pipeline of programs includes DTX101, a lead gene therapy product candidate designed to deliver Factor IX, gene expression in patients with hemophilia B; DTX201, a gene therapy program for the treatment of hemophilia A; DTX301, a gene therapy product candidate for the treatment of patients with ornithine transcarbamylase deficiency; and DTX401, a gene therapy program for the treatment of patients with glycogen storage disease type Ia, a disease that arises from a defect in glucose-6-phosphatase. Dimension Therapeutics, Inc. was founded in 2013 and is based Cambridge, Massachusetts.</t>
  </si>
  <si>
    <t>Cerecor Inc.</t>
  </si>
  <si>
    <t>NasdaqCM:CERC</t>
  </si>
  <si>
    <t>IQTR303906594</t>
  </si>
  <si>
    <t>IQ145313032</t>
  </si>
  <si>
    <t>Cerecor Inc., a clinical-stage biopharmaceutical company, develops drugs to treat patients with neurological and psychiatric disorders. It develops CERC-301 that is in Phase II development stage for the adjunctive treatment of patients with major depressive disorder (MDD); CERC-501, which is in Phase II development stage for the adjunctive treatment of MDD, as well as to treat substance use disorders; and CERC-406 that is in preclinical stage to treat residual cognitive impairment symptoms in patients with MDD. The company was formerly known as Ceregen Corporation and changed its name to Cerecor Inc. in March 2011. Cerecor Inc. was founded in 2011 and is headquartered in Baltimore, Maryland.</t>
  </si>
  <si>
    <t>CytomX Therapeutics, Inc.</t>
  </si>
  <si>
    <t>NasdaqGS:CTMX</t>
  </si>
  <si>
    <t>IQTR310274522</t>
  </si>
  <si>
    <t>IQ60504284</t>
  </si>
  <si>
    <t>CytomX Therapeutics, Inc. operates as an oncology-focused biopharmaceutical company in the United States. The company develops novel class of antibody therapeutics based on its Probody technology platform that address clinically-validated cancer targets in immuno-oncology, such as PD-L1, as well as novel targets, comprising CD-166. In addition, it has strategic collaborations with Bristol-Myers Squibb Company, Pfizer Inc., ImmunoGen, Inc., and The University of Texas M. D. Anderson Cancer Center to develop selected Probody therapeutics. The company was founded in 2008 and is headquartered in South San Francisco, California.</t>
  </si>
  <si>
    <t>Aclaris Therapeutics, Inc.</t>
  </si>
  <si>
    <t>NasdaqGS:ACRS</t>
  </si>
  <si>
    <t>IQTR309467401</t>
  </si>
  <si>
    <t>IQ216879819</t>
  </si>
  <si>
    <t>Aclaris Therapeutics, Inc., a clinical-stage specialty pharmaceutical company, focuses on identifying, developing, and commercializing topical drugs to address various needs in dermatology. Its lead drug candidate is A-101, a hydrogen peroxide topical solution that has completed three Phase II clinical trials for the treatment of seborrheic keratosis (SK), a common non-malignant skin tumor. The company is also developing A-101 as a prescription treatment for common warts; and A-102, a proprietary topical gel dosage form of hydrogen peroxide for the treatment of SK and common warts. Aclaris Therapeutics, Inc. was founded in 2012 and is headquartered in Malvern, Pennsylvania.</t>
  </si>
  <si>
    <t>Mirna Therapeutics, Inc.</t>
  </si>
  <si>
    <t>IQTR309896167</t>
  </si>
  <si>
    <t>IQ44204418</t>
  </si>
  <si>
    <t>Edge Therapeutics, Inc.</t>
  </si>
  <si>
    <t>NasdaqGS:EDGE</t>
  </si>
  <si>
    <t>IQTR309361963</t>
  </si>
  <si>
    <t>IQ65059725</t>
  </si>
  <si>
    <t>Edge Therapeutics, Inc., a clinical-stage biotechnology company, discovers, develops, and commercializes hospital-based therapies for acute life-threatening neurological conditions. Its lead product includes EG-1962, a polymer-based microparticle used for the treatment of aneurysmal subarachnoid hemorrhage. The company also develops EG-1964 for the management of chronic subdural hematoma as a prophylactic treatment to prevent recurrent bleeding. The company was founded in 2009 and is headquartered in Berkeley Heights, New Jersey.</t>
  </si>
  <si>
    <t>IQTR309463048</t>
  </si>
  <si>
    <t>Global Blood Therapeutics, Inc.</t>
  </si>
  <si>
    <t>NasdaqGS:GBT</t>
  </si>
  <si>
    <t>IQTR306277984</t>
  </si>
  <si>
    <t>IQ208736100</t>
  </si>
  <si>
    <t>Global Blood Therapeutics, Inc., a biopharmaceutical company, engages in the discovery, development, and commercialization of novel therapeutics to treat grievous blood-based disorders. Its product candidate is GBT440, a hemoglobin modifier that binds to hemoglobin molecules, which is in double-blind Phase I/II clinical trial indicated for the treatment of sickle cell disease. The company also focuses on developing an oral prophylactic therapy for hypoxemic pulmonary disorders and hereditary angioedema. The company was founded in 2011 and is headquartered in South San Francisco, California.</t>
  </si>
  <si>
    <t>Aimmune Therapeutics, Inc.</t>
  </si>
  <si>
    <t>NasdaqGS:AIMT</t>
  </si>
  <si>
    <t>IQTR306081128</t>
  </si>
  <si>
    <t>IQ241653204</t>
  </si>
  <si>
    <t>Aimmune Therapeutics, Inc., a clinical-stage biopharmaceutical company, engages in the development of desensitization treatments for peanut and other food allergies. Its Characterized Oral Desensitization Immunotherapy includes AR101, a product in Phase 3 registration trial for the treatment of peanut allergy in children and adults. The company was formerly known as Allergen Research Corporation and changed its name to Aimmune Therapeutics, Inc. in May 2015. The company was founded in 2011 and is headquartered in Brisbane, California.</t>
  </si>
  <si>
    <t>Zynerba Pharmaceuticals, Inc.</t>
  </si>
  <si>
    <t>NasdaqGM:ZYNE</t>
  </si>
  <si>
    <t>IQTR305532739</t>
  </si>
  <si>
    <t>IQ35650772</t>
  </si>
  <si>
    <t>Zynerba Pharmaceuticals, Inc., a specialty pharmaceutical company, focuses on developing and commercializing proprietary synthetic cannabinoid therapeutics formulated for transdermal delivery. Its products candidates include ZYN002, which is in Phase I clinical trial for the treatment of refractory epilepsy, Fragile X syndrome, and osteoarthritis; and ZYN001 that is in preclinical stage for the treatment of fibromyalgia and peripheral neuropathic pain. The company was formerly known as AllTranz, Inc. and changed its name to Zynerba Pharmaceuticals, Inc. in August 2014. The company was founded in 2007 and is headquartered in Devon, Pennsylvania.</t>
  </si>
  <si>
    <t>IQTR304568199</t>
  </si>
  <si>
    <t>Neos Therapeutics, Inc.</t>
  </si>
  <si>
    <t>NasdaqGM:NEOS</t>
  </si>
  <si>
    <t>IQTR304502176</t>
  </si>
  <si>
    <t>IQ6774144</t>
  </si>
  <si>
    <t>Neos Therapeutics, Inc., a pharmaceutical company, engages in the development, manufacture, and commercialization of products for the treatment of attention deficit hyperactivity disorder (ADHD) using its drug delivery technologies. Its product candidates are extended-release (XR) medications in orally disintegrating tablets or liquid suspension dosage forms. The company manufactures and markets generic Tussionex, a hydrocodone polistirex and chlorpheniramine polistirex XR liquid suspension product indicated for the relief of cough and upper respiratory symptoms associated with allergies or colds in adults and children of six years of age and older. Its product candidates include Adzenys XR-ODT amphetamine for the treatment of ADHD; Cotempla XR-ODT methylphenidate for the treatment of ADHD; and NT-0201 amphetamine XR liquid suspension for the treatment of ADHD. The company is headquartered in Grand Prairie, Texas.</t>
  </si>
  <si>
    <t>Chiasma, Inc.</t>
  </si>
  <si>
    <t>NasdaqGS:CHMA</t>
  </si>
  <si>
    <t>IQTR304056961</t>
  </si>
  <si>
    <t>IQ136932688</t>
  </si>
  <si>
    <t>Chiasma, Inc., a late-stage biopharmaceutical company, focuses on developing and commercializing oral forms of therapies for patients suffering from orphan diseases. Its product candidate is octreotide capsules or MYCAPSSA, which has completed Phase III clinical trial for the treatment of acromegaly, a condition that results in the body’s production of excess growth hormone. Chiasma, Inc. was founded in 2001 and is headquartered in Newton, Massachusetts.</t>
  </si>
  <si>
    <t>Seres Therapeutics, Inc.</t>
  </si>
  <si>
    <t>NasdaqGS:MCRB</t>
  </si>
  <si>
    <t>IQTR302344120</t>
  </si>
  <si>
    <t>IQ222388947</t>
  </si>
  <si>
    <t>Seres Therapeutics, Inc., a microbiome therapeutics platform company, focuses on the development of biological drugs designed to restore health by repairing the function of a dysbiotic microbiome. Its lead product candidate is SER-109, a bacterial spore ecology, which has completed open label Phase Ib/2 clinical study for the prevention of further recurrences of Clostridium difficile infection (CDI). The company also develops SER-287 that is in phase Ib clinical study to treat inflammatory bowel disease, including ulcerative colitis. Its product candidates in pre-clinical development comprise SER-262, an Ecobiotic microbiome therapeutic designed to be used following antibiotic treatment of primary CDI; and SER-155 for the prevention of transplant-related mortality. Seres Therapeutics, Inc. has a strategic collaboration with Nestle Health Science and Memorial Sloan Kettering Cancer Center; and a collaboration agreement with the University of Pennsylvania. The company was formerly known as Seres Health, Inc. and changed its name to Seres Therapeutics, Inc. in May 2015. Seres Therapeutics, Inc. was founded in 2010 and is headquartered in Cambridge, Massachusetts.</t>
  </si>
  <si>
    <t>Catabasis Pharmaceuticals, Inc.</t>
  </si>
  <si>
    <t>NasdaqGM:CATB</t>
  </si>
  <si>
    <t>IQTR301144514</t>
  </si>
  <si>
    <t>IQ100802824</t>
  </si>
  <si>
    <t>Ritter Pharmaceuticals, Inc.</t>
  </si>
  <si>
    <t>NasdaqCM:RTTR</t>
  </si>
  <si>
    <t>Phase IIb</t>
  </si>
  <si>
    <t>IQTR304897666</t>
  </si>
  <si>
    <t>IQ62102047</t>
  </si>
  <si>
    <t>Ritter Pharmaceuticals, Inc. develops novel therapeutic products that modulate the human gut microbiome to treat gastrointestinal diseases. Its lead product candidate is RP-G28, a novel microbiome modulator, which is under development for the reduction of symptoms associated with lactose intolerance. The company’s RP-G28 is designed to stimulate the growth of lactose-metabolizing bacteria in the colon, thereby adapting the gut microbiome to assist in digesting the lactose that reaches the large intestine. Its RP-G28 has been studied in a Phase 2a clinical trial. The company was formerly known as Ritter Natural Sciences, LLC and changed its name to Ritter Pharmaceuticals, Inc. in September 2008. Ritter Pharmaceuticals, Inc. was founded in 2004 and is headquartered in Los Angeles, California.</t>
  </si>
  <si>
    <t>Nivalis Therapeutics, Inc.</t>
  </si>
  <si>
    <t>IQTR301140352</t>
  </si>
  <si>
    <t>IQ49900317</t>
  </si>
  <si>
    <t>Nivalis Therapeutics, Inc., a clinical stage pharmaceutical company, focuses on the discovery, development, and commercialization of product candidates for patients with cystic fibrosis (CF). CF is a life-shortening genetic disease. Its lead product candidate is N91115, a small molecule that is in Phase II clinical trial, which addresses a defect in cystic fibrosis transmembrane conductance regulator (CFTR), resulting from mutations in the CFTR gene. The company was formerly known as N30 Pharmaceuticals, Inc. and changed its name to Nivalis Therapeutics, Inc. in February 2015. Nivalis Therapeutics, Inc. was founded in 2007 and is headquartered in Boulder, Colorado.</t>
  </si>
  <si>
    <t>NasdaqGS:LIFE</t>
  </si>
  <si>
    <t>Phase Ib/II</t>
  </si>
  <si>
    <t>IQTR290493275</t>
  </si>
  <si>
    <t>IQ33940575</t>
  </si>
  <si>
    <t>aTyr Pharma, Inc., a biotherapeutics company, engages in the discovery and clinical development of Physiocrine-based therapeutics for patients suffering from severe and rare diseases. The company develops Resolaris, which is in Phase Ib/II clinical trials for treating adult patients with facioscapulohumeral muscular dystrophy (FSHD), a rare genetic myopathy with an immune component; patients with early onset FSHD; and adult patients with limb-girdle muscular dystrophy 2B or FSHD. In addition, the company is developing iMod.Fc, a preclinical immuno-modulatory domain program. The company was founded in 2005 and is headquartered in San Diego, California.</t>
  </si>
  <si>
    <t>Collegium Pharmaceutical, Inc.</t>
  </si>
  <si>
    <t>NasdaqGS:COLL</t>
  </si>
  <si>
    <t>IQTR290256723</t>
  </si>
  <si>
    <t>IQ7490189</t>
  </si>
  <si>
    <t>Collegium Pharmaceutical, Inc., a specialty pharmaceutical company, develops and commercializes abuse-deterrent products that incorporate its DETERx platform technology for the treatment of chronic pain and other diseases. Its lead product candidate is Xtampza, an oral formulation of oxycodone. The company is also developing COL-195, a hydrocodone for the treatment of chronic pain; COL-172, an oxymorphone for the treatment of chronic pain; COL-196, a morphine formulation to treat pain; and COL-171, a proprietary preclinical DETERx methylphenidate formulation for the treatment of attention deficit hyperactivity disorder. The company was formerly known as Collegium Pharmaceuticals, Inc. and changed its name to Collegium Pharmaceutical, Inc. in October 2003. Collegium Pharmaceutical, Inc. was incorporated in 2002 and is headquartered in Canton, Massachusetts.</t>
  </si>
  <si>
    <t>CoLucid Pharmaceuticals, Inc.</t>
  </si>
  <si>
    <t>IQTR289898966</t>
  </si>
  <si>
    <t>IQ25521313</t>
  </si>
  <si>
    <t>CoLucid Pharmaceuticals, Inc., a biopharmaceutical company, develops small molecules for the acute treatment of migraine. Its lead product candidate is Lasmiditan, an oral tablet that is in Phase III clinical program for the acute treatment of migraine headaches in adults. The company is also developing IV lasmiditan, which is in Phase II clinical trial for the acute treatment of headache pain associated with migraine in adults in emergency room and other urgent care settings. CoLucid Pharmaceuticals, Inc. was founded in 2005 and is headquartered in Cambridge, Massachusetts.</t>
  </si>
  <si>
    <t>Verseon Corporation</t>
  </si>
  <si>
    <t>AIM:VSN</t>
  </si>
  <si>
    <t>IQTR293131470</t>
  </si>
  <si>
    <t>IQ134732546</t>
  </si>
  <si>
    <t>Verseon Corporation, a pharmaceutical company, designs and develops novel therapeutics for various diseases in the United States. It conducts drug discovery programs in the areas of anticoagulation, diabetic macular edema, and oncology. The company is involved in developing oral antico-agulants for various cardiovascular indications with novel pharmacology; potent kallikrein inhibitors for the treatment of diabetic macular edema delivered through topical eye drops; and novel angiogenesis inhibitors for the treatment of solid organ tumors. Verseon Corporation was founded in 2002 and is headquartered in Fremont, California.</t>
  </si>
  <si>
    <t>NasdaqGS:BPMC</t>
  </si>
  <si>
    <t>IQTR289171754</t>
  </si>
  <si>
    <t>IQ129802746</t>
  </si>
  <si>
    <t>Viking Therapeutics, Inc.</t>
  </si>
  <si>
    <t>NasdaqCM:VKTX</t>
  </si>
  <si>
    <t>IQTR267166243</t>
  </si>
  <si>
    <t>IQ246791410</t>
  </si>
  <si>
    <t>Viking Therapeutics, Inc., a clinical-stage biopharmaceutical company, focuses on the development of therapies for metabolic and endocrine disorders. Its lead clinical program includes VK0612, an orally available drug candidate for the treatment of type 2 diabetes. The company is also developing VK5211, an orally available drug candidate, which is in a Phase II clinical trial for acute rehabilitation following non-elective hip fracture surgery. In addition, it is developing VK0214, a novel liver-selective thyroid hormone receptor beta agonist for lipid disorders, such as dyslipidemia and nonalcoholic steatohepatitis, as well as VK2809, an orally available, tissue, and receptor-subtype selective agonist of the thyroid beta receptor that is entering Phase II development for the treatment of patients with hypercholesterolemia and fatty liver disease. Viking Therapeutics, Inc. was founded in 2012 and is headquartered in San Diego, California.</t>
  </si>
  <si>
    <t>KemPharm, Inc.</t>
  </si>
  <si>
    <t>NasdaqGM:KMPH</t>
  </si>
  <si>
    <t>IQTR288193402</t>
  </si>
  <si>
    <t>IQ65059726</t>
  </si>
  <si>
    <t>KemPharm, Inc., a clinical-stage specialty pharmaceutical company, discovers and develops new proprietary prodrugs in the United States. Its advanced product candidate is KP201/APAP, which consists of KP201 prodrug of hydrocodone formulated in combination with acetaminophen (APAP). The company is also developing KP201/APAP as an immediate release (IR) product candidate for the treatment of acute pain, as well as engages in designing KP201/APAP with abuse-deterrent properties to address the epidemic of opioid abuse. The company is also involved in developing KP201/IR (APAP-free), an IR formulation of KP201 without APAP for the short-term management of acute pain; KP511/ER, a prodrug of hydromorphone for the management of pain; KP415, a prodrug of methylphenidate for the treatment of attention deficit hyperactivity disorders; KP606/IR, an IR abuse-deterrent opioid product for the management of moderate to severe pain; and KP746, a prodrug of oxymorphone for the management of moderate to severe pain. KemPharm, Inc. was founded in 2006 and is headquartered in Coralville, Iowa.</t>
  </si>
  <si>
    <t>Cidara Therapeutics, Inc.</t>
  </si>
  <si>
    <t>NasdaqGM:CDTX</t>
  </si>
  <si>
    <t>IQTR288432499</t>
  </si>
  <si>
    <t>IQ266264552</t>
  </si>
  <si>
    <t>Cidara Therapeutics, Inc., a biopharmaceutical company, focuses on the discovery, development, and commercialization of novel anti-infectives for the treatment of various diseases. Its lead product candidate is CD101 IV, a novel molecule in the echinocandin class of antifungals for the treatment and prevention of systemic Candida infections. The company also develops CD101 topical, a topical formulation of CD101 for the treatment of recurrent vulvovaginal candidiasis, a prevalent mucosal infection. In addition, it develops a proprietary immunotherapy technology platform, Cloudbreak, which is used to create compounds designed to direct a patient’s immune cells to attack and eliminate pathogens that cause infectious disease, as well as engages in evaluating Cloudbreak candidates for the treatment of invasive fungal infections, including aspergillosis, an infection caused by the fungal pathogen. The company was formerly known as K2 Therapeutics, Inc. and changed its name to Cidara Therapeutics, Inc. in June 2014. Cidara Therapeutics, Inc. was founded in 2012 and is based in San Diego, California.</t>
  </si>
  <si>
    <t>Aduro BioTech, Inc.</t>
  </si>
  <si>
    <t>NasdaqGS:ADRO</t>
  </si>
  <si>
    <t>IQTR288194671</t>
  </si>
  <si>
    <t>IQ2983625</t>
  </si>
  <si>
    <t>XBiotech, Inc.</t>
  </si>
  <si>
    <t>NasdaqGS:XBIT</t>
  </si>
  <si>
    <t>IQTR283478395</t>
  </si>
  <si>
    <t>IQ216818432</t>
  </si>
  <si>
    <t>XBiotech, Inc., a clinical-stage biopharmaceutical company, engages in discovering and developing True Human monoclonal antibodies for treating various diseases. Its lead product is MABp1, which is also known as Xilonix, a novel anti-cancer agent, which has completed Phase III clinical trial in Europe for the treatment of advanced colorectal cancer. MABp1 targets and neutralizes interleukin-1 alpha. XBiotech, Inc. was founded in 2005 and is headquartered in Austin, Texas.</t>
  </si>
  <si>
    <t>Inotek Pharmaceuticals Corporation</t>
  </si>
  <si>
    <t>IQTR276120901</t>
  </si>
  <si>
    <t>IQ9637643</t>
  </si>
  <si>
    <t>Inotek Pharmaceuticals Corporation, a clinical-stage biopharmaceutical company, focuses on the discovery, development, and commercialization of therapies for glaucoma and other diseases of the eye in the United States. The company’s lead product candidate includes Trabodenoson, a monotherapy that is in Phase III clinical trials for lowering IOP by restoring the eye’s natural pressure control mechanism. It is also developing Trabodenoson plus Latanoprost, a fixed-dose combination prostaglandin analogue, which has completed the Phase II clinical trials for IOP-lowering in patients who have previously had inadequate response to latanoprost, as well as Trabodenoson monotherapy that is in pre-clinical studies for the treatment of optic neuropathy and degenerative retinal diseases. The company was founded in 1999 and is headquartered in Lexington, Massachusetts.</t>
  </si>
  <si>
    <t>Bellerophon Therapeutics, Inc.</t>
  </si>
  <si>
    <t>NasdaqGM:BLPH</t>
  </si>
  <si>
    <t>IQTR281906643</t>
  </si>
  <si>
    <t>IQ257337347</t>
  </si>
  <si>
    <t>Bellerophon Therapeutics, Inc., a clinical-stage therapeutics company, focuses on the development of products at the intersection of drugs and devices that address unmet medical needs in the treatment of cardiopulmonary diseases. Its product candidates include INOpulse, a pulsatile nitric oxide delivery device, which has completed Phase II clinical trials for the treatment of pulmonary arterial hypertension, as well as in Phase II clinical trials to treat pulmonary hypertension associated with chronic obstructive pulmonary diseases; and bioabsorbable cardiac matrix, a medical device for the prevention of congestive heart failure. Bellerophon Therapeutics, Inc. was founded in 2009 and is headquartered in Warren, New Jersey.</t>
  </si>
  <si>
    <t>Eyegate Pharmaceuticals, Inc.</t>
  </si>
  <si>
    <t>NasdaqCM:EYEG</t>
  </si>
  <si>
    <t>IQTR269361921</t>
  </si>
  <si>
    <t>IQ27817978</t>
  </si>
  <si>
    <t>Eyegate Pharmaceuticals, Inc., a clinical-stage specialty pharmaceutical company, focuses on developing and commercializing therapeutics and drug delivery systems for treating eye diseases. The company is developing EGP-437 that has completed Phase III clinical trials in anterior uveitis for the treatment of various inflammatory conditions of the eye, including uveitis, a debilitating form of intraocular inflammation of the anterior portion of the uvea. It is also developing Eyegate II drug delivery system. Eyegate Pharmaceuticals, Inc. is based in Waltham, Massachusetts.</t>
  </si>
  <si>
    <t>IQTR280838614</t>
  </si>
  <si>
    <t>NasdaqGM:TCON</t>
  </si>
  <si>
    <t>IQTR280759863</t>
  </si>
  <si>
    <t>IQ33915710</t>
  </si>
  <si>
    <t>TRACON Pharmaceuticals, Inc., a clinical stage biopharmaceutical company, focuses on the development and commercialization of novel targeted therapeutics for cancer, wet age-related macular degeneration, and fibrotic diseases. Its lead product candidate is TRC105, which is in Phase II clinical trials for oncology indications, including soft tissue sarcoma, renal cell carcinoma, glioblastoma, and hepatocellular carcinoma. The company’s other product candidates comprise TRC205, an endoglin antibody that is in preclinical stage for the treatment of fibrotic diseases; and TRC102, a small molecule, which is in clinical development for the treatment of lung cancer and glioblastoma. TRACON Pharmaceuticals, Inc. has collaboration agreements with National Cancer Institute and Santen. The company was formerly known as Lexington Pharmaceuticals, Inc. and changed its name to TRACON Pharmaceuticals, Inc. in March 2005. TRACON Pharmaceuticals, Inc. was founded in 2004 and is headquartered in San Diego, California.</t>
  </si>
  <si>
    <t>Flex Pharma, Inc.</t>
  </si>
  <si>
    <t>NasdaqGM:FLKS</t>
  </si>
  <si>
    <t>IQTR280758231</t>
  </si>
  <si>
    <t>IQ261970466</t>
  </si>
  <si>
    <t>Zosano Pharma Corporation</t>
  </si>
  <si>
    <t>NasdaqCM:ZSAN</t>
  </si>
  <si>
    <t>IQTR266728076</t>
  </si>
  <si>
    <t>IQ29535235</t>
  </si>
  <si>
    <t>Zosano Pharma Corporation, a clinical stage specialty pharmaceutical company, develops a proprietary transdermal microneedle patch system to deliver drug formulations through the skin for the treatment of various indications. The company’s product candidate is ZP-Triptan, a proprietary formulation of zolmitriptan used for the treatment of migraine, which has completed a Phase I clinical trial. Its product candidates also include ZP-PTH, a proprietary formulation of teriparatide that is used for the treatment of severe osteoporosis; and ZP-Glucagon, a proprietary formulation of glucagon that is intended for the emergency rescue of patients suffering from life-threatening, severe hypoglycemia. The company was founded in 2006 and is headquartered in Fremont, California.</t>
  </si>
  <si>
    <t>Phase IIa</t>
  </si>
  <si>
    <t>NasdaqGM:LOXO</t>
  </si>
  <si>
    <t>NasdaqCM:CFRX</t>
  </si>
  <si>
    <t>NasdaqGM:OCUL</t>
  </si>
  <si>
    <t>AMEX:PFNX</t>
  </si>
  <si>
    <t>NasdaqGM:XENT</t>
  </si>
  <si>
    <t>NasdaqGM:SAGE</t>
  </si>
  <si>
    <t>NasdaqGM:ROKA</t>
  </si>
  <si>
    <t>NasdaqGM:CDNA</t>
  </si>
  <si>
    <t>NasdaqCM:GBIM</t>
  </si>
  <si>
    <t>NasdaqGM:NERV</t>
  </si>
  <si>
    <t>NasdaqGS:AMPH</t>
  </si>
  <si>
    <t>NasdaqGS:KITE</t>
  </si>
  <si>
    <t>NYSE:CTLT</t>
  </si>
  <si>
    <t>OIP</t>
  </si>
  <si>
    <t>Label Format #6</t>
  </si>
  <si>
    <t>(in USD or Shares)</t>
  </si>
  <si>
    <t>Updated upto:</t>
  </si>
  <si>
    <t>Less: Debt as of Exit Date</t>
  </si>
  <si>
    <t>Template Model</t>
  </si>
  <si>
    <t>Date of Update</t>
  </si>
  <si>
    <t>Updated by</t>
  </si>
  <si>
    <t>Sheet</t>
  </si>
  <si>
    <t>Cell</t>
  </si>
  <si>
    <t>Comments (if any)</t>
  </si>
  <si>
    <t>Last Modified</t>
  </si>
  <si>
    <t>Priya</t>
  </si>
  <si>
    <t>OPM 2</t>
  </si>
  <si>
    <t>C24</t>
  </si>
  <si>
    <t>Removed duplicate reference for footnote 1</t>
  </si>
  <si>
    <t>WACC CAPM</t>
  </si>
  <si>
    <t>B42</t>
  </si>
  <si>
    <t>Added note to update unsystematic risk premium whenever WACC CAPM is used</t>
  </si>
  <si>
    <t>PWERM, Comparitive Sheet</t>
  </si>
  <si>
    <t>Various</t>
  </si>
  <si>
    <t>Fixed the basis as 3 for all YEARFRAC formulas through a global search.</t>
  </si>
  <si>
    <t>Q6</t>
  </si>
  <si>
    <t>Added “ROUND” formula</t>
  </si>
  <si>
    <t>Capital IQ DATA</t>
  </si>
  <si>
    <t>T13, T14</t>
  </si>
  <si>
    <t>Fixed the link to cell B4</t>
  </si>
  <si>
    <r>
      <t xml:space="preserve">Volatility </t>
    </r>
    <r>
      <rPr>
        <sz val="10"/>
        <color theme="1"/>
        <rFont val="Times New Roman"/>
        <family val="1"/>
      </rPr>
      <t>(1), (2)</t>
    </r>
  </si>
  <si>
    <t>B49, B50</t>
  </si>
  <si>
    <t>Added footnote</t>
  </si>
  <si>
    <t>Company ABC IRC 409a VD MM.DD.YY Draft Exhibits YYYY.MM.DD_v4</t>
  </si>
  <si>
    <t>Asset Volatility - Comps</t>
  </si>
  <si>
    <t>Asset Volatility - Company (For OPM)</t>
  </si>
  <si>
    <t>Asset Volatility - Company (For DLOM)</t>
  </si>
  <si>
    <t>Common Stock Equity</t>
  </si>
  <si>
    <t>Harshit</t>
  </si>
  <si>
    <t>Volatility check Val Summ</t>
  </si>
  <si>
    <t>WACC - PWERM</t>
  </si>
  <si>
    <t>Removed Macro</t>
  </si>
  <si>
    <t>Volatility check in out of print area</t>
  </si>
  <si>
    <t>Corrected calculation of Options (Treasury Method) and Common Stock Equity</t>
  </si>
  <si>
    <t>D15</t>
  </si>
  <si>
    <t>Updated formatting</t>
  </si>
  <si>
    <t>Row X</t>
  </si>
  <si>
    <t>Label Format #7</t>
  </si>
  <si>
    <t>(in millions of USD, except stock price)</t>
  </si>
  <si>
    <t>Harsh</t>
  </si>
  <si>
    <t>Market Trends</t>
  </si>
  <si>
    <t>Z4</t>
  </si>
  <si>
    <t>Changed label to (in millions of USD, except stock price)</t>
  </si>
  <si>
    <t>Row 238 onwards</t>
  </si>
  <si>
    <t>Treasury Method calculation</t>
  </si>
  <si>
    <t>H19, J19</t>
  </si>
  <si>
    <t>Fixed the formula for WACC to include Options/Warrants (Treasury Method)</t>
  </si>
  <si>
    <t>WACC - CAPM</t>
  </si>
  <si>
    <t>D&amp;P 2017</t>
  </si>
  <si>
    <t>A46:H67, B40, B41</t>
  </si>
  <si>
    <t>Important Points to Note</t>
  </si>
  <si>
    <t>1) Linking of Debt</t>
  </si>
  <si>
    <t>a) PWERM: PV of Debt Like component for differn. DLOM</t>
  </si>
  <si>
    <t>b) OPM: Debt as in Val. Summ.</t>
  </si>
  <si>
    <t>c) DLOM_OPM: Val sum + Tranche Value of LP</t>
  </si>
  <si>
    <t>d) Hybrid OPM: Debt as in Val Summ.</t>
  </si>
  <si>
    <t>e) Hybrid OPM_DLOM: PV of Debt Like component from PWERM</t>
  </si>
  <si>
    <t>2) Linking for EV</t>
  </si>
  <si>
    <t>a) PWERM: Equity Value in PWERM - Excess Cash + Debt</t>
  </si>
  <si>
    <t>b) OPM: Equity Value in OPM -Excess Cash + Debt</t>
  </si>
  <si>
    <t>c) DLOM_OPM: Equity Value in OPM -Excess Cash + Debt</t>
  </si>
  <si>
    <t>d) Hybrid OPM: Weighted Average Equity Value in Hybrid OPM -Excess Cash + Debt</t>
  </si>
  <si>
    <t>d) Hybrid OPM_DLOM: Weighted Average Equity Value in Hybrid OPM -Excess Cash + Debt</t>
  </si>
  <si>
    <t>Probability of Dissolution (captured in OPM)</t>
  </si>
  <si>
    <t>Year 6</t>
  </si>
  <si>
    <t>Year 7</t>
  </si>
  <si>
    <t>Year 8</t>
  </si>
  <si>
    <t>Post-IPO 
Equity Value</t>
  </si>
  <si>
    <t>Comparable Equity Value After 30 Days</t>
  </si>
  <si>
    <t>% Change in Equity Value</t>
  </si>
  <si>
    <t>BD</t>
  </si>
  <si>
    <t>Discovery / IND / Preclinical</t>
  </si>
  <si>
    <t>IND Filed</t>
  </si>
  <si>
    <t>IND Filing</t>
  </si>
  <si>
    <t>Blueprint Medicines Corporation, a biopharmaceutical company, develops drugs of small molecule kinase inhibitors that target genomic drivers in various cancers and rare genetic diseases. Its lead drug candidates include BLU-285, which targets KIT Exon 17 mutants and PDGFRa D842V, abnormally active receptor tyrosine kinase mutants for patients with systemic mastocytosis, a myeloproliferative disorder of the mast cells, and defined subsets of patients with gastrointestinal stromal tumor; and BLU-554, an orally available, potent, selective, and irreversible inhibitor of the kinase FGFR4. It is also developing BLU-667, a drug candidate that targets RET, a receptor tyrosine kinase that can become abnormally activated by mutations or translocations; and RET resistant mutants that would arise from treatment with first generation therapies, as well as candidates as inhibitors of neurotrophic tyrosine receptor kinase (NTRK) and predicted NTRK resistant mutants. In addition, the company is developing programs that target oncology and rare genetic diseases. The company has agreement with Alexion Pharma Holding to research, develop, and commercialize drug candidates for an undisclosed activated kinase target, which is the cause of a rare genetic disease. The company was formerly known as Hoyle Pharmaceuticals, Inc. and changed its name to Blueprint Medicines Corporation in June 2011. Blueprint Medicines Corporation was founded in 2008 and is headquartered in Cambridge, Massachusetts.</t>
  </si>
  <si>
    <t>Flex Pharma, Inc., a biotechnology company, develops and commercializes products for the treatment of nocturnal leg cramps, muscle cramps, spasms, and spasticity associated with neuromuscular conditions; and exercise-associated muscle cramps. The company develops its products based on the mechanism of muscle cramp inhibition. Flex Pharma, Inc. was founded in 2014 and is headquartered in Boston, Massachusetts.</t>
  </si>
  <si>
    <t>Phase I / I/Ib / I/IIa / Ib / Ib/II</t>
  </si>
  <si>
    <t>Jounce Therapeutics, Inc.</t>
  </si>
  <si>
    <t>NasdaqGS:JNCE</t>
  </si>
  <si>
    <t>IQTR414739851</t>
  </si>
  <si>
    <t>AnaptysBio, Inc.</t>
  </si>
  <si>
    <t>NasdaqGS:ANAB</t>
  </si>
  <si>
    <t xml:space="preserve"> IQTR311061881</t>
  </si>
  <si>
    <t>IQTR311061881</t>
  </si>
  <si>
    <t>Phase I/IIa</t>
  </si>
  <si>
    <t>Voyager Therapeutics, Inc., a clinical-stage gene therapy company, focuses on the development of treatments for patients suffering from severe diseases of the central nervous system. The company’s lead clinical candidate is the VY-AADC01, which is in Phase Ib clinical trial for the treatment of advanced Parkinson's disease. Its preclinical programs comprise VY-SOD101 for a monogenic form of amyotrophic lateral sclerosis; VY-FXN01 for Friedreich's ataxia; VY-HTT01 for Huntington’s disease; and VY-SMN101 for spinal muscular atrophy. The company has strategic collaboration agreements with Genzyme Corporation and the University of Massachusetts; and a research collaboration agreement with CHDI Foundation, Inc. to advance its VY-HTT01 program, an adeno-associated virus-mediated gene-silencing therapy for Huntington’s disease. Voyager Therapeutics, Inc. was founded in 2013 and is headquartered in Cambridge, Massachusetts.</t>
  </si>
  <si>
    <t>Mirna Therapeutics, Inc., a clinical-stage biopharmaceutical company, develops a pipeline of microRNA-based oncology therapeutics. The company is developing mimics of naturally occurring microRNAs (miR) that are designed to restore tumor suppressor activity and aid appropriate anti-tumor immune response. Its lead product candidate is MRX34, a mimic of naturally occurring microRNA-34 encapsulated in a liposomal nanoparticle formulation which is in Phase 1 clinical trial for the treatment of cancer. The company’s preclinical product candidates include miR-215 for the treatment of esophageal, kidney, and multiple myeloma cancers; miR-101 for the treatment of bladder, gastric, lung, and ovarian cancers; miR-16 for the treatment of chronic lymphocytic leukemia and lymphoma cancers; and let-7 for the treatment of prostate, pancreatic, and melanoma cancers. It has strategic partnerships and license agreements with Asuragen, Inc.; Marina Biotech, Inc.; the Yale University; the University of Zurich; Rosetta Genomics Ltd.; the Cancer Prevention and Research Institute of Texas; and Polymun Scientific Immunbiologische Forschung GmbH. The company was founded in 2007 and is headquartered in Austin, Texas. Mirna Therapeutics, Inc. operates as a subsidiary of Asuragen, Inc.</t>
  </si>
  <si>
    <t>Catabasis Pharmaceuticals, Inc., a clinical-stage biopharmaceutical company, focuses on the discovery, development, and commercialization of therapeutics to treat inflammatory and metabolic diseases. Its product pipeline includes CAT-1004, an oral small molecule that has completed Phase 1 clinical trials for the treatment of duchenne muscular dystrophy (DMD); CAT-2054, which is in Phase I clinical trial for the treatment of hypercholesterolemia in patients for whom existing treatments are insufficient; and CAT-2003 that has completed Phase IIa trials for the treatment of patients with elevated triglycerides or hypertriglyceridemia. It is also developing CAT-4001 that is in preclinical stage for the treatment for severe, rare neurodegenerative diseases, such as Friedreich's ataxia and amyotrophic lateral sclerosis. The company has collaboration agreements with dystrophy association for the development of CAT-1004, a treatment for DMD; and Sarepta Therapeutics, Inc. to explore a combination drug treatment approach for DMD. Catabasis Pharmaceuticals, Inc. was founded in 2008 and is based in Cambridge, Massachusetts.</t>
  </si>
  <si>
    <t>aTyr Pharma, Inc.</t>
  </si>
  <si>
    <t>Adaptimmune Therapeutics plc</t>
  </si>
  <si>
    <t>NasdaqGS:ADAP</t>
  </si>
  <si>
    <t>IQTR290492678</t>
  </si>
  <si>
    <t>IQ113495056</t>
  </si>
  <si>
    <t>Adaptimmune Therapeutics plc, a clinical-stage biopharmaceutical company, focuses on the provision of cancer immunotherapy products based on its T-cell receptor platform. Its platform enables to identify cancer targets; find and genetically engineer T-cell receptors (TCR); and produce TCR therapeutic candidates for administration to patients. The company’s lead program includes NY-ESO cancer antigen, which is in Phase 1/2 clinical trials for the treatment of patients with solid tumors, as well as hematological cancer types, including synovial sarcoma and multiple myeloma. Adaptimmune Therapeutics plc is also developing MAGE A-10 TCR that is in Phase 1/2 clinical trials for the treatment of non-small cell lung cancer and other solid tumors; and Alpha Fetoprotein TCR therapeutic candidate that has completed preclinical testing for targeting a peptide associated with hepatocellular carcinoma. It has a strategic collaboration and licensing agreement with GlaxoSmithKline for the development and commercialization of the NY-ESO TCR program; and strategic alliance with MD Anderson Cancer Center for the development of adoptive T-cell therapies for various cancers. The company also has a clinical trial collaboration agreement with Merck &amp; Co., Inc. for the assessment of NY-ESO specific peptide enhanced affinity receptor T-cell therapy in combination with anti-programmed death-1 inhibitor in patients with multiple myeloma. Adaptimmune Therapeutics plc was founded in 2014 and is headquartered in Abingdon, the United Kingdom.</t>
  </si>
  <si>
    <t>Phase II / IIa / IIb / II/III</t>
  </si>
  <si>
    <t>Tocagen Inc.</t>
  </si>
  <si>
    <t>NasdaqGS:TOCA</t>
  </si>
  <si>
    <t>Phase II/III</t>
  </si>
  <si>
    <t>IQTR423020775</t>
  </si>
  <si>
    <t>IQ47097690</t>
  </si>
  <si>
    <t>Tocagen Inc., a clinical-stage company, focuses on developing gene therapy candidates to activate a patient’s immune system against their cancer in the United States. The company is developing Toca 511 &amp; Toca FC that is in Phase II/III clinical trial for patients with recurrent high grade glioma (HGG); and Phase Ib clinical trial for the intravenous treatment of metastatic colorectal, pancreatic, breast, lung, melanoma, and renal cancers, as well as in preclinical stage for newly diagnosed HGG. It is also developing other retroviral replicating vectors to deliver genes to cancer cells against validated immunotherapy targets, such as the checkpoint protein PD-L1. The company was founded in 2007 and is headquartered in San Diego, California.</t>
  </si>
  <si>
    <t>ObsEva SA</t>
  </si>
  <si>
    <t>NasdaqGS:OBSV</t>
  </si>
  <si>
    <t>IQTR414750474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</si>
  <si>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Plan-les-Ouates, Switzerland.</t>
  </si>
  <si>
    <t>Spring Bank Pharmaceuticals, Inc., a clinical-stage biopharmaceutical company, engages in the discovery and development of a class of therapeutics using its proprietary small molecule nucleic acid hybrid (SMNH) chemistry platform. Its SMNH compounds are small segments of nucleic acids that are design to target and modulate the activity of specific proteins implicated in various disease states. The company’s lead product candidate is SB 9200, which completed a Phase 1 clinical trial for the treatment of chronic hepatitis B virus and respiratory syncytial virus. It also develops preclinical product candidates, such as SB 9400, SB 9941 and SB 9946 for RNA viral diseases. The company has a collaborative agreement with Arrowhead Pharmaceuticals Inc. to perform studies on Arrowhead’s ARC-520 and Spring Bank’s SB 9200 for the treatment of chronic Hepatitis B (HBV); and has clinical trial collaboration with Gilead Sciences for a HBV Phase II clinical study with Spring Bank's SB 9200 in combination with VireadÂ (tenofovir disoproxil fumarate) for HBV patients. The company was formerly known as Spring Bank Technologies, Inc. and changed its name to Spring Bank Pharmaceuticals, Inc. in May 2008. Spring Bank Pharmaceuticals, Inc. was founded in 2002 and is headquartered in Milford, Massachusetts.</t>
  </si>
  <si>
    <t>Aduro BioTech, Inc., a clinical-stage immunotherapy company, focuses on the discovery, development, and commercialization that transform the treatment of challenging diseases. Its lead product candidate is CRS-207, an immuno-oncology therapy, which is in a Phase IIb clinical trial for the treatment of metastatic pancreatic cancer, unresectable malignant pleural mesothelioma, and ovarian cancer. The company also offers STING Pathway Activator product candidates that are synthetic small molecule immune modulators, which target and activate Stimulator of Interferon Genes receptor under collaboration with Novartis Pharmaceuticals Corporation; and develops monoclonal antibodies with the potential to yield immunotherapy. Aduro BioTech, Inc. also has a collaboration agreement with Janssen Biotech, Inc. to develop drugs for the treatment of prostate and lung cancers. The company was formerly known as Oncologic, Inc. and changed its name to Aduro BioTech, Inc. in June 2008. Aduro BioTech, Inc. was founded in 2000 and is headquartered in Berkeley, California.</t>
  </si>
  <si>
    <t>BeyondSpring Inc.</t>
  </si>
  <si>
    <t>NasdaqCM:BYSI</t>
  </si>
  <si>
    <t>IQTR409737963</t>
  </si>
  <si>
    <t>IQ409784135</t>
  </si>
  <si>
    <t>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and a Phase 3 clinical trial as an anticancer agent in combination with docetaxel in advanced NSCLC. BeyondSpring Inc. was founded in 2010 and is headquartered in New York, New York.</t>
  </si>
  <si>
    <t>Source: http://www.nasdaq.com/markets/ipos/company/beyondspring-inc-1008377-82102</t>
  </si>
  <si>
    <t>Clearside BioMedical, Inc.</t>
  </si>
  <si>
    <t>NasdaqGM:CLSD</t>
  </si>
  <si>
    <t xml:space="preserve"> IQTR321712938</t>
  </si>
  <si>
    <t>Clearside BioMedical, Inc., a biopharmaceutical company, develops drug therapies to treat chronic blinding diseases of the eye. Its products include CLS-1001 for the treatment of macular edema associated with non-infectious uveitis; CLS-1003 for the treatment of macular edema associated with retinal vein occlusion; and CLS-1002 program for the treatment of wet age-related macular degeneration. The company was founded in 2011 and is headquartered in Alpharetta, Georgia.</t>
  </si>
  <si>
    <t>NDA Filed</t>
  </si>
  <si>
    <t>Overall Metrics</t>
  </si>
  <si>
    <t>Offer Date</t>
  </si>
  <si>
    <t>First Pricing Date</t>
  </si>
  <si>
    <t>Hybrid OPM</t>
  </si>
  <si>
    <t>Hybrid Scenario</t>
  </si>
  <si>
    <t>Present Value Per Common Stock Share</t>
  </si>
  <si>
    <t>Total Value</t>
  </si>
  <si>
    <t>Present Value of Equity Value</t>
  </si>
  <si>
    <t>Probability Adjusted Present Value</t>
  </si>
  <si>
    <t>Backsolve &gt;&gt;</t>
  </si>
  <si>
    <t>&lt;&lt;-- Link this to latest series raise</t>
  </si>
  <si>
    <t>Hybrid DLOM</t>
  </si>
  <si>
    <t>N(d1)</t>
  </si>
  <si>
    <t>% Allocation</t>
  </si>
  <si>
    <t>Reasons (if any)</t>
  </si>
  <si>
    <t>List of Checks</t>
  </si>
  <si>
    <t>Check for difference in remaining allocable value and total value allocable by class</t>
  </si>
  <si>
    <t>Hist BS</t>
  </si>
  <si>
    <t>DO NOT DELETE -&gt;&gt;</t>
  </si>
  <si>
    <t>Check for Balance sheet total match</t>
  </si>
  <si>
    <t>Update this if not taking median</t>
  </si>
  <si>
    <t>Asset Vol - Hybrid OPM</t>
  </si>
  <si>
    <t>Hybrid OPM Asset Vol Check</t>
  </si>
  <si>
    <t>All CIQ Checks</t>
  </si>
  <si>
    <t>Discount Factor (1)</t>
  </si>
  <si>
    <t>Risk Free Rates</t>
  </si>
  <si>
    <t>Added more RFR calculations for PWERM scenarios and Hybrid OPM/DLOM</t>
  </si>
  <si>
    <t>Class Volatility</t>
  </si>
  <si>
    <t>Added Class Volatility Sheet</t>
  </si>
  <si>
    <t>CapIQ Sheets</t>
  </si>
  <si>
    <t>Updated CapIQ sheets (linked/unlinked) to reflect 8 year equity volatility</t>
  </si>
  <si>
    <t>Updated sheet to reflect 8 year equity volatility</t>
  </si>
  <si>
    <t>Added Hybrid DLOM sheet for all Preferred Series and Common Stock</t>
  </si>
  <si>
    <t>Added Hybrid OPM Sheet and Hybrid OPM 1 and Hybrid OPM 2</t>
  </si>
  <si>
    <t>Added DLOMs for PWERM scenarios</t>
  </si>
  <si>
    <t>Rows 147 - 149</t>
  </si>
  <si>
    <t xml:space="preserve">Added row for DLOM </t>
  </si>
  <si>
    <t>Asset Volatilities</t>
  </si>
  <si>
    <t>Added different Asset Volatility sheets for PWERM scenarios, OPM and DLOM</t>
  </si>
  <si>
    <t>Updated Look up formula in column Q to consider equity volatility for 8 years</t>
  </si>
  <si>
    <t>Shares Pre-IPO</t>
  </si>
  <si>
    <t>Gross Proceeds</t>
  </si>
  <si>
    <t>Development Phase</t>
  </si>
  <si>
    <t>NasdaqGM:AXSM</t>
  </si>
  <si>
    <t>Jounce Therapeutics, Inc., a clinical stage immunotherapy company, focuses on developing therapies that enable the immune system to attack tumors. Its lead product candidate, JTX-2011, is a clinical stage monoclonal antibody that binds to and activates ICOS, a protein on the surface of certain T cells commonly found in various solid tumors. The company is also developing JTX-4014, an anti-PD-1 antibody. Jounce Therapeutics, Inc. has a master research and collaboration agreement with Celgene Corporation focused on developing and commercializing biologic immunotherapies. The company was incorporated in 2012 and is based in Cambridge, Massachusetts.</t>
  </si>
  <si>
    <t>AnaptysBio, Inc., a clinical stage biotechnology company, engages in developing antibody product candidates focused on unmet medical needs in inflammation. The company’s proprietary anti-inflammatory pipeline includes ANB020, an anti-interleukin-33 antibody for the treatment of moderate-to-severe adult atopic dermatitis, severe adult peanut allergy, and severe adult eosinophilic asthma; ANB019, an anti-interleukin-36R antibody for the treatment of rare inflammatory diseases, including generalized pustular psoriasis and palmo-plantar pustular psoriasis; and a portfolio of checkpoint receptor agonist antibodies for the treatment of certain autoimmune diseases. It also has an immuno-oncology partnership with TESARO, Inc. and TESARO Development, Inc. to develop and commercialize an anti-PD-1 antagonist antibody (TSR-042) and an anti-TIM-3 antagonist antibody (TSR-022), which are under clinical development; and an inflammation partnership with Celgene Corporation to develop an anti-PD-1 checkpoint agonist antibody (CC-90006) that is in clinical stage. The company was formerly known as Anaptys Biosciences, Inc. and changed its name to AnaptysBio, Inc. in July 2006. AnaptysBio, Inc. was founded in 2005 and is based in San Diego, California.</t>
  </si>
  <si>
    <t>Ovid Therapeutics Inc.</t>
  </si>
  <si>
    <t>NasdaqGS:OVID</t>
  </si>
  <si>
    <t>IQTR427443869</t>
  </si>
  <si>
    <t>IQ288870432</t>
  </si>
  <si>
    <t>Ovid Therapeutics Inc., a biopharmaceutical company, develops impactful medicines for patients and families with neurological disorders in the United States. The company is developing OV101, a drug candidate that is in Phase II clinical trial for adults with angelman syndrome; and Phase I clinical trial for adolescents with angelman syndrome or fragile X syndrome, as well as in preclinical development stage for pediatrics with angelman syndrome. It is also developing OV935, a drug candidate that is in Phase I trial for rare epileptic encephalopathies; preclinical-stage compounds for rare epilepsy disorders; and OV102, an intravenous formulation for indications in the hospital setting. The company has collaboration agreement with Takeda Pharmaceutical Company Limited. Ovid Therapeutics Inc. was founded in 2014 and is based in New York, New York.</t>
  </si>
  <si>
    <t>Biohaven Pharmaceutical Holding Company Ltd.</t>
  </si>
  <si>
    <t>NYSE:BHVN</t>
  </si>
  <si>
    <t>IQTR427064468</t>
  </si>
  <si>
    <t>Biohaven Pharmaceutical Holding Company Ltd., a clinical-stage biopharmaceutical company, develops product candidates to treat neurological diseases, including rare disorders. Its advanced product candidate includes rimegepant, which is intended to initiate two Phase III clinical trials for the acute treatment of migraine; and trigriluzole, which is in a Phase II/III clinical trial used for the treatment of ataxias with an initial focus on spinocerebellar ataxia. The company also develops BHV-3500 for the prevention of chronic and episodic migraine; BHV-0223 for the treatment of amyotrophic lateral sclerosis, a neurodegenerative disease that affects nerve cells in the brain and spinal cord; and BHV-5000 for the treatment of symptoms associated with Rett syndrome, such as breathing irregularities. Biohaven Pharmaceutical Holding Company Ltd. was founded in 2013 and is based in New Haven, Connecticut. Biohaven Pharmaceutical Holding Company Ltd. is a subsidiary of Portage Biotech Inc.</t>
  </si>
  <si>
    <t>IQ253781980</t>
  </si>
  <si>
    <t>Upfront Value</t>
  </si>
  <si>
    <t>Contingent Payments</t>
  </si>
  <si>
    <t>Updated metrics calcs for Phase II</t>
  </si>
  <si>
    <t>Transactions</t>
  </si>
  <si>
    <t>Updated Exhibits to include upfront and contingent payments and CapIQ sheet as well</t>
  </si>
  <si>
    <t>Checklist</t>
  </si>
  <si>
    <t>Added check for common value conclusion</t>
  </si>
  <si>
    <t>ValSumm</t>
  </si>
  <si>
    <t>Common Concluded Value check</t>
  </si>
  <si>
    <t>Deciphera Pharmaceuticals, Inc.</t>
  </si>
  <si>
    <t>NasdaqGS:DCPH</t>
  </si>
  <si>
    <t>IQTR536237706</t>
  </si>
  <si>
    <t>IQ8221694</t>
  </si>
  <si>
    <t>Deciphera Pharmaceuticals, Inc., a clinical-stage biopharmaceutical company, develops drugs to enhance the lives of cancer patients by addressing key mechanisms of drug resistance that limit the rate and durability of response of various cancer therapies. The company develops DCC-2618, a pan-KIT and pan-PDGFRa inhibitor for the treatment of gastrointestinal stromal tumors, advanced systemic mastocytosis, gliomas, and other solid tumors. It is also developing immunokinase inhibitors comprising DCC-3014 for treatment of solid tumors and hematologic malignancies; and Rebastinib to treat breast cancer, as well as to investigate in combination with chemotherapy and checkpoint inhibitors. The company was founded in 2003 and is headquartered in Waltham, Massachusetts.</t>
  </si>
  <si>
    <t>Krystal Biotech, Inc.</t>
  </si>
  <si>
    <t>NasdaqCM:KRYS</t>
  </si>
  <si>
    <t>IQTR534966200</t>
  </si>
  <si>
    <t>IQ534062888</t>
  </si>
  <si>
    <t>Krystal Biotech, Inc., a gene therapy company, develops and commercializes pharmaceutical products for patients suffering from dermatological diseases. The company’s lead product candidate includes KB103, which is in preclinical studies to treat dystrophic epidermolysis bullosa, a genetic disease. It also develops KB104 that is in preclinical studies to treat Netherton syndrome, a severe form of ichthyosis, which is a family of genetic skin disorders. The company was formerly known as Krystal Biotech, LLC and changed its name to Krystal Biotech, Inc. in March 2017. Krystal Biotech, Inc. was founded in 2015 and is based in Pittsburgh, Pennsylvania.</t>
  </si>
  <si>
    <t>Mersana Therapeutics, Inc.</t>
  </si>
  <si>
    <t>NasdaqGS:MRSN</t>
  </si>
  <si>
    <t>IQTR432836998</t>
  </si>
  <si>
    <t>IQ1623526</t>
  </si>
  <si>
    <t>Mersana Therapeutics, Inc. is a biotechnology company that discovers, engineers, and develops antibody drug conjugates to cure various cancers. The company develops immune conjugate therapies to create drugs that enhance patients’ lives. It offers XMT-1522, a drug therapy for tumor models that express relatively low amounts of the HER2 protein; and human anti-HER2 antibody used in XMT-1522. Mersana Therapeutics, Inc. has strategic alliances with Takeda Pharmaceutical Company Limited; Merck Serono; and Asana BioSciences. The company was formerly known as Nanopharma Corp. and changed its name to Mersana Therapeutics, Inc. in November 2005. Mersana Therapeutics, Inc. was founded in 2001 and is based in Cambridge, Massachusetts.</t>
  </si>
  <si>
    <t>G1 Therapeutics, Inc.</t>
  </si>
  <si>
    <t>NasdaqGS:GTHX</t>
  </si>
  <si>
    <t>IQTR427746064</t>
  </si>
  <si>
    <t>IQ141112421</t>
  </si>
  <si>
    <t>G1 Therapeutics, Inc., a clinical-stage biopharmaceutical company, focuses on the discovery and development of novel therapeutics for the treatment of cancer in the United States. It is developing trilaciclib, an intravenous cyclin-dependent kinases (CDK) 4/6 inhibitor that is in Phase Ib/IIa clinical trials for patients with small cell lung cancer, as well as Phase II clinical trial for patients with triple-negative breast cancer; G1T38, an oral CDK4/6 inhibitor that is Phase I/II clinical trial for the treatment of breast cancer; and G1T48, an oral selective estrogen receptor degrader that is in preclinical development stage. The company was founded in 2008 and is headquartered in Research Triangle Park, North Carolina.</t>
  </si>
  <si>
    <t>Arsanis, Inc.</t>
  </si>
  <si>
    <t>NasdaqGM:ASNS</t>
  </si>
  <si>
    <t>IQTR541132486</t>
  </si>
  <si>
    <t>IQ113807139</t>
  </si>
  <si>
    <t>Arsanis, Inc., a clinical-stage biopharmaceutical company, focuses on applying monoclonal antibody (mAb) immunotherapies to address serious infectious diseases. Its lead product candidate is ASN100, a first-in-class mAb therapeutic in Phase II clinical development for the prevention of staphylococcus aureus pneumonia. The company’s preclinical pipeline comprises mAbs targeting multiple serious bacterial and viral pathogens, including respiratory syncytial virus. Arsanis, Inc. was founded in 2010 and is headquartered in Waltham, Massachusetts.</t>
  </si>
  <si>
    <t>InflaRx N.V.</t>
  </si>
  <si>
    <t>NasdaqGS:IFRX</t>
  </si>
  <si>
    <t>IQTR540630710</t>
  </si>
  <si>
    <t>IQ42434000</t>
  </si>
  <si>
    <t>InflaRx GmbH, a clinical-stage biopharmaceutical company, focuses on discovering and developing inhibitors using C5a technology in the United States. Its C5a is an inflammatory mediator involved in the enhancement of a variety of autoimmune and other inflammatory diseases. The company is involved developing IFX-1, a novel intravenously delivered first-in-class anti-C5a monoclonal antibody for the treatment of hidradenitis suppurativa, a rare and chronic debilitating systemic inflammatory skin disease; ANCA-associated vasculitis, a rare and life-threatening autoimmune disease; and other chronic/autoimmune diseases, as well as IFX-2 for the treatment of chronic inflammation and autoimmune diseases. It has co-development agreement with Beijing Defengrei Biotechnology Co. Ltd. The company was founded in 2007 and is headquartered in Jena, Germany.</t>
  </si>
  <si>
    <t>Apellis Pharmaceuticals, Inc.</t>
  </si>
  <si>
    <t>NasdaqGS:APLS</t>
  </si>
  <si>
    <t>IQTR540638771</t>
  </si>
  <si>
    <t>IQ106524288</t>
  </si>
  <si>
    <t>Apellis Pharmaceuticals, Inc., a clinical-stage biopharmaceutical company, focuses on the discovery and development of therapeutic compounds for autoimmune and inflammatory diseases. Its lead product candidates include APL-2 and APL-1, to treat paroxysmal nocturnal hemoglobinuria, geographic atrophy, intermediate age-related macular degeneration, and chronic obstructive pulmonary disease. The company develops APL-2 for subcutaneous injection, which is an injection into the tissue under the skin, and for intravitreal injection that is an injection into the eye, as well as APL-1 for inhaled administration. Apellis Pharmaceuticals, Inc. was founded in 2009 and is based in Crestwood, Kentucky.</t>
  </si>
  <si>
    <t>Sienna Biopharmaceuticals, Inc.</t>
  </si>
  <si>
    <t>NasdaqGS:SNNA</t>
  </si>
  <si>
    <t>IQTR529222527</t>
  </si>
  <si>
    <t>Sienna Biopharmaceuticals, Inc., a clinical-stage biopharmaceutical company, discovers, develops, and commercializes topical products for medical dermatology and aesthetics markets in North America. The company’s lead product candidates include SNA-120, a TrkA inhibitor, which is in Phase 2b clinical development for the treatment of pruritus, itch, and neurogenic inflammation associated with psoriasis; and SNA-125, a dual JAK3/TrkA inhibitor that is in pre-clinical study for the treatment of atopic dermatitis, psoriasis, and pruritus. It also develops SNA-001, a photoparticle therapy, which is in pivotal clinical trials for the treatment of acne vulgaris and the reduction of unwanted light-pigmented hair. The company was formerly known as Sienna Labs, Inc. and changed its name to Sienna Biopharmaceuticals, Inc. in February 2016. Sienna Biopharmaceuticals, Inc. was founded in 2010 and is headquartered in Westlake Village, California.</t>
  </si>
  <si>
    <t>Aileron Therapeutics, Inc.</t>
  </si>
  <si>
    <t>NasdaqGM:ALRN</t>
  </si>
  <si>
    <t>IQTR432976538</t>
  </si>
  <si>
    <t>Aileron Therapeutics, Inc., a clinical-stage biopharmaceutical company, engages in developing and commercializing a novel class of therapeutics in the United States. The company’s lead product includes ALRN-6924, a stapled peptide that in Phase I clinical trial for the treatment of advanced solid tumors or lymphomas; Phase IIa clinical trial for the treatment of peripheral T-cell lymphoma; Phase I clinical trial for the treatment of acute myeloid leukemia (AML) and advanced myelodysplastic syndrome (MDS); and Phase II b trial for the treatment of AML/MDS in combination with cytosine arabinoside. It is also developing next generation wild type p53 reactivator that is in preclinical stage for the treatment of solid and liquid tumors. The company was formerly known as Renegade Therapeutics, Inc. and changed its name to Aileron Therapeutics, Inc. in February 2007. Aileron Therapeutics, Inc. was founded in 2001 and is based in Cambridge, Massachusetts.</t>
  </si>
  <si>
    <t>Avenue Therapeutics, Inc.</t>
  </si>
  <si>
    <t>NasdaqCM:ATXI</t>
  </si>
  <si>
    <t>IQTR429154251</t>
  </si>
  <si>
    <t>IQ310815442</t>
  </si>
  <si>
    <t>Avenue Therapeutics, Inc., a specialty pharmaceutical company, acquires, licenses, develops, and commercializes an intravenous formulation of tramadol HCI principally for use in the acute/intensive care hospital setting. Its product candidate is IV Tramadol for the treatment of post-operative pain. The company was founded in 2015 and is based in New York, New York. Avenue Therapeutics, Inc. is a subsidiary of Fortress Biotech, Inc.</t>
  </si>
  <si>
    <t>Rhythm Pharmaceuticals, Inc.</t>
  </si>
  <si>
    <t>NasdaqGM:RYTM</t>
  </si>
  <si>
    <t>IQTR537128527</t>
  </si>
  <si>
    <t>IQ309184792</t>
  </si>
  <si>
    <t>Rhythm Pharmaceuticals, Inc., a biopharmaceutical company, develops and commercializes peptide therapeutics for the treatment of rare genetic disorders of obesity in the United States. Its lead product candidate is Setmelanotide, a melanocortin-4 receptor agonist that is in Phase III clinical trials for treating POMC deficiency obesity and leptin receptor deficiency obesity; and Phase II clinical trials for treating Bardet-Biedl syndrome, Alström syndrome, POMC heterozygous deficiency obesity, and POMC epigenetic disorders. The company was formerly known as Rhythm Metabolic, Inc. and changed its name to Rhythm Pharmaceuticals, Inc. in October 2015. Rhythm Pharmaceuticals, Inc. was founded in 2008 and is based in Boston, Massachusetts. Rhythm Pharmaceuticals, Inc. is a subsidiary of Motus Therapeutics, Inc.</t>
  </si>
  <si>
    <t>Kala Pharmaceuticals, Inc.</t>
  </si>
  <si>
    <t>NasdaqGS:KALA</t>
  </si>
  <si>
    <t>IQTR435392692</t>
  </si>
  <si>
    <t>Kala Pharmaceuticals, Inc., a biopharmaceutical company, focuses on the development and commercialization of therapies using its proprietary nanoparticle-based Mucus Penetrating Particles technology. The company’s product candidates include KPI-121 1.0%, which has completed Phase 3 clinical trials for the treatment of inflammation and pain following ocular surgery; and KPI-121 0.25% that is in Phase 3 clinical trials for the temporary relief of the signs and symptoms of dry eye disease. It also develops KPI-285, a receptor kinase inhibitor, which is in preclinical studies for the treatment of various retinal diseases. The company was formerly known as Hanes Newco, Inc. and changed its name to Kala Pharmaceuticals, Inc. in December 2009. Kala Pharmaceuticals, Inc. was founded in 2009 and is headquartered in Waltham, Massachusetts.</t>
  </si>
  <si>
    <t>Dova Pharmaceuticals, Inc.</t>
  </si>
  <si>
    <t>NasdaqGM:DOVA</t>
  </si>
  <si>
    <t>IQTR432976288</t>
  </si>
  <si>
    <t>IQ402827501</t>
  </si>
  <si>
    <t>Dova Pharmaceuticals, Inc., a pharmaceutical company, focuses on acquiring, developing, and commercializing drug candidates for thrombocytopenia diseases. Its drug candidate includes avatrombopag, an orally administered thrombopoietin receptor agonist that has completed Phase III clinical trials for the treatment of thrombocytopenia in patients with chronic liver diseases. The company was founded in 2016 and is based in Durham, North Carolina.</t>
  </si>
  <si>
    <t>Athenex, Inc.</t>
  </si>
  <si>
    <t>NasdaqGS:ATNX</t>
  </si>
  <si>
    <t>IQTR430744691</t>
  </si>
  <si>
    <t>IQ23828956</t>
  </si>
  <si>
    <t>Athenex, Inc., a biopharmaceutical company, engages in the discovery, development, and commercialization of therapies for the treatment of cancer. Its Orascovery product candidates include Oraxol, an oral dosage form, which is in a Phase III trial in metastatic breast cancer for the treatment of advanced gastric cancer; Oratecan, an anticancer agent that is in a Phase 1 study for the treatment of colorectal, lung, ovarian, cervical, pancreatic, upper gastrointestinal, and brain cancer; Oradoxel, an anticancer agent, which is in a Phase 1 clinical study in the treatment of breast, prostate, gastric, head and neck, and lung cancer; and Oratopo, an anticancer for the treatment of cervical, ovarian ,and lung cancer. The company also develops KX-01, a compound, which is in Phase 3 study for the treatment of for actinic keratosis; and KX-02 for the treatment of gliomas. The company was formerly known as Kinex Pharmaceuticals LLC and changed its name to Athenex, Inc. in August 2015. Athenex, Inc. was founded in 2003 and is based in Buffalo, New York.</t>
  </si>
  <si>
    <t>Updated IPO Biopharma sheet and metrics' formula</t>
  </si>
  <si>
    <t>IPO Biopharma</t>
  </si>
  <si>
    <t>Switch for Quartiles</t>
  </si>
  <si>
    <t>Denali Therapeutics Inc.</t>
  </si>
  <si>
    <t>NasdaqGS:DNLI</t>
  </si>
  <si>
    <t>IQTR543594545</t>
  </si>
  <si>
    <t>IQ301283598</t>
  </si>
  <si>
    <t>Denali Therapeutics Inc., a biopharmaceutical company, engages in discovering and developing therapeutics for neurodegenerative diseases in the United States. The company’s lead LRRK2 product candidates includes the DNL201, a small molecule inhibitor that is in Phase I clinical trials, as well as DNL151, a small molecule inhibitor, which is in preclinical development stage for the treatment of Parkinson’s disease. It is also developing therapeutics for the treatment of Parkinson’s, dementia with Lewy bodies, and multiple system atrophy; amyotrophic lateral sclerosis; and mucopolysaccharidosis type II patients. The company was formerly known as SPR Pharma Inc. and changed its name to Denali Therapeutics Inc. in March 2015. Denali Therapeutics Inc. was incorporated in 2013 and is headquartered in South San Francisco, California.</t>
  </si>
  <si>
    <t>Odonate Therapeutics, Inc.</t>
  </si>
  <si>
    <t>NasdaqGS:ODT</t>
  </si>
  <si>
    <t>IQTR543593762</t>
  </si>
  <si>
    <t>IQ541399578</t>
  </si>
  <si>
    <t>Odonate Therapeutics, Inc., a pharmaceutical company, develops therapeutics to enhance the lives of patients with cancer in the United States. It is developing Tesetaxel, a novel chemotherapy agent that has completed Phase II clinical trials for patients with advanced or metastatic breast cancer. The company was founded in 2013 and is based in San Diego, California.</t>
  </si>
  <si>
    <t>Spero Therapeutics, Inc.</t>
  </si>
  <si>
    <t>NasdaqGS:SPRO</t>
  </si>
  <si>
    <t>IQTR539897682</t>
  </si>
  <si>
    <t>IQ240573619</t>
  </si>
  <si>
    <t>Spero Therapeutics, Inc., a clinical-stage biopharmaceutical company, focuses on identifying, developing, and commercializing novel treatments for multi-drug resistant (MDR) bacterial infections in the United States. It is developing SPR994, an oral carbapenem-class antibiotic for use in adults to treat MDR gram-negative infections; SPR741 that has completed Phase I clinical trial to treat MDR gram-negative infections in the hospital setting; SPR206, an agent that is in preclinical development stage to disrupt the outer membrane of gram-negative bacteria; and SPR720, an oral antibiotic that is in preclinical development stage for the treatment of pulmonary non-tuberculous mycobacterial infections. The company was founded in 2013 and is headquartered in Cambridge, Massachusetts.</t>
  </si>
  <si>
    <t>Nightstar Therapeutics Plc</t>
  </si>
  <si>
    <t>NasdaqGS:NITE</t>
  </si>
  <si>
    <t>IQTR536125357</t>
  </si>
  <si>
    <t>IQ270062348</t>
  </si>
  <si>
    <t>Nightstar Therapeutics Limited, a clinical-stage gene therapy company, focuses on developing and commercializing novel one-time treatments for patients suffering from rare inherited retinal diseases. The company’s lead product candidate includes NSR-REP1 that has completed Phase 1/2 clinical trial for the treatment of patients with choroideremia. It is also developing NSR-RPGR that is in Phase 1/2 clinical trial for the treatment of patients with X-linked retinitis pigmentosa, an inherited X-linked recessive retinal disease; and NSR-BEST1, which is in preclinical development for the treatment of Best vitelliform macular dystrophy. The company has a collaboration agreement with University of Oxford for the assistance in conducting clinical trials with its retinal gene therapy candidates; and Preceyes B.V. for the development of a high-precision drug delivery technology in the eye. The company was founded in 2013 and is headquartered in London, the United Kingdom.</t>
  </si>
  <si>
    <t>Zymeworks Inc.</t>
  </si>
  <si>
    <t>TSX:ZYME</t>
  </si>
  <si>
    <t>IQTR426421320</t>
  </si>
  <si>
    <t>IQ43279463</t>
  </si>
  <si>
    <t>Zymeworks Inc., a clinical-stage biopharmaceutical company, engages in the discovery, development, and commercialization of bio-therapeutics for the treatment of cancer in Canada. The company’s lead product candidate include ZW25, a novel bispecific antibody that is in Phase I clinical trial for the treatment of breast, gastric, and ovarian cancers. It is also developing ZW33, a bispecific anti-human epidermal growth factor receptor 2 antibody-drug conjugate that is in preclinical development stage for the treatment of breast and ovarian cancers. The company has strategic partnerships with Merck Sharp &amp; Dohme Research Ltd., Eli Lilly and Company, Celgene Corporation and Celgene Alpine Investment Co. LLC, GlaxoSmithKline Intellectual Property Development Limited, and Daiichi Sankyo Co., Ltd. Zymeworks Inc. was founded in 2003 and is headquartered in Vancouver, Canada.</t>
  </si>
  <si>
    <t>Allena Pharmaceuticals, Inc.</t>
  </si>
  <si>
    <t>NasdaqGS:ALNA</t>
  </si>
  <si>
    <t>IQTR539897184</t>
  </si>
  <si>
    <t>IQ143094845</t>
  </si>
  <si>
    <t>Allena Pharmaceuticals, Inc., a late-stage clinical biopharmaceutical company, engages in developing and commercializing oral enzyme therapeutics to treat patients with rare and severe metabolic, and kidney disorders in the United States. The company’s lead product candidate includes ALLN-177, an oral enzyme therapeutic for the treatment of enteric hyperoxaluria, a metabolic disorder commonly associated with kidney stones in adults. It is also involved in developing ALLN-346 for patients with hyperuricemia and moderate to severe chronic kidney diseases. The company was incorporated in 2011 and is headquartered in Newton, Massachusetts.</t>
  </si>
  <si>
    <t>Clementia Pharmaceuticals Inc.</t>
  </si>
  <si>
    <t>NasdaqGS:CMTA</t>
  </si>
  <si>
    <t>IQTR528893150</t>
  </si>
  <si>
    <t>IQ253931396</t>
  </si>
  <si>
    <t>Clementia Pharmaceuticals Inc., a clinical stage biopharmaceutical company, develops disease-modifying treatments for patients suffering from debilitating bone and other diseases. Its lead product candidate is palovarotene, an oral small molecule that binds and activates retinoic acid receptor gamma, and prevents abnormal new bone formation, as well as scar tissue formation in various tissues in animal models. The company is developing palovarotene for the treatment of fibrodysplasia ossificans progressiva and multiple osteochondroma, as well as has one Phase III and Phase II/III trials for two separate indications. Clementia Pharmaceuticals Inc. was founded in 2010 and is based in Montreal, Canada.</t>
  </si>
  <si>
    <t>IQ21766697</t>
  </si>
  <si>
    <t>Urogen Pharma Ltd.</t>
  </si>
  <si>
    <t>NasdaqGM:URGN</t>
  </si>
  <si>
    <t>IQTR427059627</t>
  </si>
  <si>
    <t>IQ240702165</t>
  </si>
  <si>
    <t>UroGen Pharma Ltd., a clinical stage biopharmaceutical company, focuses on developing therapies for urological pathologies. Its lead product candidates, MitoGel and VesiGel are formulations of the chemotherapy drug Mitomycin C, a generic drug which is currently used off-label for urothelial cancer treatment only in a water-based formulation as an adjuvant, or supplemental post-surgery, therapy. The company is developing its product candidates as chemoablation agents, which are designed to remove tumors by non-surgical means, to treat several forms of non-muscle invasive urothelial cancer, including low-grade upper tract urothelial carcinoma, and low-grade bladder cancer. UroGen Pharma Ltd. was incorporated in 2004 and is headquartered in Ra’anana, Israel.</t>
  </si>
  <si>
    <t>Phase III, NDA Filed and Marketed</t>
  </si>
  <si>
    <t>scPharmaceuticals Inc.</t>
  </si>
  <si>
    <t>NasdaqGS:SCPH</t>
  </si>
  <si>
    <t>IQTR541328196</t>
  </si>
  <si>
    <t>IQ247375245</t>
  </si>
  <si>
    <t>scPharmaceuticals Inc., biopharmaceutical company, engages in the development and commercialization of transformative pharmaceutical products. The company’s under development products are for heart failure and infectious diseases that include Furoscix that is for treatment of worsening or decompensated heart failure outside of the inpatient setting. scPharmaceuticals Inc. formerly known as scPharmaceuticals LLC. and changed its name to scPharmaceuticals Inc. in March 2014. The company was founded 2013 and is based in Burlington, Massachusetts.</t>
  </si>
  <si>
    <t>NuCana plc</t>
  </si>
  <si>
    <t>NasdaqGS:NCNA</t>
  </si>
  <si>
    <t>IQTR536245896</t>
  </si>
  <si>
    <t>IQ50918463</t>
  </si>
  <si>
    <t>NuCana plc, a biopharmaceutical company, engages in the development of products for the treatment of cancer. The company is developing Acelarin that is in Phase I clinical trials for the treatment of advanced metastatic solid tumors; that is in Phase Ib clinical trials for the treatment of recurrent ovarian cancer; in Phase II clinical trials for the treatment of patients with platinum-resistant ovarian cancer; and in Phase Ib clinical trials for the treatment of patients with biliary cancer. The company is also developing NUC-3373, which is in Phase I clinical trials for the treatment of patients with advanced solid tumors, as well as for the treatment of colorectal and breast cancer; and NUC-7738, a nucleoside analog that is in preclinical studies for the treatment of solid tumors and hematology. It has a research, collaboration, and license agreement with Cardiff University and University College Cardiff Consultants Ltd; and an assignment, license, and collaboration agreement with Cardiff ProTides Ltd. The company was formerly known as NuCana BioMed Limited and changed its name to NuCana plc in August 2017. The company was incorporated in 1997 and is headquartered in Edinburgh, the United Kingdom.</t>
  </si>
  <si>
    <t>Zai Lab Limited</t>
  </si>
  <si>
    <t>NasdaqGM:ZLAB</t>
  </si>
  <si>
    <t>IQTR534418027</t>
  </si>
  <si>
    <t>IQ271123063</t>
  </si>
  <si>
    <t>Zai Lab Limited, a biopharmaceutical company, engages in discovering or licensing, developing, and commercializing proprietary therapeutics for oncology, and autoimmune and infectious disease therapies in China. Its drug candidates include ZL-2306, a poly ADP ribose polymerase 1/2 inhibitor for the treatment of ovarian, breast, and lung cancers; ZL-2401, an antibiotic for the treatment of acute bacterial skin/skin structure infections, community-acquired bacterial pneumonias, and urinary tract infections; ZL-2301 that is Phase II clinical trial for the treatment of hepatocellular carcinoma; ZL-3101, a novel steroid-sparing topical product that is in Phase II clinical trial for the treatment of eczema and psoriasis; ZL-2302 for the treatment of non-small cell lung cancer; and ZL-1101, an anti-OX40 antagonistic antibody for the treatment of graft-versus-host disease or systemic lupus erythematosus. The company was founded in 2013 and is headquartered in Shanghai, China.</t>
  </si>
  <si>
    <t>Akcea Therapeutics, Inc.</t>
  </si>
  <si>
    <t>NasdaqGS:AKCA</t>
  </si>
  <si>
    <t>IQTR424659349</t>
  </si>
  <si>
    <t>IQ306140818</t>
  </si>
  <si>
    <t>Akcea Therapeutics Inc., a late-stage biopharmaceutical company, focuses on developing and commercializing drugs to treat patients with cardiometabolic diseases caused by lipid disorders in the United States and internationally. It develops Volanesorsen, which has completed Phase 3 clinical study for the treatment of familial chylomicronemia syndrome; and that is in Phase 3 clinical study for the treatment of familial partial lipodystrophy. The company also develops AKCEA-APO(a)-LRx, which has completed Phase 2b clinical study for treating patients suffering with hyperlipoproteinemia; AKCEA-ANGPTL3-LRx that has completed Phase 1/2 clinical study for the treatment of multiple lipid disorders; and AKCEA-APOCIII-LRx, which is in Phase 1/2 study for the treatment of cardiovascular disease driven by high triglycerides. It has strategic collaboration with Novartis Pharma AG. The company was incorporated in 2014 and is headquartered in Cambridge, Massachusetts. Akcea Therapeutics Inc. is a subsidiary of Ionis Pharmaceuticals, Inc.</t>
  </si>
  <si>
    <t>Added header in cell X7 of all asset volatility sheets</t>
  </si>
  <si>
    <t>Added checks for enterprise value in all asset volatility sheets</t>
  </si>
  <si>
    <t>&lt;- Check</t>
  </si>
  <si>
    <t xml:space="preserve">Comparable Indication/Technology </t>
  </si>
  <si>
    <t>Phase of the Comparable Product</t>
  </si>
  <si>
    <t>Comp.1 and Trans. 1</t>
  </si>
  <si>
    <t>Added columns for comparable technology and Phases</t>
  </si>
  <si>
    <t>Added Class Volatility checks</t>
  </si>
  <si>
    <t>Added check for Hybrid OPM backsolve</t>
  </si>
  <si>
    <t>IPO Waterfall</t>
  </si>
  <si>
    <t>Hybrid Option Pricing Method</t>
  </si>
  <si>
    <t>Hua Medicine</t>
  </si>
  <si>
    <t>Capitalization Table (consolidated, as if onshore investors are also at the offshore level)
(As of Feburary 2018, Pro Forma Series E)</t>
  </si>
  <si>
    <t xml:space="preserve">Ordinary </t>
  </si>
  <si>
    <t>Ordinary Ratio (issued)</t>
  </si>
  <si>
    <t>Series A
(Closing Date: May 16, 2014)</t>
    <phoneticPr fontId="15" type="noConversion"/>
  </si>
  <si>
    <t>Series A-1 (US$1 per share)</t>
  </si>
  <si>
    <t>Series A-2 (US$0.75 per share)</t>
  </si>
  <si>
    <t>Series A Ratio</t>
  </si>
  <si>
    <t>Series B (US$3.5 per share) (First Tranche Closing Date: January 6, 2015; Second Tranche Closing Date: August 6, 2015)</t>
    <phoneticPr fontId="15" type="noConversion"/>
  </si>
  <si>
    <t>Series B Ratio</t>
  </si>
  <si>
    <t>Series C (US$10.06335 per share)
after Initial Closing (Closing Date: April 18, 2016)</t>
    <phoneticPr fontId="15" type="noConversion"/>
  </si>
  <si>
    <t>Series C Ratio (after Initial Closing)</t>
  </si>
  <si>
    <t>Shareholding(  single out for onshore)</t>
  </si>
  <si>
    <t>Series C (US$10.06335 per share)
after Second Closing (Closing Date: March 9, 2017)</t>
    <phoneticPr fontId="15" type="noConversion"/>
  </si>
  <si>
    <t>Series C Ratio (after Second Closing)</t>
  </si>
  <si>
    <t>Shareholding (single out for onshore)</t>
  </si>
  <si>
    <t>Shareholding in Preferred (after Second Tranche)</t>
  </si>
  <si>
    <t>Shareholding 
after Series C (Second Tranche)</t>
  </si>
  <si>
    <t>Series D Pro Rata Allocation/ Committed Amount</t>
  </si>
  <si>
    <t>Exact Wire Amounts (Series D First Closing)</t>
  </si>
  <si>
    <t>Series D 
(US$11.1141 per share)
(First Closing: by December 31, 2017)</t>
  </si>
  <si>
    <t>Series D Ratio (after US$30 milion internal round)</t>
    <phoneticPr fontId="15" type="noConversion"/>
  </si>
  <si>
    <t>Onshore (singled out)</t>
    <phoneticPr fontId="15" type="noConversion"/>
  </si>
  <si>
    <t>Shareholding in Preferred (after US$30 million internal round)</t>
    <phoneticPr fontId="15" type="noConversion"/>
  </si>
  <si>
    <t>Exact Wire Amounts (Series D Second Closing)</t>
  </si>
  <si>
    <t>Series D 
(US$11.1141 per share)
(Second Closing)</t>
  </si>
  <si>
    <t>Series D Ratio (after US$50 milion internal round)</t>
    <phoneticPr fontId="15" type="noConversion"/>
  </si>
  <si>
    <t>Onshore % (singled out)</t>
  </si>
  <si>
    <t>Shareholding after Series D</t>
    <phoneticPr fontId="15" type="noConversion"/>
  </si>
  <si>
    <t xml:space="preserve">Series E Exact Wire Amounts </t>
  </si>
  <si>
    <t>Series E (US$13.3013 per share)</t>
  </si>
  <si>
    <t>Total Shares after Series E</t>
  </si>
  <si>
    <t>Fully Diluted % after Series E</t>
  </si>
  <si>
    <t>ARCH Venture Fund VII, L.P.</t>
  </si>
  <si>
    <t>-</t>
  </si>
  <si>
    <t>Asia Ventures II LP</t>
  </si>
  <si>
    <t>Beacon Bioventures Fund II Limited Partnership (F-Prime Capital Partners Healthcare Fund II LP)</t>
  </si>
  <si>
    <t>Eight Roads Investments Limited</t>
  </si>
  <si>
    <t>Venrock Associates V, L.P.</t>
  </si>
  <si>
    <t>Venrock Partners V, L.P.</t>
  </si>
  <si>
    <t>Venrock Entrepreneurs Fund V, L.P.</t>
  </si>
  <si>
    <t>Sino-Alliance International, Ltd</t>
  </si>
  <si>
    <t>Wuxi Pharmatech Healthcare Fund I L.P.</t>
  </si>
  <si>
    <t>Ge Li and Ning Zhao</t>
  </si>
  <si>
    <t>John J. Baldwin and Ann M. Baldwin</t>
  </si>
  <si>
    <t>Alysia Baldwin Ferro</t>
  </si>
  <si>
    <t>Tracy Baldwin</t>
  </si>
  <si>
    <t>John K. Baldwin</t>
  </si>
  <si>
    <t>Edgar Hotard</t>
  </si>
  <si>
    <t>Jane Xingfang Hong</t>
  </si>
  <si>
    <t>Kelly Xiao Chen</t>
  </si>
  <si>
    <t>Kevin Hong Chen</t>
  </si>
  <si>
    <t>The George and Ann Lin 2005 Trust</t>
  </si>
  <si>
    <t>John Choi</t>
  </si>
  <si>
    <t>ABG II-Hua Limited</t>
  </si>
  <si>
    <t>China Life Sciences Access Fund, L.P. (Frontline)**</t>
  </si>
  <si>
    <t>Prized Resources Holdings Limited</t>
  </si>
  <si>
    <t>Harvest Cayman</t>
  </si>
  <si>
    <t>Parkway Limited</t>
  </si>
  <si>
    <t>Fortune Triumph Holdings Limited (China Renaissance)</t>
  </si>
  <si>
    <t>Kurt Berney</t>
  </si>
  <si>
    <r>
      <rPr>
        <b/>
        <i/>
        <sz val="11"/>
        <color theme="3" tint="0.39997558519241921"/>
        <rFont val="Times New Roman"/>
        <family val="1"/>
      </rPr>
      <t xml:space="preserve">[onshore] </t>
    </r>
    <r>
      <rPr>
        <b/>
        <sz val="11"/>
        <color theme="3" tint="0.39997558519241921"/>
        <rFont val="Times New Roman"/>
        <family val="1"/>
      </rPr>
      <t>Harvest (</t>
    </r>
    <r>
      <rPr>
        <b/>
        <sz val="11"/>
        <color theme="3" tint="0.39997558519241921"/>
        <rFont val="宋体"/>
        <family val="2"/>
      </rPr>
      <t>深圳嘉实元祥股权投资合伙企业</t>
    </r>
    <r>
      <rPr>
        <b/>
        <sz val="11"/>
        <color theme="3" tint="0.39997558519241921"/>
        <rFont val="Times New Roman"/>
        <family val="1"/>
      </rPr>
      <t>)</t>
    </r>
  </si>
  <si>
    <r>
      <rPr>
        <b/>
        <i/>
        <sz val="11"/>
        <color theme="3" tint="0.39997558519241921"/>
        <rFont val="Times New Roman"/>
        <family val="1"/>
      </rPr>
      <t xml:space="preserve">[onshore] </t>
    </r>
    <r>
      <rPr>
        <b/>
        <sz val="11"/>
        <color theme="3" tint="0.39997558519241921"/>
        <rFont val="Times New Roman"/>
        <family val="1"/>
      </rPr>
      <t>Harvest (</t>
    </r>
    <r>
      <rPr>
        <b/>
        <sz val="11"/>
        <color theme="3" tint="0.39997558519241921"/>
        <rFont val="宋体"/>
        <family val="2"/>
      </rPr>
      <t>山南嘉实伯珺创业投资中心（有限合伙）</t>
    </r>
    <r>
      <rPr>
        <b/>
        <sz val="11"/>
        <color theme="3" tint="0.39997558519241921"/>
        <rFont val="Times New Roman"/>
        <family val="1"/>
      </rPr>
      <t>)</t>
    </r>
  </si>
  <si>
    <r>
      <rPr>
        <b/>
        <i/>
        <sz val="11"/>
        <color theme="3" tint="0.39997558519241921"/>
        <rFont val="Times New Roman"/>
        <family val="1"/>
      </rPr>
      <t xml:space="preserve">[onshore] </t>
    </r>
    <r>
      <rPr>
        <b/>
        <sz val="11"/>
        <color theme="3" tint="0.39997558519241921"/>
        <rFont val="Times New Roman"/>
        <family val="1"/>
      </rPr>
      <t>Harvest (</t>
    </r>
    <r>
      <rPr>
        <b/>
        <sz val="11"/>
        <color theme="3" tint="0.39997558519241921"/>
        <rFont val="宋体"/>
        <family val="2"/>
      </rPr>
      <t>山南嘉实创荣创业投资中心（有限合伙）</t>
    </r>
    <r>
      <rPr>
        <b/>
        <sz val="11"/>
        <color theme="3" tint="0.39997558519241921"/>
        <rFont val="Times New Roman"/>
        <family val="1"/>
      </rPr>
      <t>)</t>
    </r>
  </si>
  <si>
    <r>
      <rPr>
        <b/>
        <i/>
        <sz val="11"/>
        <color theme="3" tint="0.39997558519241921"/>
        <rFont val="Times New Roman"/>
        <family val="1"/>
      </rPr>
      <t xml:space="preserve">[onshore] </t>
    </r>
    <r>
      <rPr>
        <b/>
        <sz val="11"/>
        <color theme="3" tint="0.39997558519241921"/>
        <rFont val="Times New Roman"/>
        <family val="1"/>
      </rPr>
      <t>Harvest (</t>
    </r>
    <r>
      <rPr>
        <b/>
        <sz val="11"/>
        <color theme="3" tint="0.39997558519241921"/>
        <rFont val="宋体"/>
        <family val="2"/>
      </rPr>
      <t>上海嘉烜投资中心（有限合伙）</t>
    </r>
    <r>
      <rPr>
        <b/>
        <sz val="11"/>
        <color theme="3" tint="0.39997558519241921"/>
        <rFont val="Times New Roman"/>
        <family val="1"/>
      </rPr>
      <t>)</t>
    </r>
  </si>
  <si>
    <r>
      <rPr>
        <b/>
        <i/>
        <sz val="11"/>
        <color theme="3" tint="0.39997558519241921"/>
        <rFont val="Times New Roman"/>
        <family val="1"/>
      </rPr>
      <t xml:space="preserve">[onshore] </t>
    </r>
    <r>
      <rPr>
        <b/>
        <sz val="11"/>
        <color theme="3" tint="0.39997558519241921"/>
        <rFont val="Times New Roman"/>
        <family val="1"/>
      </rPr>
      <t>Aeon Life (</t>
    </r>
    <r>
      <rPr>
        <b/>
        <sz val="11"/>
        <color theme="3" tint="0.39997558519241921"/>
        <rFont val="宋体"/>
        <family val="2"/>
      </rPr>
      <t>苏州工业园区百年人寿华领投资管理合伙企业（有限合伙）</t>
    </r>
    <r>
      <rPr>
        <b/>
        <sz val="11"/>
        <color theme="3" tint="0.39997558519241921"/>
        <rFont val="Times New Roman"/>
        <family val="1"/>
      </rPr>
      <t>)</t>
    </r>
  </si>
  <si>
    <r>
      <rPr>
        <b/>
        <i/>
        <sz val="11"/>
        <color theme="3" tint="0.39997558519241921"/>
        <rFont val="Times New Roman"/>
        <family val="1"/>
      </rPr>
      <t xml:space="preserve">[onshore] </t>
    </r>
    <r>
      <rPr>
        <b/>
        <sz val="11"/>
        <color theme="3" tint="0.39997558519241921"/>
        <rFont val="Times New Roman"/>
        <family val="1"/>
      </rPr>
      <t>Shanghai Longwin (</t>
    </r>
    <r>
      <rPr>
        <b/>
        <sz val="11"/>
        <color theme="3" tint="0.39997558519241921"/>
        <rFont val="宋体"/>
        <family val="2"/>
      </rPr>
      <t>上海朗闻通鸿投资管理合伙企业（合伙企业）</t>
    </r>
    <r>
      <rPr>
        <b/>
        <sz val="11"/>
        <color theme="3" tint="0.39997558519241921"/>
        <rFont val="Times New Roman"/>
        <family val="1"/>
      </rPr>
      <t>)</t>
    </r>
  </si>
  <si>
    <r>
      <rPr>
        <b/>
        <i/>
        <sz val="11"/>
        <color theme="3" tint="0.39997558519241921"/>
        <rFont val="Times New Roman"/>
        <family val="1"/>
      </rPr>
      <t xml:space="preserve">[onshore] </t>
    </r>
    <r>
      <rPr>
        <b/>
        <sz val="11"/>
        <color theme="3" tint="0.39997558519241921"/>
        <rFont val="Times New Roman"/>
        <family val="1"/>
      </rPr>
      <t xml:space="preserve">Suzhou Frontline Bioventures Venture Capital Partnership (Frontline) </t>
    </r>
  </si>
  <si>
    <t>Investor A</t>
  </si>
  <si>
    <t>Investor B</t>
  </si>
  <si>
    <t>Investor C</t>
  </si>
  <si>
    <t>Investor D</t>
  </si>
  <si>
    <t>Investor E</t>
  </si>
  <si>
    <t>Investor F</t>
  </si>
  <si>
    <t>Investor G</t>
  </si>
  <si>
    <t>Investor H</t>
  </si>
  <si>
    <t>Investor I</t>
  </si>
  <si>
    <t>Investor J</t>
  </si>
  <si>
    <t>Investor K</t>
  </si>
  <si>
    <t>Investor L</t>
  </si>
  <si>
    <t>Outstanding Options</t>
  </si>
  <si>
    <t>Available ESOP*</t>
  </si>
  <si>
    <t xml:space="preserve">Sub-Total </t>
  </si>
  <si>
    <t>Issued Ordinary Shares</t>
  </si>
  <si>
    <t>Total Issued Preferred</t>
  </si>
  <si>
    <t>Total Fully Diluted Shares</t>
  </si>
  <si>
    <t>(including proposed ESOP increase)</t>
  </si>
  <si>
    <t>Series C Pre Money Valuation: US$450 million</t>
    <phoneticPr fontId="15" type="noConversion"/>
  </si>
  <si>
    <t>Series C Price (no rounding)</t>
  </si>
  <si>
    <t>Series D Total Raised</t>
  </si>
  <si>
    <t>Series D+E Total Raised</t>
  </si>
  <si>
    <t xml:space="preserve">Series C Price </t>
  </si>
  <si>
    <t xml:space="preserve">TOTAL </t>
  </si>
  <si>
    <t xml:space="preserve">Series A Note: Series A is issuance of Series A-1 Preferred Shares for new money, and conversion of bridge loan to Series A-2 Preferred Shares. </t>
    <phoneticPr fontId="15" type="noConversion"/>
  </si>
  <si>
    <t xml:space="preserve">Series B Note: Series B was divided into two equal tranches.  There was only time difference for the issuance. </t>
    <phoneticPr fontId="15" type="noConversion"/>
  </si>
  <si>
    <t xml:space="preserve">Series C Notes: Series C was divided into two tranches.  First tranche investment was US$ 8 million and second tranche investment was US$ 5 million.  There was a milestone to obtain permit to commence Phase III clinical trials to close the Second Tranche.  </t>
    <phoneticPr fontId="15" type="noConversion"/>
  </si>
  <si>
    <r>
      <t xml:space="preserve">Series C was structured as investment into Hua Cayman and Hua Shanghai concurrently, to accommodate the investment by PRC investors.  The PRC investors holds </t>
    </r>
    <r>
      <rPr>
        <b/>
        <sz val="10"/>
        <color theme="3" tint="0.39997558519241921"/>
        <rFont val="Times New Roman"/>
        <family val="1"/>
      </rPr>
      <t>options (marked in blue)</t>
    </r>
    <r>
      <rPr>
        <b/>
        <sz val="10"/>
        <color theme="1"/>
        <rFont val="Times New Roman"/>
        <family val="1"/>
      </rPr>
      <t xml:space="preserve"> to purchase shares in Hua Cayman provided that the PRC investors should sell their shares in Hua Shanghai to Hua HK or other entity designated.  This arrangement is to enable the PRC investors to be able to flip onto the Cayman level as if they invested in Hua Cayman in the first place.  The Cap Table above is calculated on a fully-diluted and as-converted basis (including all ESOP and warrants issued to PRC investors).  The Cap Table on the next table reflects the current shareholding in Hua Shanghai.  </t>
    </r>
  </si>
  <si>
    <t xml:space="preserve">In order to reflect voting power of the option holders in the Articles, we have 1 Series C-2 Preferred Share and 1 Series C-3 Preferred Shares, each representing the total voting power of the number of Series C-1 Preferred Shares issuable to to (i) Harvest entities and (ii) Aeon Life, Longwin and Frontline.                  
</t>
  </si>
  <si>
    <t>Series D Notes: Harvest allocation are not determined.  The calculation of percentage combined all Harvest entities (onshore and offshore); Allocation among other onshore invesors not determined.</t>
    <phoneticPr fontId="15" type="noConversion"/>
  </si>
  <si>
    <t>**Aeon, Shanghai Longwin and Suzhou Frontline will be investing through Frontline offshore fund in Series D.</t>
  </si>
  <si>
    <t>Series D Pre-Money Valuation</t>
  </si>
  <si>
    <t>Series D First Closing - Existing Investors</t>
  </si>
  <si>
    <t>Series D Second Closing - New Investors</t>
  </si>
  <si>
    <t>Series D Per Share Purchase Price</t>
  </si>
  <si>
    <t>Total Authorized ESOP (before Series D)</t>
  </si>
  <si>
    <t>*ESOP available before Series D (excluding granted options)</t>
  </si>
  <si>
    <t>*Proposed ESOP Increase in Series D</t>
  </si>
  <si>
    <t>Promised Options/RSUs to George Lin</t>
  </si>
  <si>
    <t xml:space="preserve">ESOP remaining pool available for future grants </t>
  </si>
  <si>
    <t>Total Authorized ESOP (after Series D)</t>
  </si>
  <si>
    <t>Series E Pre-Money Valuation</t>
  </si>
  <si>
    <t>Series E Size</t>
  </si>
  <si>
    <t>Series E Per Share Purchase Price</t>
  </si>
  <si>
    <t>Total Authorized Shares</t>
  </si>
  <si>
    <t>Total Authorized Preferred Shares</t>
  </si>
  <si>
    <t>Total Authorized Ordinary Shares</t>
  </si>
  <si>
    <t>Hua Shanghai</t>
  </si>
  <si>
    <t>Pro Forma Cap Table
(February 2017)</t>
  </si>
  <si>
    <t>Pre Series C</t>
  </si>
  <si>
    <t>Initial Closing</t>
  </si>
  <si>
    <t>Second Closing</t>
  </si>
  <si>
    <t>Series D</t>
    <phoneticPr fontId="15" type="noConversion"/>
  </si>
  <si>
    <t>Registered Capital (USD)</t>
  </si>
  <si>
    <t>Percentage</t>
  </si>
  <si>
    <t>Subscription Price (USD)</t>
  </si>
  <si>
    <t>Corresponding Series C in Cayman</t>
  </si>
  <si>
    <t>Subscription Price (USD)</t>
    <phoneticPr fontId="15" type="noConversion"/>
  </si>
  <si>
    <t>New registered capital</t>
    <phoneticPr fontId="15" type="noConversion"/>
  </si>
  <si>
    <t>Registered Capital (USD)</t>
    <phoneticPr fontId="15" type="noConversion"/>
  </si>
  <si>
    <t>Percentage</t>
    <phoneticPr fontId="15" type="noConversion"/>
  </si>
  <si>
    <t>Hua HK</t>
  </si>
  <si>
    <r>
      <t xml:space="preserve">Harvest </t>
    </r>
    <r>
      <rPr>
        <b/>
        <sz val="9"/>
        <color theme="1"/>
        <rFont val="Times New Roman"/>
        <family val="1"/>
      </rPr>
      <t>(</t>
    </r>
    <r>
      <rPr>
        <b/>
        <sz val="9"/>
        <color theme="1"/>
        <rFont val="宋体"/>
        <family val="2"/>
      </rPr>
      <t>深圳嘉实元祥股权投资合伙企业</t>
    </r>
    <r>
      <rPr>
        <b/>
        <sz val="9"/>
        <color theme="1"/>
        <rFont val="Times New Roman"/>
        <family val="1"/>
      </rPr>
      <t>)</t>
    </r>
  </si>
  <si>
    <r>
      <t>Shannan Jiashi Bojun Venture Capital Investment Center (LP)</t>
    </r>
    <r>
      <rPr>
        <b/>
        <sz val="11"/>
        <rFont val="Times New Roman"/>
        <family val="1"/>
      </rPr>
      <t>(</t>
    </r>
    <r>
      <rPr>
        <b/>
        <sz val="9"/>
        <rFont val="宋体"/>
        <family val="2"/>
      </rPr>
      <t>山南嘉实伯珺创业投资中心（有限合伙）</t>
    </r>
    <r>
      <rPr>
        <b/>
        <sz val="9"/>
        <rFont val="Times New Roman"/>
        <family val="1"/>
      </rPr>
      <t>)</t>
    </r>
  </si>
  <si>
    <t>/</t>
  </si>
  <si>
    <r>
      <t>Shannan Jiashi Chuangrong Venture Capital Investment Center (LP)</t>
    </r>
    <r>
      <rPr>
        <b/>
        <sz val="9"/>
        <rFont val="Times New Roman"/>
        <family val="1"/>
      </rPr>
      <t>(</t>
    </r>
    <r>
      <rPr>
        <b/>
        <sz val="9"/>
        <rFont val="宋体"/>
        <family val="3"/>
        <charset val="134"/>
      </rPr>
      <t>山南嘉实创荣创业投资中心（有限合伙）</t>
    </r>
    <r>
      <rPr>
        <b/>
        <sz val="9"/>
        <rFont val="Times New Roman"/>
        <family val="1"/>
      </rPr>
      <t>)</t>
    </r>
  </si>
  <si>
    <r>
      <t>Shanghai Jiaxuan Investment Center (LP)</t>
    </r>
    <r>
      <rPr>
        <b/>
        <sz val="9"/>
        <color theme="1"/>
        <rFont val="Times New Roman"/>
        <family val="1"/>
      </rPr>
      <t>(</t>
    </r>
    <r>
      <rPr>
        <b/>
        <sz val="9"/>
        <color theme="1"/>
        <rFont val="宋体"/>
        <family val="2"/>
      </rPr>
      <t>上海嘉烜投资中心（有限合伙）</t>
    </r>
    <r>
      <rPr>
        <b/>
        <sz val="9"/>
        <color theme="1"/>
        <rFont val="Times New Roman"/>
        <family val="1"/>
      </rPr>
      <t>)</t>
    </r>
  </si>
  <si>
    <r>
      <t>Aeon Life (</t>
    </r>
    <r>
      <rPr>
        <b/>
        <sz val="9"/>
        <color theme="1"/>
        <rFont val="宋体"/>
        <family val="2"/>
      </rPr>
      <t>苏州工业园区百年华领投资管理合伙企业（有限合伙）</t>
    </r>
    <r>
      <rPr>
        <b/>
        <sz val="11"/>
        <color theme="1"/>
        <rFont val="Times New Roman"/>
        <family val="1"/>
      </rPr>
      <t>)</t>
    </r>
  </si>
  <si>
    <r>
      <t>Longwin (</t>
    </r>
    <r>
      <rPr>
        <b/>
        <sz val="9"/>
        <color theme="1"/>
        <rFont val="宋体"/>
        <family val="2"/>
      </rPr>
      <t>上海朗闻通鸿投资管理合伙企业（有限合伙）</t>
    </r>
    <r>
      <rPr>
        <b/>
        <sz val="11"/>
        <color theme="1"/>
        <rFont val="Times New Roman"/>
        <family val="1"/>
      </rPr>
      <t>)</t>
    </r>
  </si>
  <si>
    <r>
      <t>Frontline Bioventures (</t>
    </r>
    <r>
      <rPr>
        <b/>
        <sz val="9"/>
        <color theme="1"/>
        <rFont val="宋体"/>
        <family val="2"/>
      </rPr>
      <t>苏州通和创业投资合伙企业</t>
    </r>
    <r>
      <rPr>
        <b/>
        <sz val="11"/>
        <color theme="1"/>
        <rFont val="Times New Roman"/>
        <family val="1"/>
      </rPr>
      <t>)</t>
    </r>
  </si>
  <si>
    <t>Series C Pre money valuation (per USD registered capital)</t>
    <phoneticPr fontId="15" type="noConversion"/>
  </si>
  <si>
    <t>total rough:</t>
    <phoneticPr fontId="15" type="noConversion"/>
  </si>
  <si>
    <t>Series D Pre-money valuation (per USD registered capital)</t>
    <phoneticPr fontId="15" type="noConversion"/>
  </si>
  <si>
    <t xml:space="preserve">Notes: </t>
  </si>
  <si>
    <t>This table is adjusted due to rounding</t>
  </si>
  <si>
    <t>HK committement</t>
    <phoneticPr fontId="15" type="noConversion"/>
  </si>
  <si>
    <t>Harvest commitment</t>
    <phoneticPr fontId="15" type="noConversion"/>
  </si>
  <si>
    <t>Consolidated</t>
  </si>
  <si>
    <t>Ver Jan 25, 2018</t>
  </si>
  <si>
    <t>(dd/mm/yyyy)</t>
  </si>
  <si>
    <t>Valuer Scope (For Ref Only)</t>
  </si>
  <si>
    <t>Items</t>
  </si>
  <si>
    <t>No. shares</t>
  </si>
  <si>
    <t>Grant Date</t>
  </si>
  <si>
    <t>Vesting Date</t>
  </si>
  <si>
    <t>Vesting period (years)</t>
  </si>
  <si>
    <t>Suggested Valuation Date</t>
  </si>
  <si>
    <t>Note</t>
  </si>
  <si>
    <t>PS allocation (bifurcate between equity and debt)</t>
  </si>
  <si>
    <t>RSU</t>
  </si>
  <si>
    <t>ESOP
 (Employee)</t>
  </si>
  <si>
    <t>ESOP
 (Non-employee)</t>
  </si>
  <si>
    <t>ESO</t>
  </si>
  <si>
    <t>X1</t>
  </si>
  <si>
    <t>X2</t>
  </si>
  <si>
    <t>NSO</t>
  </si>
  <si>
    <t>Note1</t>
  </si>
  <si>
    <t>X11</t>
  </si>
  <si>
    <t>X12</t>
  </si>
  <si>
    <t>X3</t>
  </si>
  <si>
    <t>X4</t>
  </si>
  <si>
    <t>X5</t>
  </si>
  <si>
    <t>31/05/2014</t>
  </si>
  <si>
    <t>RSU - Chen Li</t>
  </si>
  <si>
    <t>RSU - John Choi</t>
  </si>
  <si>
    <t>X6</t>
  </si>
  <si>
    <t>31/12/2014, 2015, 2016, 2017</t>
  </si>
  <si>
    <t>X13 14 15 16</t>
  </si>
  <si>
    <t>X7</t>
  </si>
  <si>
    <t>31/12/2015, 2016, 2017</t>
  </si>
  <si>
    <t>X17 18 19</t>
  </si>
  <si>
    <t>X20</t>
  </si>
  <si>
    <t>X8</t>
  </si>
  <si>
    <t>Series C-2 (post money:500M)</t>
  </si>
  <si>
    <t>X9</t>
  </si>
  <si>
    <t>ESO (exercise price 10)</t>
  </si>
  <si>
    <t>31/072017</t>
  </si>
  <si>
    <t>X21</t>
  </si>
  <si>
    <t>ESO (exercise price 1)</t>
  </si>
  <si>
    <t>X22</t>
  </si>
  <si>
    <t>X23</t>
  </si>
  <si>
    <t>ESO (exercise price 11)</t>
  </si>
  <si>
    <t>X24</t>
  </si>
  <si>
    <t>George Lin (employement)</t>
  </si>
  <si>
    <t>Exercise price TBD</t>
  </si>
  <si>
    <t>X10</t>
  </si>
  <si>
    <t>George Lin (series D closing)</t>
  </si>
  <si>
    <t xml:space="preserve">George Lin </t>
  </si>
  <si>
    <t>IPO close</t>
  </si>
  <si>
    <t>Series D (post money:550M, pre money: 520M)</t>
  </si>
  <si>
    <t>;</t>
  </si>
  <si>
    <t>TBD</t>
  </si>
  <si>
    <t xml:space="preserve">ESO grant to non-employee is valued at vesting day as opposed to grant date. According to the grant letter, 25% vested upon 1st year since vesting commencement date. 75% vested on a monthly basis since 2nd year. Efficiently, we suggest the Company value the ESO at begnning and end of the year and use average number for the best estimation on the equity instrument vested throughout the year. Kindly note that from option model perspective, the equity instrument is valued as if the shares has been vested. 
For the grants before 2013, because they are out of the reporting tracking period and the company value shall be quite close to its book value given its in the setup stage back then, we can use the value of the instrument at the end of entire vesting period. </t>
  </si>
  <si>
    <t>Note2</t>
  </si>
  <si>
    <t>The Company has engaged a China local valuation firm (dongzhou) to assess the company value of Hua Medicine Shanghai for tax filing purpose associated with onshore investor flip over . The valuation date is 9/30/2017 and the valuationr result is RMB3,000m (US$460m)</t>
  </si>
  <si>
    <t>Series C Tranche I</t>
  </si>
  <si>
    <t>Series C Tranche II</t>
  </si>
  <si>
    <t>Series D Tranche I</t>
  </si>
  <si>
    <t>Series D Tranche II</t>
  </si>
  <si>
    <t>Seed Round</t>
    <phoneticPr fontId="15" type="noConversion"/>
  </si>
  <si>
    <t>Investor</t>
  </si>
  <si>
    <t>Number of Shares</t>
    <phoneticPr fontId="15" type="noConversion"/>
  </si>
  <si>
    <t>purchase price</t>
    <phoneticPr fontId="15" type="noConversion"/>
  </si>
  <si>
    <t>Share Purchase Price</t>
    <phoneticPr fontId="15" type="noConversion"/>
  </si>
  <si>
    <t>Date received</t>
  </si>
  <si>
    <t>ARCH Venture Fund VII, L.P.</t>
    <phoneticPr fontId="15" type="noConversion"/>
  </si>
  <si>
    <t>Asia Ventures II LP</t>
    <phoneticPr fontId="15" type="noConversion"/>
  </si>
  <si>
    <t>Beacon Bioventures Fund II Limited Partnership</t>
    <phoneticPr fontId="15" type="noConversion"/>
  </si>
  <si>
    <t>Venrock Entrepreneurs Fund V,L.P.</t>
    <phoneticPr fontId="15" type="noConversion"/>
  </si>
  <si>
    <t>Sino-Alliance International, Ltd</t>
    <phoneticPr fontId="15" type="noConversion"/>
  </si>
  <si>
    <t>Ge Li and Ning Zhao</t>
    <phoneticPr fontId="15" type="noConversion"/>
  </si>
  <si>
    <t>John J. Baldwin</t>
    <phoneticPr fontId="15" type="noConversion"/>
  </si>
  <si>
    <t>Edgar Hotard</t>
    <phoneticPr fontId="15" type="noConversion"/>
  </si>
  <si>
    <t>Li Chen (1)</t>
    <phoneticPr fontId="15" type="noConversion"/>
  </si>
  <si>
    <t>Li Chen (2)</t>
    <phoneticPr fontId="15" type="noConversion"/>
  </si>
  <si>
    <t>John Choi</t>
    <phoneticPr fontId="15" type="noConversion"/>
  </si>
  <si>
    <t>Number of Series A-1 Preferred Shares</t>
  </si>
  <si>
    <t>Preferred Shares Purchase Price (US$)</t>
    <phoneticPr fontId="15" type="noConversion"/>
  </si>
  <si>
    <t>Asia Ventures II L.P.</t>
  </si>
  <si>
    <t>Beacon Bioventures Fund II Limited Partnership</t>
  </si>
  <si>
    <t xml:space="preserve">Wuxi Pharmatech Healthcare Fund I L.P. </t>
  </si>
  <si>
    <t>合计</t>
    <phoneticPr fontId="15" type="noConversion"/>
  </si>
  <si>
    <t>Note Holder</t>
  </si>
  <si>
    <t>Issuance Date</t>
  </si>
  <si>
    <t>Principal Amount (US$)</t>
    <phoneticPr fontId="15" type="noConversion"/>
  </si>
  <si>
    <t>Total Principal amount and Interest accrued as of January 16, 2014 (US$)</t>
  </si>
  <si>
    <t>Number of Series A-2 Preferred Shares</t>
  </si>
  <si>
    <t xml:space="preserve">John J. Baldwin </t>
  </si>
  <si>
    <t xml:space="preserve"> April 29, 2010</t>
  </si>
  <si>
    <r>
      <t xml:space="preserve">ARCH Venture Fund VII, L.P. </t>
    </r>
    <r>
      <rPr>
        <sz val="11"/>
        <color theme="1"/>
        <rFont val="Times New Roman"/>
        <family val="1"/>
      </rPr>
      <t>(“</t>
    </r>
    <r>
      <rPr>
        <u/>
        <sz val="11"/>
        <color theme="1"/>
        <rFont val="Times New Roman"/>
        <family val="1"/>
      </rPr>
      <t>ARCH</t>
    </r>
    <r>
      <rPr>
        <sz val="11"/>
        <color theme="1"/>
        <rFont val="Times New Roman"/>
        <family val="1"/>
      </rPr>
      <t>”)</t>
    </r>
  </si>
  <si>
    <r>
      <t xml:space="preserve">Asia Ventures II L.P. </t>
    </r>
    <r>
      <rPr>
        <sz val="11"/>
        <color theme="1"/>
        <rFont val="Times New Roman"/>
        <family val="1"/>
      </rPr>
      <t>(“</t>
    </r>
    <r>
      <rPr>
        <u/>
        <sz val="11"/>
        <color theme="1"/>
        <rFont val="Times New Roman"/>
        <family val="1"/>
      </rPr>
      <t>Asia Ventures</t>
    </r>
    <r>
      <rPr>
        <sz val="11"/>
        <color theme="1"/>
        <rFont val="Times New Roman"/>
        <family val="1"/>
      </rPr>
      <t>”)</t>
    </r>
  </si>
  <si>
    <r>
      <t xml:space="preserve">Beacon Bioventures Fund II Limited Partnership </t>
    </r>
    <r>
      <rPr>
        <sz val="11"/>
        <color theme="1"/>
        <rFont val="Times New Roman"/>
        <family val="1"/>
      </rPr>
      <t>(“</t>
    </r>
    <r>
      <rPr>
        <u/>
        <sz val="11"/>
        <color theme="1"/>
        <rFont val="Times New Roman"/>
        <family val="1"/>
      </rPr>
      <t>Beacon</t>
    </r>
    <r>
      <rPr>
        <sz val="11"/>
        <color theme="1"/>
        <rFont val="Times New Roman"/>
        <family val="1"/>
      </rPr>
      <t>”)</t>
    </r>
  </si>
  <si>
    <r>
      <t xml:space="preserve">Venrock Associates V, L.P. </t>
    </r>
    <r>
      <rPr>
        <sz val="11"/>
        <color theme="1"/>
        <rFont val="Times New Roman"/>
        <family val="1"/>
      </rPr>
      <t>(“</t>
    </r>
    <r>
      <rPr>
        <u/>
        <sz val="11"/>
        <color theme="1"/>
        <rFont val="Times New Roman"/>
        <family val="1"/>
      </rPr>
      <t>Venrock Associates</t>
    </r>
    <r>
      <rPr>
        <sz val="11"/>
        <color theme="1"/>
        <rFont val="Times New Roman"/>
        <family val="1"/>
      </rPr>
      <t>”)</t>
    </r>
  </si>
  <si>
    <r>
      <t xml:space="preserve">Venrock Partners V, L.P. </t>
    </r>
    <r>
      <rPr>
        <sz val="11"/>
        <color theme="1"/>
        <rFont val="Times New Roman"/>
        <family val="1"/>
      </rPr>
      <t>(“</t>
    </r>
    <r>
      <rPr>
        <u/>
        <sz val="11"/>
        <color theme="1"/>
        <rFont val="Times New Roman"/>
        <family val="1"/>
      </rPr>
      <t>Venrock Partners</t>
    </r>
    <r>
      <rPr>
        <sz val="11"/>
        <color theme="1"/>
        <rFont val="Times New Roman"/>
        <family val="1"/>
      </rPr>
      <t>”)</t>
    </r>
  </si>
  <si>
    <r>
      <t xml:space="preserve">Venrock Entrepreneurs Fund V, L.P. </t>
    </r>
    <r>
      <rPr>
        <sz val="11"/>
        <color theme="1"/>
        <rFont val="Times New Roman"/>
        <family val="1"/>
      </rPr>
      <t>(“</t>
    </r>
    <r>
      <rPr>
        <u/>
        <sz val="11"/>
        <color theme="1"/>
        <rFont val="Times New Roman"/>
        <family val="1"/>
      </rPr>
      <t>Venrock Entrepreneurs</t>
    </r>
    <r>
      <rPr>
        <sz val="11"/>
        <color theme="1"/>
        <rFont val="Times New Roman"/>
        <family val="1"/>
      </rPr>
      <t>”)</t>
    </r>
  </si>
  <si>
    <r>
      <t>Sino-Alliance International, Ltd</t>
    </r>
    <r>
      <rPr>
        <sz val="11"/>
        <color theme="1"/>
        <rFont val="Times New Roman"/>
        <family val="1"/>
      </rPr>
      <t xml:space="preserve"> (“</t>
    </r>
    <r>
      <rPr>
        <u/>
        <sz val="11"/>
        <color theme="1"/>
        <rFont val="Times New Roman"/>
        <family val="1"/>
      </rPr>
      <t>SAIL</t>
    </r>
    <r>
      <rPr>
        <sz val="11"/>
        <color theme="1"/>
        <rFont val="Times New Roman"/>
        <family val="1"/>
      </rPr>
      <t>”)</t>
    </r>
  </si>
  <si>
    <r>
      <t xml:space="preserve">Wuxi Pharmatech Healthcare Fund I L.P. </t>
    </r>
    <r>
      <rPr>
        <sz val="11"/>
        <color theme="1"/>
        <rFont val="Times New Roman"/>
        <family val="1"/>
      </rPr>
      <t>(“</t>
    </r>
    <r>
      <rPr>
        <u/>
        <sz val="11"/>
        <color theme="1"/>
        <rFont val="Times New Roman"/>
        <family val="1"/>
      </rPr>
      <t>Wuxi Pharmatech</t>
    </r>
    <r>
      <rPr>
        <sz val="11"/>
        <color theme="1"/>
        <rFont val="Times New Roman"/>
        <family val="1"/>
      </rPr>
      <t>”)</t>
    </r>
  </si>
  <si>
    <t>Number of Series B Preferred Shares</t>
    <phoneticPr fontId="15" type="noConversion"/>
  </si>
  <si>
    <t xml:space="preserve">China Life Sciences Access Fund, L.P. </t>
  </si>
  <si>
    <t>Number of Series B Preferred Shares</t>
  </si>
  <si>
    <t>Preferred Shares Purchase Price (US$)</t>
  </si>
  <si>
    <t>Initial Closing</t>
    <phoneticPr fontId="15" type="noConversion"/>
  </si>
  <si>
    <t>Number of Series C Preferred Shares</t>
  </si>
  <si>
    <t>HARVEST YUANXIANG (CAYMAN) LIMITED</t>
  </si>
  <si>
    <t>496,852 Series C-1 Preferred Shares</t>
  </si>
  <si>
    <t>99,370 Series C-1 Preferred Shares</t>
  </si>
  <si>
    <t>Fortune Triumph Holdings Limited</t>
  </si>
  <si>
    <t>198,741 Series C-1 Preferred Shares</t>
  </si>
  <si>
    <t>1 Series C-2 Preferred Share</t>
  </si>
  <si>
    <t>China Life Sciences Access Fund, L.P.</t>
  </si>
  <si>
    <t>1 Series C-3 Preferred Share</t>
    <phoneticPr fontId="15" type="noConversion"/>
  </si>
  <si>
    <t>794,965 Series C Preferred Shares</t>
  </si>
  <si>
    <t>Second Closing</t>
    <phoneticPr fontId="15" type="noConversion"/>
  </si>
  <si>
    <t>Number of Series C-1 Preferred Shares</t>
  </si>
  <si>
    <t>Number of Series C Preferred Shares reserved under for Options Agreement</t>
  </si>
  <si>
    <t>Subscription Price (US$) or its equivalent RMB amount based on the exchange rate at the closing</t>
  </si>
  <si>
    <t>Registered Capital held in Hua Shanghai after subscription (US$)</t>
  </si>
  <si>
    <t>Shareholding in Hua Shanghai (subject to rounding)</t>
  </si>
  <si>
    <r>
      <t>rate</t>
    </r>
    <r>
      <rPr>
        <sz val="10"/>
        <color theme="1"/>
        <rFont val="宋体"/>
        <family val="3"/>
        <charset val="134"/>
      </rPr>
      <t>：</t>
    </r>
    <r>
      <rPr>
        <sz val="10"/>
        <color theme="1"/>
        <rFont val="Times New Roman"/>
        <family val="1"/>
      </rPr>
      <t>6.4787</t>
    </r>
  </si>
  <si>
    <r>
      <t xml:space="preserve">SHENZHENG JIASHI YUANXIANG VENTURE CAPITAL INVESTMENT PARTNERSHIP (LP) 
</t>
    </r>
    <r>
      <rPr>
        <sz val="10"/>
        <color theme="1"/>
        <rFont val="宋体"/>
        <family val="3"/>
        <charset val="134"/>
      </rPr>
      <t>深圳嘉实元祥股权投资合伙企业（有限合伙）</t>
    </r>
  </si>
  <si>
    <r>
      <t xml:space="preserve">Suzhou Tonghe Management Venture Capital Partnership (Limited Partnership)
</t>
    </r>
    <r>
      <rPr>
        <sz val="10"/>
        <color theme="1"/>
        <rFont val="宋体"/>
        <family val="3"/>
        <charset val="134"/>
      </rPr>
      <t>苏州通和创业投资管理合伙企业（有限合伙）</t>
    </r>
  </si>
  <si>
    <r>
      <t xml:space="preserve">Suzhou Frontline BioVentures Venture Capital Partnership (Limited Partnership)
</t>
    </r>
    <r>
      <rPr>
        <sz val="10"/>
        <color theme="1"/>
        <rFont val="宋体"/>
        <family val="3"/>
        <charset val="134"/>
      </rPr>
      <t>苏州通和创业投资合伙企业（有限合伙）</t>
    </r>
  </si>
  <si>
    <t>Number of Series C-1 Preferred Shares reserved under Options Agreement for Second Tranche</t>
  </si>
  <si>
    <t>Subscription Price (US$) or its equivalent RMB amount based on the exchange rate at the closing for Second Tranche</t>
  </si>
  <si>
    <t>Total Registered Capital held in Hua Shanghai after subscription (US$)</t>
  </si>
  <si>
    <t xml:space="preserve">Total Number of Series C-1 Preferred Shares reserved under Options Agreement </t>
  </si>
  <si>
    <t>Total Shareholding in Hua Shanghai (subject to rounding)</t>
  </si>
  <si>
    <r>
      <t>HUA MEDICINE LIMITED (</t>
    </r>
    <r>
      <rPr>
        <sz val="10"/>
        <color theme="1"/>
        <rFont val="宋体"/>
        <family val="3"/>
        <charset val="134"/>
      </rPr>
      <t>華醫藥有限公司</t>
    </r>
    <r>
      <rPr>
        <sz val="10"/>
        <color theme="1"/>
        <rFont val="Times New Roman"/>
        <family val="1"/>
      </rPr>
      <t>)</t>
    </r>
  </si>
  <si>
    <r>
      <t xml:space="preserve">Shannan Jiashi Bojun Venture Capital Investment Center (LP)
</t>
    </r>
    <r>
      <rPr>
        <sz val="10"/>
        <color theme="1"/>
        <rFont val="宋体"/>
        <family val="3"/>
        <charset val="134"/>
      </rPr>
      <t>山南嘉实伯珺创业投资中心（有限合伙）</t>
    </r>
  </si>
  <si>
    <r>
      <t xml:space="preserve">Shannan Jiashi Chuangrong Venture Capital Investment Center (LP)
</t>
    </r>
    <r>
      <rPr>
        <sz val="10"/>
        <color theme="1"/>
        <rFont val="宋体"/>
        <family val="3"/>
        <charset val="134"/>
      </rPr>
      <t>山南嘉实创荣创业投资中心（有限合伙）</t>
    </r>
  </si>
  <si>
    <r>
      <t xml:space="preserve">Shanghai Jiaxuan Investment Center (LP) 
</t>
    </r>
    <r>
      <rPr>
        <sz val="10"/>
        <color theme="1"/>
        <rFont val="宋体"/>
        <family val="3"/>
        <charset val="134"/>
      </rPr>
      <t>上海嘉烜投资中心（有限合伙</t>
    </r>
    <r>
      <rPr>
        <sz val="10"/>
        <color theme="1"/>
        <rFont val="楷体"/>
        <family val="3"/>
        <charset val="134"/>
      </rPr>
      <t>）</t>
    </r>
  </si>
  <si>
    <r>
      <t xml:space="preserve">Suzhou Industrial Park Bainian Hualing Management Venture Capital Partnership (LP) 
</t>
    </r>
    <r>
      <rPr>
        <sz val="10"/>
        <color theme="1"/>
        <rFont val="宋体"/>
        <family val="3"/>
        <charset val="134"/>
      </rPr>
      <t>苏州工业园区百年华领投资管理合伙企业（有限合伙）</t>
    </r>
  </si>
  <si>
    <r>
      <t xml:space="preserve">Shanghai Longwin Tonghong Venture Capital Investment Management Partnership (LP) 
</t>
    </r>
    <r>
      <rPr>
        <sz val="10"/>
        <color theme="1"/>
        <rFont val="宋体"/>
        <family val="3"/>
        <charset val="134"/>
      </rPr>
      <t>上海朗闻通鸿投资管理合伙企业（有限合伙）</t>
    </r>
  </si>
  <si>
    <t>offshore</t>
    <phoneticPr fontId="15" type="noConversion"/>
  </si>
  <si>
    <t>onshore</t>
    <phoneticPr fontId="15" type="noConversion"/>
  </si>
  <si>
    <t>TOTAL</t>
    <phoneticPr fontId="15" type="noConversion"/>
  </si>
  <si>
    <t>Ordinary Share</t>
    <phoneticPr fontId="15" type="noConversion"/>
  </si>
  <si>
    <t>A1</t>
    <phoneticPr fontId="15" type="noConversion"/>
  </si>
  <si>
    <t>A2</t>
    <phoneticPr fontId="15" type="noConversion"/>
  </si>
  <si>
    <t>B (1st tranche)</t>
    <phoneticPr fontId="15" type="noConversion"/>
  </si>
  <si>
    <t>B (2nd tranche)</t>
    <phoneticPr fontId="15" type="noConversion"/>
  </si>
  <si>
    <t>C (1st tranche)</t>
    <phoneticPr fontId="15" type="noConversion"/>
  </si>
  <si>
    <t>C (2nd tranche)</t>
    <phoneticPr fontId="15" type="noConversion"/>
  </si>
  <si>
    <t>Series B Tranche I</t>
  </si>
  <si>
    <t>Series B Tranche II</t>
  </si>
  <si>
    <t>Common Options</t>
  </si>
  <si>
    <t xml:space="preserve">Strike Price </t>
  </si>
  <si>
    <t>Common Starts Receiving Value and Preferred Stock Starts Participating</t>
  </si>
  <si>
    <t>Dividend</t>
  </si>
  <si>
    <t>Total LP</t>
  </si>
  <si>
    <t>Invested Capital</t>
  </si>
  <si>
    <t>OPM (Liquidation)</t>
  </si>
  <si>
    <t>OPM (Redemption)</t>
  </si>
  <si>
    <t>Series E - Value Per Share Calculation</t>
  </si>
  <si>
    <t>Implied Latest Preferred Round - Series E</t>
  </si>
  <si>
    <t>IRC 409A and IFRS 2 Common Stock Independent Appraisal</t>
  </si>
  <si>
    <t>Implied Value Per Share</t>
  </si>
  <si>
    <t>Hybrid Option Pricing Method - Liquidation</t>
  </si>
  <si>
    <t>Based on discussions with Management</t>
  </si>
  <si>
    <t>Hybrid Option Pricing Method - Redemption</t>
  </si>
  <si>
    <t>No. of Series E Shares</t>
  </si>
  <si>
    <t>Present Value Per Series E Share</t>
  </si>
  <si>
    <t>Series E OIP</t>
  </si>
  <si>
    <t>Probability Weightings (4)</t>
  </si>
  <si>
    <t>DLOM-Adjusted Present Value Per Common Stock Share</t>
  </si>
  <si>
    <t>Less: DLOM % (5)</t>
  </si>
  <si>
    <t>RNA developed a WACC taking into consideration the Company's capital structure.  RNA considered the associated rates (or costs of capital) for the purpose of determining valuation indications of the various securities comprising the Company's capital structure as part of IPO scenario analysis.</t>
  </si>
  <si>
    <t xml:space="preserve">Value calculated as the probability-weighted present value of liquidation preferences (or equivalent value to the extent preferred converts/participates) under the IPO scenario analysis.  </t>
  </si>
  <si>
    <t>Rate reflects consideration of an implied return to common stock (based on the probability of successful exit under the IPO scenario) higher than the implied return to preferred investors due to the higher risk profile of common stock relative to preferred stock.</t>
  </si>
  <si>
    <t>Weighted Average Cost of Capital - IPO Scenario</t>
  </si>
  <si>
    <t xml:space="preserve">Discount for Lack of Marketability - Option Models and IPO </t>
  </si>
  <si>
    <t>OPM Liquidation</t>
  </si>
  <si>
    <t>OPM Redemption</t>
  </si>
  <si>
    <t>IPO Scenario</t>
  </si>
  <si>
    <t>Interpolation - OPM Liquidation</t>
  </si>
  <si>
    <t>Interpolation - OPM Redemption</t>
  </si>
  <si>
    <t>Interpolation - DLOM (OPM Models)</t>
  </si>
  <si>
    <t>Debt reflects senior debt based on the balance sheet as of the Valuation Date plus the value of liquidation preferences under the IPO scenario for preferred stock.</t>
  </si>
  <si>
    <t>Series E - three years' since first issuance and when holders of at least two-thirds of the voting power</t>
  </si>
  <si>
    <t>Duration as of Hybrid OPM Liquidation Exit</t>
  </si>
  <si>
    <t>Accrued Dividend at Hybrid OPM Liquidation Exit</t>
  </si>
  <si>
    <t>Duration as of Hybrid OPM Redemption Exit</t>
  </si>
  <si>
    <t>Accrued Dividend at Hybrid OPM Redemption Exit</t>
  </si>
  <si>
    <t>LP</t>
  </si>
  <si>
    <t>Asset Volatility - OPM (Liquidation)</t>
  </si>
  <si>
    <t>Asset Volatility - OPM (Redemption)</t>
  </si>
  <si>
    <t>For the Period Ending</t>
  </si>
  <si>
    <t>Financial Expenses</t>
  </si>
  <si>
    <t>Other Comprehensive Income/(Loss)</t>
  </si>
  <si>
    <t>Investment Income</t>
  </si>
  <si>
    <t>Share Capital</t>
  </si>
  <si>
    <t>Capital Reserves</t>
  </si>
  <si>
    <t>Non-Controlling Interest</t>
  </si>
  <si>
    <t>Tax Payable</t>
  </si>
  <si>
    <t>Other Reserves</t>
  </si>
  <si>
    <t>Projections</t>
  </si>
  <si>
    <t>Projections and Historical Financial Statements</t>
  </si>
  <si>
    <t>Reseach &amp; Development</t>
  </si>
  <si>
    <t>Total Operating Expenses</t>
  </si>
  <si>
    <t>Redemption Amount</t>
  </si>
  <si>
    <t>Breakpoints (OPM Liquidation)</t>
  </si>
  <si>
    <t>Breakpoints (OPM Redemption)</t>
  </si>
  <si>
    <t>Common Receives Value</t>
  </si>
  <si>
    <t>Years to Enable Redemption Feature</t>
  </si>
  <si>
    <t>LP+Dividend as of VD</t>
  </si>
  <si>
    <t>Dividend Rate</t>
  </si>
  <si>
    <t>CY2020</t>
  </si>
  <si>
    <t>CY2021</t>
  </si>
  <si>
    <t>REV_CY2020</t>
  </si>
  <si>
    <t>REV_CY2021</t>
  </si>
  <si>
    <t>EBITDA_2019</t>
  </si>
  <si>
    <t>EBITDA_2020</t>
  </si>
  <si>
    <t>CPSE:NOVO B</t>
  </si>
  <si>
    <t>IQ323452</t>
  </si>
  <si>
    <t>Novo Nordisk A/S</t>
  </si>
  <si>
    <t>CPSE</t>
  </si>
  <si>
    <t>SEHK:1530</t>
  </si>
  <si>
    <t>IQ24164591</t>
  </si>
  <si>
    <t>3SBio Inc.</t>
  </si>
  <si>
    <t>SEHK</t>
  </si>
  <si>
    <t>SEHK:2186</t>
  </si>
  <si>
    <t>IQ9994690</t>
  </si>
  <si>
    <t>Luye Pharma Group Ltd.</t>
  </si>
  <si>
    <t>SEHK:3933</t>
  </si>
  <si>
    <t>IQ34724429</t>
  </si>
  <si>
    <t>The United Laboratories International Holdings Limited</t>
  </si>
  <si>
    <t>NasdaqCM:CORT</t>
  </si>
  <si>
    <t>IQ1423826</t>
  </si>
  <si>
    <t>Corcept Therapeutics Incorporated</t>
  </si>
  <si>
    <t>NasdaqGM:MNKD</t>
  </si>
  <si>
    <t>IQ9282918</t>
  </si>
  <si>
    <t>MannKind Corporation</t>
  </si>
  <si>
    <t>CPSE:ZEAL</t>
  </si>
  <si>
    <t>IQ1268514</t>
  </si>
  <si>
    <t>Zealand Pharma A/S</t>
  </si>
  <si>
    <t>SHSE:600867</t>
  </si>
  <si>
    <t>IQ11419352</t>
  </si>
  <si>
    <t>Tonghua Dongbao Pharmaceutical Co., Ltd.</t>
  </si>
  <si>
    <t>SHSE</t>
  </si>
  <si>
    <t>NasdaqGS:ARMO</t>
  </si>
  <si>
    <t>IQ225199094</t>
  </si>
  <si>
    <t>ARMO BioSciences, Inc.</t>
  </si>
  <si>
    <t>ARMO BioSciences, Inc., an immuno-oncology company, develops a pipeline of novel product candidates that activate the immune system of cancer patients to recognize and eradicate tumors in the United States. Its lead product candidate includes AM0010, a drug that is in Phase III randomized pivotal clinical trial for the treatment of pancreatic ductal adenocarcinoma and chemotherapy. The company is also developing AM0010 with anti-PD-1 immune checkpoint inhibitor that has completed Phase I/Ib clinical trial for the treatment of non-small cell lung cancer, as well as that is in Phase I/Ib clinical trial for the treatment of renal cell carcinoma, and melanoma and other solid tumors. In addition, it is developing include AM0001, a monoclonal antibody; AM0015, a recombinant human activator; AM0012, a recombinant human drug; and AM0003, a monoclonal antibody. The company was formerly known as Targenics, Inc. and changed its name to ARMO BioSciences, Inc. in December 2012. ARMO BioSciences, Inc. was incorporated in 2010 and is based in Redwood City, California.</t>
  </si>
  <si>
    <t>NasdaqGS:ICPT</t>
  </si>
  <si>
    <t>IQ11382658</t>
  </si>
  <si>
    <t>Intercept Pharmaceuticals, Inc.</t>
  </si>
  <si>
    <t>Intercept Pharmaceuticals, Inc., a biopharmaceutical company, focuses on the development and commercialization of therapeutics to treat non-viral, progressive liver diseases.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primary sclerosing cholangitis, and biliary atresia. It also provides OCA under the Ocaliva brand name for the treatment of primary biliary cholangitis in the United States and Europe. In addition, the company is developing INT-767, an orally administered dual FXR and TGR5 agonist for the treatment of liver fibrosis; and INT-777, an orally administered TGR5 agonist for the treatment of type 2 diabetes, associated metabolic disorders, and other gastrointestinal indications. Intercept Pharmaceuticals, Inc. was founded in 2002 and is headquartered in New York, New York.</t>
  </si>
  <si>
    <t>NasdaqGS:LXRX</t>
  </si>
  <si>
    <t>IQ30781</t>
  </si>
  <si>
    <t>Lexicon Pharmaceuticals, Inc.</t>
  </si>
  <si>
    <t>NYSE:MYOV</t>
  </si>
  <si>
    <t>IQ403430039</t>
  </si>
  <si>
    <t>Myovant Sciences Ltd.</t>
  </si>
  <si>
    <t>NYSE</t>
  </si>
  <si>
    <t>IQ31424</t>
  </si>
  <si>
    <t>NasdaqGS:ITCI</t>
  </si>
  <si>
    <t>IQ9425271</t>
  </si>
  <si>
    <t>Intra-Cellular Therapies, Inc.</t>
  </si>
  <si>
    <t>Nightstar Therapeutics plc</t>
  </si>
  <si>
    <t>ENXTPA:ERYP</t>
  </si>
  <si>
    <t>IQ24677080</t>
  </si>
  <si>
    <t>TSXV:COB.U</t>
  </si>
  <si>
    <t>IQ134282175</t>
  </si>
  <si>
    <t>CohBar, Inc.</t>
  </si>
  <si>
    <t>TSXV</t>
  </si>
  <si>
    <t>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t>
  </si>
  <si>
    <t>NasdaqGM:VTVT</t>
  </si>
  <si>
    <t>IQ304063261</t>
  </si>
  <si>
    <t>vTv Therapeutics Inc.</t>
  </si>
  <si>
    <t>NasdaqGS:ZFGN</t>
  </si>
  <si>
    <t>IQ29016215</t>
  </si>
  <si>
    <t>Zafgen, Inc.</t>
  </si>
  <si>
    <t>Zafgen, Inc., a biopharmaceutical company, focuses on the development of therapeutics for patients suffering from metabolic diseases comprising type 2 diabetes and obesity. The company’s lead product candidate is ZGN-1061, a fumagillin-class MetAP2 inhibitor administered by subcutaneous injection, which is in Phase 1 clinical trial and profiled for its utility in the treatment of metabolic diseases. Zafgen, Inc. was founded in 2005 and is based in Boston, Massachusetts.</t>
  </si>
  <si>
    <t>OTCPK:EMIS</t>
  </si>
  <si>
    <t>IQ261438</t>
  </si>
  <si>
    <t>Emisphere Technologies, Inc.</t>
  </si>
  <si>
    <t>Emisphere Technologies, Inc. operates as a commercial stage pharmaceutical and drug delivery company in the United States. The company offers oral Eligen B12 Rx, an oral formulation prescription medical food for use by B12 deficient individuals. It is also developing GLP-1, which is in Phase III clinical trial for the treatment of type 2 diabetes and related conditions. The company’s preclinical programs focus on the development of oral formulations for the treatment of diabetes; and products in the areas of cardiovascular, appetite suppression, and pain, as well as in the development and expansion of nutritional supplement products. It has license agreements with Novo Nordisk A/S to develop and commercialize oral formulations of GLP-1 receptor agonists in combination with Emisphere carriers, as well as to develop and commercialize oral formulations of Novo Nordisk’s insulin using the company’s Eligen Technology. The company was formerly known as Clinical Technologies Associates, Inc. and changed its name to Emisphere Technologies, Inc. in 1991. Emisphere Technologies, Inc. was founded in 1986 and is based in Roseland, New Jersey.</t>
  </si>
  <si>
    <t>OTCPK:RZLT</t>
  </si>
  <si>
    <t>IQ177932577</t>
  </si>
  <si>
    <t>Rezolute, Inc.</t>
  </si>
  <si>
    <t>Rezolute, Inc., a clinical stage biopharmaceutical company, specializes in the development of drug therapies for treating diabetes and metabolic diseases in the United States. Its lead product candidate is AB101, which is a human recombinant insulin that is used alone and in combination with bolus prandial insulin or oral glucose lowering therapies to enhance glycemic control in patients with type 1 and type 2 diabetes mellitus has completed phase I clinical trial. The company also develops AB301, a human glucagon-like peptide-1 agonist for the treatment of patients with type 2 diabetes; AB402 for vision-threatening eye complications of diabetes, including Diabetic Retinopathy and Diabetic Macular Edema; and AB602 to treat Hereditary Angioedema, which are in preclinical studies. It has a licensing agreement with ActiveSite Pharmaceuticals, Inc. The company was formerly known as AntriaBio, Inc. and changed its name to Rezolute, Inc. in December 2017. Rezolute, Inc. is headquartered in Louisville, Colorado.</t>
  </si>
  <si>
    <t>OTCPK:NEXS</t>
  </si>
  <si>
    <t>IQ340704541</t>
  </si>
  <si>
    <t>Nexus BioPharma, Inc.</t>
  </si>
  <si>
    <t>Nexus BioPharma, Inc., a life science company, focuses on the development and commercialization of a pharmaceutical preparation to treat obesity and the symptoms of type 2 diabetes. The company is headquartered in Houston, Texas.</t>
  </si>
  <si>
    <t>OTCPK:BTHE</t>
  </si>
  <si>
    <t>IQ96050543</t>
  </si>
  <si>
    <t>Boston Therapeutics, Inc.</t>
  </si>
  <si>
    <t>Tier 1</t>
  </si>
  <si>
    <t>Tier 2</t>
  </si>
  <si>
    <t>Financial Performance (Estimates)</t>
  </si>
  <si>
    <t>For certain Guideline Public Companies that recently went public, no historical volatility is available or if available, is not meaningul. As such, we have not considered these companies for the purpose of analysis, these companies are highlighted in blue.</t>
  </si>
  <si>
    <t>Hybrid OPM (Redemption) Asset Vol Check</t>
  </si>
  <si>
    <t>Duration as of IPO Exit</t>
  </si>
  <si>
    <t>Accrued Dividend at IPO Exit</t>
  </si>
  <si>
    <t>Based on redemption start date of the latest round of financing</t>
  </si>
  <si>
    <t>Overall</t>
  </si>
  <si>
    <t>Issue date indicates the date of conversion for the convertible notes.</t>
  </si>
  <si>
    <t>Series B Tranche I was closed on January 6, 2015, but the majority of the capital was received on January 7, 2015.</t>
  </si>
  <si>
    <t>Cue Biopharma, Inc.</t>
  </si>
  <si>
    <t>NasdaqCM:CUE</t>
  </si>
  <si>
    <t>IQTR538222664</t>
  </si>
  <si>
    <t>IQ417883814</t>
  </si>
  <si>
    <t>Cue Biopharma, Inc., a preclinical stage biopharmaceutical company, develops biologic drugs for the selective modulation of the human immune system to treat various cancers and autoimmune disorders. Its lead drug candidate comprises CUE-101, a variant form of the cytokine Interleukin-2 and a T cell antigen to target and activate T cells specific to HPV-related cancers. The company’s biologics drug candidates also include CUE-100 series to improve various tumor specific T cells; and CUE-200 series to reinvigorate exhausted T cells. It also offers MOD costimulatory optimization and discovery platform and viraTope T cell epitope discovery platform to develop novel biologics for addressing new indications in oncology and autoimmune disorders. The company was formerly known as Imagen Biopharma, Inc. and changed its name to Cue Biopharma, Inc. in October 2016. Cue Biopharma, Inc. was incorporated in 2014 and is headquartered in Cambridge, Massachusetts.</t>
  </si>
  <si>
    <t>Solid Biosciences Inc.</t>
  </si>
  <si>
    <t>NasdaqGS:SLDB</t>
  </si>
  <si>
    <t>IQTR548047650</t>
  </si>
  <si>
    <t>IQ315986912</t>
  </si>
  <si>
    <t>Solid Biosciences, LLC engages in identifying and developing gene therapies for duchenne muscular dystrophy in the United States. Its lead product candidate includes SGT-001, a gene transfer candidate that is in Phase I/II clinical trial to restore functional dystrophin protein expression in patients’ muscles. The company was formerly known as Solid Ventures, LLC and changed its name to Solid Biosciences, LLC in June 2015. Solid Biosciences, LLC was founded in 2013 and is headquartered in Cambridge, Massachusetts.</t>
  </si>
  <si>
    <t>Sol-Gel Technologies Ltd.</t>
  </si>
  <si>
    <t>NasdaqGM:SLGL</t>
  </si>
  <si>
    <t>IQTR535864295</t>
  </si>
  <si>
    <t>IQ621569</t>
  </si>
  <si>
    <t>Sol-Gel Technologies Ltd., a clinical-stage specialty pharmaceutical company, focuses on developing and commercializing topical dermatological drug products based on its proprietary microencapsulation delivery system in Israel. The company’s lead product candidates include VERED that has completed Phase II clinical trials for the treatment of papulopustular rosacea; and TWIN and SIRS-T, which has completed Phase II clinical trials for the treatment of acne vulgaris. It is also involved in the development of generic dermatological candidates; and formulation and pre-clinical development of early stage product candidates for acne and rosacea, and other dermatological indications. The company was founded in 1997 and is based in Ness Ziona, Israel.</t>
  </si>
  <si>
    <t>resTORbio, Inc.</t>
  </si>
  <si>
    <t>NasdaqGS:TORC</t>
  </si>
  <si>
    <t>IQTR548091684</t>
  </si>
  <si>
    <t>IQ427650761</t>
  </si>
  <si>
    <t>resTORbio, Inc., a clinical-stage biopharmaceutical company, focuses on the development and commercialization of novel therapeutics for the treatment of aging-related diseases and conditions in the United States. It is developing TORC1 inhibitor class of pharmaceutical products, including RTB101 and RTB101 with everolimus that are in Phase IIb clinical trial for the treatment of respiratory tract infections; and that have completed Phase I clinical trials for the treatment of heart failure with preserved ejection fraction and autophagy-related neurodegenerative diseases, as well as other infections, such as urinary tract infections. The company was founded in 2016 and is based in Boston, Massachusetts. resTORbio, Inc. is a subsidiary of PureTech Health plc.</t>
  </si>
  <si>
    <t>Menlo Therapeutics Inc.</t>
  </si>
  <si>
    <t>NasdaqGS:MNLO</t>
  </si>
  <si>
    <t>IQTR547921857</t>
  </si>
  <si>
    <t>IQ225807943</t>
  </si>
  <si>
    <t>Menlo Therapeutics Inc., a biopharmaceutical company, focuses on the development and commercialization of serlopitant for the treatment of pruritus associated with dermatologic conditions in the United States. The company has completed Phase II clinical trials in pruritus associated with prurigo nodularis. It is also developing products that are in Phase II clinical trials in pruritus associated with psoriasis and atopic dermatitis, and refractory chronic cough. The company was formerly known as Tigercat Pharma, Inc. and changed its name to Menlo Therapeutics Inc. in May 2016. Menlo Therapeutics Inc. was founded in 2011 and is headquartered in Redwood City, California.</t>
  </si>
  <si>
    <t>Eyenovia, Inc.</t>
  </si>
  <si>
    <t>NasdaqCM:EYEN</t>
  </si>
  <si>
    <t>IQTR547072256</t>
  </si>
  <si>
    <t>IQ291491698</t>
  </si>
  <si>
    <t>Eyenovia, Inc., a clinical stage biopharmaceutical company, engages in developing a pipeline of ophthalmology products in the United States. It is developing MicroProst that has completed Phase III clinical trials for the treatment of chronic angle closure glaucoma; MicroStat that has completed Phase II clinical trials for the treatment of mydriasis; MicroTears for the treatment of dry eye; and MicroPine for the treatment of myopia. The company was formerly known as PGP Holdings V, Inc. and changed its name to Eyenovia, Inc. in May 2014. Eyenovia, Inc. was founded in 2014 and is based in New York, New York.</t>
  </si>
  <si>
    <t>IQTR548062212</t>
  </si>
  <si>
    <t>rNPV Analysis</t>
  </si>
  <si>
    <t>Years</t>
  </si>
  <si>
    <t>Probability Adjusted Revenue</t>
  </si>
  <si>
    <t>Development Costs</t>
  </si>
  <si>
    <t>Sales &amp; Marketing</t>
  </si>
  <si>
    <t>Research and Development</t>
  </si>
  <si>
    <t>Unadjusted Cash Flows</t>
  </si>
  <si>
    <t>Total Operating Expenses (excluding Depreciation)</t>
  </si>
  <si>
    <t>Net Operating Losses</t>
  </si>
  <si>
    <t>Beginning Balance</t>
  </si>
  <si>
    <t>Add: NOLs</t>
  </si>
  <si>
    <t>Less: NOL Usage</t>
  </si>
  <si>
    <t>Ending Balance</t>
  </si>
  <si>
    <t>Taxable Cash Flows</t>
  </si>
  <si>
    <t>After Tax Cash Flows</t>
  </si>
  <si>
    <t>Net After Tax Cash Flows</t>
  </si>
  <si>
    <t>Partial Period</t>
  </si>
  <si>
    <t>Adjusted Net After Tax Cash Flows</t>
  </si>
  <si>
    <t>Present Value of Cash Flows</t>
  </si>
  <si>
    <t>Useful Life (in years)</t>
  </si>
  <si>
    <t>Depreciation on Capex</t>
  </si>
  <si>
    <t>Discount Rate Support</t>
  </si>
  <si>
    <t>rNPV Discount Rates by Region (Summary) (1)</t>
  </si>
  <si>
    <t>Stage of the Company</t>
  </si>
  <si>
    <t>Regions</t>
  </si>
  <si>
    <t>Europe</t>
  </si>
  <si>
    <t>RoW</t>
  </si>
  <si>
    <t>US</t>
  </si>
  <si>
    <t>Late- Stage</t>
  </si>
  <si>
    <t>Mid-Stage</t>
  </si>
  <si>
    <t>Early-Stage</t>
  </si>
  <si>
    <t>80.0% Intervals of rNPV Discount Rates (2)</t>
  </si>
  <si>
    <t>12.0% - 28.0%</t>
  </si>
  <si>
    <t>10.0% - 22.0%</t>
  </si>
  <si>
    <t>9.0% - 20.0%</t>
  </si>
  <si>
    <t>Avance Biostrat Discount Survey - Page 5, Figure 9.</t>
  </si>
  <si>
    <t>Avance Biostrat Discount Survey - Page 5, Table 3.</t>
  </si>
  <si>
    <t>Income statement</t>
  </si>
  <si>
    <t>Year</t>
  </si>
  <si>
    <t>2014</t>
  </si>
  <si>
    <t>2015</t>
  </si>
  <si>
    <t>2016</t>
  </si>
  <si>
    <t>2017</t>
  </si>
  <si>
    <t>2018</t>
  </si>
  <si>
    <t>2019</t>
  </si>
  <si>
    <t>2020</t>
  </si>
  <si>
    <t>2021</t>
  </si>
  <si>
    <t>2022</t>
  </si>
  <si>
    <t>2023</t>
  </si>
  <si>
    <t>2024</t>
  </si>
  <si>
    <t>2025</t>
  </si>
  <si>
    <t>2026</t>
  </si>
  <si>
    <t>2027</t>
  </si>
  <si>
    <t>2028</t>
  </si>
  <si>
    <t>2029</t>
  </si>
  <si>
    <t>2030</t>
  </si>
  <si>
    <t>2031</t>
  </si>
  <si>
    <t>2032</t>
  </si>
  <si>
    <t>2033</t>
  </si>
  <si>
    <t>Notes</t>
  </si>
  <si>
    <t>China</t>
  </si>
  <si>
    <t>Number of Adult Patients (mm)</t>
  </si>
  <si>
    <t>IMS (100 mm) and NEJM (~114 mm) estimates for T2DM patients in CN</t>
  </si>
  <si>
    <t xml:space="preserve">      YoY Growth %</t>
  </si>
  <si>
    <t>China has slower pop growth rate vs. US</t>
  </si>
  <si>
    <t xml:space="preserve">      Treated %</t>
  </si>
  <si>
    <t>IMS CN shows 60% undiagnosed in 2012 data; US Dx rate ~72% in 2014, assumes CN reversion to this target</t>
  </si>
  <si>
    <t>Number of Patients Treated (mm)</t>
  </si>
  <si>
    <t>CN 2012 IMS estimates at 37 mm</t>
  </si>
  <si>
    <t>Eligible Patient Population</t>
  </si>
  <si>
    <t>CN 2012 IMS estimates 27 mm / 37 mm are not on lifestyle management-only or insulin-only regimens</t>
  </si>
  <si>
    <t>OAD Only Population</t>
  </si>
  <si>
    <t>Conservatively assume only OAD patients (i.e. excludes all patients on any type of insulin) in China; In US treating non-1st-line patients</t>
  </si>
  <si>
    <t xml:space="preserve">      Penetration Rate</t>
  </si>
  <si>
    <t>dpp4's are alone ~50% of oral DM market in Korea</t>
  </si>
  <si>
    <t xml:space="preserve">      Affordability Rate</t>
  </si>
  <si>
    <t>Assume Drug reimbursed after 4 yrs</t>
  </si>
  <si>
    <t>Total Number of Patients ('000)</t>
  </si>
  <si>
    <t>Average Days of Therapy</t>
  </si>
  <si>
    <t>Cost per Day of Drug</t>
  </si>
  <si>
    <t xml:space="preserve">      YoY Cost Increase %</t>
  </si>
  <si>
    <t>Patent Cliff</t>
  </si>
  <si>
    <t>Probability of success</t>
  </si>
  <si>
    <t>Total Revenues ($ mm)</t>
  </si>
  <si>
    <t>Probability of Success</t>
  </si>
  <si>
    <t>POS Adjusted Revenues ($ mm)</t>
  </si>
  <si>
    <t>Royalty to Roche</t>
  </si>
  <si>
    <t>Sales expenses</t>
  </si>
  <si>
    <t>R&amp;D Expenses before Launch</t>
  </si>
  <si>
    <t xml:space="preserve">      EBITDA Margin%</t>
  </si>
  <si>
    <t>D&amp;A</t>
  </si>
  <si>
    <t xml:space="preserve">      EBIT Margin%</t>
  </si>
  <si>
    <t>Interest Expenses</t>
  </si>
  <si>
    <t>Other Expenses</t>
  </si>
  <si>
    <t>Profit Before Tax</t>
  </si>
  <si>
    <t>Tax Expenses</t>
  </si>
  <si>
    <t xml:space="preserve">      Effective Tax Rate%</t>
  </si>
  <si>
    <t>Net Income</t>
  </si>
  <si>
    <t>Key Operating Assumptions</t>
  </si>
  <si>
    <t># of sales people</t>
  </si>
  <si>
    <t>Cost / sales person</t>
  </si>
  <si>
    <t>YoY increase</t>
  </si>
  <si>
    <t>OpEx (excl. D&amp;A and R&amp;D) as % of revenue</t>
  </si>
  <si>
    <t>D&amp;A as % of revenue</t>
  </si>
  <si>
    <t>Other Expenses (net)</t>
  </si>
  <si>
    <t>CAPEX ($mm)</t>
  </si>
  <si>
    <t>Change in NWC ($mm)</t>
  </si>
  <si>
    <t>Tax Rate%</t>
  </si>
  <si>
    <t>POS Adjusted CAPEX ($mm)</t>
  </si>
  <si>
    <t>POS Adjusted Change in NWC ($mm)</t>
  </si>
  <si>
    <t>Workpapers</t>
  </si>
  <si>
    <t>Workpaper Labeling</t>
  </si>
  <si>
    <t>#</t>
  </si>
  <si>
    <t>Applied mid-period discounting.</t>
  </si>
  <si>
    <t>Pharmaceuticals</t>
  </si>
  <si>
    <t>Allergan plc</t>
  </si>
  <si>
    <t>Vitae Pharmaceuticals, Inc.</t>
  </si>
  <si>
    <t>IQTR384028496</t>
  </si>
  <si>
    <t>Vitae Pharmaceuticals, Inc., a biotechnology company, focuses on discovering and developing novel and small molecule drugs for diseases with unmet medical needs in the United States. Its products include VTP-43742 in Phase I clinical trial for the treatment of autoimmune disorders, including psoriasis, psoriatic arthritis, ankylosing spondylitis, inflammatory bowel disease, and multiple sclerosis; VTP-38543 in Phase IIa for the treatment of atopic dermatitis; and BI 1147560 for the treatment and prevention of Alzheimer's disease. The company’s products also include VTP-34072 that is in Phase II clinical trial for the treatment of type 2 diabetes; and VTP-38443 for the treatment of acute coronary syndrome. Vitae Pharmaceuticals, Inc. was founded in 2001 and is headquartered in Fort Washington, Pennsylvania. As of October 24, 2016, Vitae Pharmaceuticals, Inc. operates as a subsidiary of Allergan plc.</t>
  </si>
  <si>
    <t>Nexus BioPharma Corporation (nka:Nexus BioPharma, Inc.)</t>
  </si>
  <si>
    <t>Nexus BioPharma, Inc. Prior to Reverse merger with Nexus BioPharma Corporation</t>
  </si>
  <si>
    <t>IQTR340704865</t>
  </si>
  <si>
    <t>As of June 9, 2016, Nexus BioPharma, Inc. was acquired by Nexus BioPharma Corporation, in a reverse merger transaction. Nexus BioPharma, Inc., a life science company, develops and commercializes drugs for transformative obesity and diabetes treatments. The company was formerly known as Plata Resources, Inc. and changed its name to Nexus BioPharma, Inc. in May 2016. Nexus BioPharma, Inc. was incorporated in 2007 and is based in Montclair, New Jersey.</t>
  </si>
  <si>
    <t xml:space="preserve">Nexus BioPharma Corporation entered into an agreement of merger and plan of reorganization to acquire Nexus BioPharma, Inc. in a reverse merger transaction on May 17, 2016. Under the terms of the agreement, Nexus Biopharma will issue 5.271 shares and convertible promissory notes for each share in Nexus BioPharma. The convertible promissory notes will be converted to 35 million shares of Nexus Biopharma. The agreement may be terminated by the mutual consent of Nexus Biopharma, Inc. and Nexus BioPharma Corp, failure to perform in any respect of any of its agreements, material breach of any representations, warranties or covenants. Dexter Caliso will resign as Chief Executive Officer and President and Presentacion Coranes will resign as Chief Financial Officer, Chief Accounting Officer, Secretary, and Treasurer of Nexus BioPharma. Warren Lau will be Chief Executive Officer, Chief Financial Officer, President and Secretary. The transaction is subject to the delivery of the required audited and unaudited consolidated financial statements to the Nexus Biopharma, Inc, regulatory approvals, executed resignations of all officers and directors of Nexus Biopharma, Inc. delivery of necessary document on closing by each party, approval of 80% shareholders of Nexus BioPharma Corporation. The transaction was approved by the Board of Directors of Nexus Biopharma and Nexus BioPharma Corporation. The transaction is expected to close prior to September 30, 2016.
</t>
  </si>
  <si>
    <t>Valeritas Holdings, Inc.</t>
  </si>
  <si>
    <t>Valeritas Holdings, Inc. (nka:Valeritas Holdings, Inc., Prior to Reverse Merger with Valeritas, Inc.)</t>
  </si>
  <si>
    <t>IQTR402103919</t>
  </si>
  <si>
    <t xml:space="preserve">As of May 3, 2016 Valeritas Holdings, Inc. was acquired by Valeritas, Inc. in a reverse merger transaction. Valeritas Holdings, Inc., a commercial-stage medical technology company, develops technologies to treat Type 2 diabetes. The company’s products include V-Go, a disposable insulin delivery device that a patient adheres to skin every 24 hours; and h-Patch, a controlled delivery technology platform used in its V-Go devices. It also provides Mini-Ject, a disposable needle-free injection system that offers a range of pre-filled options; and Micro-Trans, a microneedle array patch to deliver drugs into the dermis layer of the skin. The company was founded in 2006 and is based in Bridgewater, New Jersey._x000D_
</t>
  </si>
  <si>
    <t xml:space="preserve">Valeritas, Inc. acquired Valeritas Holdings, Inc. (OTCPK: VLRX) in a reverse merger transaction on May 3, 2016. The shares of the Valeritas, Inc. issued and outstanding immediately prior to the Effective Time shall be cancelled or converted into the right to receive a number of shares of Valeritas Holdings, Inc. such that the aggregate number of shares of Valeritas Holdings, Inc. Common Stock issuable pursuant to this Agreement as a result of the Merger equals no more than 6.6 million shares of Valeritas Holdings, Inc. common stock. The transaction is conditional upon resignation of Director at Valeritas Holdings, consummation of private placement, conversion of debt to equity and audit of Valeritas, Inc, execution of lock up agreement, execution of employment contracts. The transaction has been unanimously approved and recommended to the shareholders by the Board of Valeritas, Inc. and Valeritas Holdings. Under the terms of the agreement Valeritas Holdings, Inc. will trade on the OTC Markets under the symbol "VLRX."  Valeritas, Inc. will continue to operate its business as usual. Steven M. Cohen of Morgan, Lewis &amp; Bockius LLP acted as legal advisor for Valeritas, Inc. and Barrett S. DiPaolo of CKR Law LLP acted as legal advisor for Valeritas Holdings, Inc._x000D_
</t>
  </si>
  <si>
    <t>Calibrium LLC and MB2 LLC</t>
  </si>
  <si>
    <t>IQTR310229188</t>
  </si>
  <si>
    <t>As of October 30, 2015, Calibrium LLC and MB2 LLC was acquired by Novo Nordisk A/S. Calibrium LLC and MB2 LLC represents the combined operations of Calibrium LLC and MB2 LLC in their sale to Novo Nordisk A/S. Calibrium LLC is a biopharmaceutical company engaging in discovery and early development of novel peptides for the treatment of diabetes and related metabolic diseases. MB2 LLC is a clinical-stage biopharmaceutical company advancing a pipeline of mixed agonist drugs for the treatment of diabetes and obesity. Calibrium LLC is based in Indianapolis, Indiana. MB2 LLC is based in Carmel, Indiana.</t>
  </si>
  <si>
    <t>Novo Nordisk A/S (CPSE:NOVO B) entered into a definitive agreement to acquire Calibrium LLC and MB2 LLC on August 27, 2015. The closing of the transaction is subject to US regulatory approval and is expected to occur during the third quarter of 2015.</t>
  </si>
  <si>
    <t>Celgene Corporation</t>
  </si>
  <si>
    <t>Receptos, Inc.</t>
  </si>
  <si>
    <t>IQTR306751096</t>
  </si>
  <si>
    <t>Receptos, Inc., a clinical-stage biopharmaceutical company, focuses on the discovery, development, and commercialization of therapeutics in immune disorders. Its lead product includes ozanimod, an oral therapy that is in phase III studies for the treatment of relapsing multiple sclerosis; and is in phase II studies to treat ulcerative colitis and crohn’s disease. The company is also developing RPC4046, a monoclonal antibody, which is in phase II trials for the treatment of eosinophilic esophagitis, an allergic/immune-mediated disorder. In addition, it is involved in a research program for glucagon-like peptide-1 receptor small molecule positive allosteric modulators that is in preclinical studies for the treatment of Type 2 diabetes. The company was formerly known as Receptor Pharmaceuticals, Inc. and changed its name to Receptos, Inc. in May 2009. Receptos, Inc. was founded in 2008 and is headquartered in San Diego, California. As of August 27, 2015, Receptos, Inc. operates as a subsidiary of Celgene Corporation.</t>
  </si>
  <si>
    <t xml:space="preserve">Celgene Corporation (NasdaqGS:CELG) signed an agreement to acquire Receptos, Inc. (NasdaqGS:RCPT) for $7.3 billion, net of cash, on July 14, 2015. Under the terms, Celgene Corporation will commence a tender offer to acquire all of the outstanding shares of Receptos, Inc. at an offer price of $232 per share in cash, followed by a second-step merger. Celgene will also pay $232 per share to restricted stock unit and option holders. Celgene expects to fund the transaction through a combination of existing cash and new debt. In connection with the transaction, Celgene entered into a bridge loan facility commitment letter with JPMorgan Chase Bank, N.A. and J.P. Morgan Securities LLC to finance, in part, the acquisition of Receptos and get an unsecured bridge loan facility in the amount of up to $5 billion. On August 4, 2015, Celgene entered into an underwriting agreement for its $8 billion public offering of senior notes and intends to use the net proceeds from the offering to finance a portion of its acquisition of Receptos, Inc. Under the terms of the deal, Celgene is liable to pay a termination fee of $400 million and Receptos is liable to pay $230 million as termination fee._x000D_
_x000D_
Celgene Board of Directors has, by unanimous vote, approved the merger agreement. Receptos board also approved the transaction and is subject to customary closing conditions, including the tender of at least a majority of outstanding shares of Receptos common stock and expiration of the applicable waiting period under the Hart-Scott-Rodino Antitrust Improvements Act of 1976. The transaction is expected to be neutral to adjusted earnings per share in 2018 and accretive beginning in 2019. The transaction is anticipated to close in 2015._x000D_
_x000D_
As on July 28, 2015, Celgene commenced the tender offer. The Board of Directors of Receptos has unanimously determined that the offer is fair, advisable and in the best interests of Receptos and its shareholders and recommends shareholders of Receptos to accept the offer and tender their shares. The tender offer is scheduled to expire on August 24, 2015, unless extended. The applicable waiting period under the HSR Act expired on August 10, 2015. As of August 25, 2015, the tender offer expired on August 24, 2015 and Celgene Corporation holds 83% stake in Receptos, Inc._x000D_
_x000D_
Jeff Stute and Henry Gosebruch of J.P. Morgan and Citi acted as financial advisors to Celgene Corporation, Robert A. Cantone and Daniel I. Ganitsky, Ori Solomon, Michael Ellis, Julie Kim, Daryn Grossman, Dan St. Onge, Andrea Rattner, Ali Fawaz, Colin Kass and Ron Franklin of Proskauer Rose LLP acted as legal advisors to Celgene Corporation. Centerview Partners LLC acted as a financial advisor to Receptos, Inc. and Charles K. Ruck and R. Scott Shean, Michael Young, Drew Capurro, Barbara Swensied, Jonathan Stone, Wesley Holmes, Jim Barrall, Michelle Carpenter, Jack Stratton, Samuel Weiner, Eric Song, Michael Egge, Amanda Reeves, Patrick English, Ben Haas, Rebecca Brandt, Betty Pang, Eitan Bernstein, Michael Dreyfuss, Christopher Norton and David Kuiper of Latham &amp; Watkins LLP acted as a legal advisors to Receptos, Inc. Morrow &amp; Co., LLC acted as information agent in the transaction. American Stock Transfer &amp; Trust Company, LLC acted as depositary for the tender offer. Cravath, Swaine &amp; Moore LLP acted as legal advisor for J.P. Morgan._x000D_
</t>
  </si>
  <si>
    <t>Sanofi-Aventis Deutschland GmbH</t>
  </si>
  <si>
    <t>MannKind Corp., Global Rights of Afrezza</t>
  </si>
  <si>
    <t>IQTR270074754</t>
  </si>
  <si>
    <t>As of September 23, 2014, Global Rights of Afrezza of MannKind Corp. were acquired by Sanofi-Aventis Deutschland GmbH. MannKind Corp., Global Rights of Afrezza comprises licenses for development and commercialization of Afrezza Inhalation Powder for the treatment of diabetes.</t>
  </si>
  <si>
    <t>Sanofi-Aventis Deutschland GmbH entered into an agreement to acquire global rights of Afrezza from MannKind Corp. (NasdaqGM:MNKD) for approximately $930 million on August 11, 2014. Sanofi-Aventis will pay $150 million upfront and will pay up to $775 million as milestone payments based on sales. Sanofi will receive global licensing rights, rights for development and commercialization of Afrezza and will retain 65% of profits and losses with MannKind bearing 35% of the profits and losses. The deal is subject to satisfaction of the applicable waiting period under the Hart-Scott-Rodino Antitrust Improvements Act of 1976, as amended and completion of financing documentation. Greenhill &amp; Co. acted as financial advisor to MannKind.</t>
  </si>
  <si>
    <t>Salix Pharmaceuticals, Inc</t>
  </si>
  <si>
    <t>Santarus, Inc.</t>
  </si>
  <si>
    <t>IQTR249981564</t>
  </si>
  <si>
    <t>Santarus, Inc., a specialty biopharmaceutical company, focuses on acquiring, developing, and commercializing proprietary products that address the needs of patients treated by physician specialists. The company offers UCERIS (budesonide) extended release tablets for the induction of remission in patients with active, mild to moderate ulcerative colitis; and ZEGERID (omeprazole/sodium bicarbonate) for the treatment of certain upper gastrointestinal disorders. It also provides GLUMETZA (metformin hydrochloride extended release tablets) and CYCLOSET (bromocriptine mesylate) tablets, which are indicated as adjuncts to diet and exercise to improve glycemic control in adults with type 2 diabetes; and FENOGLIDE (fenofibrate) tablets, which are indicated as an adjunct to diet to reduce high cholesterol. Santarus' product development pipeline includes the investigational drug RUCONEST (recombinant human C1 esterase inhibitor) for the treatment of acute angioedema attacks in patients with hereditary angioedema. It is also developing Rifamycin SV MMX, which is in Phase III clinical testing for the treatment of travelers' diarrhea. In addition, the company has completed a Phase I clinical program with SAN-300, an investigational monoclonal antibody. Santarus, Inc. was founded in 1996 and is headquartered in San Diego, California. As of December 31, 2013, Santarus, Inc. operates as a subsidiary of Salix Pharmaceuticals, Inc.</t>
  </si>
  <si>
    <t>Salix Pharmaceuticals Ltd. (NasdaqGS:SLXP) made a proposal to acquire Santarus, Inc. (NasdaqGS:SNTS) from S.A.C. Capital Management, LLC, Visium Asset Management, LLC and other shareholders for $2 billion on July 19, 2013. Salix has agreed to purchase all of the issued and outstanding shares of common stock of Santarus for $28 to $30 per share in cash. The Santarus Board rejected the proposal and viewed the proposal as inadequate.
Salix Pharmaceuticals Ltd. (NasdaqGS:SLXP) made a revised proposal to acquire Santarus, Inc. (NasdaqGS:SNTS) for $2 billion on September 12, 2013. Salix has agreed to purchase all of the issued and outstanding shares of common stock of Santarus for $30 per share in cash. The Santarus Board rejected the proposal and viewed the proposal as inadequate.
Salix Pharmaceuticals Ltd. (NasdaqGS:SLXP) made a revised proposal to acquire Santarus, Inc. (NasdaqGS:SNTS) for $2.2 billion on September 26, 2013. Salix has agreed to purchase all of the issued and outstanding shares of common stock of Santarus for $32 per share in cash.
Salix Pharmaceuticals Ltd. (NasdaqGS:SLXP) made a revised proposal to acquire Santarus, Inc. (NasdaqGS:SNTS) for $2.2 billion on October 8, 2013. Salix has agreed to purchase all of the issued and outstanding shares of common stock of Santarus for $33 per share in cash.
Salix Pharmaceuticals Ltd. (NasdaqGS:SLXP) made a revised proposal to acquire Santarus, Inc. (NasdaqGS:SNTS) for $2.2 billion on November 1, 2013. Salix has agreed to purchase all of the issued and outstanding shares of common stock of Santarus for $32 per share in cash. On November 5, 2013, Salix Board unanimously approved the transaction. On November 6, 2013, the Santarus Board unanimously approved the transaction.
Salix Pharmaceuticals Ltd. (NasdaqGS:SLXP) entered into an agreement and plan of merger to make a tender offer to acquire Santarus, Inc. (NasdaqGS:SNTS) for $2.2 billion on November 7, 2013. Salix has agreed to commence a cash tender offer to purchase all of the issued and outstanding shares of common stock of Santarus at a price per share equal to $32. Salix shall commence the offer on or before December 3, 2013. Salix commenced the offer on or before December 3, 2013. The offer shall remain open until the end of the 20th business day after the date that the offer is commenced. The tender offer is scheduled to expire at the end of the day on December 31, 2013, unless the tender offer is extended.
Salix intends to finance the transaction with a combination of approximately $800 million through cash on hand and $1.95 billion in committed financing from Jefferies Finance LLC. Jefferies Finance LLC also has committed to provide an additional $150 million revolving credit facility. The commitment from Jefferies Finance LLC to provide financing is subject to the satisfaction of customary conditions. In the event of termination, Santarus shall pay to Salix in cash a nonrefundable termination fee of $80 million or 3.3% of the total consideration on a fully diluted basis.
The consummation of the offer is subject to the satisfaction of customary conditions, including the termination or expiration of the waiting period applicable to the offer under the Hart-Scott-Rodino Antitrust condition, government approval and a minimum tender of at least a majority of the outstanding shares of Santarus common stock on a fully diluted basis. The Board of Directors of Santarus resolved to recommend acceptance of the offer by Santarus’ stockholders.
The merger is expected to complete in the first quarter of 2014, subject to the satisfaction of the closing conditions. Santarus’ financial advisor has delivered to the Board its executed written opinion that the consideration is fair from a financial point of view. The deal is expected to be immediately and significant accretive in 2014.
As of December 10, 2013, waiting period under the Hart-Scott-Rodino Antitrust Improvements Act of 1976, as amended in connection with the trsnasction has expired. The Offer expired at 12:00 midnight, New York City time at the end of the day on December 31, 2013 as scheduled and was not extended. The transaction involved a total of 52.6 million shares tendered representing approximately 76.4% of the outstanding shares. As on January 2, 2014, payment for all validly tendered shares was accepted. Also, notice of guaranteed delivery has been received with respect to additional 2.9% of outstanding shares.
Kyle Rabe, Patrick Manchester, Nick Simon, Mike Lefever, Kerry Burke, Matt Franker, Sara Needles, Stephanie Bignon, Amy Toro, Ed Dixon, Jimmy Toy, James Wawrzyniak, David Martin, Keir Gumbs, Mike Francese, Christen Sewell, Jeff Bozman, Peter Safir, Scott Cunningham, Noellyn Davies, Mingham Ji, Anna Kraus, Stefanie Doebler, Dena Feldman, James Dean, James Burke, Heather Haberl, Rob Heller, Sarah Burnham, Edward C. Britton and Catherine J. Dargan of Covington &amp; Burling LLP acted as legal advisors to Salix Pharmaceuticals, Ltd. Scott Wolfe, Matthew Bush, Matthew Grant, Max Kamer, Jason Morelli, Jim Barrall, Michelle Khoury, John Wehrli, Laurence Stein, Tali Weiss, Tad Lipsky, Sydney Smith, Tomas Nilsson, Ben Haas, Betty Pang, Christopher Plaut and Nicole Fanjul of Latham &amp; Watkins LLP acted as legal advisors to Santarus, Inc. Robert Steininger of Jefferies LLC acted as a financial advisors to Salix on the deal. Peter Reikes, Declan Quirke, Neal Karnovsky, Nick Desjardins, Melissa Chan and Kevin Reilly of Stifel, Nicolaus &amp; Co acted as financial advisor to Santarus in the transaction for an advisory fee of $26.3 million. Computershare Trust Company, N.A. acted as the depository and Georgeson Inc. acted as the information agent for Salix. David Schwartzbaum and Joseph Gangitano of Greenberg Traurig, LLP acted as legal advisors for Jefferies LLC. American Stock Transfer &amp; Trust Company, LLC acted as transfer agent for Santarus.</t>
  </si>
  <si>
    <t>Bristol-Myers Squibb Company</t>
  </si>
  <si>
    <t>Amylin Pharmaceuticals, LLC</t>
  </si>
  <si>
    <t>IQTR212731877</t>
  </si>
  <si>
    <t>Amylin Pharmaceuticals, LLC, a biopharmaceutical company, engages in the discovery, development, and commercialization of drug candidates for the treatment of diabetes, obesity, and other diseases. The company offers BYDUREON (exenatide extended-release for injectable suspension), a once-weekly diabetes treatment as an adjunct to diet and exercise to improve glycemic control in adult patients with type 2 diabetes. Its products include BYETTA (exenatide) injection for the treatment of type 2 diabetes; and SYMLIN (pramlintide acetate) injection for the treatment of type 1 and type 2 diabetes. The company develops a dual chamber cartridge pen configuration of BYDUREON that allow patients to mix and administer BYDUREON from a pre-filled pen device. The company markets its products to healthcare providers, managed healthcare organizations, hospitals, wholesalers and pharmacies, government purchasers, and other third-party payers primarily in the United States. It has a collaboration agreement with Alkermes Controlled Therapeutics, Inc. II for the development, manufacture, and commercialization of BYDUREON; and a strategic relationship with Biocon, Limited, to develop pharmaceutical products for diabetes. The company was founded in 1987 and is headquartered in San Diego, California. Amylin Pharmaceuticals, LLC operates as a subsidiary of AstraZeneca PLC.</t>
  </si>
  <si>
    <t>Bristol-Myers Squibb Company (NYSE:BMY) entered into an agreement to acquire Amylin Pharmaceuticals, Inc. (NasdaqGS:AMLN) from Eli Lilly &amp; Co. (NYSE:LLY), Blackhawk Partners, Inc., Icahn Capital LP, Wellington Management Company LLP, Daniel M. Bradbury, Mark G. Folleta, Orville G. Kolterman, Mark J. Gergen and other investors for $5.1 billion in cash on June 29, 2012. The offer per share is $31. Bristol-Myers will also acquire the options of Amylin. Bristol-Myers Squibb will finance the acquisition from its existing cash resources and credit facilities. Post acquisition, Amylin Pharmaceuticals will become a wholly owned subsidiary of Bristol-Myers. Following completion of Bristol-Myers Squibb’s acquisition of Amylin, AstraZeneca will make a payment to Amylin in the amount of approximately $3.4 billion in cash. Bristol-Myers Squibb will also acquire the rights to the Byetta and Bydureon diabetics drugs for $3.4 billion. In addition, AstraZeneca has the option, exercisable at its sole discretion following the closing of the acquisition, to establish equal governance rights over key strategic and financial decisions regarding the collaboration, upon the payment to Bristol-Myers Squibb of an additional $135 million. These collaboration arrangements have been approved by the Boards of Directors of Bristol-Myers Squibb and AstraZeneca. Bristol-Myers Squibb intends to use the net proceeds from the notes offering in the aggregate principal amount of $2 billion, the issuance of commercial paper and cash on hand to finance the acquisition of Amylin Pharmaceuticals, Inc. In the event of termination of the acquisition, Amylin will pay a termination fee of $160 million to Bristol.
Amylin Pharmaceuticals has granted an irrevocable option (“Top-Up Option”), which shall be exercised following consummation of the offer, to purchase that number of shares of common stock that is equal to one share more than the amount needed to give Bristol-Myers Squibb Company ownership of 90% of the outstanding shares of common stock. The merger agreement contains a provision under which Amylin has agreed not to solicit any competing offers. The acquisition is subject to approval by the Board of Directors of Bristol-Myers and Amylin, approval by Amylin's shareholders, acceptance of share pursuant to the offer, the tender of a number of shares that constitutes at least a majority of Amylin’s outstanding shares of common stock and antitrust regulations. The transaction is not subject to any financing condition. The acquisition was unanimously approved by the Board of both Bristol-Myers and Amylin. The Board of Amylin has recommended its shareholders to tender their shares in connection to the merger. The companies expect the tender offer to close approximately thirty days after commencement of the tender offer and complete the transaction in the third quarter of 2012. Following completion of the tender offer, the remaining shares of Amylin will be acquired through a second-step merger. For Bristol-Myers Squibb, the transaction is expected to be dilutive to Bristol's earnings per share (EPS) in 2012 and 2013 by approximately $0.03, becoming slightly accretive starting in 2014 with incremental accretion expected in the later part of the decade.
As of July 10, 2012, Bristol-Myers commenced the tender offer for Amylin and will expire on August 7, 2012, unless extended. As on August 1, 2012, the waiting period under the Hart-Scott-Rodino Antitrust Improvement Act expired.
Leon Kalvaria, Ross Hammerman, Vikram Bhardwaj and Dave Magstadt of Citigroup Global Markets, Inc. and Francois Maisonrouge, Jeff Goater, Brett Kaplan, Eddy Kim and Emily Zhou of Evercore Group L.L.C. acted as the financial advisors and David Fox, Daniel Wolf, Joshua Zachariah, David Feirstein and Laura Sullivan of Kirkland &amp; Ellis LLP acted as legal advisors to Bristol-Myers Squibb. Vincent Lazada of Credit Suisse Securities (USA) LLC and Chuck Adams, Jim Katzman, Gene Sykes and David Woodhouse of Goldman Sachs &amp; Co. acted as the financial advisors and Nancy Lieberman and Ann Beth Stebbins of Skadden, Arps, Slate, Meagher &amp; Flom LLP acted as legal advisor to Amylin. Robert Katz of Shearman &amp; Sterling LLP represented Credit Suisse Securities (USA) LLC as financial advisor to Amylin Pharmaceuticals, Inc. Michael Treska, Charles Ruck, Scott Shean, Pete Kerman, David Wheeler, Scott Akamine and Laura Sullivanof Latham &amp; Watkins LLP acted as legal advisor to Goldman, Sachs &amp; Co. Georgeson, Inc. acted as the information agent and Wells Fargo Bank, N.A. acted as the depositary for Bristol-Myers Squibb Company in connection with the offer. Credit Suisse will receive a fee of approximately $27.9 million for its financial advisory services. Goldman, Sachs &amp; Co. will receive a fee of approximately $29.2 million for its services. Bank of America Merrill Lynch acted as financial advisor for AstraZeneca. Gregory P. Williamz of Richards, Layton &amp; Finger, P.A. acted as legal advisor for Amylin.</t>
  </si>
  <si>
    <t>Islet Sciences, Inc.</t>
  </si>
  <si>
    <t>DiaKine Therapeutics, Inc.</t>
  </si>
  <si>
    <t>IQTR171930534</t>
  </si>
  <si>
    <t>DiaKine Therapeutics, Inc. develops and commercializes therapies for type 1 and type 2 diabetes, and related complications. The company develops immune anti-inflamatory modulators into therapies for preventing inflammatory damage to insulin producing cells in islets and blocking complications that result from diabetes. The company develops Lisofylline, a small-molecule drug that blocks the destructive and inflammatory actions of immune agents called cytokines. The company was incorporated in 2004 and is based in Norfolk, Virginia. As of March 14, 2012, DiaKine Therapeutics, Inc. operates as a subsidiary of Islet Sciences, Inc.</t>
  </si>
  <si>
    <t>Islet Sciences, Inc. (OTCBB:ONCE.D) entered into a share exchange agreement to acquire DiaKine Therapeutics, Inc. from BlueTree Capital Group and other shareholders on February 23, 2012. Under the terms of consideration, Islet Sciences will issue 0.2 million shares of series C preferred stock to the shareholders of DiaKine Therapeutics. Each share of Series C preferred stock will be convertible into 10 shares of the Islet's common stock. Islet Sciences also agreed to issue to certain creditors of DiaKine, 0.1 million shares of its common stock in satisfaction of DiaKine's liabilities outstanding as of the closing. DiaKine Therapeutics will become a wholly-owned subsidiary of Islet Sciences.
The Board of Directors of Islet Sciences and DiaKine Therapeutics have approved this agreement. The transaction is subject to government approval, execution of consulting agreements and lock-up agreement. Darren L. Ofsink of Guzov Ofsink, LLC acted as a legal advisor for Islet Sciences and Brian C. Purcell of Willcox &amp; Savage, P.C. acted as a legal advisor for DiaKine Therapeutics, Inc. Jeff Ramson of ProActive Capital Resources Group, LLC acted as PR advisor for Islet Sciences.</t>
  </si>
  <si>
    <t>CDH Investments; New Horizon Capital; CITIC Private Equity Funds Management Co., Ltd.</t>
  </si>
  <si>
    <t>IQTR172621471</t>
  </si>
  <si>
    <t>CDH Investments, CITIC Private Equity Funds Management Co., Ltd. and New Horizon Capital acquired 77.41% stake in Luye Pharma Group Ltd. (SGX:A61) from MBK Partners on February 28, 2012. Under the terms of the agreement, one share and bonds convertible into shares in Luye International to Luye Pharma were acquired in the transaction. Wilson, Sonsini, Goodrich &amp; Rosati acted as legal advisor to New Horizon Capital.</t>
  </si>
  <si>
    <t>Roche Holding AG</t>
  </si>
  <si>
    <t>Marcadia Biotech, Inc.</t>
  </si>
  <si>
    <t>IQTR117803920</t>
  </si>
  <si>
    <t>Marcadia Biotech, Inc. discovers, develops, and commercializes drug candidates and biopharmaceutical products for the treatment of diabetes, obesity, and metabolic diseases. It has a strategic collaboration with Merck &amp; Co., Inc. The company was formerly known as PhySci Pharmaceuticals, Inc. and changed its name to Marcadia Biotech, Inc. in 2006. The company was founded in 2005 and is based in Nutley, New Jersey. As of December 30, 2010, Marcadia Biotech, Inc. operates as a subsidiary of Roche Holding AG.</t>
  </si>
  <si>
    <t>Roche Holding AG (SWX: ROG) acquired Marcadia Biotech, Inc. from 5AM Ventures, Twilight Venture Partners, LLC and Frazier Healthcare Ventures for approximately $500 million on December 30, 2010. J.P. Morgan acted as financial advisor for Marcadia Biotech.</t>
  </si>
  <si>
    <t>Transition Therapeutics Inc.</t>
  </si>
  <si>
    <t>Sanofi-Aventis (nka:Sanofi)</t>
  </si>
  <si>
    <t>Metabolex, Inc., MBX-2982 Novel Type 2 Diabetes Treatment Product Line</t>
  </si>
  <si>
    <t>IQTR108906276</t>
  </si>
  <si>
    <t>Metabolex, Inc., MBX-2982 Novel Type 2 Diabetes Treatment Product Line comprises MBX-2982, a potent selective orally active GPR119 agonist for type 2 diabetes. Metabolex, Inc. is based in Hayward, California.</t>
  </si>
  <si>
    <t>Sanofi-Aventis (ENXTPA: SAN) signed a global license and development agreement to acquire MBX-2982 Novel Type 2 Diabetes Treatment product line from Metabolex, Inc. for approximately $380 million on June 25, 2010. Under this agreement, Metabolex will receive an upfront payment and will be eligible to receive development, regulatory, and specified commercial milestones. Metabolex is also eligible to receive royalties on worldwide sales of marketed products. The license agreement is subject to antitrust clearance under the Hart-Scott-Rodino Antitrust Improvements Act. The deal received early termination under Hart-Scott Rodino Act on July 19, 2010.</t>
  </si>
  <si>
    <t>End Date</t>
  </si>
  <si>
    <t>Deferred Revenue</t>
  </si>
  <si>
    <t>IQTR370072353</t>
  </si>
  <si>
    <t>Transition Therapeutics Inc., a biopharmaceutical company, researches and develops therapeutic agents for disease indications primarily in Canada. The company's lead central nervous system drug candidate is ELND005, which has completed a Phase II/III clinical trial for the treatment of agitation/aggression associated with Alzheimer's disease; and has completed Phase IIa clinical trial for the treatment of Down syndrome. Its lead metabolic drug candidate is TT401, which is in Phase II clinical study for the treatment of type 2 diabetes and accompanying obesity. The company is also developing TT701, a selective androgen receptor modulator for the treatment of androgen deficiencies. Transition Therapeutics Inc. has a licensing and collaboration agreement with Eli Lilly to develop and commercialize TT401; and to develop compounds in preclinical models to provide glycemic control and other beneficial effects, including weight loss. The company was formerly known as Transition Therapeutics and Diagnostics Inc. and changed its name to Transition Therapeutics Inc. in December 2000. Transition Therapeutics Inc. was founded in 1987 and is headquartered in Toronto, Canada. As of August 31, 2016, Transition Therapeutics Inc. operates as a subsidiary of Opko Health, Inc.</t>
  </si>
  <si>
    <t xml:space="preserve">Opko Health, Inc. (NasdaqGS:OPK) signed a definitive agreement to acquire Transition Therapeutics Inc. (TSX:TTH) (TTHI) from Oracle Investment Management, Inc., Schuler Family Trust, Schuler Family Foundation, Endowment Arm and others for $59.8 million on June 29, 2016. Under the terms of the agreement, TTHI security holders will receive approximately 6.43 million shares of common stock of Opko Health. If the agreement is terminated under certain circumstances specified in the arrangement agreement, TTHI will be required to pay the Opko Health a termination fee of $3 million; however, if the agreement is terminated by (a) either party due to TTHI’s stockholders not approving the agreement at a special meeting, TTHI will be required to pay the Opko Health a termination fee of $1.8 million and (b) by Opko Health due to TTHI’s breaches of its representations and warranties under the agreement, TTHI will be required to pay the Opko Health $0.5 million in lieu of the termination fee. Additionally, if the Opko Health terminates the agreement due to TTHI’s breaches of its representations and warranties, and within 12 months after such termination, the Opko Health would otherwise be entitled to the termination fee, then TTHI will pay the Opko Health an additional $2.5 million._x000D_
_x000D_
As on August 4, 2016, pursuant to the arrangement, Transition shareholders (other than dissenting shareholders or OPKO or any affiliate of OPKO that holds transition shares) will receive, for each Transition share held, the number of OPKO Shares as determined by the exchange ratio set forth in the plan of arrangement. The deal is subject to approval of from shareholders of Transition Therapeutics, approval from Ontario Superior Court of Justice, the approval by the NASDAQ Stock Market with respect to the listing of the shares of common stock of Opko Health to be issued in the arrangement, regulatory approval, third party approval and other customary conditions. The agreement is approved by the Boards of Directors of Opko Health and unanimously approved by Board of TTHI. The transaction has been approved by the shareholders of Transition Therapeutics on August 25, 2016. The transaction is expected to close during the second half of 2016. _x000D_
_x000D_
Terry Rooney and Marion Janic of Rooney &amp; Associates and Anne Marie Fields and Bruce Voss of LHA acted as public relations advisors in the deal. KPMG LLP acted as financial advisor to TTHI. Michael J. Bennett of McCarthy Tétrault LLP acted as legal advisor for TTHI. Bob Grossman, Robert L. Grossman, Joshua M. Samek, Josh Samek, Robert Charrow, Seth Entin, Stephen Pepper, Evan Kantor and Indira Sordo of Greenberg, Traurig, PA and Blake, Cassels &amp; Graydon acted as legal advisors for Opko Health. Computershare Investor Services Inc acted as transfer agent for Transition Therapeutics._x000D_
</t>
  </si>
  <si>
    <t>As of the Valuation Date</t>
  </si>
  <si>
    <t>Stock</t>
  </si>
  <si>
    <t>Total Market</t>
  </si>
  <si>
    <t>Total Enterprise</t>
  </si>
  <si>
    <t>OTCPK:PZRX.Q</t>
  </si>
  <si>
    <t>NasdaqCM:ONS</t>
  </si>
  <si>
    <t xml:space="preserve">Comparable Indication / Technology </t>
  </si>
  <si>
    <t>VTP-34072, Type 2 Diabetes</t>
  </si>
  <si>
    <t>TT401, Type 2 Diabetes</t>
  </si>
  <si>
    <t>Type 2 Diabetes</t>
  </si>
  <si>
    <t>IND</t>
  </si>
  <si>
    <t>Diabetes</t>
  </si>
  <si>
    <t>Afrezza, Type 2 Diabetes</t>
  </si>
  <si>
    <t>Cycloset, Type 2 Diabetes</t>
  </si>
  <si>
    <t>Byetta and Bydureon, Type 2 Diabetes</t>
  </si>
  <si>
    <t>MBX-2982, Type 2 Diabetes</t>
  </si>
  <si>
    <t>https://www.allergan.com/news/news/thomson-reuters/allergan-successfully-completes-vitae-tender-offer</t>
  </si>
  <si>
    <t>https://www.businesswire.com/news/home/20160830006574/en/OPKO-Health-Completes-Acquisition-Transition-Therapeutics</t>
  </si>
  <si>
    <t>https://www.prnewswire.com/news-releases/nexus-biopharma-inc-completes-merger-300283190.html</t>
  </si>
  <si>
    <t>https://www.prnewswire.com/news-releases/valeritas-completes-alternative-public-offering-and-raises-gross-proceeds-of-252-million-578078911.html</t>
  </si>
  <si>
    <t>http://www.biopharminternational.com/celgene-buy-receptos-72-billion</t>
  </si>
  <si>
    <t>http://www.news.sanofi.us/2014-08-11-Sanofi-and-MannKind-Announce-Global-Licensing-Agreement-for-Afrezza-insulin-human-Rapid-Acting-Inhaled-Insulin</t>
  </si>
  <si>
    <t>https://www.businesswire.com/news/home/20131107006615/en/Salix-Pharmaceuticals-Acquire-Santarus</t>
  </si>
  <si>
    <t>https://news.bms.com/press-release/partnering-news/bristol-myers-squibb-and-astrazeneca-expand-diabetes-alliance-through-</t>
  </si>
  <si>
    <t>https://www.prnewswire.com/news-releases/islet-sciences-enters-into-agreement-to-acquire-diakine-therapeutics-140876983.html</t>
  </si>
  <si>
    <t>https://www.fiercebiotech.com/biotech/sanofi-inks-375m-deal-metabolex-for-diabetes-target</t>
  </si>
  <si>
    <t>No. of Assets / Programs</t>
  </si>
  <si>
    <t>Implied Value per Program</t>
  </si>
  <si>
    <t>VTP-43742, Other Autoimmune</t>
  </si>
  <si>
    <t>Diabetes drug's last status is back in 2015, no current/recent info available on this drug; http://adisinsight.springer.com/trials/700252359</t>
  </si>
  <si>
    <t>Early Development</t>
  </si>
  <si>
    <t>MAR701, Type 2 Diabetes</t>
  </si>
  <si>
    <t>http://www.bioworld.com/content/roche-gobbles-obesity-candidates-marcadia-buy-0</t>
  </si>
  <si>
    <t>Banificiary</t>
  </si>
  <si>
    <t>Total Granted ESOP</t>
    <phoneticPr fontId="12" type="noConversion"/>
  </si>
  <si>
    <t>Committed at employment/contract_Granted</t>
    <phoneticPr fontId="12" type="noConversion"/>
  </si>
  <si>
    <t>CTA filing in 2012</t>
    <phoneticPr fontId="12" type="noConversion"/>
  </si>
  <si>
    <t>CTA approval in 2013</t>
    <phoneticPr fontId="12" type="noConversion"/>
  </si>
  <si>
    <t>Achieving both Ph Ib and NDF in 2014</t>
    <phoneticPr fontId="12" type="noConversion"/>
  </si>
  <si>
    <t>Ph Ic/Id/PhII&amp;III CTP Milestones in 2015</t>
    <phoneticPr fontId="12" type="noConversion"/>
  </si>
  <si>
    <t>Series C financing in 2016</t>
    <phoneticPr fontId="12" type="noConversion"/>
  </si>
  <si>
    <t>2016 New Hire</t>
    <phoneticPr fontId="12" type="noConversion"/>
  </si>
  <si>
    <t>Enter into Phase III in 2016</t>
    <phoneticPr fontId="12" type="noConversion"/>
  </si>
  <si>
    <t>2017 New Hire</t>
    <phoneticPr fontId="12" type="noConversion"/>
  </si>
  <si>
    <t>2017 Year End Award</t>
    <phoneticPr fontId="12" type="noConversion"/>
  </si>
  <si>
    <t>Employee No.</t>
    <phoneticPr fontId="12" type="noConversion"/>
  </si>
  <si>
    <t>Name</t>
    <phoneticPr fontId="12" type="noConversion"/>
  </si>
  <si>
    <t>Title</t>
    <phoneticPr fontId="11" type="noConversion"/>
  </si>
  <si>
    <t>No.of Shares</t>
    <phoneticPr fontId="11" type="noConversion"/>
  </si>
  <si>
    <t>Exercise Price
(USD)</t>
    <phoneticPr fontId="12" type="noConversion"/>
  </si>
  <si>
    <t>Vesting Commencement Date</t>
    <phoneticPr fontId="11" type="noConversion"/>
  </si>
  <si>
    <t>Vesting Period
(months)</t>
    <phoneticPr fontId="12" type="noConversion"/>
  </si>
  <si>
    <t>Grant Date</t>
    <phoneticPr fontId="12" type="noConversion"/>
  </si>
  <si>
    <t>Vesting Commencement Date</t>
    <phoneticPr fontId="12" type="noConversion"/>
  </si>
  <si>
    <t>HM001</t>
  </si>
  <si>
    <t>Chen, Li</t>
    <phoneticPr fontId="11" type="noConversion"/>
  </si>
  <si>
    <t>CEO</t>
    <phoneticPr fontId="11" type="noConversion"/>
  </si>
  <si>
    <t>HM002</t>
  </si>
  <si>
    <t>Hua, Yunfeng</t>
    <phoneticPr fontId="11" type="noConversion"/>
  </si>
  <si>
    <t>Facility Officer</t>
    <phoneticPr fontId="11" type="noConversion"/>
  </si>
  <si>
    <t>HM003</t>
    <phoneticPr fontId="12" type="noConversion"/>
  </si>
  <si>
    <t>Choi, John</t>
    <phoneticPr fontId="11" type="noConversion"/>
  </si>
  <si>
    <t>HM004</t>
  </si>
  <si>
    <t>Jin, Xiaowei</t>
  </si>
  <si>
    <t>Director of Biology</t>
    <phoneticPr fontId="11" type="noConversion"/>
  </si>
  <si>
    <t>HM005</t>
  </si>
  <si>
    <t>Yao, Ying</t>
    <phoneticPr fontId="11" type="noConversion"/>
  </si>
  <si>
    <t>Administration Director</t>
    <phoneticPr fontId="11" type="noConversion"/>
  </si>
  <si>
    <t>HM006</t>
  </si>
  <si>
    <t>Cao, Beili</t>
    <phoneticPr fontId="11" type="noConversion"/>
  </si>
  <si>
    <t>Admin Manager, CRDS</t>
    <phoneticPr fontId="11" type="noConversion"/>
  </si>
  <si>
    <t>HM007</t>
  </si>
  <si>
    <t>Sun, Li</t>
    <phoneticPr fontId="11" type="noConversion"/>
  </si>
  <si>
    <t>Finance Manager</t>
    <phoneticPr fontId="11" type="noConversion"/>
  </si>
  <si>
    <t>HM008</t>
  </si>
  <si>
    <t>Li, Yongguo</t>
  </si>
  <si>
    <t>VP, CMC</t>
    <phoneticPr fontId="11" type="noConversion"/>
  </si>
  <si>
    <t>HM009</t>
  </si>
  <si>
    <t>Zhang, Yi</t>
  </si>
  <si>
    <t>VP, CRD</t>
    <phoneticPr fontId="12" type="noConversion"/>
  </si>
  <si>
    <t>HM010</t>
  </si>
  <si>
    <t>Hu, Tianxin</t>
    <phoneticPr fontId="11" type="noConversion"/>
  </si>
  <si>
    <t>Sr. Manager, Clinical Operation</t>
    <phoneticPr fontId="12" type="noConversion"/>
  </si>
  <si>
    <t>HM011</t>
  </si>
  <si>
    <t>Song, Haoliang</t>
    <phoneticPr fontId="11" type="noConversion"/>
  </si>
  <si>
    <t>Sr. Director, Nonclinical Safety &amp; PM</t>
    <phoneticPr fontId="11" type="noConversion"/>
  </si>
  <si>
    <t>HM012</t>
  </si>
  <si>
    <t>Lu, Yang</t>
    <phoneticPr fontId="11" type="noConversion"/>
  </si>
  <si>
    <t>Sr. Admin Project Manager</t>
    <phoneticPr fontId="11" type="noConversion"/>
  </si>
  <si>
    <t>HM013</t>
  </si>
  <si>
    <t xml:space="preserve">Zhao, Yu </t>
    <phoneticPr fontId="11" type="noConversion"/>
  </si>
  <si>
    <t>Manager, Medical Sciences</t>
    <phoneticPr fontId="11" type="noConversion"/>
  </si>
  <si>
    <t>HM014</t>
  </si>
  <si>
    <t>Yu, Gang</t>
    <phoneticPr fontId="11" type="noConversion"/>
  </si>
  <si>
    <t>Senior Director, Regulatory</t>
    <phoneticPr fontId="11" type="noConversion"/>
  </si>
  <si>
    <t>HM015</t>
  </si>
  <si>
    <t>Kelly Xiao Chen</t>
    <phoneticPr fontId="11" type="noConversion"/>
  </si>
  <si>
    <t>Administration Assistant</t>
    <phoneticPr fontId="11" type="noConversion"/>
  </si>
  <si>
    <t>HM016</t>
  </si>
  <si>
    <t xml:space="preserve">Zhang, Meng </t>
    <phoneticPr fontId="11" type="noConversion"/>
  </si>
  <si>
    <t>Manager, Clinical Operation</t>
    <phoneticPr fontId="12" type="noConversion"/>
  </si>
  <si>
    <t>HM017</t>
  </si>
  <si>
    <t xml:space="preserve">Duan, Yujiao </t>
    <phoneticPr fontId="11" type="noConversion"/>
  </si>
  <si>
    <t>IPR Officer</t>
    <phoneticPr fontId="12" type="noConversion"/>
  </si>
  <si>
    <t>HM018</t>
  </si>
  <si>
    <t xml:space="preserve">Wang, Gaoshen </t>
    <phoneticPr fontId="11" type="noConversion"/>
  </si>
  <si>
    <t>Director, Drug formulation</t>
    <phoneticPr fontId="12" type="noConversion"/>
  </si>
  <si>
    <t>HM019</t>
  </si>
  <si>
    <t xml:space="preserve">She, Jin </t>
    <phoneticPr fontId="11" type="noConversion"/>
  </si>
  <si>
    <t>VP, Chemistry</t>
    <phoneticPr fontId="12" type="noConversion"/>
  </si>
  <si>
    <t>HM020</t>
  </si>
  <si>
    <t xml:space="preserve">Zhao, Guiyu </t>
    <phoneticPr fontId="11" type="noConversion"/>
  </si>
  <si>
    <t>Data Sciences</t>
    <phoneticPr fontId="12" type="noConversion"/>
  </si>
  <si>
    <t>HM021</t>
  </si>
  <si>
    <t xml:space="preserve">Wang, Jingjing </t>
    <phoneticPr fontId="11" type="noConversion"/>
  </si>
  <si>
    <t>HM022</t>
  </si>
  <si>
    <t xml:space="preserve">Liu, Jingjing </t>
    <phoneticPr fontId="11" type="noConversion"/>
  </si>
  <si>
    <t>HM023</t>
  </si>
  <si>
    <t>Li, Li</t>
    <phoneticPr fontId="11" type="noConversion"/>
  </si>
  <si>
    <t>Associated Director, Quality Assurance</t>
    <phoneticPr fontId="12" type="noConversion"/>
  </si>
  <si>
    <t>HM024</t>
  </si>
  <si>
    <t xml:space="preserve">Ren, Shuang </t>
    <phoneticPr fontId="11" type="noConversion"/>
  </si>
  <si>
    <t>Director, Pharmacology</t>
    <phoneticPr fontId="12" type="noConversion"/>
  </si>
  <si>
    <t>HM026</t>
  </si>
  <si>
    <t>JI, Ying</t>
  </si>
  <si>
    <t>PM</t>
  </si>
  <si>
    <t>HM027</t>
  </si>
  <si>
    <t>Ge, Xiaoyun</t>
    <phoneticPr fontId="12" type="noConversion"/>
  </si>
  <si>
    <t>Asso. Director</t>
  </si>
  <si>
    <t>HM028</t>
    <phoneticPr fontId="12" type="noConversion"/>
  </si>
  <si>
    <t xml:space="preserve">Song, Qizhong </t>
    <phoneticPr fontId="11" type="noConversion"/>
  </si>
  <si>
    <t>HM029</t>
  </si>
  <si>
    <t>Hou, Xinghua</t>
    <phoneticPr fontId="12" type="noConversion"/>
  </si>
  <si>
    <t>Director, Medical</t>
  </si>
  <si>
    <t>HM030</t>
  </si>
  <si>
    <t>ZHAO, Ping</t>
  </si>
  <si>
    <t>Manager, Adm</t>
  </si>
  <si>
    <t>HM031</t>
  </si>
  <si>
    <t>SHAN, Yongqiang</t>
  </si>
  <si>
    <t>HM032</t>
  </si>
  <si>
    <t>LI, Jun</t>
  </si>
  <si>
    <t>Manager</t>
  </si>
  <si>
    <t>HM034</t>
  </si>
  <si>
    <t>Zhao, Bin</t>
    <phoneticPr fontId="12" type="noConversion"/>
  </si>
  <si>
    <t>IT Manager</t>
  </si>
  <si>
    <t>HM035</t>
  </si>
  <si>
    <t>Zhao, Qiang</t>
    <phoneticPr fontId="12" type="noConversion"/>
  </si>
  <si>
    <t>HM037</t>
  </si>
  <si>
    <t>Zhang, Feng</t>
  </si>
  <si>
    <t>Senior Manager, CTM</t>
  </si>
  <si>
    <t>HM038</t>
  </si>
  <si>
    <t>Wang, Jinglei</t>
  </si>
  <si>
    <t>GCP QA</t>
  </si>
  <si>
    <t>HM039</t>
  </si>
  <si>
    <t>Li, Yalin</t>
  </si>
  <si>
    <t>Senior Manager, Medical</t>
  </si>
  <si>
    <t>HM040</t>
  </si>
  <si>
    <t>Li, Xiaozhen</t>
  </si>
  <si>
    <t>HR Manager</t>
  </si>
  <si>
    <t>HM041</t>
  </si>
  <si>
    <t>Hou, Lingling</t>
  </si>
  <si>
    <t>Manager, Regulatory</t>
  </si>
  <si>
    <t>HM042</t>
  </si>
  <si>
    <t>Shen, Lisha</t>
  </si>
  <si>
    <t>Admin Assistant</t>
  </si>
  <si>
    <t>HM043</t>
  </si>
  <si>
    <t>Liu, Jingping</t>
  </si>
  <si>
    <t>Cashier</t>
  </si>
  <si>
    <t>HM044</t>
  </si>
  <si>
    <t>Tang, Cui</t>
  </si>
  <si>
    <t>Manager, Data Science</t>
  </si>
  <si>
    <t>HM045</t>
  </si>
  <si>
    <t>Zhu, Yanmin</t>
  </si>
  <si>
    <t>Sr. Director, Industrial Regulatory and Policy</t>
  </si>
  <si>
    <t>HM046</t>
  </si>
  <si>
    <t>HE, Sufen</t>
  </si>
  <si>
    <t>Clinical Operation PM</t>
  </si>
  <si>
    <t>HM047</t>
  </si>
  <si>
    <t>Hu, Jingfang</t>
    <phoneticPr fontId="11" type="noConversion"/>
  </si>
  <si>
    <t>HR Director</t>
    <phoneticPr fontId="11" type="noConversion"/>
  </si>
  <si>
    <t>HM048</t>
  </si>
  <si>
    <t>Zhang, Ming</t>
  </si>
  <si>
    <t>RCM</t>
  </si>
  <si>
    <t>HM049</t>
  </si>
  <si>
    <t>Jiang, Mingsheng</t>
  </si>
  <si>
    <t>Senior Manager, Analytical</t>
  </si>
  <si>
    <t>HM050</t>
  </si>
  <si>
    <t>Yang, Rong</t>
  </si>
  <si>
    <t>Manager, Pharmacology</t>
  </si>
  <si>
    <t>HM051</t>
  </si>
  <si>
    <t>Liu, Qiao</t>
  </si>
  <si>
    <t>HM052</t>
  </si>
  <si>
    <t>Zhu, Huijie</t>
  </si>
  <si>
    <t>Finance Controller</t>
  </si>
  <si>
    <t>HM053</t>
  </si>
  <si>
    <t>Jiao, Chengfeng</t>
  </si>
  <si>
    <t>Associate Manager, Pharmacology</t>
  </si>
  <si>
    <t>HM054</t>
  </si>
  <si>
    <t>Xu, Jingjing</t>
  </si>
  <si>
    <t>HM055</t>
  </si>
  <si>
    <t>Yuan, Jing</t>
  </si>
  <si>
    <t>HM056</t>
  </si>
  <si>
    <t>Liu, Weijie</t>
  </si>
  <si>
    <t>Specialist</t>
  </si>
  <si>
    <t>HM057</t>
  </si>
  <si>
    <t>Fu, Yilei</t>
    <phoneticPr fontId="12" type="noConversion"/>
  </si>
  <si>
    <t>VP of QA</t>
    <phoneticPr fontId="12" type="noConversion"/>
  </si>
  <si>
    <t>HM058</t>
  </si>
  <si>
    <t>Huang, Tao</t>
  </si>
  <si>
    <t>HM059</t>
  </si>
  <si>
    <t>Tang, Guoming</t>
  </si>
  <si>
    <t>Driver</t>
  </si>
  <si>
    <t>HM060</t>
  </si>
  <si>
    <t>Lv, Guanghua</t>
  </si>
  <si>
    <t>Director, Process Chemistry</t>
  </si>
  <si>
    <t>HM061</t>
  </si>
  <si>
    <t>Wang, Yujiao</t>
  </si>
  <si>
    <t>HM062</t>
  </si>
  <si>
    <t>Wang, Hui</t>
  </si>
  <si>
    <t>Manager, Medical Sciences</t>
  </si>
  <si>
    <t>HM063</t>
  </si>
  <si>
    <t>Daniel Du</t>
    <phoneticPr fontId="12" type="noConversion"/>
  </si>
  <si>
    <t>Sr VP, RMC</t>
    <phoneticPr fontId="12" type="noConversion"/>
  </si>
  <si>
    <t>HM064</t>
  </si>
  <si>
    <t>Su, Juntao</t>
    <phoneticPr fontId="12" type="noConversion"/>
  </si>
  <si>
    <t>Senior Manager, Analytical</t>
    <phoneticPr fontId="11" type="noConversion"/>
  </si>
  <si>
    <t>HM065</t>
  </si>
  <si>
    <t>Shen, Mingxia</t>
    <phoneticPr fontId="12" type="noConversion"/>
  </si>
  <si>
    <t>Clinical Operation, QC</t>
    <phoneticPr fontId="11" type="noConversion"/>
  </si>
  <si>
    <t>HM066</t>
  </si>
  <si>
    <t>Kong, Liang</t>
    <phoneticPr fontId="12" type="noConversion"/>
  </si>
  <si>
    <t>VP of Clinical Operation</t>
    <phoneticPr fontId="11" type="noConversion"/>
  </si>
  <si>
    <t>HM067</t>
  </si>
  <si>
    <t>Lu Lu</t>
    <phoneticPr fontId="12" type="noConversion"/>
  </si>
  <si>
    <t>Medical Writer</t>
    <phoneticPr fontId="11" type="noConversion"/>
  </si>
  <si>
    <t>HM068</t>
  </si>
  <si>
    <t>Chen, Hongmei</t>
    <phoneticPr fontId="12" type="noConversion"/>
  </si>
  <si>
    <t>Clinical Operation PM</t>
    <phoneticPr fontId="11" type="noConversion"/>
  </si>
  <si>
    <t>HM069</t>
  </si>
  <si>
    <t>Xi, Yuqin</t>
    <phoneticPr fontId="12" type="noConversion"/>
  </si>
  <si>
    <t>Associate Director, Clinical Operation</t>
    <phoneticPr fontId="11" type="noConversion"/>
  </si>
  <si>
    <t>HM070</t>
  </si>
  <si>
    <t>Zhang, Hui</t>
    <phoneticPr fontId="12" type="noConversion"/>
  </si>
  <si>
    <t>Associate Director, RCM</t>
    <phoneticPr fontId="11" type="noConversion"/>
  </si>
  <si>
    <t>HM071</t>
  </si>
  <si>
    <t>Chen, Junpu</t>
    <phoneticPr fontId="12" type="noConversion"/>
  </si>
  <si>
    <t>GMP QA</t>
    <phoneticPr fontId="11" type="noConversion"/>
  </si>
  <si>
    <t>HM083</t>
  </si>
  <si>
    <t>Emily Yeh</t>
    <phoneticPr fontId="12" type="noConversion"/>
  </si>
  <si>
    <t>Director of Corporate Financing</t>
    <phoneticPr fontId="11" type="noConversion"/>
  </si>
  <si>
    <t>HM084</t>
    <phoneticPr fontId="12" type="noConversion"/>
  </si>
  <si>
    <t>George Lin</t>
    <phoneticPr fontId="12" type="noConversion"/>
  </si>
  <si>
    <t>EVP &amp; CFO</t>
    <phoneticPr fontId="12" type="noConversion"/>
  </si>
  <si>
    <t>HM087</t>
  </si>
  <si>
    <t>Angel Jin</t>
    <phoneticPr fontId="12" type="noConversion"/>
  </si>
  <si>
    <t>Finance Director</t>
    <phoneticPr fontId="11" type="noConversion"/>
  </si>
  <si>
    <t>CO001</t>
    <phoneticPr fontId="12" type="noConversion"/>
  </si>
  <si>
    <t>Christopher Walsh</t>
  </si>
  <si>
    <t>Portfolio Advisory Board</t>
    <phoneticPr fontId="11" type="noConversion"/>
  </si>
  <si>
    <t>CO002</t>
    <phoneticPr fontId="12" type="noConversion"/>
  </si>
  <si>
    <t>Bennett M. Shapiro</t>
    <phoneticPr fontId="11" type="noConversion"/>
  </si>
  <si>
    <t>CO003</t>
  </si>
  <si>
    <t>James S. MacDonald</t>
    <phoneticPr fontId="11" type="noConversion"/>
  </si>
  <si>
    <t>CO004</t>
  </si>
  <si>
    <t>Catherine D Strader</t>
    <phoneticPr fontId="11" type="noConversion"/>
  </si>
  <si>
    <t>CO005</t>
  </si>
  <si>
    <t>Baldwin, John J.</t>
    <phoneticPr fontId="11" type="noConversion"/>
  </si>
  <si>
    <t>CO006</t>
  </si>
  <si>
    <t>Zhu, Dalong</t>
    <phoneticPr fontId="11" type="noConversion"/>
  </si>
  <si>
    <t>CO007</t>
  </si>
  <si>
    <t>Li, Xiaoying</t>
    <phoneticPr fontId="11" type="noConversion"/>
  </si>
  <si>
    <t>Clinical Development Steering Committee China</t>
  </si>
  <si>
    <t>CO008</t>
  </si>
  <si>
    <t>Wang, Charles Ying</t>
  </si>
  <si>
    <t>CO009</t>
  </si>
  <si>
    <t>Clifford J. Stocks</t>
    <phoneticPr fontId="12" type="noConversion"/>
  </si>
  <si>
    <t>Total</t>
    <phoneticPr fontId="12" type="noConversion"/>
  </si>
  <si>
    <t>Pending Grants</t>
  </si>
  <si>
    <t xml:space="preserve">Lead Indication / Technology </t>
  </si>
  <si>
    <t>Phase of the Lead Product</t>
  </si>
  <si>
    <t>ELND005, Alzheimer's disease</t>
  </si>
  <si>
    <t>V-Go, Type 2 Diabetes</t>
  </si>
  <si>
    <t>https://www.genengnews.com/gen-news-highlights/novo-nordisk-to-acquire-calibrium-mb2/81251672/</t>
  </si>
  <si>
    <t>Ozanimod, Relapsing Multiple Sclerosis and Irritable Bowel Disease</t>
  </si>
  <si>
    <t>Uceris, Ulcerative Colitis</t>
  </si>
  <si>
    <t>http://www.luye.cn/lvye_en/productlist.php?fid=3953</t>
  </si>
  <si>
    <t>YTD</t>
  </si>
  <si>
    <t>https://www.biospace.com/article/eli-lilly-abandons-development-of-transition-therapeutics-diabetes-candidate-tt401-/</t>
  </si>
  <si>
    <t>https://www.alzforum.org/therapeutics/elnd005</t>
  </si>
  <si>
    <t>ContraFect Corporation</t>
  </si>
  <si>
    <t>IQTR262308994</t>
  </si>
  <si>
    <t>Dicerna Pharmaceuticals, Inc.</t>
  </si>
  <si>
    <t>NasdaqGS:DRNA</t>
  </si>
  <si>
    <t>IQTR253587116</t>
  </si>
  <si>
    <t>ProQR Therapeutics N.V.</t>
  </si>
  <si>
    <t>NasdaqGM:PRQR</t>
  </si>
  <si>
    <t>IQTR270294591</t>
  </si>
  <si>
    <t>Applied Genetic Technologies Corporation</t>
  </si>
  <si>
    <t>NasdaqGM:AGTC</t>
  </si>
  <si>
    <t>Preclinical/IND</t>
  </si>
  <si>
    <t>IQTR253997516</t>
  </si>
  <si>
    <t>uniQure N.V.</t>
  </si>
  <si>
    <t>NasdaqGS:QURE</t>
  </si>
  <si>
    <t>IQTR253648546</t>
  </si>
  <si>
    <t>Agios Pharmaceuticals, Inc.</t>
  </si>
  <si>
    <t>NasdaqGS:AGIO</t>
  </si>
  <si>
    <t>IQTR241530577</t>
  </si>
  <si>
    <t>Heat Biologics, Inc.</t>
  </si>
  <si>
    <t>NasdaqCM:HTBX</t>
  </si>
  <si>
    <t>IQTR243523864</t>
  </si>
  <si>
    <t>Regulus Therapeutics Inc.</t>
  </si>
  <si>
    <t>NasdaqGM:RGLS</t>
  </si>
  <si>
    <t>IQTR215743185</t>
  </si>
  <si>
    <t>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It also has an oligonucleotide synthesis collaboration agreement with STA Pharmaceutical Co., Ltd. for research and mid-scale non-GMP/cGMP manufacturing. Regulus Therapeutics Inc. was founded in 2007 and is headquartered in San Diego, California.</t>
  </si>
  <si>
    <t>IQ36742485</t>
  </si>
  <si>
    <t>IQ46539787</t>
  </si>
  <si>
    <t>IQ79723070</t>
  </si>
  <si>
    <t>Agios Pharmaceuticals, Inc., a biopharmaceutical company, engages in the discovery and development of medicines for the treatment of cancer and rare genetic metabolic disorders in the United States. It is developing IDHIFA, a potent inhibitor of the mutated isocitrate dehydrogenase (IDH) 2 protein that is in Phase I/II clinical trials for patients with advanced hematologic malignancies with an IDH 2 mutation; Phase III clinical trial for patients with IDH2 mutant-positive acute myeloid leukemia (AML); Phase Ib frontline combination trial for patients with newly diagnosed AML with an IDH2 or IDH1 mutation; and Phase I/II frontline combination trial for patients with newly diagnosed AML. The company also develops Ivosidenib, a potent inhibitor of the mutated IDH1 protein, which is in Phase I clinical trial for patients with advanced hematologic malignancies with an IDH1 mutation; Phase I clinical trial for advanced solid tumors; Phase III clinical trials for patients with nonresectable or metastatic cholangiocarcinoma with an IDH1 mutation; Phase Ib frontline combination trial for patients with newly diagnosed AML with an IDH2 or IDH1 mutation; and Phase I/II frontline combination and Phase III clinical trials for newly diagnosed AML patients. In addition, it is developing AG-881, a pan-IDH mutant inhibitor that is in Phase I clinical trial for the treatment of hematologic malignancies; and AG-348, a small molecule potent activator that is in Phase II clinical trials for the treatment of pyruvate kinase deficiency. Agios Pharmaceuticals has a collaboration and license agreement with Celgene Corporation to discover, develop, and commercialize disease-altering therapies in oncology; and Celgene International II Sarl to develop and commercialize AG-881 products. The company was founded in 2007 and is based in Cambridge, Massachusetts.</t>
  </si>
  <si>
    <t>Heat Biologics, Inc., a biopharmaceutical company, focuses on the development and commercialization of novel allogeneic therapies for a range of cancers and infectious diseases in the United States. The company develops its products based on T cell-stimulating platform technologies, including immune pan-antigen cytotoxic therapy, a platform technology designed to educate and stimulate the immune system against specific disease targets, such as cancer cells; and combination pan-antigen cytotoxic therapy, a platform technology that combines a pan-antigen T cell activating vaccine and a T cell co-stimulator in a single product. Its product candidates include HS-110 that is in Phase 2 clinical trials for the treatment of non-small cell lung cancer; and HS-410, which is in Phase 2 clinical trials for the treatment of non-muscle invasive bladder cancer. The company was founded in 2008 and is based in Durham, North Carolina.</t>
  </si>
  <si>
    <t>IQ112206719</t>
  </si>
  <si>
    <t>IQ39280611</t>
  </si>
  <si>
    <t>IQ224193775</t>
  </si>
  <si>
    <t>IQ7604030</t>
  </si>
  <si>
    <t>IQ171029664</t>
  </si>
  <si>
    <t>ContraFect Corporation, a clinical-stage biotechnology company, focuses on discovering and developing therapeutic protein and antibody products for the treatment of life-threatening infectious diseases in the United States. Its lead product candidates consist of CF-301, a lysin that completed Phase 1 human clinical trials for the treatment of Staph aureus bacteremia, including endocarditis caused by methicillin-resistant or methicillin-susceptible Staph aureus; and CF-404, a combination of human monoclonal antibodies (mAbs) for the treatment of life-threatening seasonal and pandemic varieties of human influenza. The company has a collaboration research agreement with The Rockefeller University to identify new lysin therapeutic candidates targeting Gram-negative bacteria; and license agreement with Trellis Bioscience LLC for mAbs in the field of influenza. ContraFect Corporation was founded in 2008 and is headquartered in Yonkers, New York.</t>
  </si>
  <si>
    <t>Dicerna Pharmaceuticals, Inc., a biopharmaceutical company, focuses on the discovery and development of treatments for rare, chronic liver, cardiovascular, and viral infectious diseases in the United States and internationally. The company’s preclinical stage development programs include DCR-PHXC for the treatment of primary hyperoxaluria type 1; DCR-PCSK9, which targets the PCSK9 gene in the treatment of statin-refractory patients with hypercholesterolemia; and DCR-HBV for the treatment of chronic hepatitis B virus infection, as well as other product candidates for use in the treatment of cardiovascular and chronic liver diseases. It has a research collaboration and license agreements with Kyowa Hakko Kirin Co., Ltd.; City of Hope, an academic research and medical center; and Plant Bioscience Limited. The company was founded in 2006 and is headquartered in Cambridge, Massachusetts.</t>
  </si>
  <si>
    <t>ProQR Therapeutics N.V., a biopharmaceutical company, engages in the discovery and development of RNA-based therapeutics for the treatment of genetic disorders. Its lead product candidate includes QR-010, a RNA-based oligonucleotide used for the treatment of cystic fibrosis; QR-110, an oligonucleotide that is designed to treat Leber's congenital amaurosis; and QR-313, a single-stranded oligonucleotide used for the treatment of epidermolysis bullosa. The company has a research collaboration agreement with Galapagos N.V. to discover Axiomer Editing Oligonucleotides against fibrosis targets. ProQR Therapeutics N.V. has a partnership agreement with Foundation Fighting Blindness to develop QR-421a for usher syndrome 2A caused by an exon 13 mutation of the causative USH2A gene. The company was founded in 2012 and is headquartered in Leiden, the Netherlands.</t>
  </si>
  <si>
    <t>Applied Genetic Technologies Corporation, a clinical-stage biotechnology company, develops transformational genetic therapies for patients suffering from rare and debilitating diseases. The company’s lead products consist of four ophthalmology development programs across three targets, including X-linked retinoschisis that is in Phase I/II clinical trials; X-linked retinitis pigmentosa, which is in Phase I/II clinical trials; and achromatopsia that is in Phase I/II clinical trials for the treatment of inherited retinal diseases, as well as a preclinical program in adrenoleukodystrophy, which is a disease of the central nervous system and otology. It has collaboration agreements with Biogen MA, Inc., 4D Molecular Therapeutics, Synpromics Limited, and Bionic Sight, LLC, as well as the University of Florida Research Foundation. The company was founded in 1999 and is headquartered in Alachua, Florida.</t>
  </si>
  <si>
    <t>uniQure N.V., a biopharmaceutical company, engages in the discovery, development, and commercialization of gene therapies in the Netherlands. The company’s principle programs include AMT-060, a gene therapy that has completed Phase I/II clinical trial for the treatment of hemophilia B; S100A1, a preclinical product candidate for the treatment of congestive heart failure; and AMT-130 for the treatment of huntington's disease. It also provides Glybera, a gene therapy product that has approved for the treatment of patients with lipoprotein lipase deficiency. The company has collaboration and license agreements with Bristol-Myers Squibb Company, 4D Molecular Therapeutics, Synpromics, and Chiesi Farmaceutici S.p.A. uniQure N.V. was founded in 1998 and is headquartered in Amsterdam, the Netherlands.</t>
  </si>
  <si>
    <t>Calithera Biosciences, Inc.</t>
  </si>
  <si>
    <t>NasdaqGS:CALA</t>
  </si>
  <si>
    <t>IQTR270901616</t>
  </si>
  <si>
    <t>Affimed N.V.</t>
  </si>
  <si>
    <t>NasdaqGM:AFMD</t>
  </si>
  <si>
    <t>IQTR267019708</t>
  </si>
  <si>
    <t>Loxo Oncology, Inc.</t>
  </si>
  <si>
    <t>IQTR267071680</t>
  </si>
  <si>
    <t>Immune Design Corp.</t>
  </si>
  <si>
    <t>IQTR266643456</t>
  </si>
  <si>
    <t>SCYNEXIS, Inc.</t>
  </si>
  <si>
    <t>NasdaqGM:SCYX</t>
  </si>
  <si>
    <t>IQTR259631751</t>
  </si>
  <si>
    <t>Egalet Corporation</t>
  </si>
  <si>
    <t>NasdaqGM:EGLT</t>
  </si>
  <si>
    <t>IQTR248427376</t>
  </si>
  <si>
    <t>Bellicum Pharmaceuticals, Inc.</t>
  </si>
  <si>
    <t>NasdaqGM:BLCM</t>
  </si>
  <si>
    <t>IQTR277811569</t>
  </si>
  <si>
    <t>Juno Therapeutics, Inc.</t>
  </si>
  <si>
    <t>NasdaqGS:JUNO</t>
  </si>
  <si>
    <t>IQTR277411036</t>
  </si>
  <si>
    <t>Genocea Biosciences, Inc.</t>
  </si>
  <si>
    <t>NasdaqGM:GNCA</t>
  </si>
  <si>
    <t>IQTR253311433</t>
  </si>
  <si>
    <t>Versartis, Inc.</t>
  </si>
  <si>
    <t>NasdaqGS:VSAR</t>
  </si>
  <si>
    <t>Phase Ia</t>
  </si>
  <si>
    <t>IQTR257095815</t>
  </si>
  <si>
    <t>Pfenex Inc.</t>
  </si>
  <si>
    <t>Phase Ib/IIa</t>
  </si>
  <si>
    <t>IQTR265591276</t>
  </si>
  <si>
    <t>IQ109127589</t>
  </si>
  <si>
    <t>IQ849883</t>
  </si>
  <si>
    <t>IQ242747766</t>
  </si>
  <si>
    <t>IQ46099827</t>
  </si>
  <si>
    <t>IQ798887</t>
  </si>
  <si>
    <t>IQ225909909</t>
  </si>
  <si>
    <t>IQ29554867</t>
  </si>
  <si>
    <t>IQ252447310</t>
  </si>
  <si>
    <t>IQ31231172</t>
  </si>
  <si>
    <t>IQ59516531</t>
  </si>
  <si>
    <t>IQ82767498</t>
  </si>
  <si>
    <t>Calithera Biosciences, Inc., a clinical-stage biopharmaceutical company, focuses on discovering and developing small molecule drugs directed against tumor metabolism and tumor immunology targets for the treatment of cancer in the United States. Its lead product candidate is CB-839, an inhibitor of glutaminase, which is in Phase Ib/2 clinical trials for the treatment of solid tumors. The company has a license agreement with Mars, Inc. to develop and commercialize Symbioscience’s portfolio of arginase inhibitors for use in human healthcare; and license and research agreement with High Point Pharmaceuticals, LLC and TransTech Pharma LLC to develop and commercialize hexokinase II inhibitors. In addition, it has clinical trial collaboration with Bristol-Myers Squibb Company to evaluate Opdivo (nivolumab) in combination with CB-839 in clear cell renal cell carcinoma. The company has a collaboration and license agreement with Incyte Corporation for the research, development, and commercialization of CB-1158, a small molecule arginase inhibitor for the treatment of hematology and oncology. Calithera Biosciences, Inc. was founded in 2010 and is headquartered in South San Francisco, California.</t>
  </si>
  <si>
    <t>Affimed N.V., a clinical-stage biopharmaceutical company, focuses on discovering and developing cancer immunotherapies in Germany and internationally. Its lead candidate is AFM13, a natural killer cell (NK-cell) TandAb designed for the treatment of CD30-positive (CD30+) B- and T-cell malignancies, including Hodgkin lymphoma. The company’s product candidates include AFM24, a NK-cell that treats epidermal growth factor receptor expressing solid tumors, such as lung, head, neck, and colon cancers; AFM26, which binds to B-cell maturation antigen (BCMA) for the treatment of multiple myeloma; and Trispecific Abs for the treatment of multiple myeloma. Its product candidates also comprise AFM11, a T-cell TandAb, which is in Phase I clinical trial for the treatment of various CD19+ B-cell malignancies, including non-Hodgkin Lymphoma and acute lymphocytic leukemia; and AMV564, a CD33/CD3-specific T-cell TandAb for the treatment of acute myeloid leukemia and other hematologic malignancies. The company has license agreements with Amphivena Therapeutics, Inc., Deutsches Krebsforschungszentrum, and Xoma Ireland Limited; research funding agreement with The Leukemia &amp; Lymphoma Society; and collaboration with Merck Sharp &amp; Dohme B.V. It also has a clinical development and commercialization collaboration with The University of Texas MD Anderson Cancer Center to evaluate AFM13 in combination with MD Anderson’s NK-cell product. The company was formerly known as Affimed Therapeutics B.V. and changed its name to Affimed N.V. in October 2014. Affimed N.V. was founded in 2000 and is headquartered in Heidelberg, Germany.</t>
  </si>
  <si>
    <t>Loxo Oncology, Inc., a biopharmaceutical company, develops and sells medicines for patients with genetically defined cancers in the United States. Its lead product candidate comprises larotrectinib, an oral selective inhibitor of tropomyosin receptor kinase (TRK), which is in adult Phase 1 trial, a pediatric Phase 1/2 trial, and an adult/adolescent Phase 2 trial for the treatment of patients with tumor types, such as lung, head and neck, melanoma, colorectal, sarcoma, and breast cancer. The company’s preclinical programs include LOXO-195, a drug candidate in preclinical development to address predicted acquired resistance mechanisms; RET inhibitor that optimizes potency for rearranged during transfection (RET) fusion proteins, mutations, and anticipated mechanisms of acquired resistance; and FGFR inhibitor that enables potently inhibiting FGFR isoforms comprising four isoforms with tyrosine kinase domains. It has a drug discovery collaboration agreement with Array BioPharma, Inc. to obtain various rights to TRK inhibitor program and oncology targets. Loxo Oncology, Inc. was founded in 2013 and is headquartered in Stamford, Connecticut.</t>
  </si>
  <si>
    <t>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t>
  </si>
  <si>
    <t>SCYNEXIS, Inc., a drug development company, develops and commercializes anti-infectives to address unmet therapeutic needs. It is developing its lead product candidate, SCY-078, as a novel oral and intravenous drug for the treatment of various fungal infections, including serious and life-threatening invasive fungal infections. The company also develops SCY-078, which is in various Phase I studies for the oral and intravenous formulations, as well as has completed Phase II study as a step-down therapy in patients with invasive candidiasis and vulvovaginal candidiasis. It has research collaborations with Merck Sharp &amp; Dohme Corp. and R-Pharm, CJSC, to develop and commercialize rights for SCY-078. The company was formerly known as SCYNEXIS Chemistry &amp; Automation, Inc. and changed its name to SCYNEXIS, Inc. in June 2002. SCYNEXIS, Inc. was founded in 1999 and is headquartered in Jersey City, New Jersey.</t>
  </si>
  <si>
    <t>Egalet Corporation, a specialty pharmaceutical company, develops, manufactures, and commercializes treatments for patients with pain and other conditions. It has licensed three approved pain products, such as SPRIX Nasal Spray, a non-steroidal anti-inflammatory drug indicated in adult patients for the short-term management of moderate to moderately severe pain that requires analgesia at the opioid level; OXAYDO, an immediate-release oxycodone product designed to discourage abuse via snorting for the management of acute and chronic moderate to severe pain where an opioid is appropriate; and ARYMO ER, an extended-release (ER) morphine product formulated with abuse-deterrent (AD) properties for the management of pain severe enough to require daily, around-the-clock, long-term opioid treatment and for which alternative treatment options are inadequate. The company is also developing Egalet-002, a Guardian Technology AD, ER, oral oxycodone formulation, which is in Phase III clinical trials for the same indication as ARYMO ER. In addition, its other products include Egalet-003, an AD stimulant product candidate; and Egalet-004, an AD, ER hydrocodone-based product candidate. The company has a collaboration and license agreement with Acura Pharmaceuticals, Inc. to commercialize OXAYDO tablets; and Septodont, Inc. to promote SPRIX Nasal Spray. Egalet Corporation was founded in 2010 and is headquartered in Wayne, Pennsylvania.</t>
  </si>
  <si>
    <t>Bellicum Pharmaceuticals, Inc., a clinical stage biopharmaceutical company, focuses on discovering and developing novel cellular immunotherapies for the treatment of hematological cancers, solid tumors, and orphan inherited blood disorders in the United States and internationally. It has three product candidates in clinical development: BPX-501, an adjunct T-cell therapy product candidate being evaluated in Phase I/II clinical trials in children and adults following a T-depleted, haploidentical hematopoietic stem cell transplant (HSCT); BPX-601, a GoCAR-T product candidate in Phase I development for solid tumors expressing the prostate stem cell antigen; and BPX-701, a T cell receptors (TCR) product candidate in Phase I development for AML with future development potential for treatment of solid tumors expressing the preferentially-expressed antigen in melanoma. The company has collaboration agreements with Adaptimmune Therapeutics plc to evaluate, develop, and commercialize T-cell therapies; Ospedale Pediatrico Bambino Gesú for the design and development of various T cell immunotherapies; and Academisch Ziekenhuis Leiden for research to discover and validate high-affinity TCR product candidates targeting various cancer-associated antigens. Bellicum Pharmaceuticals, Inc. was founded in 2004 and is headquartered in Houston, Texas.</t>
  </si>
  <si>
    <t>Juno Therapeutics, Inc., a biopharmaceutical company, engages in developing cell-based cancer immunotherapies. The company develops cell-based cancer immunotherapies based on its chimeric antigen receptor and T cell receptor technologies to genetically engineer T cells to recognize and kill cancer cells. Its CD19 product candidates include JCAR017 that is in Phase I/II trials for adults with relapsed or refractory (r/r) B cell aggressive non-Hodgkin lymphoma (NHL) and pediatric patients with r/r B cell acute lymphoblastic leukemia (ALL); JCAR014, which is in Phase I/II trials to treat various B cell malignancies in patients relapsed or refractory to standard therapies; and JCAR015 that is in Phase II trials for adult patients with r/r ALL. The company’s CD22 product candidate comprise JCAR018, which is in Phase I trial for pediatric and young adult patients with CD22-positive r/r ALL or r/r NHL. Its additional product candidates include CD171, a cell-surface adhesion molecule to treat neuroblastoma; Lewis Y for the treatment of lung cancer; JCAR023, which is in Phase I trial for patients with refractory or recurrent pediatric neuroblastoma; MUC-16, a protein for treating ovarian cancers; IL-12, a cytokine to overcome the inhibitory effects; ROR-1, a protein for the treatment of non-small cell lung, triple negative breast, pancreatic, and prostate cancers; WT-1, an intracellular protein that is in Phase I/II clinical trials to treat adult myeloid leukemia and non-small cell lung, breast, pancreatic, ovarian, and colorectal cancers; and IL13ra2 for treating glioblastoma. Juno Therapeutics, Inc. has collaboration agreements with Celgene Corporation, Fate Therapeutics, Inc., Editas Medicine, Inc., MedImmune Limited, and Memorial Sloan Kettering Cancer Center. The company was formerly known as FC Therapeutics, Inc. and changed its name to Juno Therapeutics, Inc. in October 2013. Juno Therapeutics, Inc. was founded in 2013 and is headquartered in Seattle, Washington.</t>
  </si>
  <si>
    <t>Genocea Biosciences, Inc., a biopharmaceutical company, discovers and develops novel cancer vaccines. The company uses its proprietary discovery platform AnTigen Lead Acquisition System to design immunotherapies and vaccines that act through T cell immune responses. Its lead product candidate is GEN-003, an investigational immunotherapy that is in Phase III trial for the treatment of genital herpes infections. The company is also develops GEN-009, which is in pre-clinical stage to treat neoantigen cancer; GEN-010 that is in pre-clinical stage for the treatment of patients in second generation neoantigen cancer; GEN-007, which is in research stage to Epstein-Barr virus; and GEN-006 that is in research stage for the treatment of immune-oncology-tumor-associated antigen cancer. It license agreement with University of California and Harvard University; and collaboration agreement with Novavax, Inc. Genocea Biosciences, Inc. was founded in 2006 and is headquartered in Cambridge, Massachusetts.</t>
  </si>
  <si>
    <t>Versartis, Inc. operates as an endocrine-focused biopharmaceutical company in the United States. The company is developing VRS-317, a long-acting recombinant human growth hormone, which is in Phase III clinical trials for the treatment of growth hormone deficiency. It develops drug candidates that it has licensed from Amunix Operating, Inc. The company was founded in 2008 and is headquartered in Menlo Park, California.</t>
  </si>
  <si>
    <t>Pfenex Inc., a clinical-stage biotechnology company, develops biosimilar therapeutics in the United States. Its lead product candidates include PF708, a therapeutic equivalent candidate to Forteo (teriparatide) for the treatment of osteoporosis; PF582, a biosimilar to Lucentis (ranibizumab) for the treatment of patients with retinal diseases; and Px563L, a novel anthrax vaccine candidate in Phase 1a trial. The company also engages in developing a pipeline of additional biosimilar candidates, including PF529, a biosimilar candidate to Neulasta; PF688, a biosimilar candidate to Cimzia; PF530, a biosimilar candidate to Betaseron; PF690, a biosimilar candidate to the reference product Oncaspar; PF444-human growth hormone, a biosimilar candidate to Genotropin; and PF688-certolizumab-pegol, a biosimilar candidate to Cimzia. It has collaboration agreements with Hospira, Inc. and Jazz Pharmaceuticals Ireland Limited. Pfenex Inc. is headquartered in San Diego, California.</t>
  </si>
  <si>
    <t>Epizyme, Inc.</t>
  </si>
  <si>
    <t>NasdaqGS:EPZM</t>
  </si>
  <si>
    <t>IQTR236889574</t>
  </si>
  <si>
    <t>TetraLogic Pharmaceuticals Corporation</t>
  </si>
  <si>
    <t>OTCPK:TLOG</t>
  </si>
  <si>
    <t>IQTR248570377</t>
  </si>
  <si>
    <t>bluebird bio, Inc.</t>
  </si>
  <si>
    <t>NasdaqGS:BLUE</t>
  </si>
  <si>
    <t>IQTR240095442</t>
  </si>
  <si>
    <t>Five Prime Therapeutics, Inc.</t>
  </si>
  <si>
    <t>NasdaqGS:FPRX</t>
  </si>
  <si>
    <t>IQTR243724503</t>
  </si>
  <si>
    <t>IQ54339075</t>
  </si>
  <si>
    <t>IQ10579215</t>
  </si>
  <si>
    <t>IQ28921</t>
  </si>
  <si>
    <t>IQ3366199</t>
  </si>
  <si>
    <t>Epizyme, Inc., a clinical stage biopharmaceutical company, discovers and develops novel epigenetic therapies for patients with cancer and other diseases in the United States. Its product candidates include tazemetostat, an inhibitor of the EZH2 HMT, which is in five-arm Phase II clinical trial for patients with relapsed or refractory non-hodgkin lymphoma (NHL); Phase II clinical trial for relapsed or refractory patients with mesothelioma; Phase I dose-escalation and expansion study for children with INI1-negative solid tumors; Phase II and Ib clinical trials for patients with relapsed or refractory diffuse large B-cell lymphoma (DLBCL); Phase Ib/II clinical trial for elderly patients with DLBCL; and Phase II clinical trial for relapsed or refractory patients with mesothelioma characterized by BAP1 loss-of-function, as well as Phase II clinical trial in adult patients with ovarian cancer. The company is also developing additional programs, such as pinometostat, an intravenously administered small molecule inhibitor of DOT1L for the treatment of acute leukemias; and PRMT5 inhibitor that is in Phase I clinical trial for patients with solid tumors and NHL. It has collaboration agreements with Celgene Corporation, Celgene RIVOT Ltd., Genentech Inc., Glaxo Group Limited, and US Oncology Research, as well as with Roche Molecular Systems, Inc., Eisai Co. Ltd., and Lymphoma Study Association. Epizyme, Inc. was founded in 2007 and is headquartered in Cambridge, Massachusetts.</t>
  </si>
  <si>
    <t>TetraLogic Pharmaceuticals Corporation, a clinical-stage biopharmaceutical company, focuses on discovering and developing small molecule therapeutics in oncology and infectious diseases. It has two clinical-stage product candidates in development, such as birinapant and SHAPE. Birinapant is a small molecule therapeutic that mimics Second Mitochondrial Activator of Caspases-mimetic, which leads to apoptosis or cell-death in damaged cells. SHAPE is its proprietary histone deacetylase inhibitor for topical use for the treatment of early-stage cutaneous T-cell lymphoma. TetraLogic Pharmaceuticals Corporation has research collaboration with Walter and Eliza Hall Institute of Medical Research to examine SMAC-mimetics, including birinapant in the treatment of infectious disease. The company was formerly known as Gentara Corporation and changed its name to TetraLogic Pharmaceuticals Corporation in January 2006. TetraLogic Pharmaceuticals Corporation was incorporated in 2001 and is headquartered in Malvern, Pennsylvania.</t>
  </si>
  <si>
    <t>bluebird bio, Inc., a clinical-stage biotechnology company, focuses on developing transformative gene therapies for severe genetic diseases and cancer. Its product candidates include Lenti-D that is in Phase II/III clinical trials for the treatment of cerebral adrenoleukodystrophy, a rare hereditary neurological disorder; and LentiGlobin, which is in various clinical studies for the treatment of transfusion- transfusion-dependent ß-thalassemia and severe sickle cell disease. The company’s lead product candidates in oncology include bb2121 and bb21217, which are anti- B-cell maturation antigens in Phase I clinical trials for the treatment of relapsed/refractory multiple myeloma. bluebird bio, Inc. has a strategic collaboration with Celgene Corporation to discover, develop, and commercialize disease-altering gene therapies in oncology. It also has collaborations with Medigene AG for the research and development of T cell receptor product candidates directed against antigens for the treatment of cancer indications; and TC BioPharm Limited to research and develop gamma delta chimeric antigen receptor modified T cell product candidates for cancer immunotherapy. The company was formerly known as Genetix Pharmaceuticals, Inc., and changed its name to bluebird bio, Inc. in September 2010. bluebird bio, Inc. was founded in 1992 and is headquartered in Cambridge, Massachusetts.</t>
  </si>
  <si>
    <t>Five Prime Therapeutics, Inc., a clinical-stage biotechnology company, focuses on the discovery and development of immuno-oncology protein therapeutics in the United States. The company’s product candidates include Cabiralizumab, an antibody that inhibits colony stimulating factor-1 receptor and is in Phase Ia/Ib clinical trials for the treatment of various cancers in combination with nivolumab; and is in Phase I/II clinical trials for the treatment of pigmented villonodular synovitis tumor, as well as conducts Phase I clinical trials for the treatment of rheumatoid arthritis. Its product candidates also comprise FPA144, an antibody that inhibits fibroblast growth factor receptor IIb and is in Phase I clinical trials to treat patients with gastric cancer; and FP-1039, a fusion protein that traps and neutralizes cancer-promoting fibroblast growth factors. The company’s FP-1039 is in Phase Ib clinical trials to treat patients with malignant pleural mesothelioma. Its preclinical product candidates include FPA150, a CD8 T cell checkpoint inhibitor antibody; FPA154, a tetravalent agonistic antibody that activates glucocorticoid-induced tumor necrosis factor receptor; and FPT155, a CD80-Fc fusion protein, which modulates signaling pathways. The company has license and collaboration agreement with GlaxoSmithKline LLC, Bristol-Myers Squibb Company, and UCB Pharma S.A.; and license agreement with INBRX 110 LP, Galaxy Biotech, LLC, BioWa, Inc., and Lonza Sales AG. Five Prime Therapeutics, Inc. was founded in 2001 and is headquartered in South San Francisco, California.</t>
  </si>
  <si>
    <t>Stemline Therapeutics, Inc.</t>
  </si>
  <si>
    <t>NasdaqCM:STML</t>
  </si>
  <si>
    <t>IQTR183596889</t>
  </si>
  <si>
    <t>OncoMed Pharmaceuticals, Inc.</t>
  </si>
  <si>
    <t>NasdaqGS:OMED</t>
  </si>
  <si>
    <t>IQTR206722032</t>
  </si>
  <si>
    <t>IQ10332207</t>
  </si>
  <si>
    <t>IQ20905685</t>
  </si>
  <si>
    <t>Stemline Therapeutics, Inc., a clinical-stage biopharmaceutical company, focuses on the discovering, acquiring, developing, and commercialization of proprietary oncology therapeutics in the United States. The company develops SL-401, a targeted therapy directed to the interleukin-3 receptor (IL-3R), which is in Phase II clinical trial for patients with blastic plasmacytoid dendritic cell neoplasm, myeloproliferative neoplasms, and acute myeloid leukemia; and in Phase I clinical trial in combination with other agents for patients with relapsed/refractory multiple myeloma. It also develops SL-801, a novel oral small molecule reversible inhibitor of a tumor-promoting nuclear transport protein, which is in Phase I clinical trial for the treatment of solid and hematologic cancers; and SL-701, an immunotherapy that is in Phase II clinical trial to attack brain cancer. In addition, it develops SL-501, a next generation IL-3R-targeted therapy that is in preclinical development. Stemline Therapeutics, Inc. was founded in 2003 and is based in New York, New York.</t>
  </si>
  <si>
    <t>OncoMed Pharmaceuticals, Inc. discovers and develops cancer stem cell (CSC) and immuno-oncology therapeutics. The company’s product candidates and preclinical programs include demcizumab (anti-DLL4, OMP-21M18), a humanized monoclonal antibody, in Phase II trial for pancreatic cancer, a randomized Phase II trial in non-small cell lung cancer, and a Phase Ib trial for solid tumor; tarextumab (anti-Notch2/3, OMP-59R5) that targets the Notch2 and Notch3 receptors, which is in Phase II clinical trial for small cell lung cancer; vantictumab (anti-Fzd, OMP-18R5) in two Phase Ib clinical trials for breast and pancreatic cancer; ipafricept (Fzd8-Fc, OMP-54F28), a fusion protein based on Frizzled8 receptor, which is in two Phase Ib clinical trials for ovarian and pancreatic cancer; and navicixizumab (anti-DLL4/VEGF Bispecific, OMP-305B83), a monoclonal antibody that targets DLL4 and vascular endothelial growth factor, which is in Phase Ia single-agent clinical trial for solid tumors, and two Phase Ib clinical trial for ovarian and metastatic colorectal cancer. It is also developing anti-RSPO3 (OMP-131R10), a monoclonal antibody, in Phase Ia/b clinical trial for solid tumor and metastatic colorectal cancer; brontictuzumab (anti-Notch1, OMP-52M51) targeting the Notch1 receptor, in Phase Ib clinical trial for colorectal cancer; anti-tigit (OMP-313M32), a T-cell immunoglobulin and ITIM domain protein, in Phase I clinical trial for tumor; and GITRL-Fc trimer (OMP-336B11), a preclinical product candidate targeting glucocorticoid-induced tumor necrosis factor receptor and its ligand. The company has strategic alliances with GlaxoSmithKline LLC to develop and commercialize antibody therapeutics targeting the Notch signaling pathway; Bayer Pharma AG for biologic and small molecule therapeutics targeting the Wnt signaling pathway; and Celgene Corporation for anti-CSC product candidates. The company was founded in 2004 and is headquartered in Redwood City, California.</t>
  </si>
  <si>
    <t>Bioblast Pharma Ltd.</t>
  </si>
  <si>
    <t>NasdaqCM:ORPN</t>
  </si>
  <si>
    <t>IQTR256570468</t>
  </si>
  <si>
    <t>Aldeyra Therapeutics, Inc.</t>
  </si>
  <si>
    <t>NasdaqCM:ALDX</t>
  </si>
  <si>
    <t>IQTR253807057</t>
  </si>
  <si>
    <t>IQTR262309726</t>
  </si>
  <si>
    <t>Galmed Pharmaceuticals Ltd.</t>
  </si>
  <si>
    <t>NasdaqCM:GLMD</t>
  </si>
  <si>
    <t>IQTR256508666</t>
  </si>
  <si>
    <t>Akebia Therapeutics, Inc.</t>
  </si>
  <si>
    <t>NasdaqGM:AKBA</t>
  </si>
  <si>
    <t>IQTR257011186</t>
  </si>
  <si>
    <t>Flexion Therapeutics, Inc.</t>
  </si>
  <si>
    <t>NasdaqGM:FLXN</t>
  </si>
  <si>
    <t>IQTR253886740</t>
  </si>
  <si>
    <t>Trevena, Inc.</t>
  </si>
  <si>
    <t>NasdaqGS:TRVN</t>
  </si>
  <si>
    <t>IQTR248000956</t>
  </si>
  <si>
    <t>IQ256570448</t>
  </si>
  <si>
    <t>IQ47399863</t>
  </si>
  <si>
    <t>IQ114779940</t>
  </si>
  <si>
    <t>IQ36644983</t>
  </si>
  <si>
    <t>IQ61177529</t>
  </si>
  <si>
    <t>IQ41390678</t>
  </si>
  <si>
    <t>Bioblast Pharma Ltd., a clinical-stage biotechnology company, focuses on the development of clinically meaningful therapies for patients with rare and ultra-rare genetic diseases. It develops Trehalose 90mg/mL IV solution, a protein stabilizer and autophagy enhancer to treat patients with oculopharyngeal muscular dystrophy and spinocerebellar ataxia type 3. The company was founded in 2012 and is headquartered in Tel Aviv, Israel.</t>
  </si>
  <si>
    <t>Aldeyra Therapeutics, Inc., a biotechnology company, focuses on the development of products for inflammation, inborn errors of metabolism, and other diseases in the United States and internationally. It is developing ADX-102, a small molecule designed to trap and allow for the degradation of aldehydes, as well as ADX-103 and ADX-104 novel candidates for the treatment of noninfectious anterior uveitis, allergic conjunctivitis, dry eye syndrome, sjögren-larsson syndrome, and succinic semi-aldehyde dehydrogenase deficiency. The company was formerly known as Aldexa Therapeutics, Inc. and changed its name to Aldeyra Therapeutics, Inc. in March 2014. Aldeyra Therapeutics, Inc. was founded in 2004 and is headquartered in Lexington, Massachusetts.</t>
  </si>
  <si>
    <t>Galmed Pharmaceuticals Ltd., a clinical-stage biopharmaceutical company, focuses on the development of therapeutics for the treatment of liver diseases. The company is developing Aramchol, an oral therapy, which is in ARREST study, a Phase IIb clinical study for the treatment of patients with overweight or obesity, and who are pre-diabetic or type-II-diabetic with non-alcoholic steato-hepatitis. It is also evaluating Aramchol through ARRIVE Study, a proof-of-concept Phase IIa clinical trial, with HIV-associated non-alcoholic fatty liver disease and lipodystrophy. The company was founded in 2000 and is headquartered in Tel Aviv, Israel.</t>
  </si>
  <si>
    <t>Akebia Therapeutics, Inc., a biopharmaceutical company, focuses on the development and commercialization of novel therapeutics to patients with kidney disease through hypoxia-inducible factor (HIF) biology. Its lead product candidate is vadadustat, an oral therapy, which is in Phase III development for the treatment of anemia related to chronic kidney disease in non-dialysis and dialysis patients. The company is also developing a HIF-based portfolio of product candidates that include AKB-6899 for the treatment of anemia; and AKB-5169, a preclinical compound for the treatment for inflammatory bowel disease. Akebia Therapeutics, Inc. has collaboration agreements with Otsuka Pharmaceutical Co. Ltd. for the development and commercialization of vadadustat in the United States, Europe, China, and internationally, as well as with Mitsubishi Tanabe Pharma Corporation for the development and commercialization to vadadustat in Japan and other Asian countries. The company was founded in 2007 and is headquartered in Cambridge, Massachusetts.</t>
  </si>
  <si>
    <t>Flexion Therapeutics, Inc., a specialty pharmaceutical company, focuses on the development and commercialization of anti-inflammatory and analgesic therapies for the treatment of patients with musculoskeletal conditions. It lead product candidate includes Zilretta, a late-stage, intra-articular, extended-release investigational steroid treatment that has completed Phase 3 clinical trials for IA therapy for patients with moderate and severe osteoarthritis pain. The company was founded in 2007 and is headquartered in Burlington, Massachusetts.</t>
  </si>
  <si>
    <t>Trevena, Inc., a biopharmaceutical company, develops various therapies based on breakthrough science to benefit patients and healthcare providers confronting serious medical conditions. Its product candidates include oliceridine injection, a µ-receptor G protein pathway selective modulator, which is in Phase III clinical trials for the management of moderate-to-severe acute pain where intravenous administration is preferred; TRV250, a G protein biased ligand targeting the d-receptor, which is in preclinical development for the treatment of migraine; and TRV734, a small molecule G protein biased ligand at the mu-receptor that is in Phase I clinical trials for the treatment of moderate to severe acute and chronic pain, as well as TRV027 for the treatment of acute heart failure. Trevena, Inc. was founded in 2007 and is headquartered in King of Prussia, Pennsylvania.</t>
  </si>
  <si>
    <t>Xencor, Inc.</t>
  </si>
  <si>
    <t>NasdaqGM:XNCR</t>
  </si>
  <si>
    <t>IQTR248208263</t>
  </si>
  <si>
    <t>Karyopharm Therapeutics Inc.</t>
  </si>
  <si>
    <t>NasdaqGS:KPTI</t>
  </si>
  <si>
    <t>IQTR247794155</t>
  </si>
  <si>
    <t>MacroGenics, Inc.</t>
  </si>
  <si>
    <t>NasdaqGS:MGNX</t>
  </si>
  <si>
    <t>IQTR245787439</t>
  </si>
  <si>
    <t>Fate Therapeutics, Inc.</t>
  </si>
  <si>
    <t>NasdaqGM:FATE</t>
  </si>
  <si>
    <t>IQTR244564687</t>
  </si>
  <si>
    <t>Acceleron Pharma Inc.</t>
  </si>
  <si>
    <t>NasdaqGM:XLRN</t>
  </si>
  <si>
    <t>IQTR244238745</t>
  </si>
  <si>
    <t>Conatus Pharmaceuticals Inc.</t>
  </si>
  <si>
    <t>NasdaqGM:CNAT</t>
  </si>
  <si>
    <t>IQTR241708661</t>
  </si>
  <si>
    <t>Chimerix, Inc.</t>
  </si>
  <si>
    <t>NasdaqGM:CMRX</t>
  </si>
  <si>
    <t>IQTR231772655</t>
  </si>
  <si>
    <t>Tetraphase Pharmaceuticals, Inc.</t>
  </si>
  <si>
    <t>NasdaqGS:TTPH</t>
  </si>
  <si>
    <t>IQTR228297621</t>
  </si>
  <si>
    <t>Esperion Therapeutics, Inc.</t>
  </si>
  <si>
    <t>NasdaqGM:ESPR</t>
  </si>
  <si>
    <t>IQTR240370442</t>
  </si>
  <si>
    <t>Aerie Pharmaceuticals, Inc.</t>
  </si>
  <si>
    <t>NasdaqGM:AERI</t>
  </si>
  <si>
    <t>IQTR246850752</t>
  </si>
  <si>
    <t>Ophthotech Corporation</t>
  </si>
  <si>
    <t>NasdaqGS:OPHT</t>
  </si>
  <si>
    <t>IQTR244629973</t>
  </si>
  <si>
    <t>Evoke Pharma, Inc.</t>
  </si>
  <si>
    <t>NasdaqCM:EVOK</t>
  </si>
  <si>
    <t>IQTR240839380</t>
  </si>
  <si>
    <t>IQ744102</t>
  </si>
  <si>
    <t>IQ115373285</t>
  </si>
  <si>
    <t>IQ600911</t>
  </si>
  <si>
    <t>IQ39268712</t>
  </si>
  <si>
    <t>IQ9004482</t>
  </si>
  <si>
    <t>IQ30828389</t>
  </si>
  <si>
    <t>IQ3280635</t>
  </si>
  <si>
    <t>IQ28895292</t>
  </si>
  <si>
    <t>IQ28236</t>
  </si>
  <si>
    <t>IQ24309870</t>
  </si>
  <si>
    <t>IQ36274487</t>
  </si>
  <si>
    <t>IQ35230943</t>
  </si>
  <si>
    <t>Xencor, Inc., a clinical-stage biopharmaceutical company, focuses on discovery and development of engineered monoclonal antibodies to treat severe and life-threatening diseases with unmet medical needs. It develops its antibody product candidates to treat autoimmune and allergic diseases, cancer, and other conditions. The company’s product candidates include XmAb5871, an immune inhibitor, which is in Phase II clinical trials for the treatment of autoimmune diseases; XmAb7195, an immune inhibitor that is in Phase I clinical for use in treating asthma and allergic diseases; XmAb14045, a bispecific oncology candidate, which is in phase I clinical trials for the treatment of acute myeloid leukemia; and XmAb13676 that is in phase I clinical trials for the treatment of B-cell malignancies. Its product candidates also comprise XmAb5574/MOR208, which is in Phase II clinical trials for the treatment of non-Hodgkin lymphomas and chronic lymphocytic leukemia; and XmAb13551 that is in preclinical trials used for the treatment of multiple myeloma. The company has license agreement with Amgen Inc. and MorphoSys Ag to develop and commercialize bispecific antibody product candidates; and development and manufacturing services agreement with Catalent Pharma Solutions LLC. Xencor, Inc. was founded in 1997 and is headquartered in Monrovia, California.</t>
  </si>
  <si>
    <t>Karyopharm Therapeutics Inc., a clinical-stage pharmaceutical company, focuses on the discovery, development, and commercialization of drugs directed against nuclear transport and related targets for the treatment of cancer and other diseases. Its lead drug candidate is Selinexor, which is in Phase IIb clinical trial for patients with heavily pretreated multiple myeloma; Phase Ib/II clinical study in combination with backbone treatments for relapsed/refractory multiple myeloma; Phase II/III clinical trial for patients with relapsed and/or refractory multiple myeloma; Phase II clinical study to treat acute myeloid leukemia; Phase IIb clinical trial for patients with diffuse large B-cell lymphoma; and Phase II/III clinical trial to treat liposarcoma. The company is also developing KPT-8602 that is in Phase I/II study for patients with relapsed/refractory multiple myeloma; KPT-9274, which is in Phase I clinical trial for patients with advanced solid malignancies or non-Hodgkin’s lymphoma; KPT-335, which is in Phase I clinical trial for the treatment of viral indications; and KPT-350 that is in preclinical stage to treat neurological disorders, and inflammatory and autoimmune diseases. Karyopharm Therapeutics Inc. was founded in 2008 and is headquartered in Newton, Massachusetts.</t>
  </si>
  <si>
    <t>MacroGenics, Inc., a biopharmaceutical company, focuses on the discovery and development of antibody-based therapeutics for the treatment of cancer primarily by modulating the human immune system, as well as various autoimmune disorders and infectious diseases in the United States. The company’s advanced clinical product candidate is Margetuximab, a monoclonal antibody, which is in Phase III clinical trial that targets human epidermal growth factor receptor 2-expressing tumors, such as various breast and gastroesophageal cancers. It also develops Enoblituzumab, a monoclonal antibody, which is in Phase 1 clinical trial as monotherapy in multiple solid tumor types, as well as in combination therapy with either an anti-PD-1 antibody or an anti-CTLA-4 antibody; Flotetuzumab, a DART molecule that targets CD123 and CD3; MGD007, a DART molecule, which targets glycoprotein A33 and CD3; Duvortuxizumab, a DART molecule that targets both CD19 and CD3; MGD009, a molecule in its B7-H3 franchise; MGA012, a monoclonal antibody, which targets PD-1; MGD013, a DART molecule that enables the co-blockade with a single recombinant agent of two immune checkpoint molecules; and MGC018, a B7-H3 antibody-drug conjugate. In addition, the company’s products include MGD010, a DART molecule designed to address limitations of existing B cell-targeted therapies by binding to the CD32B and CD79B proteins found on human B cells; Teplizumab, an anti-CD3 monoclonal antibody to treat type 1 diabetes; and MGD014, a DART molecule that targets human immunodeficiency virus, or HIV-infected cells, and CD3-expressing T cells. It has collaboration and license agreements with Janssen Biotech, Inc.; Les Laboratoires Servier and Institut de Recherches Servier; Boehringer Ingelheim GmbH; Pfizer, Inc.; Green Cross Corp.; F. Hoffmann-La Roche Ltd.; and Hoffmann-La Roche Inc. MacroGenics, Inc. was founded in 2000 and is headquartered in Rockville, Maryland.</t>
  </si>
  <si>
    <t>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 research collaboration partnership with the University of California San Diego to develop off-the-shelf chimeric antigen receptor-targeted natural killer cell cancer immunotherapies. It also has a strategic research collaboration and license agreement with Juno Therapeutics, Inc. to identify small molecule modulators that enhance the function of T cells. Fate Therapeutics, Inc. was founded in 2007 and is headquartered in San Diego, California.</t>
  </si>
  <si>
    <t>Acceleron Pharma Inc., a clinical stage biopharmaceutical company, focuses on the discovery, development, and commercialization of therapeutics for serious and rare diseases. Its therapeutic candidates include luspatercept to treat anemia and associated complications in patients with myelodysplastic syndromes and beta-thalassemia; and sotatercept for chronic kidney diseases. The company’s therapeutic candidates also include dalantercept, a tyrosine kinase inhibitor, which is in phase II clinical trials for renal cell carcinoma; and ACE-083 that is in phase II clinical trials for facioscapulohumeral dystrophy. It has collaboration, license, and option agreement with Celgene Corporation. The company was formerly known as Phoenix Pharma, Inc. Acceleron Pharma Inc. was founded in 2003 and is headquartered in Cambridge, Massachusetts.</t>
  </si>
  <si>
    <t>Conatus Pharmaceuticals Inc., a biotechnology company, focuses on the development and commercialization of novel medicines to treat liver diseases in the United States. Its product candidates include Emricasan, an orally active pan-caspase protease inhibitor that is in Phase IIb clinical trials for patients with portal hypertension; for liver function; for patients liver fibrosis caused by nonalcoholic steatohepatitis; and for post-orthotopic liver transplant as a result of hepatitis C virus infection with sustained viral response. The company was founded in 2005 and is headquartered in San Diego, California.</t>
  </si>
  <si>
    <t>Chimerix, Inc., a biopharmaceutical company, discovers, develops, and commercializes medicines that address unmet medical needs in the United States. The company’s lead product candidate is brincidofovir, an investigational nucleoside analog for the prevention of serious viral infections in hematopoietic or stem cell transplant recipients (HCT), as well as for the treatment of serious adenovirus infection and disease, smallpox, and BK virus infection in kidney and HCT transplant recipients. It is also developing CMX521, a nucleoside analog that is in preclinical stage for the treatment and prevention of norovirus; and CMX157, a nucleoside analog, which is in Phase II clinical stage to treat HIV and hepatitis B virus infection. It has a license agreement with ContraVir Pharmaceuticals for the development and commercialization of brincidofovir and CMX157 for certain antiviral indications; and BARDA for the development of brincidofovir for the treatment of smallpox. Chimerix, Inc. was founded in 2000 and is headquartered in Durham, North Carolina.</t>
  </si>
  <si>
    <t>Tetraphase Pharmaceuticals, Inc., a clinical-stage biopharmaceutical company, develops various antibiotics for the treatment of serious and life-threatening multidrug-resistant infections. Its lead product candidate is eravacycline, an intravenous and oral antibiotic for use as a first-line empiric monotherapy to treat resistant and multidrug-resistant infections, including multidrug-resistant Gram-negative infections. The company has completed a Phase III clinical trial of eravacycline with intravenous administration for the treatment of complicated intra-abdominal infections; and initiated a Phase III clinical trial of eravacycline for the treatment of complicated urinary tract infections with intravenous-to- oral transition therapy. It is also developing TP-271, a preclinical compound that is in Phase I clinical trial for respiratory diseases caused by bacterial biothreat pathogens; and TP-6076, a second-generation Gram-negative program, which is in Phase I clinical trial for multidrug-resistant Gram-negative infections. In addition, the company is involved in the discovery and development of additional antibiotics for the treatment of unmet medical needs, including multidrug-resistant Gram-negative bacteria. Tetraphase Pharmaceuticals, Inc. was founded in 2006 and is headquartered in Watertown, Massachusetts.</t>
  </si>
  <si>
    <t>Esperion Therapeutics, Inc., a lipid management company, focuses on developing and commercializing oral therapies for the treatment of patients with elevated low density lipoprotein cholesterol (LDL-C). Its lead product candidate is bempedoic acid/ezetimibe combination pill, a non-statin, orally available, LDL-C lowering therapy for patients with hypercholesterolemia and with atherosclerotic cardiovascular disease, and/or heterozygous familial hypercholesterolemia that is in Phase III long-term safety and tolerability study. Esperion Therapeutics, Inc. was founded in 2008 and is headquartered in Ann Arbor, Michigan.</t>
  </si>
  <si>
    <t>Aerie Pharmaceuticals, Inc., a clinical-stage pharmaceutical company, focuses on the discovery, development, and commercialization of first-in-class therapies for the treatment of glaucoma and other eye diseases. Its lead product candidate includes Rhopressa, a once-daily eye drop for the reduction of intraocular pressure (IOP) in patients with glaucoma or ocular hypertension. The company is also developing Roclatan, a once-daily eye drop to reduce IOP that is in Phase III registration trials to treat patients with open-angle glaucoma and ocular hypertension. Aerie Pharmaceuticals, Inc. has a collaborative research and development agreement with Royal DSM NV. Aerie Pharmaceuticals, Inc. was founded in 2005 and is based in Irvine, California.</t>
  </si>
  <si>
    <t>Ophthotech Corporation, a biopharmaceutical company, develops novel therapeutics to treat diseases of the back of the eye. Its principal product candidate, Fovista, an anti-platelet derived growth factor, is in Phase III clinical development for use in combination with anti-vascular endothelial growth factor drugs for the treatment of wet age-related macular degeneration (AMD). The company is also developing Zimura, an inhibitor of complement factor C5, for the treatment of dry AMD and wet AMD. Ophthotech Corporation was founded in 2007 and is headquartered in New York, New York.</t>
  </si>
  <si>
    <t>Evoke Pharma, Inc., a specialty pharmaceutical company, primarily focuses on the development of drugs for the treatment of gastroenterological disorders and diseases. It is developing Gimoti, a metoclopramide nasal spray, which completed Phase III clinical trials for the relief of symptoms associated with acute and recurrent diabetic gastroparesis in women. The company was founded in 2007 and is headquartered in Solana Beach, California.</t>
  </si>
  <si>
    <t>Humanigen, Inc.</t>
  </si>
  <si>
    <t>OTCPK:HGEN</t>
  </si>
  <si>
    <t>IQTR222635652</t>
  </si>
  <si>
    <t>IQ6099166</t>
  </si>
  <si>
    <t>Humanigen, Inc., a biopharmaceutical company, focuses on developing medicines for patients with neglected and rare diseases with focus on pediatric conditions in the United States. The company’s lead product candidate is benznidazole for the treatment of Chagas disease, a parasitic illness that can lead to long-term heart, intestinal, and neurological problems. It is also developing proprietary monoclonal antibodies, including lenzilumab, which is in Phase 1/2 clinical trial in patients with chronic myelomonocytic leukemia, and potentially for the treatment of juvenile myelomonocytic leukemia; and ifabotuzumab that has completed the Phase I dose escalation portion of a Phase I/II clinical trial in multiple hematologic malignancies. The company was formerly known as KaloBios Pharmaceuticals, Inc. and changed its name to Humanigen, Inc. in August 2017. Humanigen, Inc. was founded in 2000 and is based in Brisbane, California.</t>
  </si>
  <si>
    <t>Xenon Pharmaceuticals Inc.</t>
  </si>
  <si>
    <t>NasdaqGM:XENE</t>
  </si>
  <si>
    <t>Approved</t>
  </si>
  <si>
    <t>IQTR272011353</t>
  </si>
  <si>
    <t>MediWound Ltd.</t>
  </si>
  <si>
    <t>NasdaqGM:MDWD</t>
  </si>
  <si>
    <t>IQTR256690327</t>
  </si>
  <si>
    <t>Dermira, Inc.</t>
  </si>
  <si>
    <t>NasdaqGS:DERM</t>
  </si>
  <si>
    <t>IQTR271106159</t>
  </si>
  <si>
    <t>Intersect ENT, Inc.</t>
  </si>
  <si>
    <t>IQTR266643354</t>
  </si>
  <si>
    <t>Corium International, Inc.</t>
  </si>
  <si>
    <t>NasdaqGM:CORI</t>
  </si>
  <si>
    <t>IQTR259790658</t>
  </si>
  <si>
    <t>Eagle Pharmaceuticals, Inc.</t>
  </si>
  <si>
    <t>NasdaqGM:EGRX</t>
  </si>
  <si>
    <t>IQTR253238439</t>
  </si>
  <si>
    <t>Histogenics Corporation</t>
  </si>
  <si>
    <t>NasdaqCM:HSGX</t>
  </si>
  <si>
    <t>IQTR274052472</t>
  </si>
  <si>
    <t>FibroGen, Inc.</t>
  </si>
  <si>
    <t>NasdaqGS:FGEN</t>
  </si>
  <si>
    <t>IQTR273709680</t>
  </si>
  <si>
    <t>Coherus Biosciences, Inc.</t>
  </si>
  <si>
    <t>NasdaqGM:CHRS</t>
  </si>
  <si>
    <t>IQTR272917215</t>
  </si>
  <si>
    <t>Proteon Therapeutics, Inc.</t>
  </si>
  <si>
    <t>NasdaqGM:PRTO</t>
  </si>
  <si>
    <t>IQTR272339058</t>
  </si>
  <si>
    <t>Auris Medical Holding AG</t>
  </si>
  <si>
    <t>NasdaqGM:EARS</t>
  </si>
  <si>
    <t>IQTR267055894</t>
  </si>
  <si>
    <t>Ocular Therapeutix, Inc.</t>
  </si>
  <si>
    <t>IQTR266522434</t>
  </si>
  <si>
    <t>Radius Health, Inc.</t>
  </si>
  <si>
    <t>NasdaqGM:RDUS</t>
  </si>
  <si>
    <t>IQTR257524087</t>
  </si>
  <si>
    <t>Agile Therapeutics, Inc.</t>
  </si>
  <si>
    <t>NasdaqGM:AGRX</t>
  </si>
  <si>
    <t>IQTR260478489</t>
  </si>
  <si>
    <t>Adamas Pharmaceuticals, Inc.</t>
  </si>
  <si>
    <t>NasdaqGM:ADMS</t>
  </si>
  <si>
    <t>IQTR259934385</t>
  </si>
  <si>
    <t>Dipexium Pharmaceuticals, Inc.</t>
  </si>
  <si>
    <t>IQ110175276</t>
  </si>
  <si>
    <t>IQTR256493825</t>
  </si>
  <si>
    <t>Achaogen, Inc.</t>
  </si>
  <si>
    <t>NasdaqGM:AKAO</t>
  </si>
  <si>
    <t>IQTR254660147</t>
  </si>
  <si>
    <t>Revance Therapeutics, Inc.</t>
  </si>
  <si>
    <t>NasdaqGM:RVNC</t>
  </si>
  <si>
    <t>IQTR253587473</t>
  </si>
  <si>
    <t>Otonomy, Inc.</t>
  </si>
  <si>
    <t>NasdaqGS:OTIC</t>
  </si>
  <si>
    <t>IQTR268176442</t>
  </si>
  <si>
    <t>IQ565718</t>
  </si>
  <si>
    <t>IQ1570881</t>
  </si>
  <si>
    <t>IQ141930906</t>
  </si>
  <si>
    <t>IQ37464681</t>
  </si>
  <si>
    <t>IQ24949690</t>
  </si>
  <si>
    <t>IQ3474216</t>
  </si>
  <si>
    <t>IQ26670236</t>
  </si>
  <si>
    <t>IQ28484</t>
  </si>
  <si>
    <t>IQ206928583</t>
  </si>
  <si>
    <t>IQ26536980</t>
  </si>
  <si>
    <t>IQ42726152</t>
  </si>
  <si>
    <t>IQ41955650</t>
  </si>
  <si>
    <t>IQ9913586</t>
  </si>
  <si>
    <t>IQ858721</t>
  </si>
  <si>
    <t>IQ49682935</t>
  </si>
  <si>
    <t>IQ11382019</t>
  </si>
  <si>
    <t>IQ9344828</t>
  </si>
  <si>
    <t>IQ60978778</t>
  </si>
  <si>
    <t>Xenon Pharmaceuticals Inc., a clinical-stage biopharmaceutical company, engages in discovering and developing differentiated therapeutics for orphan indications in Canada. The company uses Extreme Genetics, a core enabling discovery platform for the discovery of validated drug targets by studying rare human diseases with extreme traits, including diseases caused by mutations in ion channels, known as channelopathies. It offers Glybera, a gene therapy product for the treatment of patients with orphan lipid disorder lipoprotein lipase deficiency. The company is also developing TV-45070, which is in Phase IIb clinical trials in patients with post-herpetic neuralgia; GDC-0276 and GDC-0310 that completed Phase I clinical trials for the treatment of pain; and XEN801, a stearoyl Co-A desaturase-1 inhibitor that is in Phase II clinical trials in patients with moderate to severe facial acne. Its preclinical product candidate includes XEN901, a selective Nav1.6 sodium channel inhibitor for the treatment of childhood epilepsy disorders. Xenon Pharmaceuticals Inc. has collaboration agreements with Teva Pharmaceutical Industries Ltd.; Genentech, Inc.; uniQure Biopharma B.V.; and Merck &amp; Co., Inc. The company was founded in 1996 and is headquartered in Burnaby, Canada.</t>
  </si>
  <si>
    <t>MediWound Ltd., an integrated biopharmaceutical company, focuses on developing, manufacturing, and commercializing novel therapeutics products in Israel. It markets NexoBrid, a biopharmaceutical product for the removal of eschar, a dead or damaged tissue in adults with deep partial- and full-thickness thermal burns. The company also develops EscharEx, which is in Phase II clinical trials for the debridement of chronic and other hard-to-heal wounds. MediWound Ltd. was founded in 2000 and is headquartered in Yavne, Israel.</t>
  </si>
  <si>
    <t>Dermira, Inc., a biopharmaceutical company, engages in identifies, develops, and commercializes therapies to treat dermatologic diseases. The company’s product candidates include Glycopyrronium tosylate, a novel form of an anticholinergic agent that has completed Phase III clinical trial for the treatment of primary axillary hyperhidrosis; Olumacostat glasaretil, a novel small molecule designed to target sebum production, which is in Phase III clinical trial for the treatment of acne vulgaris; and lebrikizumab, a novel humanized monoclonal antibody targeting interleukin 13 that is in Phase 2b development for the treatment of moderate-to-severe atopic dermatitis. It has licensing agreements with Maruho Co., Ltd. to develop and commercialize glycopyrronium tosylate in Japan; and F. Hoffmann-La Roche Ltd and Genentech, Inc. to develop and commercialize lebrikizumab. The company was formerly known as Skintelligence, Inc. and changed its name to Dermira, Inc. in September 2011. Dermira, Inc. was founded in 2010 and is headquartered in Menlo Park, California.</t>
  </si>
  <si>
    <t>Intersect ENT, Inc., a commercial stage drug-device company, provides therapeutic solutions for patients with ear, nose, and throat conditions in the United States. It offers PROPEL and PROPEL mini drug releasing implants for patients undergoing sinus surgery to treat chronic sinusitis; and PROPEL Contour, a steroid releasing implant to frontal and maxillary sinus ostia, or openings, of the dependent sinuses. The company is also developing RESOLVE, a steroid releasing implant for refractory disease for the treatment of patients in the physician office setting. The company was formerly known as Sinexus, Inc. and changed its name to Intersect ENT, Inc. in November 2009. Intersect ENT, Inc. was founded in 2003 and is headquartered in Menlo Park, California.</t>
  </si>
  <si>
    <t>Corium International, Inc., a biopharmaceutical company, focuses on the development, manufacture, and commercialization of specialty pharmaceutical products in transdermal and transmucosal delivery systems. It offers Clonidine Transdermal Delivery System (TDS), a treatment for hypertension; Fentanyl TDS, a treatment for the management of chronic pain, including cancer-related pain; and Crest Whitestrips for teeth whitening. The company’s products under pipeline comprise Twirla, a combination hormonal contraceptive patch, which has completed Phase III clinical trials to deliver ethinyl estradiol and levonorgestrel hormones; MicroCor hPTH(1-34), a transdermal system that has completed Phase 1 and Phase II a clinical trials for the treatment of severe osteoporosis; and Donepezil and Memantine transdermal systems, which completed Phase I clinical trials for the treatment of Alzheimer's disease. In addition, it develops Aripiprazole TDS for the treatment for psychiatric disorders; Corplex Ropinirole, a transdermal patch for the treatment of Parkinson's disease; and Motion Sickness Patch, a generic transdermal product for the prevention of nausea and vomiting associated with motion sickness. Corium International, Inc. has collaboration agreements with The Procter &amp; Gamble Company; Teva Pharmaceuticals USA, Inc.; Agile Therapeutics, Inc.; and Aequus Pharmaceuticals, Inc. The company was incorporated in 1995 and is headquartered in Menlo Park, California.</t>
  </si>
  <si>
    <t>Eagle Pharmaceuticals, Inc., a specialty pharmaceutical company, focuses on developing and commercializing injectable products primarily in the critical care and oncology areas in the United States. The company offers argatroban for heparin-induced thrombocytopenia; Ryanodex for malignant hyperthermia; non-alcohol docetaxel injection, a chemotherapeutic agent for breast, non-small cell lung, prostate, head, and neck cancers/gastric adenocarcinoma; and Bendeka for chronic lymphocytic leukemia and indolent B-cell non-Hodgkin's lymphoma. Its product candidates includes include EP-4104, a dantrolene sodium for exertional heat stroke; EGL-4104-C-1702, dantrolene sodium for drug induced hyperthermia; EP-5101 (pemetrexed) for lung cancer and mesothelioma; and EGL-5385-C-1701 (fulvestrant) for breast cancer. Eagle Pharmaceuticals, Inc. was founded in 2007 and is headquartered in Woodcliff Lake, New Jersey.</t>
  </si>
  <si>
    <t>Histogenics Corporation, a regenerative medicine company, focuses on developing and commercializing products in the musculoskeletal segment of the marketplace in the United States. The company offers NeoCart, a tissue implant, which is in Phase III clinical trial to treat tissue injury in the field of orthopedics, specifically cartilage damage in the knee. It has an exclusive channel collaboration agreement with Intrexon Corporation for the development and commercialization of allogeneic genetically modified chondrocyte cell therapeutics for the treatment or repair of damaged articular hyaline cartilage in humans. Histogenics Corporation was founded in 2000 and is headquartered in Waltham, Massachusetts.</t>
  </si>
  <si>
    <t>FibroGen, Inc., a research-based biopharmaceutical company, discovers, develops, and commercializes therapeutic agents to treat serious unmet medical needs in the United States.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for the treatment of corneal blindness resulting from partial thickness corneal damage. It has collaboration agreements with Astellas Pharma Inc. and AstraZeneca AB. The company was incorporated in 1993 and is headquartered in San Francisco, California.</t>
  </si>
  <si>
    <t>Coherus BioSciences, Inc., a late-stage clinical biologics platform company, focuses on developing and commercializing biosimilar products worldwide. The company’s product candidates include CHS-1701, a pegfilgrastim biosimilar candidate, which is used for the treatment of febrile neutropenia; CHS-0214, an etanercept biosimilar candidate, which is in various phases of clinical trials for the treatment of ankylosing spondylitis, juvenile idiopathic arthritis, psoriatic arthritis, rheumatoid arthritis, and psoriasis; and CHS-5217, a bevacizumab biosimilar candidate, which is in preclinical stage for the treatment of metastatic colorectal cancer, non–small cell lung cancer, metastatic kidney cancer, advanced cervical cancer, platinum-resistant ovarian cancer, and recurrent glioblastoma. Its product candidates also comprise CHS-1420, an adalimumab biosimilar candidate, which is in various phases of clinical trials to treat ankylosing spondylitis, Behçet's Disease, Crohn’s Disease, juvenile idiopathic arthritis, psoriasis, psoriatic arthritis, rheumatoid arthritis, and ulcerative colitis; and CHS-3351, a ranibizumab biosimilar candidate, which is in preclinical stage for the treatment of neovascular (wet) age-related macular, degeneration, macular edema following retinal vein occlusion, diabetic macular edema, and diabetic retinopathy. Coherus Biosciences, Inc. has license agreement with Daiichi Sankyo Company, Limited; Baxalta Incorporated, Baxalta US Inc., and Baxalta GmbH; Genentech, Inc.; and Selexis SA. The company was formerly known as BioGenerics, Inc. and changed its name to Coherus Biosciences, Inc. in April 2012. Coherus Biosciences, Inc. was founded in 2010 and is headquartered in Redwood City, California.</t>
  </si>
  <si>
    <t>Proteon Therapeutics, Inc., a late-stage biopharmaceutical company, focuses on the development of pharmaceuticals to address the needs of patients with renal and vascular diseases. It develops vonapanitase, a recombinant human elastase, which is in Phase III clinical trial for patients with chronic kidney disease undergoing surgical creation of a radiocephalic fistula for hemodialysis; has completed a Phase I/II clinical trial in patients undergoing placement of an arteriovenous graft; and is in Phase I clinical trial for the treatment of symptomatic peripheral artery disease. The company was founded in 2001 and is based in Waltham, Massachusetts.</t>
  </si>
  <si>
    <t>Auris Medical Holding AG, a clinical-stage biopharmaceutical company, focuses on the development of novel products for the treatment of inner ear disorders. Its product candidates include AM-101, which is in phase III clinical development for the treatment of acute inner ear tinnitus; and AM-111 that is in phase III clinical development for the treatment of acute inner ear hearing loss. The company is also developing AM-125 for the treatment of vestibular disorders; and other pre-clinical stage products comprising AM-102 and AM-123. It has a collaboration and license agreement with Xigen S.A. to develop, manufacture, and commercialize pharmaceutical products, as well as drug delivery devices and formulations for local administration of therapeutic substances to the inner ear for the treatment of ear disorders. The company was formerly known as Auris Medical AG and changed its name to Auris Medical Holding AG in April 2014. Auris Medical Holding AG was founded in 1998 and is headquartered in Zug, Switzerland.</t>
  </si>
  <si>
    <t>Ocular Therapeutix, Inc., a biopharmaceutical company, focuses on the development, manufacture, and commercialization of ocular therapies using its Hydrogel technology. Its product pipeline candidates utilize its platform to provide differentiated drug delivery solutions that are designed to reduce the complexity and burden of current drop or injection regimens by creating sustained release one-time or several-month dosage forms. The company’s lead product candidate, DEXTENZA (dexamethasone insert) 0.4 mg for intracanalicular use has completed Phase 3 clinical development for the treatment of ocular pain and inflammation following ophthalmic surgery. It is also developing OTX-TP (travoprost insert), which is in Phase 3 clinical development for glaucoma and ocular hypertension. In addition, the company is evaluating injectable drug delivery depots for back-of-the-eye diseases. Further, its commercial product includes the ReSure Sealant, which has been approved by the Food and Drug Administration (FDA) for ophthalmic use. Ocular Therapeutix, Inc. was founded in 2006 and is headquartered in Bedford, Massachusetts.</t>
  </si>
  <si>
    <t>Radius Health, Inc., a biopharmaceutical company, develops and sells therapeutics in the areas of osteoporosis, oncology, and endocrine diseases primarily in the United States. Its product candidates include Abaloparatide-SC, an injectable subcutaneous formulation of abaloparatide, which has completed Phase III clinical trial for the treatment of patients with postmenopausal osteoporosis; and Abaloparatide-TD, a transdermal patch for use as a short wear-time transdermal patch. The company is also involved in developing RAD1901, a selective estrogen receptor down-regulator/degrader, which is in Phase I clinical trial for the treatment of metastatic breast cancer, as well as in Phase IIb clinical trial for the treatment of postmenopausal vasomotor symptoms; and RAD140, a nonsteroidal selective androgen receptor modulator for the treatment of breast cancer. It has collaborations and license agreements with 3M; Ipsen Pharma SAS; Eisai Co. Ltd.; Lonza Group Ltd.; Novartis Pharmaceuticals; and Takeda Pharmaceutical Company Limited, as well as research and development agreements with Nordic Bioscience Clinical Development VII A/S. Radius Health, Inc. was founded in 2003 and is headquartered in Waltham, Massachusetts.</t>
  </si>
  <si>
    <t>Agile Therapeutics, Inc., a forward-thinking women's healthcare company, focuses on the development and commercialization of prescription contraceptive products for women. Its lead product candidate is Twirla, also known as AG200-15, a once-weekly contraceptive patch, which completed Phase III clinical trials. The company is also developing a pipeline of other new transdermal contraceptive products, including AG200-ER, a regimen that allows a woman to extend the length of her cycle; AG200-SP, which is a regimen designed to provide shorter lighter periods; and AG890, a progestin-only contraceptive patch intended for use by women who are unable or unwilling to take estrogen. Agile Therapeutics, Inc. was founded in 1997 and is headquartered in Princeton, New Jersey.</t>
  </si>
  <si>
    <t>Adamas Pharmaceuticals, Inc. discovers, develops, and sells therapies for chronic neurologic disorders. The company’s approved/commercial product is GOCOVRI, an amantadine therapy for the treatment of levodopa-induced dyskinesia in patients with Parkinson’s disease. Its partnered approved/commercial products include Namzaric (memantine hydrochloride extended-release and donepezil hydrochloride) capsules; and Namenda XR (memantine hydrochloride) extended release capsules for the treatment of moderate to severe Alzheimer’s disease. The company’s product candidates under development includes ADS-5102, which is in Phase III clinical trials for the treatment of multiple sclerosis walking impairment; and in Phase II clinical trials for additional indications, such as the treatment of wearing OFF and delaying motor complications in Parkinson’s disease, tardive dyskinesia, Huntington’s chorea, and Tourette syndrome, as well as non-motor disorders consisting of depression, and anti-psychotic induced weight gain. Its products under development also includes ADS-4101, a modified-release lacosamide that has completed Phase I clinical study for the treatment of partial onset seizures in patients with epilepsy. The company was formerly known as NeuroMolecular Pharmaceuticals, Inc. and changed its name to Adamas Pharmaceuticals, Inc. in July 2007. Adamas Pharmaceuticals, Inc. was founded in 2000 and is headquartered in Emeryville, California.</t>
  </si>
  <si>
    <t>As of April 19, 2017, Dipexium Pharmaceuticals, Inc. was acquired by PLx Pharma, Inc. in a reverse merger transaction. Dipexium Pharmaceuticals, Inc., a late stage pharmaceutical company, focuses on the development and commercialization of antibiotics in the United States. The company develops Locilex (pexiganan cream 0.8%), a novel topical antibiotic for the treatment of mild infections of diabetic foot ulcers. Dipexium Pharmaceuticals, Inc. was founded in 2010 and is based in New York, New York.</t>
  </si>
  <si>
    <t>Achaogen, Inc., a late-stage biopharmaceutical company, discovers, develops, and commercializes antibacterials to treat multi-drug resistant (MDR) gram-negative infections in the United States. The company is principally developing plazomicin, which is in Phase III clinical trial for the treatment of serious bacterial infections, including urinary tract infections, blood stream infections, and other infections due to MDR Enterobacteriaceae comprising carbapenem-resistant Enterobacteriaceae. It is also involved in the research and development of antipseudomonal LpxC inhibitor compounds for the treatment of bacterial infections; and therapeutic antibody discovery program. The company has license and collaboration agreements with Thermo Fisher Scientific, Inc. to develop and commercialize an assay to to enable patients to receive safe and efficacious doses of plazomicin; Crystal Biosciences, Inc. to discover monoclonal antibodies against multiple targets; Ionis Pharmaceuticals, Inc. for certain patents relating to aminoglycoside antibacterial compounds and related know-how to develop and commercialize certain novel aminoglycoside antibacterial compounds; and Hovione Limited to manufacture the active pharmaceutical ingredient for plazomicin. The company was incorporated in 2002 and is based in South San Francisco, California.</t>
  </si>
  <si>
    <t>Revance Therapeutics, Inc., a biotechnology company, engages in the development, manufacturing, and commercialization of novel botulinum toxin products for various aesthetic and therapeutic indications. The company's lead drug candidate is DaxibotulinumtoxinA for injection (RT002), which is in Phase III clinical trials to treat glabellar (frown) lines, as well as in Phase II clinical trials for the treatment of cervical dystonia and plantar fasciitis. It is also developing DaxibotulinumtoxinA topical gel (RT001) that is in preclinical development. The company was formerly known as Essentia Biosystems, Inc. and changed its name to Revance Therapeutics, Inc. in April 2005. Revance Therapeutics, Inc. was founded in 1999 and is headquartered in Newark, California.</t>
  </si>
  <si>
    <t>Otonomy, Inc., a biopharmaceutical company, focuses on the development and commercialization of therapeutics for diseases and disorders of the ear in the United States. It offers OTIPRIO, a ciprofloxacin otic suspension for use during tympanostomy tube placement surgery in pediatric patients. OTIPRIO has also completed a Phase III clinical trial for treating swimmer’s ear and a Phase II clinical trial for treating acute otitis media with tubes. The company also develops OTO-104, a sustained-exposure formulation of the steroid dexamethasone in Phase III clinical trial for the treatment of Ménière’s disease and other inner ear conditions; and OTO-311, a sustained-exposure formulation of N-methyl-D-aspartate receptor antagonist gacyclidine, which has completed a Phase 1 clinical safety trial for the treatment of tinnitus. Otonomy, Inc. was founded in 2008 and is headquartered in San Diego, California.</t>
  </si>
  <si>
    <t>Vital Therapies, Inc.</t>
  </si>
  <si>
    <t>NasdaqGS:VTL</t>
  </si>
  <si>
    <t>IQTR248226522</t>
  </si>
  <si>
    <t>Onconova Therapeutics, Inc.</t>
  </si>
  <si>
    <t>NasdaqCM:ONTX</t>
  </si>
  <si>
    <t>IQTR241745598</t>
  </si>
  <si>
    <t>PTC Therapeutics, Inc.</t>
  </si>
  <si>
    <t>NasdaqGS:PTCT</t>
  </si>
  <si>
    <t>IQTR240482700</t>
  </si>
  <si>
    <t>Portola Pharmaceuticals, Inc.</t>
  </si>
  <si>
    <t>NasdaqGS:PTLA</t>
  </si>
  <si>
    <t>IQTR236351346</t>
  </si>
  <si>
    <t>ADMA Biologics, Inc.</t>
  </si>
  <si>
    <t>NasdaqCM:ADMA</t>
  </si>
  <si>
    <t>IQTR228299847</t>
  </si>
  <si>
    <t>Argos Therapeutics, Inc.</t>
  </si>
  <si>
    <t>NasdaqCM:ARGS</t>
  </si>
  <si>
    <t>IQTR253525884</t>
  </si>
  <si>
    <t>IQ7186386</t>
  </si>
  <si>
    <t>IQ865203</t>
  </si>
  <si>
    <t>IQ1006484</t>
  </si>
  <si>
    <t>IQ8057072</t>
  </si>
  <si>
    <t>IQ51119246</t>
  </si>
  <si>
    <t>IQ31407</t>
  </si>
  <si>
    <t>Vital Therapies, Inc., a biotherapeutic company, focuses on developing a human hepatic cell-based therapy targeting the treatment of acute forms of liver failure in the United States. Its ELAD system is an extracorporeal human allogeneic cellular liver therapy that is in Phase III clinical trials to allow the patient’s own liver to potentially regenerate to a healthy state or to stabilize the patient until transplant. The company was formerly known as Vitagen Acquisition Corp. and changed its name to Vital Therapies, Inc. in June 2003. Vital Therapies, Inc. was founded in 2003 and is headquartered in San Diego, California.</t>
  </si>
  <si>
    <t>Onconova Therapeutics, Inc., a clinical-stage biopharmaceutical company, focuses on discovering and developing small molecule drug candidates to treat cancer. The company’s clinical-stage product candidates include Rigosertib IV, which is in Phase III clinical trials for patients with higher risk myelodysplastic syndromes (MDS); Rigosertib oral in combination with azacitidine that is in Phase II clinical trials for patients with MDS and acute myelogenous leukemia; and Rigosertib oral, which is in Phase II clinical trials for patients with lower risk MDS. Its clinical-stage product candidates also comprise Briciclib, which is in Phase I multisite dose-escalation trial for patients with advanced solid tumors; and Recilisib that has completed four Phase I clinical trials for patients with acute radiation syndromes. In addition, the company has various product candidates in preclinical development that target kinases, cellular metabolism, or cell division. It has a development and license agreement with Baxter Healthcare SA; a license agreement with SymBio Pharmaceuticals Limited; and a strategic collaboration with Cellectar Biosciences, Inc. Onconova Therapeutics, Inc. was founded in 1998 and is headquartered in Newtown, Pennsylvania.</t>
  </si>
  <si>
    <t>PTC Therapeutics, Inc., a biopharmaceutical company, focuses on the discovery, development, and commercialization of orally administered, small molecule drugs that target post-transcriptional control processes. The company’s lead product is Translarna (ataluren), for the treatment of nonsense mutation Duchenne muscular dystrophy in ambulatory patients; and which is in phase III clinical trials to treat cystic fibrosis caused by nonsense mutations. It also develops Translarna, which is in Phase II clinical trials for the treatment of mucopolysaccharidosis type I caused by nonsense mutation, nonsense mutation aniridia, and nonsense mutation Dravet syndrome/CDKL5; and RG7916 that is in Phase I clinical trials to treat spinal muscular atrophy. In addition, the company’s product candidate in cancer stem cell program include PTC596, an orally bioavailable and potent small molecule, which has completed phase I clinical trials that targets tumor stem cell populations by reducing the activity and amount of a protein called BMI1. PTC Therapeutics, Inc. has collaborations with F. Hoffman-La Roche Ltd and Hoffman-La Roche Inc., and the Spinal Muscular Atrophy Foundation to develop and commercialize compounds identified under its spinal muscular atrophy sponsored research program; and research collaboration with Massachusetts General Hospital for the treatment of rare genetic disorders resulting from pre-mRNA. The company was founded in 1998 and is headquartered in South Plainfield, New Jersey.</t>
  </si>
  <si>
    <t>Portola Pharmaceuticals, Inc., a biopharmaceutical company, develops and commercializes therapeutics for patients in the areas of thrombosis, other hematologic disorders, and inflammation. The company is developing Betrixaban, an oral once-daily inhibitor of Factor Xa that is in Phase III clinical stage for extended duration VTE prophylaxis in acute medically ill patients for 35 days of in-hospital and post-discharge use; Andexanet alfa, a recombinant protein, which is in Phase III and IV stages for reverse anticoagulant activity in patients treated with fXa inhibitor; and Cerdulatinib, an orally available dual kinase inhibitor, which is in Phase IIa clinical stage for hematologic, blood, cancers, and inflammatory disorders. It also develops Syk-selective inhibitors in pre-clinical stage for allergic conjunctivitis. Portola Pharmaceuticals, Inc. has collaboration agreements with Bristol-Myers Squibb; Pfizer Inc.; Bayer Pharma, AG; Janssen Pharmaceuticals, Inc.; Daiichi Sankyo, Inc.; and Dermavant Sciences GmbH. The company was founded in 2003 and is headquartered in South San Francisco, California.</t>
  </si>
  <si>
    <t>ADMA Biologics, Inc., a biopharmaceutical company, develops, manufactures, and markets specialty plasma-based biologics for the treatment of immune deficiencies and infectious diseases. Its lead product candidate is RI-002 derived from human plasma, which has completed Phase III clinical study for the treatment of primary immune deficiency disease. The company also operates source plasma collection facilities in Norcross and Marietta, Georgia. ADMA Biologics, Inc. was founded in 2004 and is based in Ramsey, New Jersey.</t>
  </si>
  <si>
    <t>Argos Therapeutics, Inc., an immuno-oncology company, focuses on the development and commercialization of individualized immunotherapies for the treatment of cancer and infectious diseases in North America. The company develops immunotherapies based on its proprietary technology platform, Arcelis. Its product candidates include rocapuldencel-T, which is in Phase III clinical trial for the treatment of metastatic renal cell carcinoma; and in Phase II clinical trial to treat early stage renal cell carcinoma and muscle invasive bladder cancer. The company also develops AGS-004, which is in Phase II clinical trials for the treatment of human immunodeficiency virus. The company was formerly known as Merix Bioscience, Inc. and changed its name to Argos Therapeutics, Inc. in October 2004. Argos Therapeutics, Inc. was founded in 1997 and is based in Durham, North Carolina.</t>
  </si>
  <si>
    <t>Enanta Pharmaceuticals, Inc.</t>
  </si>
  <si>
    <t>NasdaqGS:ENTA</t>
  </si>
  <si>
    <t>IQTR224013817</t>
  </si>
  <si>
    <t>IQTR216520882</t>
  </si>
  <si>
    <t>Tesaro, Inc.</t>
  </si>
  <si>
    <t>NasdaqGS:TSRO</t>
  </si>
  <si>
    <t>IQTR182963263</t>
  </si>
  <si>
    <t>IQ345286</t>
  </si>
  <si>
    <t>IQ106485352</t>
  </si>
  <si>
    <t>Enanta Pharmaceuticals, Inc., a biotechnology company, focuses on discovering and developing small molecule drugs for the treatment of viral infections and liver diseases. The company’s research and development focuses on disease targets: hepatitis B virus, non-alcoholic steatohepatitis, primary biliary cholangitis, and respiratory syncytial virus. It has a collaborative development and license agreement with Abbott Laboratories to identify, develop, and commercialize HCV NS3 and NS3/4A protease inhibitor compounds, including paritaprevir and glecaprevir for the treatment of chronic hepatitis C virus. The company was founded in 1995 and is headquartered in Watertown, Massachusetts.</t>
  </si>
  <si>
    <t>Tesaro, Inc., an oncology-focused biopharmaceutical company, identifies, acquires, develops, and commercializes cancer therapeutics and oncology supportive care products in the United States. It markets Rolapitant, a neurokinin-1, or NK-1, receptor antagonist for the prevention of chemotherapy induced nausea and vomiting under the VARUBI brand name. The company is also developing Niraparib, an orally active and potent poly polymerase inhibitor, which is in various clinical trials to treat ovarian or breast cancers. In addition, it is developing immunotherapy antibody product candidates, including TSR-042, which is in a phase I clinical trial targeting programmed cell death protein 1; TSR-022 that is in phase I clinical trial targeting T-cell immunoglobulin domain and mucin domain-3; and TSR-033, an antibody candidate, which is in pre-clinical research stage targeting lymphocyte-activation gene-3. It has license and collaboration agreements with AnaptysBio, Inc.; and The University of Texas MD Anderson Cancer Center, as well as with Janssen Biotech, Inc., Zai Lab (Shanghai) Co., Ltd, OPKO Health, Inc. The company also has collaboration agreements with Evotec AG and OncoQuest Inc. Tesaro, Inc. was founded in 2010 and is headquartered in Waltham, Massachusetts.</t>
  </si>
  <si>
    <t>Adverum Biotechnologies, Inc.</t>
  </si>
  <si>
    <t>NasdaqGM:ADVM</t>
  </si>
  <si>
    <t>PhaseI/II</t>
  </si>
  <si>
    <t>IQTR267071871</t>
  </si>
  <si>
    <t>IQ207074711</t>
  </si>
  <si>
    <t>Adverum Biotechnologies, Inc., a clinical-stage gene therapy company, discovers and develops novel medicines for patients suffering from rare and ocular diseases. The company’s pipeline includes product candidates, which are used for the treatment of wet age-related macular degeneration (wAMD), alpha 1 antitrypsin deficiency (A1AT), and hereditary angioedema. Its lead gene therapy programs include ADVM-022 and ADVM-032, which are in the preclinical development for wAMD diseases; and ADVM-043 for the treatment of A1AT. The company is also developing ADVM-053 to treat hereditary angioedema; and other product candidates that comprise ocular therapeutics, including AVA-311 for the treatment of juvenile X-linked retinoschisis. It has collaboration agreements with Regeneron Pharmaceuticals, Inc. to research, develop, and commercialize gene therapy products for ophthalmic diseases; and Editas Medicine, Inc. to explore the delivery of genome editing medicines for the treatment of inherited retinal diseases. The company was formerly known as Avalanche Biotechnologies, Inc. and changed its name to Adverum Biotechnologies, Inc. in May 2016. Adverum Biotechnologies, Inc. was founded in 2006 and is headquartered in Menlo Park, California.</t>
  </si>
  <si>
    <t>Series D (Tranche II) - Value Per Share Calculation</t>
  </si>
  <si>
    <t>No. of Series D Shares (Tranche II)</t>
  </si>
  <si>
    <t>Series D (Tranche II)</t>
  </si>
  <si>
    <t>Bundle - Total Invested</t>
  </si>
  <si>
    <t>Bundle - Calculated</t>
  </si>
  <si>
    <t>Implied Latest Preferred Round - Series D Tranche II</t>
  </si>
  <si>
    <t>Executive Option Grants Made</t>
  </si>
  <si>
    <t>Present Value Per Series D Share (Tranche II)</t>
  </si>
  <si>
    <t>WAT</t>
  </si>
  <si>
    <t>Interpolation - DLOM</t>
  </si>
  <si>
    <t>Asset Volatility - DLOM</t>
  </si>
  <si>
    <t>Concluded DLOM (rounded)</t>
  </si>
  <si>
    <t>Weighted average debt for scenarios</t>
  </si>
  <si>
    <t>Series D Converts</t>
  </si>
  <si>
    <t>Series E Converts</t>
  </si>
  <si>
    <t>Series C Converts</t>
  </si>
  <si>
    <t>Long-horizon expected equity risk premium (supply-side) : historical equity risk premium
minus price-to-earnings ratio calculated using three-year average earnings</t>
  </si>
  <si>
    <t>10b-Smallest</t>
  </si>
  <si>
    <t>10a</t>
  </si>
  <si>
    <t>Breakdown of the 10th Decile</t>
  </si>
  <si>
    <t>10-Smallest</t>
  </si>
  <si>
    <t>1-Largest</t>
  </si>
  <si>
    <t>Breakdown of Deciles 1-10</t>
  </si>
  <si>
    <t>Micro-cap, 9-10</t>
  </si>
  <si>
    <t>Low-cap, 6-8</t>
  </si>
  <si>
    <t>Mid-cap, 3-5</t>
  </si>
  <si>
    <t>premium</t>
  </si>
  <si>
    <t>largest (in millions)</t>
  </si>
  <si>
    <t>smallest (in millions)</t>
  </si>
  <si>
    <t xml:space="preserve"> Year - 2016</t>
  </si>
  <si>
    <t xml:space="preserve"> Year - 2017</t>
  </si>
  <si>
    <t>Based on the 25th segment ranked by sales for the Duff &amp; Phelps, LLC Risk Premium Report 2016.</t>
  </si>
  <si>
    <t xml:space="preserve">Based on the </t>
  </si>
  <si>
    <t>Re-levered based on the capital structure weighting portrayed herein.</t>
  </si>
  <si>
    <t>Based on consideration of the average bond yield for the Moody's Baa Rated Index as of the Valuation Date, and company-specific considerations.</t>
  </si>
  <si>
    <t>Calculated Cost of Equity</t>
  </si>
  <si>
    <t>Unsystematic Risk Premium</t>
  </si>
  <si>
    <t>Size Premium</t>
  </si>
  <si>
    <t>&lt;A&gt;*&lt;B&gt;</t>
  </si>
  <si>
    <t>Equity Risk Premium</t>
  </si>
  <si>
    <t>&lt;B&gt;</t>
  </si>
  <si>
    <t>Market Risk Premium</t>
  </si>
  <si>
    <t>&lt;A&gt;</t>
  </si>
  <si>
    <t>Re-Levered Beta</t>
  </si>
  <si>
    <t>LINK UP</t>
  </si>
  <si>
    <t>Unlevered Beta</t>
  </si>
  <si>
    <t>Cost of Equity</t>
  </si>
  <si>
    <t>Post-Tax Cost Of Debt</t>
  </si>
  <si>
    <t>Tax Rate</t>
  </si>
  <si>
    <t>Moody's BAA Rate</t>
  </si>
  <si>
    <t>Pre-Tax Cost of Debt</t>
  </si>
  <si>
    <t>Cost of Debt</t>
  </si>
  <si>
    <t>Calculated</t>
  </si>
  <si>
    <t>Equity</t>
  </si>
  <si>
    <t>Weighted Cost</t>
  </si>
  <si>
    <t>Weighting</t>
  </si>
  <si>
    <t>Cost of Capital</t>
  </si>
  <si>
    <t>Capital Structure Components</t>
  </si>
  <si>
    <t>Weighted Average Cost of Capital - CAPM-Based</t>
  </si>
  <si>
    <t>^XTO</t>
  </si>
  <si>
    <t>^FTSE</t>
  </si>
  <si>
    <t>M</t>
  </si>
  <si>
    <t>E/MVIC</t>
  </si>
  <si>
    <t>D/MVIC</t>
  </si>
  <si>
    <t>Start Date</t>
  </si>
  <si>
    <t>Levered Beta</t>
  </si>
  <si>
    <t>Beta Lookback (Years)</t>
  </si>
  <si>
    <t>Beta</t>
  </si>
  <si>
    <t>Beta Calculation</t>
  </si>
  <si>
    <t>Series E Redeem</t>
  </si>
  <si>
    <t>Series D Redeem</t>
  </si>
  <si>
    <t>Series C Redeem</t>
  </si>
  <si>
    <t>Series B Redeem</t>
  </si>
  <si>
    <t>Series A Redeem</t>
  </si>
  <si>
    <t>List</t>
  </si>
  <si>
    <t>Capital structure weighting based on observations of the Tier 2 Guideline Public Companies, as well as company-specific considerations.</t>
  </si>
  <si>
    <t>Concluded Equity Value</t>
  </si>
  <si>
    <t>Adjustment Factor (1)</t>
  </si>
  <si>
    <t>Considered as provided by Management.</t>
  </si>
  <si>
    <t>Guideline Public Companies (1)</t>
  </si>
  <si>
    <t>Value per share</t>
  </si>
  <si>
    <t>Series B Converts</t>
  </si>
  <si>
    <t xml:space="preserve">Series A Tranche II Converts </t>
  </si>
  <si>
    <t xml:space="preserve">Series A Tranche I Converts </t>
  </si>
  <si>
    <t>=TRANSPOSE('Econ Rights'!P24:P42)</t>
  </si>
  <si>
    <t>=TRANSPOSE('Econ Rights'!N24:N42)</t>
  </si>
  <si>
    <r>
      <t xml:space="preserve">
</t>
    </r>
    <r>
      <rPr>
        <b/>
        <sz val="18"/>
        <color indexed="56"/>
        <rFont val="Arial"/>
        <family val="2"/>
      </rPr>
      <t xml:space="preserve">Type 2 Diabetes 
</t>
    </r>
    <r>
      <rPr>
        <sz val="18"/>
        <color indexed="56"/>
        <rFont val="Arial"/>
        <family val="2"/>
      </rPr>
      <t>China</t>
    </r>
  </si>
  <si>
    <t>Market forecast (2012-2022)</t>
  </si>
  <si>
    <t>CAGR (2012-2022)</t>
  </si>
  <si>
    <t>Total China population 20y+</t>
  </si>
  <si>
    <t>Total T2D diagnosed 20y+</t>
  </si>
  <si>
    <t>% T2D drug treated</t>
  </si>
  <si>
    <t>T2D total treated patients</t>
  </si>
  <si>
    <t>T2D Patient Share</t>
  </si>
  <si>
    <t>Metformin total</t>
  </si>
  <si>
    <t>Sulfonylureas and non-sulfonylureas total</t>
  </si>
  <si>
    <t>AGIs</t>
  </si>
  <si>
    <t>Thiazolidinediones total</t>
  </si>
  <si>
    <t>Actos; ACTOplusmet/Competact</t>
  </si>
  <si>
    <t xml:space="preserve">   pioglitazone generics</t>
  </si>
  <si>
    <t>GLP-1 receptor agonists total</t>
  </si>
  <si>
    <t>Byetta</t>
  </si>
  <si>
    <t xml:space="preserve">   exenatide generics</t>
  </si>
  <si>
    <t>Victoza</t>
  </si>
  <si>
    <t>Bydureon</t>
  </si>
  <si>
    <t>Lyxumia</t>
  </si>
  <si>
    <t>Albiglutide</t>
  </si>
  <si>
    <t>Dulaglutide</t>
  </si>
  <si>
    <t>Semaglutide</t>
  </si>
  <si>
    <t>DPP-4 inhibitors total</t>
  </si>
  <si>
    <t>Januvia; Janumet</t>
  </si>
  <si>
    <t>Onglyza; Kombiglyze XR</t>
  </si>
  <si>
    <t>Tradjenta; Jentaduteo</t>
  </si>
  <si>
    <t>Galvus; Eucreas</t>
  </si>
  <si>
    <t>Nesina; Oseni; Kazano</t>
  </si>
  <si>
    <t>Trelagliptin</t>
  </si>
  <si>
    <t>MK-3102</t>
  </si>
  <si>
    <t>SGLT-2 inhibitors total</t>
  </si>
  <si>
    <t>Forxiga</t>
  </si>
  <si>
    <t>Invokana</t>
  </si>
  <si>
    <t>Empagliflozin</t>
  </si>
  <si>
    <t>Tofogliflozin</t>
  </si>
  <si>
    <t>Ipragliflozin</t>
  </si>
  <si>
    <t>Novel MOA total</t>
  </si>
  <si>
    <t>LY2409021 (glucagon receptor antagonist)</t>
  </si>
  <si>
    <t>Insulins</t>
  </si>
  <si>
    <t>Soluble (neutral) insulins</t>
  </si>
  <si>
    <t>NPH insulins</t>
  </si>
  <si>
    <t>Biphasic (premixed) insulins</t>
  </si>
  <si>
    <t>Humalog</t>
  </si>
  <si>
    <t xml:space="preserve">  Humalog biosimilars</t>
  </si>
  <si>
    <t>Lantus</t>
  </si>
  <si>
    <t xml:space="preserve">  Lantus biosimilars</t>
  </si>
  <si>
    <t>Levemir</t>
  </si>
  <si>
    <t xml:space="preserve">  Levemir biosimilars</t>
  </si>
  <si>
    <t>Novolog/NovoRapid</t>
  </si>
  <si>
    <t xml:space="preserve">  Novolog biosimilars</t>
  </si>
  <si>
    <t>Apidra</t>
  </si>
  <si>
    <t>Tresiba; Ryzodeg</t>
  </si>
  <si>
    <t xml:space="preserve">   IDegLira</t>
  </si>
  <si>
    <t>LY2605541 (insulin peglispro)</t>
  </si>
  <si>
    <t>Number of patients</t>
  </si>
  <si>
    <t>Thizolidinediones</t>
  </si>
  <si>
    <t>GLP-1 receptor agonists</t>
  </si>
  <si>
    <t>DPP-4 inhibitors</t>
  </si>
  <si>
    <t>SGLT-2 inhibitors</t>
  </si>
  <si>
    <t>Novel MOA</t>
  </si>
  <si>
    <t>Cost per day</t>
  </si>
  <si>
    <t>Metformin</t>
  </si>
  <si>
    <t>Days of therapy per year</t>
  </si>
  <si>
    <t>Annual cost of therapy</t>
  </si>
  <si>
    <t>Thizolidinediones total</t>
  </si>
  <si>
    <t>Insulins total</t>
  </si>
  <si>
    <t>Patient compliance</t>
  </si>
  <si>
    <t>Total sales</t>
  </si>
  <si>
    <t>Biguanides</t>
  </si>
  <si>
    <t>SUs and non-SUs</t>
  </si>
  <si>
    <t>TZDs</t>
  </si>
  <si>
    <t>pioglitazone generics</t>
  </si>
  <si>
    <t>Tradjenta; Jentadueto</t>
  </si>
  <si>
    <t>Summary of Type 2 Diabetes China Forecasts</t>
  </si>
  <si>
    <t>CAGR</t>
  </si>
  <si>
    <t>GlobalData</t>
  </si>
  <si>
    <t>Total Sales</t>
  </si>
  <si>
    <t>% of Total</t>
  </si>
  <si>
    <t>Median Total Sales</t>
  </si>
  <si>
    <t>Mean Total Sales</t>
  </si>
  <si>
    <t>Source: GlobalData</t>
  </si>
  <si>
    <t>Summary by Class</t>
  </si>
  <si>
    <t>Considered weighted average of the redemption value per share for both tranches, considering the minimal impact of dividends for the tranches. Notwithstanding, we chose separate conversion prices for Series A tranches, due to the difference in OIP.</t>
  </si>
  <si>
    <t>Asset Vol - DLOM</t>
  </si>
  <si>
    <t>DLOM Check</t>
  </si>
  <si>
    <t xml:space="preserve">Sales </t>
  </si>
  <si>
    <t>Royalty %</t>
  </si>
  <si>
    <t>Redemption Date (5)</t>
  </si>
  <si>
    <t>Redemption Value Per Share (6)</t>
  </si>
  <si>
    <t>Conversion Price (6)</t>
  </si>
  <si>
    <t>Based on guidance from Management, RNA assumed that all preferred classes may be redeemed at the same time.</t>
  </si>
  <si>
    <t>Probability Adjustment (1)</t>
  </si>
  <si>
    <t>Depreciation</t>
  </si>
  <si>
    <t>Concluded Present Value</t>
  </si>
  <si>
    <t>Guideline Public Companies' Margins &amp; Cash Flow Metrics</t>
  </si>
  <si>
    <t>Revenues</t>
  </si>
  <si>
    <t>Net Working Capital</t>
  </si>
  <si>
    <t xml:space="preserve"> NWC as % of Revenue</t>
  </si>
  <si>
    <t>CapIQ Formulas</t>
  </si>
  <si>
    <t>IQ_GROSS_MARGIN</t>
  </si>
  <si>
    <t>IQ_EBITDA_MARGIN</t>
  </si>
  <si>
    <t>IQ_EBIT_MARGIN</t>
  </si>
  <si>
    <t>Change in Revenue</t>
  </si>
  <si>
    <t>NWC as % of Change in Revenue</t>
  </si>
  <si>
    <t>Corcept Therapeutics Incorporated, a pharmaceutical company, discovers, develops, and commercializes drugs for the treatment of severe metabolic, oncologic, and psychiatric disorders in the United States. The company offers Korlym (mifepristone) tablets as a once-daily oral medication for the treatment of hyperglycemia secondary to hypercortisolism in adult patients with endogenous Cushing’s syndrome, who have type 2 diabetes mellitus or glucose intolerance, and have failed surgery or are not candidates for surgery, as well as develops CLIA-validated assay to measure FKBP5 gene expression. It is developing relacorilant that is in a Phase II trial to treat patients with Cushing’s syndrome; abraxane in combination with relacorilant, which is in Phase I/II open label trial to treat solid tumors; and selective cortisol modulator CORT125281 combined with Xtandi that is in open label Phase I/II trial to treat patients with metastatic castration-resistant prostate cancer. The company is also developing CORT118335 selective cortisol modulator, which is in Phase I/II open label trial for the treatment of antipsychotic-induced weight gain and non-alcoholic steatotic hepatitis. Corcept Therapeutics Incorporated was founded in 1998 and is headquartered in Menlo Park, California.</t>
  </si>
  <si>
    <t>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t>
  </si>
  <si>
    <t>MannKind Corporation, a biopharmaceutical company, focuses on the development and commercialization of inhaled therapeutic products for diabetes and pulmonary arterial hypertension patients. It offers Afrezza, a dry powder formulation of human insulin that controls high blood sugar in adults with type 1 and type 2 diabetes in the United States. The company was founded in 1991 and is headquartered in Westlake Village, California.</t>
  </si>
  <si>
    <t>Lexicon Pharmaceuticals, Inc., a biopharmaceutical company, focuses on the development and commercialization of pharmaceutical products for the treatment of human diseases. The company offers XERMELO, an orally-delivered small molecule drug candidate for the treatment of carcinoid syndrome diarrhea in combination with somatostatin analog therapy in adults. Its orally-delivered small molecule drug candidates under development comprise Sotagliflozin that is in Phase 3 clinical trials for the treatment of type 1 and type 2 diabetes; LX2761, which is in Phase 1 clinical development for the treatment of diabetes; and LX9211 that is in Phase 1 clinical development for the treatment of neuropathic pain. The company has strategic collaboration and license agreements with Sanofi; Ipsen Pharma SAS; Bristol-Myers Squibb Company; and Genentech, Inc. Lexicon Pharmaceuticals, Inc. was founded in 1995 and is headquartered in The Woodlands, Texas.</t>
  </si>
  <si>
    <t>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t>
  </si>
  <si>
    <t>Intra-Cellular Therapies, Inc., a biopharmaceutical company, engages in developing novel drugs for the treatment of neuropsychiatric and neurodegenerative diseases. The company is developing its lead drug candidate, lumateperone, known as ITI-007, for the treatment of schizophrenia, bipolar disorder, behavioral disturbances in patients with dementia, and other neuropsychiatric and neurological disorders. Lumateperone, a molecule, is in Phase III clinical development for the treatment of schizophrenia, bipolar depression, and agitation associated with dementia, including Alzheimer's disease. It is also developing ITI-214 for Parkinson’s disease; and ITI-333, for substance use disorders, pain, and psychiatric comorbidities, including depression and anxiety. Intra-Cellular Therapies, Inc. is headquartered in New York, New York.</t>
  </si>
  <si>
    <t>vTv Therapeutics Inc., a clinical-stage biopharmaceutical company, discovers, develops, and sells orally administered small molecule drug candidates worldwide. The company’s drug candidates comprise azeliragon (TTP488), an orally administered, small molecule antagonist targeting the receptor for advanced glycation endproducts, which is in Phase III clinical trials for the treatment of Alzheimer’s disease. Its drug candidates also include TTP399, an orally administered, liver-selective glucokinase activator that has completed Phase 2b clinical trials for the treatment of type 2 diabetes, as well as initiated Phase 1b/2 clinical trials for the treatment of type 1 diabetes; and TTP273, an orally administered, non-peptide agonist that targets the glucagon-like peptide-1 receptor, which has completed Phase II clinical trials for the treatment of type 2 diabetes. vTv Therapeutics Inc. has a license and research agreement with Calithera Biosciences, Inc. to develop and commercialize its hexokinase II inhibitors for therapeutic, prophylactic, preventative, or diagnostic use. The company was founded in 2015 and is headquartered in High Point, North Carolina. vTv Therapeutics Inc. is a subsidiary of vTv Therapeutics Holdings LLC.</t>
  </si>
  <si>
    <t>Less: Taxes (3)</t>
  </si>
  <si>
    <t>Add: Depreciation (3)</t>
  </si>
  <si>
    <t>Less: Capital Expenditures (3)</t>
  </si>
  <si>
    <t>Less: Change in Working Capital (4)</t>
  </si>
  <si>
    <t>Discount Period (5)</t>
  </si>
  <si>
    <t>Discount Factor (6)</t>
  </si>
  <si>
    <t>Add: Cash as of the Valuation Date (7)</t>
  </si>
  <si>
    <t>Considered probability adjustment consistent with Management forecasts.</t>
  </si>
  <si>
    <t>Royalty and milestone payments based on terms as per the Agreement.</t>
  </si>
  <si>
    <t>Royalty/Milestone Payments to Roche (2)</t>
  </si>
  <si>
    <t>Milestone</t>
  </si>
  <si>
    <t>POTS Adjusted</t>
  </si>
  <si>
    <t>Period</t>
  </si>
  <si>
    <t>Terminal</t>
  </si>
  <si>
    <t>Add: Terminal Value</t>
  </si>
  <si>
    <t>Terminal Growth Rate</t>
  </si>
  <si>
    <t>Terminal Cash Flow</t>
  </si>
  <si>
    <t>Reflects a normalized level of future performance after loss of exclusivity and generic competition. Roche royalty rate decreases upon generic entry.</t>
  </si>
  <si>
    <t>Terminal Disc. Factor</t>
  </si>
  <si>
    <t>Terminal Multiple</t>
  </si>
  <si>
    <t>Options</t>
  </si>
  <si>
    <t>Addn. OpEx (excl. D&amp;A and R&amp;D) as % of revenue</t>
  </si>
  <si>
    <t>Total OpEx</t>
  </si>
  <si>
    <t>Zealand Pharma A/S, a biotechnology company, engages in the discovery, design, and development of peptide therapeutics-based medicines in Denmark. It has a portfolio of proprietary medicines in late-stage clinical development focusing on gastrointestinal and metabolic diseases. The company markets lixisenatide for the treatment of type 2 diabetes under the brand names of Adlyxin and Lyxumia; and a combination of lixisenatide and insulin glargine for the treatment of type 2 diabetes under the brand names of Soliqua 100/33 and Suliqua. The company’s product pipeline includes glepaglutide, a long acting GLP-2 analog for the treatment of short bowel syndrome, which has completed Phase 2 clinical trials; and dasiglucagon, a proprietary glucagon analog for various indications comprising as a dual-hormone artificial pancreas for diabetes treatment, rescue treatment for severe hypoglycemia, and congenital hyperinsulinism. The company has collaboration agreements with Sanofi-Aventis Deutschland GmbH and Boehringer Ingelheim GmbH. The company was founded in 1997 and is headquartered in Copenhagen, Denmark.</t>
  </si>
  <si>
    <t>NasdaqGM:FOLD</t>
  </si>
  <si>
    <t>IQ7009878</t>
  </si>
  <si>
    <t>Amicus Therapeutics, Inc.</t>
  </si>
  <si>
    <t>Amicus Therapeutics, Inc., a biotechnology company, engages in the discovery, development, and commercialization of medicines for various rare and orphan diseases. The company offers migalastat HCl, an orally administered small molecule pharmacological chaperone for the treatment of Fabry disease. It is also conducting a Phase 1/2 clinical study of ATB200-02 to investigate in patients with pompe disease. The company has strategic alliance with GlaxoSmithKline plc to develop and commercialize migalastat as a monotherapy and in combination with ERT for Fabry disease. Amicus Therapeutics, Inc. was founded in 2002 and is headquartered in Cranbury, New Jersey.</t>
  </si>
  <si>
    <t>Odonate Therapeutics, Inc., a pharmaceutical company, develops therapeutics for the treatment of cancer. It focuses on the development of tesetaxel, an orally administered chemotherapy agent for patients with advanced or metastatic breast cancer (MBC). Odonate Therapeutics, Inc. also conducting a Phase III study in MBC, which is known as CONTESSA. The company was founded in 2013 and is based in San Diego, California.</t>
  </si>
  <si>
    <t>NasdaqCM:AVEO</t>
  </si>
  <si>
    <t>IQ1906420</t>
  </si>
  <si>
    <t>AVEO Pharmaceuticals, Inc.</t>
  </si>
  <si>
    <t>AMEX:BTX</t>
  </si>
  <si>
    <t>IQ25622</t>
  </si>
  <si>
    <t>BioTime, Inc.</t>
  </si>
  <si>
    <t>AMEX</t>
  </si>
  <si>
    <t>BioTime, Inc., a clinical-stage biotechnology company, focuses on developing and commercializing products addressing degenerative diseases based on pluripotent stem cells and HyStem cell/drug delivery platform technologies primarily in the United States and Israel. The company’s lead product candidates include OpRegen, a retinal pigment epithelium cell replacement therapy, which is in Phase I/IIa multicenter trial for the treatment of the dry age-related macular degeneration; and Renevia, a facial aesthetics product that is in pivotal clinical trial for the treatment of HIV-associated facial lipoatrophy. It also develops Premvia, a HyStem hydrogel formulation for use in the treatment of age-related facial lipoatrophy, as well as for the management of wounds, including partial and full-thickness wounds, ulcers, tunneled/undermined wounds, surgical wounds, and burns; and ReGlyde, a HyStem product in preclinical development as a device for viscosupplementation, and as a platform for intraarticular drug delivery in osteoarthritis. In addition, the company through its subsidiary, AgeX Therapeutics, Inc., develops AGEX-BAT1 that consists of pluripotent stem cell-derived brown adipocytes for the treatment of type 2 diabetes; AGEX-VASC1, which consists of vascular progenitors targeting cardiac ischemia; and induced tissue regeneration, a systemic therapy for inducing the scar less regeneration of tissues. Further, it markets GeneCards, a human gene database; MalaCards, a human disease database; and Hextend, a plasma volume expander used to treat or prevent hypovolemia, including albumin, generic 6% hetastarch solutions, and crystalloid solutions. BioTime, Inc. was founded in 1990 and is based in Alameda, California.</t>
  </si>
  <si>
    <t>NasdaqGM:MNOV</t>
  </si>
  <si>
    <t>IQ9262264</t>
  </si>
  <si>
    <t>MediciNova, Inc.</t>
  </si>
  <si>
    <t>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t>
  </si>
  <si>
    <t>Viking Therapeutics, Inc., a clinical-stage biopharmaceutical company, focuses on the development of novel therapies for metabolic and endocrine disorders. Its lead clinical program, VK5211, is an orally available, non-steroidal selective androgen receptor modulator in Phase II development for the treatment of patients recovering from non-elective hip fracture surgery; in Phase I clinical trials for improving lean body mass; and in pre-clinical trial for improving bone mineral density, bone mineral content, bone strength, and other measures. The company is also developing VK2809, an orally available, tissue and receptor-subtype selective agonist of the thyroid hormone receptor beta, which is in a Phase II clinical trial for the treatment of patients with hypercholesterolemia and fatty liver disease; and in a Phase I clinical trial to treat patients who suffer from glycogen storage disease type Ia. In addition, it is developing VK0214 for X-linked adrenoleukodystrophy, which is in pre-clinical stage. Viking Therapeutics, Inc. was founded in 2012 and is headquartered in San Diego, California.</t>
  </si>
  <si>
    <t>NasdaqGS:CYTK</t>
  </si>
  <si>
    <t>IQ27315</t>
  </si>
  <si>
    <t>Cytokinetics, Incorporated</t>
  </si>
  <si>
    <t>Cytokinetics, Incorporated, a late-stage biopharmaceutical company, focuses on discovering, developing, and commercializing muscle activators as potential treatments for debilitating diseases in which muscle performance is compromised and/or declining. It is developing small molecule drug candidates primarily engineered to increase muscle function and contractility. The company’s drug candidates include omecamtiv mecarbil, a novel cardiac myosin activator that is in phase III clinical trials in patients with heart failure; and reldesemtiv, a fast skeletal muscle activator, which is in two phase II clinical trials in patients with spinal muscular atrophy and amyotrophic lateral sclerosis. It also develops reldesemtiv that is in phase II clinical trials in patients with chronic obstructive pulmonary disease, as well as in phase Ib clinical trials in elderly subjects with limited mobility. The company has strategic alliances with Astellas Pharma Inc. and Amgen Inc. The company was founded in 1997 and is headquartered in South San Francisco, California.</t>
  </si>
  <si>
    <t>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t>
  </si>
  <si>
    <t>NasdaqCM:CUR</t>
  </si>
  <si>
    <t>IQ7728881</t>
  </si>
  <si>
    <t>Neuralstem, Inc.</t>
  </si>
  <si>
    <t>σ^2T</t>
  </si>
  <si>
    <t>v√T</t>
  </si>
  <si>
    <t>N(v√T/2)</t>
  </si>
  <si>
    <t>N(-v√T/2)</t>
  </si>
  <si>
    <t>Capitalization Table (consolidated, as if onshore investors are also at the offshore level)
(As of March 2018, Pro Forma Series E)</t>
  </si>
  <si>
    <t>Series A
(Closing Date: May 16, 2014)</t>
  </si>
  <si>
    <t>Series B (US$3.5 per share) (First Tranche Closing Date: January 6, 2015; Second Tranche Closing Date: August 6, 2015)</t>
  </si>
  <si>
    <t>Series C (US$10.06335 per share)
after Initial Closing (Closing Date: April 18, 2016)</t>
  </si>
  <si>
    <t>Series C (US$10.06335 per share)
after Second Closing (Closing Date: March 9, 2017)</t>
  </si>
  <si>
    <t>Series D 
(US$11.1141 per share)
(First Closing: January 22, 2018)</t>
  </si>
  <si>
    <t>Series D Ratio (after US$30 milion internal round)</t>
  </si>
  <si>
    <t>Onshore (singled out)</t>
  </si>
  <si>
    <t>Shareholding in Preferred (after US$30 million internal round)</t>
  </si>
  <si>
    <t>Series D 
(US$11.1141 per share)
(Second Closing: March 14, 2018)</t>
  </si>
  <si>
    <t>Series D Ratio (after US$50 milion internal round)</t>
  </si>
  <si>
    <t>Shareholding after Series D</t>
  </si>
  <si>
    <t>Series E (US$13.3013 per share) (First Closing: March 14, 2018; Second Closing: March 26, 2018)</t>
  </si>
  <si>
    <t>F-Prime Capital Partners Healthcare Fund II LP (prior name: Beacon Bioventures Fund II Limited Partnership)</t>
  </si>
  <si>
    <t>China Life Sciences Access Fund, L.P. (Frontline)</t>
  </si>
  <si>
    <t>6 Dimensions Capital, L.P.</t>
  </si>
  <si>
    <t>6 Dimensions Affiliates Fund, L.P.</t>
  </si>
  <si>
    <t>Harvest Cayman (refecting completion of offshore option exercise and onshore equity transfer as of 2/14/2018)</t>
  </si>
  <si>
    <r>
      <rPr>
        <b/>
        <i/>
        <sz val="11"/>
        <color theme="3" tint="0.39997558519241921"/>
        <rFont val="Times New Roman"/>
        <family val="1"/>
      </rPr>
      <t xml:space="preserve">[onshore] </t>
    </r>
    <r>
      <rPr>
        <b/>
        <sz val="11"/>
        <color theme="3" tint="0.39997558519241921"/>
        <rFont val="Times New Roman"/>
        <family val="1"/>
      </rPr>
      <t>Aeon Life (</t>
    </r>
    <r>
      <rPr>
        <b/>
        <sz val="11"/>
        <color theme="3" tint="0.39997558519241921"/>
        <rFont val="宋体"/>
        <family val="2"/>
        <charset val="134"/>
      </rPr>
      <t>苏州工业园区百年人寿华领投资管理合伙企业（有限合伙）</t>
    </r>
    <r>
      <rPr>
        <b/>
        <sz val="11"/>
        <color theme="3" tint="0.39997558519241921"/>
        <rFont val="Times New Roman"/>
        <family val="1"/>
      </rPr>
      <t>)</t>
    </r>
  </si>
  <si>
    <r>
      <rPr>
        <b/>
        <i/>
        <sz val="11"/>
        <color theme="3" tint="0.39997558519241921"/>
        <rFont val="Times New Roman"/>
        <family val="1"/>
      </rPr>
      <t xml:space="preserve">[onshore] </t>
    </r>
    <r>
      <rPr>
        <b/>
        <sz val="11"/>
        <color theme="3" tint="0.39997558519241921"/>
        <rFont val="Times New Roman"/>
        <family val="1"/>
      </rPr>
      <t>Shanghai Longwin (</t>
    </r>
    <r>
      <rPr>
        <b/>
        <sz val="11"/>
        <color theme="3" tint="0.39997558519241921"/>
        <rFont val="宋体"/>
        <family val="2"/>
        <charset val="134"/>
      </rPr>
      <t>上海朗闻通鸿投资管理合伙企业（合伙企业）</t>
    </r>
    <r>
      <rPr>
        <b/>
        <sz val="11"/>
        <color theme="3" tint="0.39997558519241921"/>
        <rFont val="Times New Roman"/>
        <family val="1"/>
      </rPr>
      <t>)</t>
    </r>
  </si>
  <si>
    <t>Tetrad Ventures Pte Ltd (GIC)</t>
  </si>
  <si>
    <t>Absolute Partners Master Fund Limited (Blue Pool)</t>
  </si>
  <si>
    <t>Avict Global Holdings (Limited SoftBank)</t>
  </si>
  <si>
    <t>Praise Fortune Project Company Limited (New World)</t>
  </si>
  <si>
    <t>Woodbury Capital Management Limited (New World)</t>
  </si>
  <si>
    <t>BlackRock Health Sciences Trust</t>
  </si>
  <si>
    <t>BlackRock Health Sciences Opportunities Portfolio, a series of BlackRock Funds</t>
  </si>
  <si>
    <t>Innovac International Limited (Ping An)</t>
  </si>
  <si>
    <t>Ample Plus Ventures Limited (Ping An) (IC passed on 2/28; subsequent closing, TBD)</t>
  </si>
  <si>
    <t>MIRAE ASSET Good Company Investment Fund #17-1 (Mirae Asset Venture Investment) second closing)</t>
  </si>
  <si>
    <t>Mirae Asset-Celltrion New Growth Fund I (Mirae Asset Capital) (second closing)</t>
  </si>
  <si>
    <t>Bryan White</t>
  </si>
  <si>
    <t>Enrique Becerra</t>
  </si>
  <si>
    <t xml:space="preserve">Stephen Gore </t>
  </si>
  <si>
    <t>Series C Pre Money Valuation: US$450 million</t>
  </si>
  <si>
    <t>Series D Total Raised*</t>
  </si>
  <si>
    <t xml:space="preserve">* Out of the $49,999,979.32 Series D round financing, 深圳嘉实元祥股权投资合伙企业 invested US$10,000,000 into Hua Shanghai. </t>
  </si>
  <si>
    <t>The option held by 深圳嘉实元祥股权投资合伙企业 was exercised by harvest Cayman</t>
  </si>
  <si>
    <t xml:space="preserve">Series A Note: Series A is issuance of Series A-1 Preferred Shares for new money, and conversion of bridge loan to Series A-2 Preferred Shares. </t>
  </si>
  <si>
    <t xml:space="preserve">Series B Note: Series B was divided into two equal tranches.  There was only time difference for the issuance. </t>
  </si>
  <si>
    <t xml:space="preserve">Series C Notes: Series C was divided into two tranches.  First tranche investment was US$ 8 million and second tranche investment was US$ 5 million.  There was a milestone to obtain permit to commence Phase III clinical trials to close the Second Tranche.  </t>
  </si>
  <si>
    <t>Pro Forma Cap Table
(February 2018)</t>
  </si>
  <si>
    <t>Post Harvest Equity Transfer</t>
  </si>
  <si>
    <t>New registered capital</t>
  </si>
  <si>
    <t>Percentage (as of 2/14/2018)</t>
  </si>
  <si>
    <t xml:space="preserve">66,672,956
</t>
  </si>
  <si>
    <r>
      <t xml:space="preserve">Harvest </t>
    </r>
    <r>
      <rPr>
        <b/>
        <sz val="9"/>
        <color theme="1"/>
        <rFont val="Times New Roman"/>
        <family val="1"/>
      </rPr>
      <t>(</t>
    </r>
    <r>
      <rPr>
        <b/>
        <sz val="9"/>
        <color theme="1"/>
        <rFont val="宋体"/>
        <family val="2"/>
        <charset val="134"/>
      </rPr>
      <t>深圳嘉实元祥股权投资合伙企业</t>
    </r>
    <r>
      <rPr>
        <b/>
        <sz val="9"/>
        <color theme="1"/>
        <rFont val="Times New Roman"/>
        <family val="1"/>
      </rPr>
      <t>)</t>
    </r>
  </si>
  <si>
    <r>
      <t>Shannan Jiashi Bojun Venture Capital Investment Center (LP)</t>
    </r>
    <r>
      <rPr>
        <b/>
        <sz val="11"/>
        <rFont val="Times New Roman"/>
        <family val="1"/>
      </rPr>
      <t>(</t>
    </r>
    <r>
      <rPr>
        <b/>
        <sz val="9"/>
        <rFont val="宋体"/>
        <family val="2"/>
        <charset val="134"/>
      </rPr>
      <t>山南嘉实伯珺创业投资中心（有限合伙）</t>
    </r>
    <r>
      <rPr>
        <b/>
        <sz val="9"/>
        <rFont val="Times New Roman"/>
        <family val="1"/>
      </rPr>
      <t>)</t>
    </r>
  </si>
  <si>
    <r>
      <t>Shannan Jiashi Chuangrong Venture Capital Investment Center (LP)</t>
    </r>
    <r>
      <rPr>
        <b/>
        <sz val="9"/>
        <rFont val="Times New Roman"/>
        <family val="1"/>
      </rPr>
      <t>(</t>
    </r>
    <r>
      <rPr>
        <b/>
        <sz val="9"/>
        <rFont val="宋体"/>
        <family val="2"/>
        <charset val="134"/>
      </rPr>
      <t>山南嘉实创荣创业投资中心（有限合伙）</t>
    </r>
    <r>
      <rPr>
        <b/>
        <sz val="9"/>
        <rFont val="Times New Roman"/>
        <family val="1"/>
      </rPr>
      <t>)</t>
    </r>
  </si>
  <si>
    <r>
      <t>Shanghai Jiaxuan Investment Center (LP)</t>
    </r>
    <r>
      <rPr>
        <b/>
        <sz val="9"/>
        <color theme="1"/>
        <rFont val="Times New Roman"/>
        <family val="1"/>
      </rPr>
      <t>(</t>
    </r>
    <r>
      <rPr>
        <b/>
        <sz val="9"/>
        <color theme="1"/>
        <rFont val="宋体"/>
        <family val="2"/>
        <charset val="134"/>
      </rPr>
      <t>上海嘉烜投资中心（有限合伙）</t>
    </r>
    <r>
      <rPr>
        <b/>
        <sz val="9"/>
        <color theme="1"/>
        <rFont val="Times New Roman"/>
        <family val="1"/>
      </rPr>
      <t>)</t>
    </r>
  </si>
  <si>
    <r>
      <t>Aeon Life (</t>
    </r>
    <r>
      <rPr>
        <b/>
        <sz val="9"/>
        <color theme="1"/>
        <rFont val="宋体"/>
        <family val="2"/>
        <charset val="134"/>
      </rPr>
      <t>苏州工业园区百年华领投资管理合伙企业（有限合伙）</t>
    </r>
    <r>
      <rPr>
        <b/>
        <sz val="11"/>
        <color theme="1"/>
        <rFont val="Times New Roman"/>
        <family val="1"/>
      </rPr>
      <t>)</t>
    </r>
  </si>
  <si>
    <r>
      <t>Longwin (</t>
    </r>
    <r>
      <rPr>
        <b/>
        <sz val="9"/>
        <color theme="1"/>
        <rFont val="宋体"/>
        <family val="2"/>
        <charset val="134"/>
      </rPr>
      <t>上海朗闻通鸿投资管理合伙企业（有限合伙）</t>
    </r>
    <r>
      <rPr>
        <b/>
        <sz val="11"/>
        <color theme="1"/>
        <rFont val="Times New Roman"/>
        <family val="1"/>
      </rPr>
      <t>)</t>
    </r>
  </si>
  <si>
    <r>
      <t>Frontline Bioventures (</t>
    </r>
    <r>
      <rPr>
        <b/>
        <sz val="9"/>
        <color theme="1"/>
        <rFont val="宋体"/>
        <family val="2"/>
        <charset val="134"/>
      </rPr>
      <t>苏州通和创业投资合伙企业</t>
    </r>
    <r>
      <rPr>
        <b/>
        <sz val="11"/>
        <color theme="1"/>
        <rFont val="Times New Roman"/>
        <family val="1"/>
      </rPr>
      <t>)</t>
    </r>
  </si>
  <si>
    <t>Series C Pre money valuation (per USD registered capital)</t>
  </si>
  <si>
    <t>total rough:</t>
  </si>
  <si>
    <t>Series D Pre-money valuation (per USD registered capital)</t>
  </si>
  <si>
    <t>CureDM Group Holdings, LLC</t>
  </si>
  <si>
    <t>OPKO Health, Inc.</t>
  </si>
  <si>
    <t>IQTR552720207</t>
  </si>
  <si>
    <t>CureDM Group Holdings, LLC develops and commercializes therapies that prevent, ameliorate or reverse diabetes, and allow for the discontinuation of insulin. The company was founded in 2010 and is based in Wilmington, Delaware. As of February 12, 2018, CureDM Group Holdings, LLC operates as a subsidiary of Boston Therapeutics, Inc.</t>
  </si>
  <si>
    <t xml:space="preserve">Boston Therapeutics, Inc. (OTCPK:BTHE) entered in to definitive agreement to acquire CureDM Group Holdings, LLC for $2 million on January 1, 2018. Under the terms, Boston Therapeutics, Inc. (BTHE) will issue an aggregate of 47.7 million BTHE shares of which 25 million BTHE shares will be delivered at closing and remaining 22.7 million common shares shall be delivered in four equal tranches of 5.7 million BTHE shares each upon the achievement of specific milestones. As of the closing, each of the members of the Board of Directors of CureDM shall resign and Carl W. Rausch shall be appointed as the sole director of CureDM. The transaction is expected to close on January 1, 2018.
</t>
  </si>
  <si>
    <t xml:space="preserve">Allergan plc (NYSE:AGN) entered into a definitive agreement and plan of merger to acquire Vitae Pharmaceuticals, Inc. (NasdaqGM:VTAE) for approximately $610 million on September 13, 2016. Allergan will commence a cash tender offer to purchase 28.8 million shares of Vitae common stock for $21 per share. Option holders will also be offered same offer per share. Allergan has sufficient funds to consummate the offer. Upon closing, Vitae Pharmaceuticals will operate as a wholly owned subsidiary of Allergan. Allergan will acquire any shares of Vitae that are not tendered into the offer through a second-step merger. The Offer will expire at on the 20th business day following the commencement date of the Offer. Vitae Pharmaceuticals will pay $19.2 million as termination fee if, offer closing date has not occurred on or before February 13, 2017. The companies announced that the waiting period under the Hart-Scott Rodino Antitrust Improvements Act of 1976 on October 17, 2016._x000D_
_x000D_
The transaction is unanimously approved by Board of Directors of Allergan and Vitae Pharmaceuticals. The transaction is subject to U.S. antitrust clearance and the tender of a majority of the outstanding shares of Vitae and customary closing conditions. The acquisition is expected to close by the end of 2016. J.P. Morgan Securities LLC acted as financial advisor for Vitae Pharmaceuticals. Jay Hachigian, Andrew Luh and Gregg Griner of Gunderson Dettmer Stough Villeneuve Franklin &amp; Hachigian, LLP acted as legal advisor for Vitae Pharmaceuticals. Andrew L. Bab, Jennifer Roeske, Jeffrey P. Cunard, Gary M. Friedman, Jonathan F. Lewis, Matthew M. Delja, Samuel M. Duncan, Jennifer A. Gong, Michelle M. Hillenbrand, Sue Meng and Nicholas C.H. Roper of Debevoise &amp; Plimpton LLP acted as legal advisors for Allergan._x000D_
</t>
  </si>
  <si>
    <t>https://www.bostonti.com/news/press-releases/detail/906/boston-therapeutics-shareholder-update.html</t>
  </si>
  <si>
    <t>Unum Therapeutics Inc.</t>
  </si>
  <si>
    <t>NasdaqGS:UMRX</t>
  </si>
  <si>
    <t>IQTR554696707</t>
  </si>
  <si>
    <t>Genprex, Inc.</t>
  </si>
  <si>
    <t>NasdaqCM:GNPX</t>
  </si>
  <si>
    <t>IQTR531599159</t>
  </si>
  <si>
    <t>Homology Medicines, Inc.</t>
  </si>
  <si>
    <t>NasdaqGS:FIXX</t>
  </si>
  <si>
    <t>IQTR554696496</t>
  </si>
  <si>
    <t>Arcus Biosciences, Inc.</t>
  </si>
  <si>
    <t>NYSE:RCUS</t>
  </si>
  <si>
    <t>IQTR553167792</t>
  </si>
  <si>
    <t>BioXcel Therapeutics, Inc.</t>
  </si>
  <si>
    <t>NasdaqCM:BTAI</t>
  </si>
  <si>
    <t>IQTR552679153</t>
  </si>
  <si>
    <t>IQ321461593</t>
  </si>
  <si>
    <t>Homology Medicines, Inc., a genetic medicines company, focuses on translating proprietary gene editing and gene therapy technologies into novel treatments for patients with rare diseases. Its proprietary platform is designed to utilize its human hematopoietic stem cell derived adeno-associated virus vectors (AAVHSCs) to deliver genetic medicines in vivo either through a gene therapy or nuclease-free gene editing modality across a range of genetic disorders. The company’s various set of AAVHSCs allows company to target, via a single intravenous injection, a range of disease-relevant tissues, including the liver, central nervous system, bone marrow, lung, muscle and eye, across modalities—gene editing and gene therapy. Homology Medicines, Inc. was founded in 2015 and is based in Bedford, Massachusetts.</t>
  </si>
  <si>
    <t>IQ274894404</t>
  </si>
  <si>
    <t>IQ325435188</t>
  </si>
  <si>
    <t>IQ543567629</t>
  </si>
  <si>
    <t>Unum Therapeutics Inc., a clinical stage biopharmaceutical company, develops and commercializes immunotherapy products designed to harness the power of a patient’s immune system to cure cancer. Its lead product candidate is the ACTR087 used in combination with rituximab, which is in Phase I clinical trials to treat adult patients with relapsed or refractory non-Hodgkin lymphoma. The company’s product portfolio also includes ACTR707 used in combination with rituximab that is in Phase I clinical trials to treat adult patients with r/r B cell non-Hodgkin lymphoma; ACTR087 used in combination with SEA-BCMA, which is in Phase I clinical trials for treating patients with r/r multiple myeloma; and ACTR707 used in combination with trastuzumab, which is in late preclinical development phase for treating HER2+ solid tumor cancers. It has strategic collaboration with Seattle Genetics, Inc. to identify, research, develop, and commercialize antibody-coupled T cell receptor therapies. The company was founded in 2014 and is headquartered in Cambridge, Massachusetts.</t>
  </si>
  <si>
    <t>Arcus Biosciences, Inc., a clinical-stage biopharmaceutical company, engages in developing and commercializing cancer immunotherapies in the United States. It is developing various products for treating solid tumors, including AB928, an adenosine receptor antagonist that is in Phase I clinical trial; AB680, a CD73 inhibitor; AB122, an anti-PD-1 antibody that is Phase I clinical trial; and AB154, an anti-TIGIT antibody. The company was founded in 2015 and is headquartered in Hayward, California.</t>
  </si>
  <si>
    <t>BioXcel Therapeutics, Inc., a clinical stage biopharmaceutical company, focuses on novel artificial intelligence-based drug development in the fields of neuroscience and immuno-oncology in the United States. The company is involved in developing BXCL501, a sublingual thin film formulation of dexmedetomidine designed for acute treatment of agitation resulting from neurological and psychiatric disorders; and BXCL701, an immuno-oncology agent designed for the treatment of prostate and pancreatic cancers. It is also developing BXCL502, a novel approach to the treatment of symptoms resulting from neurological disorders; and BXCL702, an immuno-oncology agent for hematological malignancies. The company was founded in 2017 and is headquartered in Branford, Connecticut. BioXcel Therapeutics, Inc. is a subsidiary of BioXcel Corporation.</t>
  </si>
  <si>
    <t>IQ225557674</t>
  </si>
  <si>
    <t>Genprex, Inc., a clinical stage gene therapy company, develops drugs to treat cancer. Its lead product candidate is Oncoprex, an active anti-cancer agent that is in Phase II clinical trials for the treatment of non-small cell lung cancer (NSCLC). It also conducts preclinical research for developing Oncoprex to be administered with immunotherapies in NSCLC; and research into other tumor suppressor genes associated with chromosome. Genprex, Inc. was founded in 2009 and is based in Austin, Texas.</t>
  </si>
  <si>
    <t>Acacia Pharma Group Plc</t>
  </si>
  <si>
    <t>ENXTBR:ACPH</t>
  </si>
  <si>
    <t>IQTR553740237</t>
  </si>
  <si>
    <t>IQ65044643</t>
  </si>
  <si>
    <t>Acacia Pharma Group Limited, a pharmaceutical company, focuses on the development and commercialization of hospital products for surgical and cancer patients in the United States and internationally. The company’s lead product includes BAREMSIS, an intravenous formulation of amisulpride that has completed Phase III clinical trials for the treatment and prophylaxis of post-operative nausea and vomiting. Its products also comprise APD403 that has completed Phase II clinical trials for the chemotherapy-induced nausea and vomiting treatment. The company was founded in 2007 and is based in Cambridge, the United Kingdom.</t>
  </si>
  <si>
    <t>CymaBay Therapeutics, Inc.</t>
  </si>
  <si>
    <t>CymaBay Therapeutics, Inc., a clinical-stage biopharmaceutical company, focuses on developing and providing therapies to treat liver and other chronic diseases. Its lead product candidate is seladelpar, a selective agonist of peroxisome proliferator-activated receptor delta, which has completed Phase II clinical study for the treatment of primary biliary cholangitis, as well as patients with nonalcoholic steatohepatitis. The company also develops arhalofenate, which has completed five Phase II clinical trials for the treatment of patients with gout; and MBX-2982, an oral G-protein coupled receptor agonist that has completed one Phase II clinical trial for therapeutic indications. It has licensing agreement with Kowa Pharmaceuticals America, Inc. for the development and commercialization of arhalofenate in the United States; and Janssen Pharmaceuticals, Inc. to develop and discover undisclosed metabolic disease target agonists for the treatment of type II diabetes and other disorders, as well as a license and development agreement with DiaTex, Inc. to develop and commercialize therapeutic products comrprising halofenate and its enantiomers, derivatives, and analogs for the treatment of diseases. The company was formerly known as Metabolex, Inc. CymaBay Therapeutics, Inc. was incorporated in 1988 and is headquartered in Newark, California.</t>
  </si>
  <si>
    <t>AVEO Pharmaceuticals, Inc., a biopharmaceutical company, develops and commercializes a portfolio of targeted medicines for oncology and other areas of unmet medical need. It markets its lead candidate, tivozanib, an oral, once-daily, vascular endothelial growth factor receptor tyrosine kinase inhibitor, which is used for the treatment of renal cell carcinoma (RCC). The company has also completed a Phase 3 TIVO-3 trial of tivozanib for the treatment of advanced RCC; and initiated enrollment in a phase Ib/II clinical trial of tivozanib in combination with Opdivo (nivolumab), an immune checkpoint (PD-1) inhibitor, for the treatment of advanced RCC. In addition, it is developing Ficlatuzumab, a potent hepatocyte growth factor inhibitory antibody, in Phase I and Phase II clinical trials in squamous cell carcinoma of the head and neck, metastatic pancreatic ductal cancer, and acute myeloid leukemia; and AV-203, a potent anti-ErbB3 specific monoclonal antibody, which has completed Phase I clinical trial for treating esophageal cancer. The company’s preclinical stage products include AV-380, a potent humanized IgG1 inhibitory monoclonal antibody for the treatment or prevention of cachexia; and AV-353 for the treatment of pulmonary arterial hypertension. It has strategic partnerships with CANbridge Life Sciences Ltd.; EUSA Pharma (UK) Limited; Novartis International Pharmaceutical Ltd.; Biodesix, Inc.; St. Vincent’s Hospital Sydney Limited; Biogen Idec; and Kyowa Hakko Kirin Co., Ltd. The company was formerly known as GenPath Pharmaceuticals, Inc. and changed its name to AVEO Pharmaceuticals, Inc. in March 2005. AVEO Pharmaceuticals, Inc. was incorporated in 2001 and is based in Cambridge, Massachusetts.</t>
  </si>
  <si>
    <t>Closing Date</t>
  </si>
  <si>
    <t>Weight</t>
  </si>
  <si>
    <t>Weighted Average Date</t>
  </si>
  <si>
    <t>Shares per Feb 2018 VD</t>
  </si>
  <si>
    <t>HIP2B, Type 1 and Type 2 Diabetes</t>
  </si>
  <si>
    <t>Type 1 and Type 2 Diabetes</t>
  </si>
  <si>
    <t>Preferred Value by Class</t>
  </si>
  <si>
    <t>Preferred Raise</t>
  </si>
  <si>
    <t>Debt-like</t>
  </si>
  <si>
    <t>NPV</t>
  </si>
  <si>
    <t>Equity-like</t>
  </si>
  <si>
    <t>Number of Series D Preferred Shares</t>
  </si>
  <si>
    <t>Preferred Shares Purchase Price (US$)</t>
    <phoneticPr fontId="9" type="noConversion"/>
  </si>
  <si>
    <t>到账（2018-01-02至2018-01-05）</t>
  </si>
  <si>
    <t xml:space="preserve">SHENZHENG JIASHI YUANXIANG VENTURE CAPITAL INVESTMENT PARTNERSHIP (LP) </t>
    <phoneticPr fontId="9" type="noConversion"/>
  </si>
  <si>
    <t>合计</t>
  </si>
  <si>
    <t>Date based on weighted average of closing dates.</t>
  </si>
  <si>
    <t>Total Granted ESOP</t>
    <phoneticPr fontId="8" type="noConversion"/>
  </si>
  <si>
    <t>Committed at employment/contract_Granted</t>
    <phoneticPr fontId="8" type="noConversion"/>
  </si>
  <si>
    <t>CTA filing in 2012</t>
    <phoneticPr fontId="8" type="noConversion"/>
  </si>
  <si>
    <t>CTA approval in 2013</t>
    <phoneticPr fontId="8" type="noConversion"/>
  </si>
  <si>
    <t>Achieving both Ph Ib and NDF in 2014</t>
    <phoneticPr fontId="8" type="noConversion"/>
  </si>
  <si>
    <t>Ph Ic/Id/PhII&amp;III CTP Milestones in 2015</t>
    <phoneticPr fontId="8" type="noConversion"/>
  </si>
  <si>
    <t>Series C financing in 2016</t>
    <phoneticPr fontId="8" type="noConversion"/>
  </si>
  <si>
    <t>2016 New Hire</t>
    <phoneticPr fontId="8" type="noConversion"/>
  </si>
  <si>
    <t>Enter into Phase III in 2016</t>
    <phoneticPr fontId="8" type="noConversion"/>
  </si>
  <si>
    <t>2017 New Hire</t>
    <phoneticPr fontId="8" type="noConversion"/>
  </si>
  <si>
    <t>2017 Year End Award</t>
    <phoneticPr fontId="8" type="noConversion"/>
  </si>
  <si>
    <t>Employee No.</t>
    <phoneticPr fontId="8" type="noConversion"/>
  </si>
  <si>
    <t>Name</t>
    <phoneticPr fontId="8" type="noConversion"/>
  </si>
  <si>
    <t>Title</t>
    <phoneticPr fontId="6" type="noConversion"/>
  </si>
  <si>
    <t>Total No. of Shares</t>
    <phoneticPr fontId="6" type="noConversion"/>
  </si>
  <si>
    <t>Total percent of Ownership</t>
    <phoneticPr fontId="6" type="noConversion"/>
  </si>
  <si>
    <t>No.of Shares</t>
    <phoneticPr fontId="6" type="noConversion"/>
  </si>
  <si>
    <t>Exercise Price
(USD)</t>
    <phoneticPr fontId="8" type="noConversion"/>
  </si>
  <si>
    <t>Vesting Commencement Date</t>
    <phoneticPr fontId="6" type="noConversion"/>
  </si>
  <si>
    <t>Vesting Period
(months)</t>
    <phoneticPr fontId="8" type="noConversion"/>
  </si>
  <si>
    <t>Grant Date</t>
    <phoneticPr fontId="8" type="noConversion"/>
  </si>
  <si>
    <t>Vesting Commencement Date</t>
    <phoneticPr fontId="8" type="noConversion"/>
  </si>
  <si>
    <t>Chen, Li</t>
    <phoneticPr fontId="6" type="noConversion"/>
  </si>
  <si>
    <t>CEO</t>
    <phoneticPr fontId="6" type="noConversion"/>
  </si>
  <si>
    <t>Hua, Yunfeng</t>
    <phoneticPr fontId="6" type="noConversion"/>
  </si>
  <si>
    <t>Facility Officer</t>
    <phoneticPr fontId="6" type="noConversion"/>
  </si>
  <si>
    <t>HM003</t>
    <phoneticPr fontId="8" type="noConversion"/>
  </si>
  <si>
    <t>Choi, John</t>
    <phoneticPr fontId="6" type="noConversion"/>
  </si>
  <si>
    <t>Director of Biology</t>
    <phoneticPr fontId="6" type="noConversion"/>
  </si>
  <si>
    <t>Yao, Ying</t>
    <phoneticPr fontId="6" type="noConversion"/>
  </si>
  <si>
    <t>Administration Director</t>
    <phoneticPr fontId="6" type="noConversion"/>
  </si>
  <si>
    <t>Cao, Beili</t>
    <phoneticPr fontId="6" type="noConversion"/>
  </si>
  <si>
    <t>Admin Manager, CRDS</t>
    <phoneticPr fontId="6" type="noConversion"/>
  </si>
  <si>
    <t>Sun, Li</t>
    <phoneticPr fontId="6" type="noConversion"/>
  </si>
  <si>
    <t>Finance Manager</t>
    <phoneticPr fontId="6" type="noConversion"/>
  </si>
  <si>
    <t>VP, CMC</t>
    <phoneticPr fontId="6" type="noConversion"/>
  </si>
  <si>
    <t>VP, CRD</t>
    <phoneticPr fontId="8" type="noConversion"/>
  </si>
  <si>
    <t>Hu, Tianxin</t>
    <phoneticPr fontId="6" type="noConversion"/>
  </si>
  <si>
    <t>Sr. Manager, Clinical Operation</t>
    <phoneticPr fontId="8" type="noConversion"/>
  </si>
  <si>
    <t>Song, Haoliang</t>
    <phoneticPr fontId="6" type="noConversion"/>
  </si>
  <si>
    <t>Sr. Director, Nonclinical Safety &amp; PM</t>
    <phoneticPr fontId="6" type="noConversion"/>
  </si>
  <si>
    <t>Lu, Yang</t>
    <phoneticPr fontId="6" type="noConversion"/>
  </si>
  <si>
    <t>Sr. Admin Project Manager</t>
    <phoneticPr fontId="6" type="noConversion"/>
  </si>
  <si>
    <t xml:space="preserve">Zhao, Yu </t>
    <phoneticPr fontId="6" type="noConversion"/>
  </si>
  <si>
    <t>Manager, Medical Sciences</t>
    <phoneticPr fontId="6" type="noConversion"/>
  </si>
  <si>
    <t>Yu, Gang</t>
    <phoneticPr fontId="6" type="noConversion"/>
  </si>
  <si>
    <t>Senior Director, Regulatory</t>
    <phoneticPr fontId="6" type="noConversion"/>
  </si>
  <si>
    <t>Kelly Xiao Chen</t>
    <phoneticPr fontId="6" type="noConversion"/>
  </si>
  <si>
    <t>Administration Assistant</t>
    <phoneticPr fontId="6" type="noConversion"/>
  </si>
  <si>
    <t xml:space="preserve">Zhang, Meng </t>
    <phoneticPr fontId="6" type="noConversion"/>
  </si>
  <si>
    <t>Manager, Clinical Operation</t>
    <phoneticPr fontId="8" type="noConversion"/>
  </si>
  <si>
    <t xml:space="preserve">Duan, Yujiao </t>
    <phoneticPr fontId="6" type="noConversion"/>
  </si>
  <si>
    <t>IPR Officer</t>
    <phoneticPr fontId="8" type="noConversion"/>
  </si>
  <si>
    <t xml:space="preserve">Wang, Gaoshen </t>
    <phoneticPr fontId="6" type="noConversion"/>
  </si>
  <si>
    <t>Director, Drug formulation</t>
    <phoneticPr fontId="8" type="noConversion"/>
  </si>
  <si>
    <t xml:space="preserve">She, Jin </t>
    <phoneticPr fontId="6" type="noConversion"/>
  </si>
  <si>
    <t>VP, Chemistry</t>
    <phoneticPr fontId="8" type="noConversion"/>
  </si>
  <si>
    <t xml:space="preserve">Zhao, Guiyu </t>
    <phoneticPr fontId="6" type="noConversion"/>
  </si>
  <si>
    <t>Data Sciences</t>
    <phoneticPr fontId="8" type="noConversion"/>
  </si>
  <si>
    <t>Li, Li</t>
    <phoneticPr fontId="6" type="noConversion"/>
  </si>
  <si>
    <t>Associated Director, Quality Assurance</t>
    <phoneticPr fontId="8" type="noConversion"/>
  </si>
  <si>
    <t xml:space="preserve">Ren, Shuang </t>
    <phoneticPr fontId="6" type="noConversion"/>
  </si>
  <si>
    <t>Director, Pharmacology</t>
    <phoneticPr fontId="8" type="noConversion"/>
  </si>
  <si>
    <t>GE, Xiaoyun</t>
  </si>
  <si>
    <t>HOU, Xinghua</t>
  </si>
  <si>
    <t>ZHAO, Bin</t>
  </si>
  <si>
    <t>ZHAO, Qiang</t>
  </si>
  <si>
    <t>HU, JINGFANG</t>
    <phoneticPr fontId="6" type="noConversion"/>
  </si>
  <si>
    <t>HR Director</t>
    <phoneticPr fontId="6" type="noConversion"/>
  </si>
  <si>
    <t>Fu, Yilei</t>
    <phoneticPr fontId="8" type="noConversion"/>
  </si>
  <si>
    <t>VP of QA</t>
    <phoneticPr fontId="8" type="noConversion"/>
  </si>
  <si>
    <t>Daniel Du</t>
    <phoneticPr fontId="8" type="noConversion"/>
  </si>
  <si>
    <t>Sr VP, RMC</t>
    <phoneticPr fontId="8" type="noConversion"/>
  </si>
  <si>
    <t>Su, Juntao</t>
    <phoneticPr fontId="8" type="noConversion"/>
  </si>
  <si>
    <t>Senior Manager, Analytical</t>
    <phoneticPr fontId="6" type="noConversion"/>
  </si>
  <si>
    <t>Shen, Mingxia</t>
    <phoneticPr fontId="8" type="noConversion"/>
  </si>
  <si>
    <t>Clinical Operation, QC</t>
    <phoneticPr fontId="6" type="noConversion"/>
  </si>
  <si>
    <t>Kong, Liang</t>
    <phoneticPr fontId="8" type="noConversion"/>
  </si>
  <si>
    <t>VP of Clinical Operation</t>
    <phoneticPr fontId="6" type="noConversion"/>
  </si>
  <si>
    <t>Lu Lu</t>
    <phoneticPr fontId="8" type="noConversion"/>
  </si>
  <si>
    <t>Medical Writer</t>
    <phoneticPr fontId="6" type="noConversion"/>
  </si>
  <si>
    <t>Chen, Hongmei</t>
    <phoneticPr fontId="8" type="noConversion"/>
  </si>
  <si>
    <t>Clinical Operation PM</t>
    <phoneticPr fontId="6" type="noConversion"/>
  </si>
  <si>
    <t>Xi, Yuqin</t>
    <phoneticPr fontId="8" type="noConversion"/>
  </si>
  <si>
    <t>Associate Director, Clinical Operation</t>
    <phoneticPr fontId="6" type="noConversion"/>
  </si>
  <si>
    <t>Zhang, Hui</t>
    <phoneticPr fontId="8" type="noConversion"/>
  </si>
  <si>
    <t>Associate Director, RCM</t>
    <phoneticPr fontId="6" type="noConversion"/>
  </si>
  <si>
    <t>Chen, Junpu</t>
    <phoneticPr fontId="8" type="noConversion"/>
  </si>
  <si>
    <t>GMP QA</t>
    <phoneticPr fontId="6" type="noConversion"/>
  </si>
  <si>
    <t>Emily Yeh</t>
    <phoneticPr fontId="8" type="noConversion"/>
  </si>
  <si>
    <t>Director of Corporate Financing</t>
    <phoneticPr fontId="6" type="noConversion"/>
  </si>
  <si>
    <t>HM084</t>
    <phoneticPr fontId="8" type="noConversion"/>
  </si>
  <si>
    <t>George Lin</t>
    <phoneticPr fontId="8" type="noConversion"/>
  </si>
  <si>
    <t>EVP &amp; CFO</t>
    <phoneticPr fontId="8" type="noConversion"/>
  </si>
  <si>
    <t>Angel Jin</t>
    <phoneticPr fontId="8" type="noConversion"/>
  </si>
  <si>
    <t>Finance Director</t>
    <phoneticPr fontId="6" type="noConversion"/>
  </si>
  <si>
    <t>CO001</t>
    <phoneticPr fontId="8" type="noConversion"/>
  </si>
  <si>
    <t>Portfolio Advisory Board</t>
    <phoneticPr fontId="6" type="noConversion"/>
  </si>
  <si>
    <t>CO002</t>
    <phoneticPr fontId="8" type="noConversion"/>
  </si>
  <si>
    <t>Bennett M. Shapiro</t>
    <phoneticPr fontId="6" type="noConversion"/>
  </si>
  <si>
    <t>James S. MacDonald</t>
    <phoneticPr fontId="6" type="noConversion"/>
  </si>
  <si>
    <t>Catherine D Strader</t>
    <phoneticPr fontId="6" type="noConversion"/>
  </si>
  <si>
    <t>Baldwin, John J.</t>
    <phoneticPr fontId="6" type="noConversion"/>
  </si>
  <si>
    <t>Zhu, Dalong</t>
    <phoneticPr fontId="6" type="noConversion"/>
  </si>
  <si>
    <t>Li, Xiaoying</t>
    <phoneticPr fontId="6" type="noConversion"/>
  </si>
  <si>
    <t>Clifford J. Stocks</t>
    <phoneticPr fontId="8" type="noConversion"/>
  </si>
  <si>
    <t>Total</t>
    <phoneticPr fontId="8" type="noConversion"/>
  </si>
  <si>
    <t>Options as of Feb 2018</t>
  </si>
  <si>
    <t>Shanghai</t>
    <phoneticPr fontId="6" type="noConversion"/>
  </si>
  <si>
    <t>Cayman</t>
    <phoneticPr fontId="6" type="noConversion"/>
  </si>
  <si>
    <t>Hongkong</t>
    <phoneticPr fontId="6" type="noConversion"/>
  </si>
  <si>
    <t xml:space="preserve">Cash-RMB </t>
  </si>
  <si>
    <t>Cash-RMB</t>
  </si>
  <si>
    <t>USD Savings/SCBL</t>
  </si>
  <si>
    <t>Cash-NTD</t>
  </si>
  <si>
    <t>USD Savings/HSBC</t>
  </si>
  <si>
    <t>RMB savings/China Construction Bank</t>
    <phoneticPr fontId="6" type="noConversion"/>
  </si>
  <si>
    <t>HKD Savings/HSBC</t>
  </si>
  <si>
    <t>RMB savings/Bank of Ningbo</t>
    <phoneticPr fontId="6" type="noConversion"/>
  </si>
  <si>
    <t>RMB savings/Banh of Jiangsu</t>
    <phoneticPr fontId="6" type="noConversion"/>
  </si>
  <si>
    <t>USD savings/China Construction Bank</t>
    <phoneticPr fontId="6" type="noConversion"/>
  </si>
  <si>
    <t>USD savings/Bank of Ningbo</t>
    <phoneticPr fontId="6" type="noConversion"/>
  </si>
  <si>
    <t>Financial products/Bank of Ningbo</t>
    <phoneticPr fontId="6" type="noConversion"/>
  </si>
  <si>
    <t>rate(2018/3/31)</t>
    <phoneticPr fontId="6" type="noConversion"/>
  </si>
  <si>
    <t>USD</t>
    <phoneticPr fontId="6" type="noConversion"/>
  </si>
  <si>
    <t>Shanghai</t>
  </si>
  <si>
    <t>RMB savings/China Construction Bank</t>
  </si>
  <si>
    <t>RMB savings/Bank of Ningbo</t>
  </si>
  <si>
    <t>RMB savings/Banh of Jiangsu</t>
  </si>
  <si>
    <t>USD savings/China Construction Bank</t>
  </si>
  <si>
    <t>USD savings/Bank of Ningbo</t>
  </si>
  <si>
    <t>Financial products/Bank of Ningbo</t>
  </si>
  <si>
    <t>Cayman</t>
  </si>
  <si>
    <t>Hongkong</t>
  </si>
  <si>
    <t>Assumes that such options will be granted prior to exits contemplated under the Hybrid OPM.</t>
  </si>
  <si>
    <t>Capitalization Table (consolidated, as if onshore investors are also at the offshore level)
(As of April 18, 2018)</t>
  </si>
  <si>
    <t>Series C (US$10.06335 per share)
after Second Closing (Closing Date: March 9, 2017)</t>
    <phoneticPr fontId="38" type="noConversion"/>
  </si>
  <si>
    <r>
      <t>Shares after Series C (First Tranche) (</t>
    </r>
    <r>
      <rPr>
        <b/>
        <i/>
        <sz val="11"/>
        <color rgb="FFFF0000"/>
        <rFont val="Times New Roman"/>
        <family val="1"/>
      </rPr>
      <t>as of April 18, 2016</t>
    </r>
    <r>
      <rPr>
        <b/>
        <i/>
        <sz val="11"/>
        <color theme="1"/>
        <rFont val="Times New Roman"/>
        <family val="1"/>
      </rPr>
      <t>)</t>
    </r>
  </si>
  <si>
    <r>
      <t>Shareholding 
after Series C (First Tranche Tranche) (</t>
    </r>
    <r>
      <rPr>
        <b/>
        <i/>
        <sz val="11"/>
        <color rgb="FFFF0000"/>
        <rFont val="Times New Roman"/>
        <family val="1"/>
      </rPr>
      <t>as of April 18, 2016</t>
    </r>
    <r>
      <rPr>
        <b/>
        <i/>
        <sz val="11"/>
        <color theme="1"/>
        <rFont val="Times New Roman"/>
        <family val="1"/>
      </rPr>
      <t>)</t>
    </r>
  </si>
  <si>
    <r>
      <t>Shares after Series C (Second Tranche) (</t>
    </r>
    <r>
      <rPr>
        <b/>
        <i/>
        <sz val="11"/>
        <color rgb="FFFF0000"/>
        <rFont val="Times New Roman"/>
        <family val="1"/>
      </rPr>
      <t>as of June 12, 2017</t>
    </r>
    <r>
      <rPr>
        <b/>
        <i/>
        <sz val="11"/>
        <color theme="1"/>
        <rFont val="Times New Roman"/>
        <family val="1"/>
      </rPr>
      <t>)</t>
    </r>
  </si>
  <si>
    <r>
      <t>Shareholding 
after Series C (Second Tranche) (</t>
    </r>
    <r>
      <rPr>
        <b/>
        <i/>
        <sz val="11"/>
        <color rgb="FFFF0000"/>
        <rFont val="Times New Roman"/>
        <family val="1"/>
      </rPr>
      <t>as of June 12, 2017</t>
    </r>
    <r>
      <rPr>
        <b/>
        <i/>
        <sz val="11"/>
        <color theme="1"/>
        <rFont val="Times New Roman"/>
        <family val="1"/>
      </rPr>
      <t>)</t>
    </r>
  </si>
  <si>
    <r>
      <t>Shares after Series D First Closing (</t>
    </r>
    <r>
      <rPr>
        <b/>
        <i/>
        <sz val="11"/>
        <color rgb="FFFF0000"/>
        <rFont val="Times New Roman"/>
        <family val="1"/>
      </rPr>
      <t>as of January 22, 2018</t>
    </r>
    <r>
      <rPr>
        <b/>
        <i/>
        <sz val="11"/>
        <color theme="1"/>
        <rFont val="Times New Roman"/>
        <family val="1"/>
      </rPr>
      <t>)</t>
    </r>
  </si>
  <si>
    <r>
      <t xml:space="preserve">Shareholding after Series D First Closing </t>
    </r>
    <r>
      <rPr>
        <b/>
        <i/>
        <sz val="11"/>
        <rFont val="Times New Roman"/>
        <family val="1"/>
      </rPr>
      <t>(</t>
    </r>
    <r>
      <rPr>
        <b/>
        <i/>
        <sz val="11"/>
        <color rgb="FFFF0000"/>
        <rFont val="Times New Roman"/>
        <family val="1"/>
      </rPr>
      <t>as of January 22, 2018</t>
    </r>
    <r>
      <rPr>
        <b/>
        <i/>
        <sz val="11"/>
        <color theme="1"/>
        <rFont val="Times New Roman"/>
        <family val="1"/>
      </rPr>
      <t>)</t>
    </r>
  </si>
  <si>
    <r>
      <t>Shares after Harvest Conversion (</t>
    </r>
    <r>
      <rPr>
        <b/>
        <i/>
        <sz val="11"/>
        <color rgb="FFFF0000"/>
        <rFont val="Times New Roman"/>
        <family val="1"/>
      </rPr>
      <t>as of January 23, 2018</t>
    </r>
    <r>
      <rPr>
        <b/>
        <i/>
        <sz val="11"/>
        <color theme="1"/>
        <rFont val="Times New Roman"/>
        <family val="1"/>
      </rPr>
      <t>)</t>
    </r>
  </si>
  <si>
    <r>
      <t>Shareholding after Harvest Conversion (</t>
    </r>
    <r>
      <rPr>
        <b/>
        <i/>
        <sz val="11"/>
        <color rgb="FFFF0000"/>
        <rFont val="Times New Roman"/>
        <family val="1"/>
      </rPr>
      <t>as of January 23, 2018</t>
    </r>
    <r>
      <rPr>
        <b/>
        <i/>
        <sz val="11"/>
        <color theme="1"/>
        <rFont val="Times New Roman"/>
        <family val="1"/>
      </rPr>
      <t>)</t>
    </r>
  </si>
  <si>
    <r>
      <t>Shares after Series D Second Closing and Series E First Closing (</t>
    </r>
    <r>
      <rPr>
        <b/>
        <i/>
        <sz val="11"/>
        <color rgb="FFFF0000"/>
        <rFont val="Times New Roman"/>
        <family val="1"/>
      </rPr>
      <t>as of March 14, 2018</t>
    </r>
    <r>
      <rPr>
        <b/>
        <i/>
        <sz val="11"/>
        <color theme="1"/>
        <rFont val="Times New Roman"/>
        <family val="1"/>
      </rPr>
      <t>)</t>
    </r>
  </si>
  <si>
    <r>
      <t>Shareholding after Series D Second Closing and Series E First Closing (</t>
    </r>
    <r>
      <rPr>
        <b/>
        <i/>
        <sz val="11"/>
        <color rgb="FFFF0000"/>
        <rFont val="Times New Roman"/>
        <family val="1"/>
      </rPr>
      <t>as of March 14, 2018</t>
    </r>
    <r>
      <rPr>
        <b/>
        <i/>
        <sz val="11"/>
        <color theme="1"/>
        <rFont val="Times New Roman"/>
        <family val="1"/>
      </rPr>
      <t>)</t>
    </r>
  </si>
  <si>
    <r>
      <t>Total Shares after Series E (</t>
    </r>
    <r>
      <rPr>
        <b/>
        <sz val="11"/>
        <color rgb="FFFF0000"/>
        <rFont val="Times New Roman"/>
        <family val="1"/>
      </rPr>
      <t>as of March 26, 2018</t>
    </r>
    <r>
      <rPr>
        <b/>
        <sz val="11"/>
        <color theme="1"/>
        <rFont val="Times New Roman"/>
        <family val="1"/>
      </rPr>
      <t>)</t>
    </r>
  </si>
  <si>
    <r>
      <t>Not Fully Diluted % after Series E (</t>
    </r>
    <r>
      <rPr>
        <b/>
        <sz val="11"/>
        <color rgb="FFFF0000"/>
        <rFont val="Times New Roman"/>
        <family val="1"/>
      </rPr>
      <t>as of March 26, 2018</t>
    </r>
    <r>
      <rPr>
        <b/>
        <sz val="11"/>
        <color theme="1"/>
        <rFont val="Times New Roman"/>
        <family val="1"/>
      </rPr>
      <t>)</t>
    </r>
  </si>
  <si>
    <r>
      <t>Secondary Transfer by SAIL on April 18, 2018* &amp; Onshore Option Exercise on April 18, 2018 (</t>
    </r>
    <r>
      <rPr>
        <b/>
        <sz val="11"/>
        <color rgb="FFFF0000"/>
        <rFont val="Times New Roman"/>
        <family val="1"/>
      </rPr>
      <t>as of April 18, 2018</t>
    </r>
    <r>
      <rPr>
        <b/>
        <sz val="11"/>
        <color theme="1"/>
        <rFont val="Times New Roman"/>
        <family val="1"/>
      </rPr>
      <t>)</t>
    </r>
  </si>
  <si>
    <r>
      <t>Not Fully Diluted % after SAIL Transfer (</t>
    </r>
    <r>
      <rPr>
        <b/>
        <sz val="11"/>
        <color rgb="FFFF0000"/>
        <rFont val="Times New Roman"/>
        <family val="1"/>
      </rPr>
      <t>as of April 18, 2018</t>
    </r>
    <r>
      <rPr>
        <b/>
        <sz val="11"/>
        <color theme="1"/>
        <rFont val="Times New Roman"/>
        <family val="1"/>
      </rPr>
      <t>)</t>
    </r>
  </si>
  <si>
    <r>
      <t>Shares after Qizhong Song Exercise (</t>
    </r>
    <r>
      <rPr>
        <b/>
        <sz val="11"/>
        <color rgb="FFFF0000"/>
        <rFont val="Times New Roman"/>
        <family val="1"/>
      </rPr>
      <t>as of April 27, 2018 and the date hereof</t>
    </r>
    <r>
      <rPr>
        <b/>
        <sz val="11"/>
        <color theme="1"/>
        <rFont val="Times New Roman"/>
        <family val="1"/>
      </rPr>
      <t>)</t>
    </r>
  </si>
  <si>
    <r>
      <t>Shareholding after Qizhong Song Exercise (</t>
    </r>
    <r>
      <rPr>
        <b/>
        <sz val="11"/>
        <color rgb="FFFF0000"/>
        <rFont val="Times New Roman"/>
        <family val="1"/>
      </rPr>
      <t>as of April 27, 2018 and the date hereof</t>
    </r>
    <r>
      <rPr>
        <b/>
        <sz val="11"/>
        <rFont val="Times New Roman"/>
        <family val="1"/>
      </rPr>
      <t>)</t>
    </r>
  </si>
  <si>
    <r>
      <t>Suzhou Industrial Park Bainian Hualing Management Venture Capital Partnership (LP)(</t>
    </r>
    <r>
      <rPr>
        <b/>
        <sz val="11"/>
        <color theme="3" tint="0.39997558519241921"/>
        <rFont val="宋体"/>
        <family val="2"/>
        <charset val="134"/>
      </rPr>
      <t>苏州工业园区百年人寿华领投资管理合伙企业（有限合伙）</t>
    </r>
    <r>
      <rPr>
        <b/>
        <sz val="11"/>
        <color theme="3" tint="0.39997558519241921"/>
        <rFont val="Times New Roman"/>
        <family val="1"/>
      </rPr>
      <t>)</t>
    </r>
  </si>
  <si>
    <r>
      <t>Shanghai Longwin Tonghong Venture Capital Investment Management Partnership (LP) (</t>
    </r>
    <r>
      <rPr>
        <b/>
        <sz val="11"/>
        <color theme="3" tint="0.39997558519241921"/>
        <rFont val="宋体"/>
        <family val="2"/>
        <charset val="134"/>
      </rPr>
      <t>上海朗闻通鸿投资管理合伙企业（合伙企业）</t>
    </r>
    <r>
      <rPr>
        <b/>
        <sz val="11"/>
        <color theme="3" tint="0.39997558519241921"/>
        <rFont val="Times New Roman"/>
        <family val="1"/>
      </rPr>
      <t>)</t>
    </r>
  </si>
  <si>
    <t>Suzhou Frontline BioVentures Venture Capital Partnership (Limited Partnership) (苏州通和创业投资合伙企业)</t>
  </si>
  <si>
    <t>Avict Global Holdings Limited (SoftBank)</t>
  </si>
  <si>
    <t>Huifu Investments Limited (慧福投资有限公司) (SoftBank)</t>
  </si>
  <si>
    <t>Qizhong Song</t>
    <phoneticPr fontId="38" type="noConversion"/>
  </si>
  <si>
    <t>Total Series D</t>
    <phoneticPr fontId="38" type="noConversion"/>
  </si>
  <si>
    <t>Structure Chart</t>
    <phoneticPr fontId="38" type="noConversion"/>
  </si>
  <si>
    <t>ARCH US (1)</t>
    <phoneticPr fontId="38" type="noConversion"/>
  </si>
  <si>
    <t>Venrock (2)</t>
    <phoneticPr fontId="38" type="noConversion"/>
  </si>
  <si>
    <t>Not Fully Diluted Shares</t>
    <phoneticPr fontId="38" type="noConversion"/>
  </si>
  <si>
    <t>Fidelity Asia (3)</t>
    <phoneticPr fontId="38" type="noConversion"/>
  </si>
  <si>
    <t>Fidelity US (4)</t>
    <phoneticPr fontId="38" type="noConversion"/>
  </si>
  <si>
    <t>Wuxi (5)</t>
    <phoneticPr fontId="38" type="noConversion"/>
  </si>
  <si>
    <t>Ge Li family (6)</t>
    <phoneticPr fontId="38" type="noConversion"/>
  </si>
  <si>
    <t>SAIL (7)</t>
    <phoneticPr fontId="38" type="noConversion"/>
  </si>
  <si>
    <t>Baldwin family (8)</t>
    <phoneticPr fontId="38" type="noConversion"/>
  </si>
  <si>
    <t>Li Chen family (9)</t>
    <phoneticPr fontId="38" type="noConversion"/>
  </si>
  <si>
    <t>John Choi (10)</t>
    <phoneticPr fontId="38" type="noConversion"/>
  </si>
  <si>
    <t>SAIL TRANSFER ON APRIL 18, 2018</t>
  </si>
  <si>
    <t>ABG (11)</t>
    <phoneticPr fontId="38" type="noConversion"/>
  </si>
  <si>
    <t>Sino Alliance transferred 250,000 Series A-2 Preferred Shares to Woodbury Capital Management LImited at per share price of US$12.4 on April 18, 2018</t>
  </si>
  <si>
    <t>Frontline entities (12)</t>
    <phoneticPr fontId="38" type="noConversion"/>
  </si>
  <si>
    <t>Sino Alliance transferred 887,096 Series A-2 Preferred Shares to Avict Global Holdings Limted at per share price of US$12.4 on April 18, 2018</t>
  </si>
  <si>
    <t>Harvest (13)</t>
    <phoneticPr fontId="38" type="noConversion"/>
  </si>
  <si>
    <t>Sino Alliance transferred 725,807 Series A-2 Preferred Shares to Huifu Investment Limited at per share price of US$12.4 on April 18, 2018</t>
  </si>
  <si>
    <t>GIC (14)</t>
    <phoneticPr fontId="38" type="noConversion"/>
  </si>
  <si>
    <t>Blue Pool (15)</t>
    <phoneticPr fontId="38" type="noConversion"/>
  </si>
  <si>
    <t>AVICT entities (16)</t>
    <phoneticPr fontId="38" type="noConversion"/>
  </si>
  <si>
    <t>Other shareholders (17)</t>
    <phoneticPr fontId="38" type="noConversion"/>
  </si>
  <si>
    <t>Cap Table
(April 2018)</t>
  </si>
  <si>
    <t>Post Frontline entities transfer</t>
  </si>
  <si>
    <t>Registered capital</t>
  </si>
  <si>
    <t>Percentage (as of 4/13/2018)</t>
  </si>
  <si>
    <t>Paid-in Registered Capital</t>
  </si>
  <si>
    <r>
      <t>Suzhou Frontline BioVentures Venture Capital Partnership (Limited Partnership) (</t>
    </r>
    <r>
      <rPr>
        <b/>
        <sz val="9"/>
        <color theme="1"/>
        <rFont val="宋体"/>
        <family val="2"/>
        <charset val="134"/>
      </rPr>
      <t>苏州通和创业投资合伙企业</t>
    </r>
    <r>
      <rPr>
        <b/>
        <sz val="11"/>
        <color theme="1"/>
        <rFont val="Times New Roman"/>
        <family val="1"/>
      </rPr>
      <t>)</t>
    </r>
  </si>
  <si>
    <t>Total No. of Shares</t>
    <phoneticPr fontId="6" type="noConversion"/>
  </si>
  <si>
    <t>CTA filing in 2012</t>
    <phoneticPr fontId="8" type="noConversion"/>
  </si>
  <si>
    <t>Series C financing in 2016</t>
    <phoneticPr fontId="8" type="noConversion"/>
  </si>
  <si>
    <t>2016 New Hire</t>
    <phoneticPr fontId="8" type="noConversion"/>
  </si>
  <si>
    <t>2018 Award</t>
    <phoneticPr fontId="8" type="noConversion"/>
  </si>
  <si>
    <t>New Grant in 2018</t>
    <phoneticPr fontId="0" type="noConversion"/>
  </si>
  <si>
    <t>Employee No.</t>
    <phoneticPr fontId="8" type="noConversion"/>
  </si>
  <si>
    <t>Exercise Price
(USD)</t>
    <phoneticPr fontId="8" type="noConversion"/>
  </si>
  <si>
    <t>Vesting Commencement Date</t>
    <phoneticPr fontId="6" type="noConversion"/>
  </si>
  <si>
    <t>Vesting Period
(months)</t>
    <phoneticPr fontId="8" type="noConversion"/>
  </si>
  <si>
    <t>Note 1</t>
    <phoneticPr fontId="0" type="noConversion"/>
  </si>
  <si>
    <t>Name</t>
    <phoneticPr fontId="0" type="noConversion"/>
  </si>
  <si>
    <t>No.of Shares</t>
    <phoneticPr fontId="0" type="noConversion"/>
  </si>
  <si>
    <t>Exercise Price
(USD)</t>
    <phoneticPr fontId="0" type="noConversion"/>
  </si>
  <si>
    <t>Vesting Commencement Date</t>
    <phoneticPr fontId="0" type="noConversion"/>
  </si>
  <si>
    <t>Vesting Period
(months)</t>
    <phoneticPr fontId="0" type="noConversion"/>
  </si>
  <si>
    <t>Grant Date</t>
    <phoneticPr fontId="0" type="noConversion"/>
  </si>
  <si>
    <t>Remarks</t>
    <phoneticPr fontId="0" type="noConversion"/>
  </si>
  <si>
    <t>Value of Call Option</t>
  </si>
  <si>
    <t>Total value</t>
  </si>
  <si>
    <t>Executive</t>
    <phoneticPr fontId="0" type="noConversion"/>
  </si>
  <si>
    <t>ESOP</t>
  </si>
  <si>
    <t>RSU</t>
    <phoneticPr fontId="0" type="noConversion"/>
  </si>
  <si>
    <t>Note 1</t>
  </si>
  <si>
    <t>Manan Dave</t>
  </si>
  <si>
    <t>Priyadarshini Pant</t>
  </si>
  <si>
    <t>Novo Nordisk A/S, a healthcare company, engages in the discovery, development, manufacture, and marketing of pharmaceutical products worldwide. It operates in two segments, Diabetes Care and Obesity, and Biopharmaceuticals. The Diabetes Care and Obesity segment provides insulins, GLP-1 and related delivery systems, and oral anti-diabetic drugs and obesity. The Biopharmaceuticals segment offers products in the areas of haemophilia care, growth hormone therapy, and hormone replacement therapy. Novo Nordisk A/S has a research and licensing agreement with DUKE National University Singapore Medical School to develop stem cell-based treatments for chronic heart failure and age-related macular degeneration, as well as a research collaboration with Kallyope Inc. The company markets and distributes its products through distributors and independent agents. Novo Nordisk A/S was founded in 1925 and is headquartered in Bagsvaerd, Denmark.</t>
  </si>
  <si>
    <t>Tonghua Dongbao Pharmaceutical Co., Ltd. researches and develops, manufactures, and sells pharmaceutical products for the treatment of diabetes and cardiovascular-based diseases in China. The company operates through Pharmaceutical Industry and Building Materials Industry segments. It lead product portfolio includes insulin analogues, such as insulin glargine, Insulin aspart, insulin detemir, and insulin lispro; antidiabetic drug agonist products; oral hypoglycemic agents; and Zhen Nao Ning and Nao Xue Kang capsules, as well as Gan Shulin pens, blood glucose meters, and other medical devices. The company is also involved in developing Y-PEG of recombinant human interferon a 2b injection, which has been completed Phase III clinical stage to treat chronic hepatitis C (2,3 gene type) and chronic hepatitis B III; Y-PEG a recombinant human granulocyte colony-stimulating factor injection that is in Phase II clinical stage for the treatment of chemotherapy-induced neutropenia; Y-PEG injection of recombinant human growth hormone, which is in Phase II clinical stage to treat short stature and growth hormone deficiency; and Y-PEG of recombinant human interferon a 2a injection that is in Phase II clinical stage to treat chronic hepatitis B and hepatitis C. It offers building materials comprising plastic windows and sections; and other products. The company has a strategic alliance with Adocia. Tonghua Dongbao Pharmaceutical Co., Ltd. was founded in 1985 and is based in Tonghua, China.</t>
  </si>
  <si>
    <t>3SBio Inc. develops, manufactures, markets, and sells biopharmaceuticals. The company’s primary products include TPIAO, a recombinant human thrombopoietin for thrombocytopenia; Yisaipu, a tumour necrosis factor for treating rheumatoid arthritis, ankylosing spondylitis, and psoriasis; and EPIAO, a recombinant human erythropoietin for the treatment of anemia associated with chronic kidney disease (CKD), chemotherapy-induced anemia, and reduction of allogeneic blood transfusion in surgery patients. Its primary products also comprise SEPO, a recombinant human erythropoietin for anemia associated with CKD and chemotherapy; Byetta/Bydureon, an exenatide injection to improve glycemic control in adults with type-2 diabetes mellitus; and Qiming Keli for retinopathy caused by type-2 diabetes. In addition, the company offers Ruisiyi to treat advanced breast cancer; Wanwei for treating vomiting caused by cytotoxic chemotherapy; and Intefen to treat lymphatic or hematopoietic malignancies and viral infections. Further, it provides Inleusin for renal cell carcinoma, melanoma, thoracic fluid build-up caused by cancer, and tuberculosis; Etanercept for moderate to severe rheumatoid arthritis and plaque psoriasis, and active ankylosing spondylitis; and Sparin for prophylaxis and vein thrombosis, and to prevent clotting during hemodialysis. Additionally, the company offers Mandi for male-pattern alopecia and alopecia areata; Aiyishu for iron-deficiency anemia; Disu to prevent and treat chronic bronchitis, colds, and asthma; Jiannipai to prevent acute rejection after renal transplantation; and Humulin for diabetes, as well as contract development and manufacturing, trading, project management and consultation, and technology services. The company markets its products through in-house sales and marketing team, as well as distributors and third-party promoters. 3SBio Inc. was incorporated in 2006 and is headquartered in Shenyang, the People’s Republic of China.</t>
  </si>
  <si>
    <t>Luye Pharma Group Ltd., an investment holding company, develops, produces, markets, and sells pharmaceutical products. The company offers Maitongna for cerebral edema and edema caused by trauma; Xuezhikang, a blood lipid regulator capsule; Tiandida for ovarian or non-small cell lung cancer; Yitaida for acute promyelocytic leukemia and liver cancer; CMNa for tumor radiotherapy; LIPUSU for ovarian, metastatic ovarian, breast, and non-small-cell lung cancer patient; Nuosen for acute upper digestive tract hemorrhage; Bei Tang Ning, a capsule to control blood glucose in patients with type 2 diabetes; Bei Xi, an acarbose capsule for diabetes; and LUTINGNUO, reduced glutathione injection for toxicity, and injuries caused by ionizing radiation, as well as for hypoxemia. It also provides Glucosamine Hydrochloride tablets for osteoarthritis; Xi Ming Ting largetrifoliolious bugbane rhizome total saponin tablets for invigorating splenic yang and relieving depression, and treating perimenopausal syndrome in females, as well as improving the symptoms of hot flashes, sweating, irritability, insomnia, hypochondriac pain, dizziness and tinnitus, aching pain of waist and knee, melancholy, unhappy, etc. In addition, the company provides Oukai sodium aescinate tablets for soft tissue swelling and venous edema; Oulai, a compound sodium aescinate gel for local swelling induced by inflammation, degenerative lesion, and trauma; Sidinuo for osteoporosis and relieving pain induced by osteoporosis; Outong, a capsaicin gel; and Jinsiping selegiline hydrochloride tablets for Parkinson’s disease. Further, it distributes, sells, and retails pharmaceutical drugs; manufactures and sells eggs; and provides business and investment consultation, as well as contract research, process development, and manufacturing services. The company has strategic collaboration with Excel BioPharm LLC. The company was founded in 1994 and is headquartered in Yantai, the People’s Republic of China.</t>
  </si>
  <si>
    <t>The United Laboratories International Holdings Limited, an investment holding company, manufactures and sells pharmaceutical products. It operates in three segments: Intermediate Products, Bulk Medicine, and Finished Products. The company offers oral antibiotics, antimicrobials for injection, anti-cold products, cough medicines, ophthalmic drugs, antiviral drugs, anti-hepatitis B drugs, diabetes drugs, skin drugs for external use, cardiovascular and cerebrovascular drugs, nervous system drugs, vitamins, and vacant gelatin capsules, as well as non-antibiotics finished products and soft capsule casings. It also provides chemical pharmaceuticals, including anti-cancer drugs and various antibiotics. In addition, the company manufactures and sells organic fertilizers; holds trademarks; trades in pharmaceutical products; and offers management services. It has operations in the People's Republic of China, Europe, India, Hong Kong, the Middle East, South America, other Asian regions, and other regions. The company was founded in 1990 and is headquartered in Yuen Long, Hong Kong. The United Laboratories International Holdings Limited is a subsidiary of Heren Far East Limited.</t>
  </si>
  <si>
    <t>Myovant Sciences Ltd., a clinical-stage biopharmaceutical company, focuses on developing and commercializing therapies for women’s health and endocrine diseases. The company’s lead product is relugolix, an oral, once-daily, small molecule that acts as a gonadotropin-releasing hormone receptor antagonist for the treatment of heavy menstrual bleeding related with uterine fibroids, endometriosis-associated pain, and advanced prostate cancer. It is also developing MVT-602, an oligopeptide kisspeptin agonist, for the treatment of female infertility as part of the hormonal preparation used in assisted reproduction. The company was formerly known as Roivant Endocrinology Ltd. and changed its name to Myovant Sciences Ltd. in May 2016. The company was founded in 2016 and is based in London, the United Kingdom. Myovant Sciences Ltd. is a subsidiary of Roivant Sciences Ltd.</t>
  </si>
  <si>
    <t>NasdaqGS:APTX</t>
  </si>
  <si>
    <t>IQ336341295</t>
  </si>
  <si>
    <t>Aptinyx Inc.</t>
  </si>
  <si>
    <t>Aptinyx Inc., a clinical-stage biopharmaceutical company, focuses on the discovery, development, and commercialization of novel, proprietary, and synthetic small molecules for the treatment of brain and nervous system disorders. It is developing NYX-2925 that is in Phase II clinical trial for the treatment of painful diabetic peripheral neuropathy, as well as in Phase II exploratory clinical trial for fibromyalgia; and NYX-783, an NMDAr receptor that is in Phase I clinical trial for the treatment of post-traumatic stress disorder. The company has a collaboration agreement with Allergan plc. Aptinyx Inc. was founded in 2015 and is headquartered in Evanston, Illinois.</t>
  </si>
  <si>
    <t>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 Phase 3 clinical trial as an anticancer agent in combination with docetaxel in advanced non-small cell lung cancer; and Phase 1/2 clinical trials with the immuno-oncology agent nivolumab. BeyondSpring Inc. was founded in 2010 and is headquartered in New York, New York.</t>
  </si>
  <si>
    <t>NasdaqGS:CBAY</t>
  </si>
  <si>
    <t>NasdaqGS:XERS</t>
  </si>
  <si>
    <t>IQ105901792</t>
  </si>
  <si>
    <t>Xeris Pharmaceuticals, Inc.</t>
  </si>
  <si>
    <t>Xeris Pharmaceuticals, Inc., a specialty pharmaceutical company, develops and commercializes ready-to-use injectable and infusible drug formulations. Its proprietary XeriSol and XeriJect formulation technologies allow for the subcutaneous and intramuscular delivery of highly-concentrated, ready-to-use formulations of peptides, proteins, antibodies, and small molecules using commercially available syringes, auto-injectors, multi-dose pens, and infusion pumps. The company’s lead product candidate is glucagon rescue pen, which has completed Phase III clinical trials for the treatment of severe hypoglycemia, a potentially life-threatening condition in people with diabetes. Its product candidates also comprise self-administered glucagon that is in Phase IIa clinical trials for the treatment of post-bariatric hypoglycemia; continuous glucagon, which is in Phase II clinical trials for the treatment of congenital hyperinsulinism; continuous glucagon that is in Phase IIa clinical trials for the treatment of hypoglycemia-associated autonomic failure; self-administered glucagon, which is in Phase IIa clinical trials for the treatment of exercise-induced hypoglycemia; and ready-to-use glucagon that is in Phase II clinical trials for use in a bi-hormonal artificial pancreas closed-loop systems. The company’s preclinical programs include ready-to-use diazepam, a ready-to-use diazepam formulation for the treatment of ARS in patients with epilepsy; and pram-insulin, a ready-to-use fixed dose combination of insulin and pramlintide. It serves patients, caregivers, and health practitioners. The company was founded in 2005 and is based in Chicago, Illinois.</t>
  </si>
  <si>
    <t>Nightstar Therapeutics plc, a clinical-stage gene therapy company, focuses on developing and commercializing novel one-time treatments for patients suffering from rare inherited retinal diseases in the United Kingdom. The company’s lead product candidate is NSR-REP1, a candidate that is in phase 3 clinical development for the treatment of patients with choroideremia. It is also developing NSR-RPGR, a candidate that is in Phase 1/2 clinical trials for the treatment of patients with X-linked retinitis pigmentosa, an inherited X-linked recessive retinal disease; and NSR-BEST1, a candidate that is in preclinical development stage for the treatment of best vitelliform macular dystrophy. In addition, the company is developing NSR-ABCA4, a candidate that is in preclinical development stage for the treatment of Stargardt disease. The company was founded in 2013 and is headquartered in London, the United Kingdom.</t>
  </si>
  <si>
    <t>Boston Therapeutics, Inc., a pre-clinical and clinical-stage pharmaceutical company, focuses on the development, manufacture, and commercialization of carbohydrate-based therapeutic drugs and dietary supplements in the United States. Its lead pharmaceutical drug candidates include BTI-320, a non-systemic, carbohydrate-based compound that is in Phase IIb clinical trial to reduce post-meal elevation of blood glucose levels in Type 2 diabetic and pre diabetic patients; BTI-410, a peptide injectable compound that has completed Phase Ib clinical trials for type 1 immunosuppression therapy after kidney transplant surgery and type 2 diabetes patients; and IPOXYN, a carbohydrate-based, injectable drug to prevent necrosis, or cell death, as well as to treat hypoxic conditions, such as diabetic foot ulcers and other vascular/neurological complications. The company also develops OxyFex, an oxygen delivery agent for ischemia and trauma for blood loss during surgery in veterinary medicine applications. In addition, it produces and sells SUGARDOWN, a non-systemic complex carbohydrate-based dietary food supplement to support healthy post-meal blood glucose. The company was formerly known as Avanyx Therapeutics, Inc. and changed its name to Boston Therapeutics, Inc. in November 2010. Boston Therapeutics, Inc. was founded in 2009 and is headquartered in Lawrence, Massachusetts.</t>
  </si>
  <si>
    <t>Neuralstem, Inc., a clinical stage biopharmaceutical company, focuses on the research and development of nervous system therapies based on its proprietary human neuronal stem cells and small molecule compounds. The company’s stem cell based technology enables the isolation and expansion of human neural stem cells from various areas of the developing human brain and spinal cord enabling the generation of physiologically relevant human neurons of various types. Its lead product candidate is NSI-189, a chemical entity, which has been completed Phase II clinical trial for the treatment of major depressive disorder, as well as is in preclinical study for the MCAO stroke, type 1 and 2 diabetes related neuropathy, irradiation-induced cognition, long-term potentiation enhancement, and angelman syndrome. The company also develops NSI-566, which has completed Phase II clinical trial for treating amyotrophic lateral sclerosis disease, as well as is in Phase I clinical trials for the treatment of chronic spinal cord injury and motor deficits due to ischemic stroke. Neuralstem, Inc. was founded in 1996 and is headquartered in Germantown, Maryland.</t>
  </si>
  <si>
    <t>ERYTECH Pharma S.A.</t>
  </si>
  <si>
    <t>ERYTECH Pharma S.A., a biopharmaceutical company, develops therapies for severe forms of cancer and orphan diseases. It is developing a pipeline of product candidates targeting solid and liquid tumors for patients with high unmet medical needs. The company’s lead product candidate is eryaspase, which is used for the treatment of severe solid tumors, including pancreatic cancer and in acute lymphoblastic leukemia. It is preparing for the launch of a pivotal Phase III clinical trial of eryaspase in the United States and Europe. ERYTECH Pharma S.A. has research collaborations with the Fox Chase Cancer Center to advance the preclinical development of erymethionase for the treatment of homocystinuria and with Queen’s University of Canada to advance the preclinical development of eryminase for the treatment of arginase-1-deficiency. ERYTECH Pharma S.A. was founded in 2004 and is based in Lyon, France.</t>
  </si>
  <si>
    <t>Translate Bio, Inc.</t>
  </si>
  <si>
    <t>Forty Seven, Inc.</t>
  </si>
  <si>
    <t>Neon Therapeutics, Inc.</t>
  </si>
  <si>
    <t>Autolus Therapeutics Plc</t>
  </si>
  <si>
    <t>Kezar Life Sciences, Inc.</t>
  </si>
  <si>
    <t>MeiraGTx Holdings plc</t>
  </si>
  <si>
    <t>Scholar Rock Holding Corporation</t>
  </si>
  <si>
    <t>Evelo Biosciences, Inc.</t>
  </si>
  <si>
    <t>Unity Biotechnology, Inc.</t>
  </si>
  <si>
    <t>Surface Oncology, Inc.</t>
  </si>
  <si>
    <t>Entera Bio Ltd.</t>
  </si>
  <si>
    <t>NasdaqCM:ENTX</t>
  </si>
  <si>
    <t>IQTR531321920</t>
  </si>
  <si>
    <t>AVROBIO, Inc.</t>
  </si>
  <si>
    <t>NasdaqGS:AVRO</t>
  </si>
  <si>
    <t>IQTR567724127</t>
  </si>
  <si>
    <t>Magenta Therapeutics, Inc.</t>
  </si>
  <si>
    <t>NasdaqGM:MGTA</t>
  </si>
  <si>
    <t>IQTR567417136</t>
  </si>
  <si>
    <t>IQTR567144607</t>
  </si>
  <si>
    <t>Eidos Therapeutics, Inc.</t>
  </si>
  <si>
    <t>NasdaqGS:EIDX</t>
  </si>
  <si>
    <t>IQTR567724324</t>
  </si>
  <si>
    <t>Kiniksa Pharmaceuticals, Ltd.</t>
  </si>
  <si>
    <t>NasdaqGS:KNSA</t>
  </si>
  <si>
    <t>IQTR560752737</t>
  </si>
  <si>
    <t>Tricida, Inc.</t>
  </si>
  <si>
    <t>NasdaqGS:TCDA</t>
  </si>
  <si>
    <t>IQTR569705317</t>
  </si>
  <si>
    <t>IQTR567429675</t>
  </si>
  <si>
    <t>Verrica Pharmaceuticals Inc.</t>
  </si>
  <si>
    <t>NasdaqGM:VRCA</t>
  </si>
  <si>
    <t>IQTR566799008</t>
  </si>
  <si>
    <t>Iterum Therapeutics plc</t>
  </si>
  <si>
    <t>NasdaqGM:ITRM</t>
  </si>
  <si>
    <t>IQTR561403199</t>
  </si>
  <si>
    <t>Soleno Therapeutics, Inc.</t>
  </si>
  <si>
    <t>NasdaqCM:SLNO</t>
  </si>
  <si>
    <t>IQTR276752870</t>
  </si>
  <si>
    <t>NasdaqGS:TBIO</t>
  </si>
  <si>
    <t>NasdaqGS:FTSV</t>
  </si>
  <si>
    <t>NasdaqGS:NTGN</t>
  </si>
  <si>
    <t>NasdaqGS:AUTL</t>
  </si>
  <si>
    <t>NasdaqGS:KZR</t>
  </si>
  <si>
    <t>NasdaqGS:MGTX</t>
  </si>
  <si>
    <t>NasdaqGS:SRRK</t>
  </si>
  <si>
    <t>NasdaqGS:EVLO</t>
  </si>
  <si>
    <t>NasdaqGS:UBX</t>
  </si>
  <si>
    <t>NasdaqGM:SURF</t>
  </si>
  <si>
    <t>IQ2520553</t>
  </si>
  <si>
    <t>Soleno Therapeutics, Inc. focuses on the development and commercialization of novel therapeutics for the treatment of rare diseases. The company’s lead candidate, diazoxide choline controlled-release (DCCR), a once-daily oral tablet for the treatment of Prader-Willi Syndrome (PWS), is entering into Phase II/III clinical development. It also markets medical devices, including the CoSense End-Tidal Carbon Monoxide (ETCO) monitor, which measures ETCO and is used by hospitals to detect hemolysis in newborns; and NeoPip T-piece resuscitator and related consumables, which deliver consistent pre-set inspiratory pressure and positive end-expiratory pressures, as well as temperature probes, scales, surgical tables, and patient surfaces. In addition, the company offers Serenz, a handheld device that delivers non-inhaled carbon dioxide topically to the nasal mucosa. The company was formerly known as Capnia, Inc. and changed its name to Soleno Therapeutics, Inc. May 2017. Soleno Therapeutics, Inc. was founded in 1999 and is headquartered in Redwood City, California.</t>
  </si>
  <si>
    <t>IQ106997294</t>
  </si>
  <si>
    <t>Entera Bio Ltd., a clinical-stage biopharmaceutical company, focuses on the development and commercialization of orally delivered large molecule therapeutics for unmet medical needs. The company’s lead product includes the EB612, an oral parathyroid hormone product candidate that has completed a Phase IIa clinical trial for hypoparathyroidism. It is also developing EB613 that has completed Phase I clinical trials for the treatment of osteoporosis and non-union bone fractures; and other platform modules. The company was founded in 2010 and is headquartered in Jerusalem, Israel.</t>
  </si>
  <si>
    <t>IQ326042490</t>
  </si>
  <si>
    <t>AVROBIO, Inc., a clinical stage gene therapy company, focuses on developing potentially curative ex vivo lentiviral-based gene therapies to treat rare diseases following a single dose. It lead product candidate in AVR-RD-01, which is in Phase 1 clinical trial for the treatment of Fabry disease. The company is also developing AVR-RD-02 for the treatment of Gaucher disease; AVR-RD-03 for the treatment of Pompe disease; and AVR-RD-04 for the treatment of cystinosis. AVROBIO, Inc. was founded in 2015 and is headquartered in Cambridge, Massachusetts.</t>
  </si>
  <si>
    <t>IQ409918376</t>
  </si>
  <si>
    <t>Magenta Therapeutics, Inc., a clinical-stage biopharmaceutical company, engages in developing medicines to bring the curative power of bone marrow transplant to patients. It is developing C100, C200, and C300 targeted antibody-drug conjugates for transplant conditioning; MGTA-145, a stem cell mobilization product candidate to control stem cell mobilization; MGTA-456, an allogeneic stem cell therapy to control stem cell growth; E478, a small molecule aryl hydrocarbon receptor antagonist for the expansion of gene-modified stem cells; and G100, an ADC program to prevent acute graft and host diseases. The company was formerly known as HSCTCo Therapeutics, Inc. and changed its name to Magenta Therapeutics, Inc. in February 2016. Magenta Therapeutics, Inc. was incorporated in 2015 and is based in Cambridge, Massachusetts.</t>
  </si>
  <si>
    <t>IQ539024074</t>
  </si>
  <si>
    <t>Eidos Therapeutics, Inc., a clinical stage biopharmaceutical company, focuses on developing drugs to treat diseases caused by transthyretin (TTR) amyloidosis (ATTR). It is developing AG10, an orally-administered small molecule designed to stabilize tetrameric TTR, thereby halting at its outset the series of molecular events that give rise to ATTR. The company was incorporated in 2013 and is headquartered in San Francisco, California. Eidos Therapeutics, Inc. is a subsidiary of BridgeBio Pharma LLC.</t>
  </si>
  <si>
    <t>IQ558211765</t>
  </si>
  <si>
    <t>Kiniksa Pharmaceuticals, Ltd., a clinical-stage biopharmaceutical company, focuses on the discovering, acquiring, developing, and commercializing therapeutic medicines for patients suffering from debilitating diseases with significant unmet medical need worldwide. Its clinical-stage product candidates include Rilonacept, which is in Phase II clinical trials for the treatment of recurrent pericarditis, a debilitating inflammatory cardiovascular disease; Mavrilimumab, a monoclonal antibody for the treatment of giant cell arteritis; and KPL-716, a monoclonal antibody, which is in Phase 1a/1b clinical trial for the treatment of prurigo nodularis and atopic dermatitis. Kiniksa Pharmaceuticals, Ltd. was founded in 2015 and is based in Hamilton, Bermuda.</t>
  </si>
  <si>
    <t xml:space="preserve"> IQ143808159 </t>
  </si>
  <si>
    <t>Translate Bio, Inc., a messenger RNA therapeutics company, engages in developing medicines to treat diseases caused by protein or gene dysfunction. It is developing MRT5005 that is in Phase I/II clinical trial for the treatment of cystic fibrosis; and MRT5201 for the treatment of ornithine transcarbamylase deficiency. It has strategic alliances with Sanofi Pasteur. The company was formerly known as RaNA Therapeutics, Inc. and changed its name to Translate Bio, Inc. in June 2017. Translate Bio, Inc. was founded in 2011 and is headquartered in Lexington, Massachusetts.</t>
  </si>
  <si>
    <t xml:space="preserve"> IQ326556338 </t>
  </si>
  <si>
    <t>Forty Seven Inc., a clinical-stage immuno-oncology company, focuses on developing therapies to activate macrophages for the treatment of cancer. It is developing 5F9, a humanized IgG4 subclass monoclonal antibody against CD47 that is in Phase 1b/2 clinical trials used for the treatment of cancer; and FSI-189, an antibody that binds to SIRPa for the treatment of solid tumors. The company was formerly known as CD47 Sciences, Inc. Forty Seven Inc. was incorporated in 2014 and is headquartered in Menlo Park, California.</t>
  </si>
  <si>
    <t xml:space="preserve"> IQ312617897 </t>
  </si>
  <si>
    <t>Neon Therapeutics, Inc., a clinical-stage immuno-oncology company, engages in developing neoantigen-targeted therapies for cancers in the United States. It is developing NEO-PV-01, a neoantigen vaccine that is in Phase Ib clinical trial in combination with nivolumab for the treatment of metastatic melanoma, non-small cell lung cancer, and bladder cancer; NEO-PTC-01, a neoantigen T cell therapy for the treatment of solid tumors; and NEO-SV-01, a neoantigen vaccine for the treatment of estrogen-receptor-positive breast cancer. The company was founded in 2013 and is headquartered in Cambridge, Massachusetts.</t>
  </si>
  <si>
    <t>IQ562879769</t>
  </si>
  <si>
    <t>Autolus Therapeutics Plc, a clinical-stage biopharmaceutical company, is developing next-generation programmed T cell therapies. It has a pipeline of product candidates in development for the treatment of haematological malignancies and solid tumours. The company was incorporated in 2018 and is headquartered in London, the United Kingdom.</t>
  </si>
  <si>
    <t>IQ304157325</t>
  </si>
  <si>
    <t>Kezar Life Sciences, Inc., a clinical-stage biotechnology company, engages in the discovery and development of small molecule therapeutics to treat unmet needs in autoimmunity and cancer in the United States. Its lead product candidate, KZR-616, a selective immunoproteasome inhibitor that is in Phase 1b/2 clinical trials in lupus and lupus nephritis The company was incorporated in 2015 and is headquartered in South San Francisco, California.</t>
  </si>
  <si>
    <t>IQ404780252</t>
  </si>
  <si>
    <t>MeiraGTx Holdings plc focuses on operating as a holding company for MeiraGTx Limited that operates as a clinical stage gene therapy company. The company develops various novel gene therapy treatments for a range of inherited and acquired disorders. Its products include AAV-CNGB3 that is in Phase I/II clinical trials for the treatment of achromatopsia in adult and pediatric patients; AAV-CNGA3 that is in pre-clinical trials for the treatment of achromatopsia in adult and pediatric patients; AAV-RPE65, which is in Phase I/II clinical trials for the treatment of RPE65-deficiency in adult and pediatric patients; AAV-RPGR, which is in Phase I/II clinical trials to treat x-linked retinitis pigmentosa in adult and pediatric patients; AAV-AQP1, which is in Phase I/II clinical trials for the treatment of grade 2 or 3 xerostomia; and AAV-UPF1 that is in pre-clinical studies to treat amyotrophic lateral sclerosis. Its products also comprise AAV-AIPL1 to treat leber congenital amaurosis 4. The company also has clinical and preclinical programs for various other indications, such as neovascular age related macular degeneration, geographic atrophy age related macular degeneration, and Alzheimer’s disease, as well as for gene regulation. MeiraGTx Holdings plc was founded in 2015 and is based in New York, New York.</t>
  </si>
  <si>
    <t>IQ548810128</t>
  </si>
  <si>
    <t>Scholar Rock Holding Corporation, a biopharmaceutical company, focuses on the discovery and development of various medicines for the treatment of serious diseases in which signaling by protein growth factors plays a fundamental role. The company is developing its lead antibody product candidate, SRK-015, a first-in-class inhibitor of the activation of myostatin that is in clinical development stage for the treatment of spinal muscular atrophy. It is also developing various product candidates for a range of serious diseases, including other neuromuscular disorders, cancer, fibrosis, and anemia. The company was founded in 2012 and is based in Cambridge, Massachusetts.</t>
  </si>
  <si>
    <t>IQ331329033</t>
  </si>
  <si>
    <t>Evelo Biosciences, Inc., a biotechnology company, focuses on the development of monocolonal microbials for the treatment of inflammatory diseases and cancer. It is involved in developing EDP1066 and EDP1815 for patients with psoriasis and atopic dermatitis, rheumatoid arthritis, and ulcerative colitis/crohn’s colitis; and EDP1503 for the treatment of colorectal cancer, renal cell carcinoma, and melanoma, as well as patients who have relapsed on prior PD-1/L1 inhibitor treatment across multiple tumor types. The company was founded in 2014 and is headquartered in Cambridge, Massachusetts.</t>
  </si>
  <si>
    <t>IQ324565060</t>
  </si>
  <si>
    <t>Unity Biotechnology, Inc., a preclinical biotechnology company, engages in the research and development of therapeutics to extend human health span. The company’s lead drug candidates include UBX0101 for musculoskeletal disease with an initial focus on osteoarthritis; and UBX1967 for ophthalmologic diseases. It is also developing programs in pulmonary disorders. The company was formerly known as Forge, Inc. and changed its name to Unity Biotechnology, Inc. in January 2015. Unity Biotechnology, Inc. was founded in 2009 and is headquartered in Brisbane, California.</t>
  </si>
  <si>
    <t>IQ281487796</t>
  </si>
  <si>
    <t>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t>
  </si>
  <si>
    <t>Conversion Factor</t>
  </si>
  <si>
    <t>Source:</t>
  </si>
  <si>
    <t>WACC</t>
  </si>
  <si>
    <t>Updated D&amp;P studies for 2018</t>
  </si>
  <si>
    <t xml:space="preserve"> Year - 2018</t>
  </si>
  <si>
    <t>Based on the Duff &amp; Phelps 2018 Valuation Handbook.</t>
  </si>
  <si>
    <t>Based on the Duff &amp; Phelps 2018 Valuation Handbook - 10th decile companies.</t>
  </si>
  <si>
    <t>Manan</t>
  </si>
  <si>
    <t>OPM 1</t>
  </si>
  <si>
    <t>Label changes to cells E7, B34, B81, B85, B138, B168</t>
  </si>
  <si>
    <t>Total Shares Outstanding / Converted to Common Size</t>
  </si>
  <si>
    <t>Breakpoint Value</t>
  </si>
  <si>
    <t>Total Allocation</t>
  </si>
  <si>
    <t>Total Tranche Value</t>
  </si>
  <si>
    <t>Row 85</t>
  </si>
  <si>
    <t>Added upper border to the breakpoint value calculations</t>
  </si>
  <si>
    <t>OPM 1 Hybrid</t>
  </si>
  <si>
    <t>Row 56</t>
  </si>
  <si>
    <t>Added Upper border to the Total Liabilities &amp; Shareholder's Equity calculation</t>
  </si>
  <si>
    <t>Market Trends since Previous Valuation</t>
  </si>
  <si>
    <t>X11 to Z37</t>
  </si>
  <si>
    <t>Added outliers in the formulas for Stock Price, Market Cap and Enterprise Value</t>
  </si>
  <si>
    <t>WACC PWERM</t>
  </si>
  <si>
    <t>Updated format of cells F15 and F17</t>
  </si>
  <si>
    <t>Updated format for calculations in Row 11 and Row 15</t>
  </si>
  <si>
    <t>Removed Extra space (row) below Footnote.</t>
  </si>
  <si>
    <t>Cap Table</t>
  </si>
  <si>
    <t>The Total for Common Options/Warrants and Preferred Warrants were made bold.</t>
  </si>
  <si>
    <t>Font color updated for Values and Shares columns.</t>
  </si>
  <si>
    <t>OPM 2 (Hybrid)</t>
  </si>
  <si>
    <t>Kritika</t>
  </si>
  <si>
    <t>Val Summ</t>
  </si>
  <si>
    <t>Added Hybrid Method conclusions in off-print, added latest pref value conclusions from all three methods in off-print</t>
  </si>
  <si>
    <t>Removed additional term and updated PV factor calculations</t>
  </si>
  <si>
    <t>Exit Prob</t>
  </si>
  <si>
    <t>Cell B58 bold</t>
  </si>
  <si>
    <t>Updated format of cells E7:E13</t>
  </si>
  <si>
    <t>Updated RFR reference</t>
  </si>
  <si>
    <t>Off-print area; per share checks added, allocation % moved inside print area and labels updated based on Jeff's comments</t>
  </si>
  <si>
    <t>Hist IS</t>
  </si>
  <si>
    <t>Border removed from cells B9:C9</t>
  </si>
  <si>
    <t>Updated border format in line with common size</t>
  </si>
  <si>
    <t xml:space="preserve">General </t>
  </si>
  <si>
    <t>Couple of FN references across sheets</t>
  </si>
  <si>
    <t>Added additional term reference</t>
  </si>
  <si>
    <t>Hybrid OPM 1</t>
  </si>
  <si>
    <t>Same edits as above</t>
  </si>
  <si>
    <t>IPO Biopharma_Old</t>
  </si>
  <si>
    <t>Deleted this tab</t>
  </si>
  <si>
    <t>Added footnotes #3 and #4</t>
  </si>
  <si>
    <t>For certain Guideline Public Companies that were not public beyond the selected period, no historical volatility is available for the selected term. As such, we considered the latest available historical volatility for the purpose of this analysis. These companies are highlighted in gray.</t>
  </si>
  <si>
    <t>Rows 53-66</t>
  </si>
  <si>
    <t>Added Longstaff DLOM formula</t>
  </si>
  <si>
    <t>Updated alignment for the headers</t>
  </si>
  <si>
    <t>(sigma^2)*T</t>
  </si>
  <si>
    <t>Put Value (i)</t>
  </si>
  <si>
    <t>Calculated DLOM (ii) = (i) / (1 + i )</t>
  </si>
  <si>
    <t>Other Non-Current Assets</t>
  </si>
  <si>
    <t>Reflects a reconciliation to the total bundled investment in Series E and Series D (Tranche II) financing.</t>
  </si>
  <si>
    <t>Coversion rate as of VD</t>
  </si>
  <si>
    <t>DO NOT DELTE</t>
  </si>
  <si>
    <t>Allocable Value in Previous Valuation</t>
  </si>
  <si>
    <t>Step-Up</t>
  </si>
  <si>
    <t>Transaction Comment (1):</t>
  </si>
  <si>
    <t>Item</t>
  </si>
  <si>
    <t>Date of Transaction</t>
  </si>
  <si>
    <t>(in thousands of USD and shares)</t>
  </si>
  <si>
    <t>Woodbury Capital Management Limited</t>
  </si>
  <si>
    <t>Secondary Investors</t>
  </si>
  <si>
    <t>Avict Global Holdings Limited</t>
  </si>
  <si>
    <t>Huifu Investment Limited</t>
  </si>
  <si>
    <t>Price per share</t>
  </si>
  <si>
    <t>Information provided by Management.</t>
  </si>
  <si>
    <t>SAIL Transaction</t>
  </si>
  <si>
    <t>Previous Valuation (03/31/18)</t>
  </si>
  <si>
    <t>Prior valuation date</t>
  </si>
  <si>
    <t>Previous Valuation</t>
  </si>
  <si>
    <t>Current Valuation</t>
  </si>
  <si>
    <t>Percentage change in Market</t>
  </si>
  <si>
    <t>Stock price</t>
  </si>
  <si>
    <t>Comparative Sheet</t>
  </si>
  <si>
    <t>Difference %</t>
  </si>
  <si>
    <t>File Name</t>
  </si>
  <si>
    <t>Cash and Cash Equivalents</t>
  </si>
  <si>
    <t>Total Invested Capital</t>
  </si>
  <si>
    <t>Per Share Value Summary</t>
  </si>
  <si>
    <t>Concluded Common Stock Price</t>
  </si>
  <si>
    <t>Common as a % of Latest Preferred Round</t>
  </si>
  <si>
    <t>Methodology Summary</t>
  </si>
  <si>
    <t>Primary Methodology</t>
  </si>
  <si>
    <t>Hybrid Details</t>
  </si>
  <si>
    <t>IPO Probability</t>
  </si>
  <si>
    <t>OPM Term to Exit (Years)</t>
  </si>
  <si>
    <t>OPM Term to Exit (Date)</t>
  </si>
  <si>
    <t>Months</t>
  </si>
  <si>
    <t>Equity Volatility Selection Type</t>
  </si>
  <si>
    <t>DLOM Type</t>
  </si>
  <si>
    <t>IPO Waterfall Details</t>
  </si>
  <si>
    <t>Term to Exit (Date)</t>
  </si>
  <si>
    <t xml:space="preserve">Preferred (Debt-Like Component) </t>
  </si>
  <si>
    <t xml:space="preserve">Preferred (Equity-Like Component) </t>
  </si>
  <si>
    <t xml:space="preserve">Equity (Common + Granted Options/Warrants) </t>
  </si>
  <si>
    <t>Cost of Capital (Enterprise Level - Portfolio)</t>
  </si>
  <si>
    <t>Most Recent Round</t>
  </si>
  <si>
    <t>Round Date</t>
  </si>
  <si>
    <t>Most Recent Round Price</t>
  </si>
  <si>
    <t>Most Recent Raise</t>
  </si>
  <si>
    <t>Last Options Granted Strike Price</t>
  </si>
  <si>
    <t>Hua Medicine VD 06.30.18 Draft Exhibits 2018.07.13</t>
  </si>
  <si>
    <t>Hua Medicine VD 03.31.18 Draft Exhibits 2018.05.29</t>
  </si>
  <si>
    <t>OPM (Liquidation) Details</t>
  </si>
  <si>
    <t>Name</t>
  </si>
  <si>
    <t>For certain Guideline Public Companies, 5-year beta was not available.  Based on availability of historical stock prices and beta, we considered 2-year or 1-year beta.  For certain companies, beta was not meaningful or was not reliable, which are highlighted in gray.</t>
  </si>
  <si>
    <t>Slightly lower that the $1.1 billion value implied by the Prospectus, which accounts for the capitalization issue.</t>
  </si>
  <si>
    <t>On April 18, 2018, Sino Alliance International Ltd ("SAIL"), an investor of the Company transferred its Series A-2 preferred shares to other internal investors of the Company at $12.40 per share. As such, this transaction was not a third party market transaction.</t>
  </si>
  <si>
    <t>Loss Statements</t>
    <phoneticPr fontId="5" type="noConversion"/>
  </si>
  <si>
    <t>Comments</t>
  </si>
  <si>
    <t>Combined Statements of Profit or Loss and Other Comprehensive Income</t>
  </si>
  <si>
    <t>Administrative expenses</t>
  </si>
  <si>
    <t>RMB'000</t>
  </si>
  <si>
    <t>Research and Development expense</t>
  </si>
  <si>
    <t>Other income</t>
  </si>
  <si>
    <t>Government grants and subsidies</t>
    <phoneticPr fontId="5" type="noConversion"/>
  </si>
  <si>
    <t>Bank interest income</t>
    <phoneticPr fontId="5" type="noConversion"/>
  </si>
  <si>
    <t>Investment Income</t>
    <phoneticPr fontId="5" type="noConversion"/>
  </si>
  <si>
    <t>Other expense</t>
    <phoneticPr fontId="5" type="noConversion"/>
  </si>
  <si>
    <r>
      <t>RMB'00</t>
    </r>
    <r>
      <rPr>
        <sz val="10"/>
        <color theme="1"/>
        <rFont val="Arial"/>
        <family val="2"/>
      </rPr>
      <t>0</t>
    </r>
  </si>
  <si>
    <t>Other gains and losses</t>
  </si>
  <si>
    <r>
      <t>Loss on changes in fair value of</t>
    </r>
    <r>
      <rPr>
        <sz val="10"/>
        <color theme="1"/>
        <rFont val="Arial"/>
        <family val="2"/>
      </rPr>
      <t xml:space="preserve"> </t>
    </r>
    <r>
      <rPr>
        <sz val="10"/>
        <color theme="1"/>
        <rFont val="Arial"/>
        <family val="2"/>
      </rPr>
      <t>convertible redeemable preferred shares</t>
    </r>
  </si>
  <si>
    <t>Loss</t>
    <phoneticPr fontId="5" type="noConversion"/>
  </si>
  <si>
    <t>USD'000</t>
    <phoneticPr fontId="3" type="noConversion"/>
  </si>
  <si>
    <t>NB1</t>
    <phoneticPr fontId="5" type="noConversion"/>
  </si>
  <si>
    <t>The increase in G&amp;A in Sept, 2019 due to the milestonepayment of USD$1million GKA license milestone payment to Roche for NDA filing in China.</t>
    <phoneticPr fontId="5" type="noConversion"/>
  </si>
  <si>
    <r>
      <t>N</t>
    </r>
    <r>
      <rPr>
        <sz val="10"/>
        <color theme="1"/>
        <rFont val="Arial"/>
        <family val="2"/>
      </rPr>
      <t>B2</t>
    </r>
  </si>
  <si>
    <t>The huge increase in R&amp;D in Dec, 2018, was mainly due to the plan of BD license of RMB70million.</t>
    <phoneticPr fontId="5" type="noConversion"/>
  </si>
  <si>
    <t>NB3</t>
    <phoneticPr fontId="5" type="noConversion"/>
  </si>
  <si>
    <t xml:space="preserve">The increase in R&amp;D in July, 2018 is mainly due to to </t>
    <phoneticPr fontId="5" type="noConversion"/>
  </si>
  <si>
    <t>1) Process Validation Campaigns Production of RMB14million plan to be completed in July, 2018 for the NDA filing</t>
    <phoneticPr fontId="5" type="noConversion"/>
  </si>
  <si>
    <r>
      <t>N</t>
    </r>
    <r>
      <rPr>
        <sz val="10"/>
        <color theme="1"/>
        <rFont val="Arial"/>
        <family val="2"/>
      </rPr>
      <t>B4</t>
    </r>
  </si>
  <si>
    <t>The increase in R&amp;D in Augt, 2018 represents IPO milestone bonus of US$ 1million</t>
    <phoneticPr fontId="5" type="noConversion"/>
  </si>
  <si>
    <t>IPO Prob. in 03/31/18</t>
  </si>
  <si>
    <t>Same as provided by client for historical financials</t>
  </si>
  <si>
    <t>Conversion Factor as of 06/30/18</t>
  </si>
  <si>
    <t>R&amp;D Expenses</t>
  </si>
  <si>
    <t>Financial Liabilities at FVTPL</t>
  </si>
  <si>
    <t>$CNYUSD</t>
  </si>
  <si>
    <t>For purposes of calculating dividends, we have considered the shares outstanding consistent with the Previous Valuation for Series C-1 and Series C-2. Notwithstanding, investors in Hua Shanghai were granted an option to convert shares into those of the Company, and such options were exercised since the Previous Valuation and resulted in a reallocation of Series C shares between Tranche I and Tranche II.</t>
  </si>
  <si>
    <t>注意：以下数据包含已离职人员ESOP及已取消NSOP的数量</t>
  </si>
  <si>
    <t>行标签</t>
  </si>
  <si>
    <t>求和项:Shares</t>
  </si>
  <si>
    <t>Per DTT</t>
  </si>
  <si>
    <t>Per RNA</t>
  </si>
  <si>
    <t>Exercise price</t>
  </si>
  <si>
    <t>Number of shares</t>
  </si>
  <si>
    <t>Diff</t>
  </si>
  <si>
    <t>Options at $1.00 Strike Price</t>
  </si>
  <si>
    <t>Options at $3.50 Strike Price</t>
  </si>
  <si>
    <t>Options at $3.70 Strike Price</t>
  </si>
  <si>
    <t>Options at $4.00 Strike Price</t>
  </si>
  <si>
    <t>Options at $6.00 Strike Price</t>
  </si>
  <si>
    <t>Options at $7.00 Strike Price</t>
  </si>
  <si>
    <t>Options at $10.00 Strike Price</t>
  </si>
  <si>
    <t>Options at $11.00 Strike Price</t>
  </si>
  <si>
    <t>总计</t>
  </si>
  <si>
    <t>rsu</t>
  </si>
  <si>
    <t>Name</t>
    <phoneticPr fontId="0" type="noConversion"/>
  </si>
  <si>
    <t>No.of Shares</t>
    <phoneticPr fontId="0" type="noConversion"/>
  </si>
  <si>
    <t>Grant Date</t>
    <phoneticPr fontId="0" type="noConversion"/>
  </si>
  <si>
    <t>Remarks</t>
    <phoneticPr fontId="0" type="noConversion"/>
  </si>
  <si>
    <t xml:space="preserve">Chen Li </t>
  </si>
  <si>
    <t>George Chien Cheng LIN</t>
    <phoneticPr fontId="0" type="noConversion"/>
  </si>
  <si>
    <t>RSU</t>
    <phoneticPr fontId="0" type="noConversion"/>
  </si>
  <si>
    <t>AwABTANVU0QBSP////8BRm4LAAA9Q0lRLk5BU0RBUUdNOk1OT1YuSVFfRUJJVERBX01BUkdJTi4yMDAwLjYvMzAvMjAxOC5MRlIuRi5VU0QuSAEAAAC4VI0AAwAAAAAAxiXjhBQJ1ginhFiHFAnWCDZDSVEuRU5YVFBBOkVSWVAuSVFfVE9UQUxfQ0EuMTk5Ni42LzMwLzIwMTguTEZSLkYuVVNELkgBAAAA2Ip4AQIAAAAJNDQuODk5MTg3AQgAAAAFAAAAATEBAAAACjE4ODUyMDQzNjkDAAAAAzE2MAIAAAAEMTAwOAQAAAABMAcAAAAJNi8zMC8yMDE4CAAAAAoxMi8zMS8yMDE2CQAAAAEw5Q/vhBQJ1ggxXlGHFAnWCDtDSVEuTkFTREFRR1M6QVBUWC5JUV9QUkVGX0VRVUlUWS4yMDAwLjMvMzEvMjAxOC5MRlIuRi5VU0QuSAEAAAAvKQwUAwAAAAAAYpJ0hRQJ1ghFSV2HFAnWCCNDSVEuSVFUUjMwNjc1MTA5Ni5JUV9UUl9UT1RBTF9TVE9DSwEAAAB4pkgSAgAAAAAA5jtFghQJ1gh70maHFAnWCD1DSVEuTkFTREFRR1M6T0RULklRX1RPVEFMX0VRVUlUWS5DWTIwMTYuNi8zMC8yMDE4LkxGUi5GLlVTRC5IAQAAABoaRSACAAAABTIuMjgzAQgAAAAFAAAAATEBAAAACjE4NzQxNjcyMzADAAAAAzE2MAIAAAAEMTI3NQQAAAABMAcAAAAJNi8zMC8yMDE4CAAAAAoxMi8zMS8yMDE2CQAAAAEwxiXjhBQJ1ginhFiHFAnWCD5DSVEuTkFTREFRR1M6WEVSUy5JUV9UT1RBTF9FUVVJVFkuQ1kyMDE2LjYvMzAvMjAxOC5MRlIu</t>
  </si>
  <si>
    <t>Ri5VU0QuSAEAAADg7k8GAgAAAAYzMC45NjQBCAAAAAUAAAABMQEAAAAKMTg5MDk2MTYzMgMAAAADMTYwAgAAAAQxMjc1BAAAAAEwBwAAAAk2LzMwLzIwMTgIAAAACjEyLzMxLzIwMTYJAAAAATDGJeOEFAnWCGfnWocUCdYILENJUS5TRUhLOjIxODYuSVFfTEFTVFNBTEVQUklDRS42LzMwLzIwMTguVVNEAQAAAMKBmAACAAAACDEuMDI1OTU3AOltWYYUCdYIL3BkhxQJ1ggoQ0lRLkFNRVg6QlRYLklRX0RJVklERU5EX1lJRUxELjYvMzAvMjAxOAEAAAAWZAAAAwAAAAAAxiXjhBQJ1ghlIlaHFAnWCDZDSVEuTkFTREFRR1M6QVBUWC5JUV9FQklUREEuMTk5Ni42LzMwLzIwMTguTEZSLkYuVVNELkgBAAAALykMFAMAAAAAAGKSdIUUCdYIRUldhxQJ1gg9Q0lRLk5BU0RBUUdTOlhFUlMuSVFfUkVWRU5VRV9FU1QuQ1kyMDIxLjYvMzAvMjAxOC5DT04uRi5VU0QuSAEAAADg7k8GAwAAAAAAr4blhBQJ1ghn51qHFAnWCDhDSVEuTkFTREFRR006TU5LRC5JUV9UT1RBTF9DQS4xOTk2LjYvMzAvMjAxOC5MRlIuRi5VU0QuSAEAAABmpY0AAgAAAAY1Ni4wOTQBCAAAAAUAAAABMQEAAAAKMTg4OTc3NTk2NQMAAAADMTYwAgAAAAQxMDA4BAAAAAEwBwAAAAk2LzMwLzIwMTgIAAAACTMvMzEvMjAxNwkAAAABMOltWYYUCdYI4A1ihxQJ1gg0Q0lRLkNQU0U6WkVBTC5JUV9FQklUREEuQ1kyMDE3LjYvMzAvMjAxOC5MRlIuRi5V</t>
  </si>
  <si>
    <t>U0QuSAEAAAAiWxMAAgAAAAotMzguOTY4MTM3AQgAAAAFAAAAATEBAAAACjE4NzgwNTk3MjEDAAAAAzE2MAIAAAAENDA1MQQAAAABMAcAAAAJNi8zMC8yMDE4CAAAAAoxMi8zMS8yMDE3CQAAAAEwYpJ0hRQJ1gjgDWKHFAnWCDBDSVEuTkFTREFRQ006VktUWC5JUV9MQVNUU0FMRVBSSUNFLjYvMzAvMjAxOC5VU0QBAAAA8ry1DgIAAAAEOS40OQBiknSFFAnWCGfnWocUCdYIN0NJUS5OWVNFOk1ZT1YuSVFfUFJFRl9FUVVJVFkuMjAwMC4zLzMxLzIwMTguTEZSLkYuVVNELkgBAAAAl9oLGAMAAAAAAGKSdIUUCdYIlKtfhxQJ1gg2Q0lRLlNFSEs6MjE4Ni5JUV9FQVJOSU5HX0NPLjIwMDAuNi8zMC8yMDE4LkxGUi5GLlVTRC5IAQAAAMKBmAACAAAACjE1MC43MDA4MTYBCAAAAAUAAAABMQEAAAAKMTg4NTQ5NTAwNgMAAAADMTYwAgAAAAE3BAAAAAEwBwAAAAk2LzMwLzIwMTgIAAAACjEyLzMxLzIwMTcJAAAAATDpbVmGFAnWCC9wZIcUCdYIQUNJUS4oSU5WQUxJRCBJREVOVElGSUVSKS5JUV9UT1RBTF9ERUJULjIwMDAuNi8zMC8yMDE4LkxGUi5GLlVTRC5IBQAAAAAAAAAIAAAAFChJbnZhbGlkIElkZW50aWZpZXIp5Q/vhBQJ1ggxXlGHFAnWCD1DSVEuTkFTREFRQ006Q1VSLklRX0NBU0hfU1RfSU5WRVNULjIwMDAuNi8zMC8yMDE4LkxGUi5GLlVTRC5IAQAAAPHudQACAAAACDkuNzI0MjQ4AQgAAAAFAAAAATEB</t>
  </si>
  <si>
    <t>AAAACjE4ODg4NzMyMTkDAAAAAzE2MAIAAAAEMTAwMgQAAAABMAcAAAAJNi8zMC8yMDE4CAAAAAkzLzMxLzIwMTgJAAAAATDlD++EFAnWCDFeUYcUCdYIL0NJUS5JUVRSMzQwNzA0ODY1LklRX1RSX0lNUExJRURfRVZfRklOQUwuLlVTRC5IAQAAAGG+ThQCAAAAAADmO0WCFAnWCHvSZocUCdYIKkNJUS5JUVRSMTcyNjIxNDcxLklRX1RSX1RBUkdFVF9FQklULi5VU0QuSAEAAACf/kkKAgAAAAgzNC44MzQ1MwEHAAAABQAAAAIzNwEAAAAKMTU0MjM5NTkwOAIAAAAFMjE2NzUDAAAAAzE2MAQAAAABMAcAAAAIMS8xLzE5MDAGAAAACTIvMjkvMjAxMuY7RYIUCdYIe9JmhxQJ1ggwQ0lRLk5BU0RBUUNNOkFWRU8uSVFfTEFTVFNBTEVQUklDRS42LzMwLzIwMTguVVNEAQAAAPQWHQACAAAABDIuMjYAxiXjhBQJ1ghlIlaHFAnWCDVDSVEuTkFTREFRR1M6Q1lUSy5JUV9EQV9DRi4yMDAwLjYvMzAvMjAxOC5MRlIuRi5VU0QuSAEAAACzagAAAgAAAAUyLjE3MgEIAAAABQAAAAExAQAAAAoxODg4NDcwNjY2AwAAAAMxNjACAAAABDIxNjAEAAAAATAHAAAACTYvMzAvMjAxOAgAAAAJMy8zMS8yMDE4CQAAAAEwr4blhBQJ1ghlIlaHFAnWCDhDSVEuU0VISzoyMTg2LklRX0dST1NTX01BUkdJTi4yMDAwLjYvMzAvMjAxOC5MRlIuRi5VU0QuSAEAAADCgZgAAgAAAAc3Ny42Nzk3AQgAAAAFAAAAATEBAAAACjE4ODU0OTUwMDYD</t>
  </si>
  <si>
    <t>AAAAAjMyAgAAAAQ0MDc0BAAAAAEwBwAAAAk2LzMwLzIwMTgIAAAACjEyLzMxLzIwMTcJAAAAATCUC1eGFAnWCC9wZIcUCdYIOUNJUS5TRUhLOjE1MzAuSVFfUkVWRU5VRV9FU1QuQ1kyMDIxLjYvMzAvMjAxOC5DT04uRi5VU0QuSAEAAADvuHABAgAAAA4xMjc3LjQ1NzE3MDg2NAEOAAAABQAAAAIxMQEAAAABMAIAAAAKMTAwMTI2NDY3MgMAAAAGMTAwMTgwBAAAAAEzBgAAAAEwBwAAAAMxNjAIAAAAATAJAAAAATEKAAAAATALAAAACzEwODI0OTA1MjM4DAAAAAE3DQAAAAg3LzEvMjAxOBAAAAAJNi8zMC8yMDE46W1ZhhQJ1ggvcGSHFAnWCB1DSVEuMC5JUV9UUl9JTVBMSUVEX0VRX05JX0xUTQUAAAAAAAAACAAAABgoSW52YWxpZCBUcmFuc2FjdGlvbiBJZCnmO0WCFAnWCMQ0aYcUCdYIJENJUS5OQVNEQVFHUzpDWVRLLklRX0VGRkVDVF9UQVhfUkFURQEAAACzagAAAwAAAAAAr4blhBQJ1ghlIlaHFAnWCERDSVEuU0hTRTo2MDA4NjcuSVFfVE9UQUxfUkVWXzJZUl9BTk5fQ0FHUi4yMDAwLjYvMzAvMjAxOC5MRlIuRi5VU0QuSAEAAADYPq4AAgAAAAcyNS4yMDAyAQgAAAAFAAAAATEBAAAACjE4ODUxNDYyNzMDAAAAAjMyAgAAAAQ0MjA3BAAAAAEwBwAAAAk2LzMwLzIwMTgIAAAACTMvMzEvMjAxOAkAAAABMGKSdIUUCdYI4A1ihxQJ1ggjQ0lRLklRVFIzNzAwNzIzNTMuSVFfVFJfVE9UQUxfU1RPQ0sBAAAA</t>
  </si>
  <si>
    <t>IdsOFgIAAAAJNTkuODA2OTIyAQYAAAAFAAAAAjU0AQAAAAYxMDEwNTcCAAAACTM3MDA3MjM1MwMAAAAJMzcwMDczNDU3BAAAAAMxNjAGAAAABUZhbHNl5jtFghQJ1gh70maHFAnWCDNDSVEuQU1FWDpCVFguSVFfVE9UQUxfQ0wuMTk5Mi42LzMwLzIwMTguTEZSLkYuVVNELkgBAAAAFmQAAAIAAAAGMTMuNjY5AQgAAAAFAAAAATEBAAAACjE4NDExODAxNjMDAAAAAzE2MAIAAAAEMTAwOQQAAAABMAcAAAAJNi8zMC8yMDE4CAAAAAkzLzMxLzIwMTYJAAAAATDGJeOEFAnWCGUiVocUCdYIJ0NJUS5OQVNEQVFHUzpOSVRFLklRX0JFVEFfNVlSLjYvMzAvMjAxOAEAAAAM0xgQAwAAAAAAr4blhBQJ1ginhFiHFAnWCDxDSVEuTkFTREFRQ006Q09SVC5JUV9UT1RBTF9FUVVJVFkuMjAwMC42LzMwLzIwMTguTEZSLkYuVVNELkgBAAAA0rkVAAIAAAAHMjE1LjIyNwEIAAAABQAAAAExAQAAAAoxODg4MDk5NTQ0AwAAAAMxNjACAAAABDEyNzUEAAAAATAHAAAACTYvMzAvMjAxOAgAAAAJMy8zMS8yMDE4CQAAAAEwYpJ0hRQJ1giUq1+HFAnWCCtDSVEuT1RDUEs6QlRIRS5JUV9NQVJLRVRDQVAuMy8zMS8yMDE4LlVTRC5IAQAAAG+duQUCAAAACDguMTY5NDk2AQYAAAAFAAAAATEBAAAACjE4ODAxMDU2MjYDAAAAAzE2MAIAAAAGMTAwMDU0BAAAAAEwBwAAAAkzLzMxLzIwMTjlD++EFAnWCDFeUYcUCdYII0NJUS5TRUhLOjE1</t>
  </si>
  <si>
    <t>MzAuSVFfUEVSSU9EREFURV9JUy4xMDAwAQAAAO+4cAEFAAAACjEyLzMxLzIwMTcAlAtXhhQJ1ggvcGSHFAnWCDlDSVEuVFNYVjpDT0IuVS5JUV9UT1RBTF9FUVVJVFkuMTk5Mi42LzMwLzIwMTguTEZSLkYuVVNELkgBAAAAv/sACAIAAAAIOC43Mjg2NzYBCAAAAAUAAAABMQEAAAAKMTg0Mjc1ODgxMAMAAAADMTYwAgAAAAQxMjc1BAAAAAEwBwAAAAk2LzMwLzIwMTgIAAAACTMvMzEvMjAxNgkAAAABMK+G5YQUCdYIhsBThxQJ1gg5Q0lRLk5BU0RBUUNNOkJZU0kuSVFfVE9UQUxfUkVWLjIwMDAuNi8zMC8yMDE4LkxGUi5GLlVTRC5IAQAAAEfPbBgDAAAAAABiknSFFAnWCEVJXYcUCdYIJ0NJUS5OQVNEQVFHUzpDQkFZLklRX0JFVEFfNVlSLjYvMzAvMjAxOAEAAADAegAAAgAAABAxLjg5NjMzMTk1MTgyNjc4AGKSdIUUCdYIZ+dahxQJ1ggmQ0lRLk5BU0RBUUdTOk9EVC5JUV9CRVRBXzFZUi42LzMwLzIwMTgBAAAAGhpFIAIAAAAQMy4xMDQ5NDUyNTg2MjY5MgCvhuWEFAnWCKeEWIcUCdYIN0NJUS5OWVNFOk1ZT1YuSVFfUFJFRl9FUVVJVFkuMjAwMC42LzMwLzIwMTguTEZSLkYuVVNELkgBAAAAl9oLGAMAAAAAAGKSdIUUCdYIlKtfhxQJ1gg8Q0lRLk5BU0RBUUNNOkNPUlQuSVFfRUJJVERBX0VTVC5DWTIwMTguNi8zMC8yMDE4LkNPTi5GLlVTRC5IAQAAANK5FQACAAAACDEzNC44ODU2AQ4AAAAFAAAAAjEx</t>
  </si>
  <si>
    <t>AQAAAAEwAgAAAAoxMDAwOTU0NTY1AwAAAAYxMDAxODcEAAAAATIGAAAAATAHAAAAAzE2MAgAAAABMAkAAAABMQoAAAABMAsAAAALMTA5NTAwNTQ1MzYMAAAAATcNAAAACDcvMS8yMDE4EAAAAAk2LzMwLzIwMThiknSFFAnWCJSrX4cUCdYIPkNJUS5OQVNEQVFHTTpWVFZULklRX1RPVEFMX0VRVUlUWS5DWTIwMTYuNi8zMC8yMDE4LkxGUi5GLlVTRC5IAQAAAB2jHxICAAAABTMxLjU3AQgAAAAFAAAAATEBAAAACjE4NzYxMzczMDADAAAAAzE2MAIAAAAEMTI3NQQAAAABMAcAAAAJNi8zMC8yMDE4CAAAAAoxMi8zMS8yMDE2CQAAAAEw5Q/vhBQJ1giGwFOHFAnWCCNDSVEuU0VISzozOTMzLklRX0JFVEFfMllSLjYvMzAvMjAxOAEAAABN2hECAgAAAA8wLjE0MDAwMjg0OTcxMzgA6W1ZhhQJ1gjgDWKHFAnWCCdDSVEuTkFTREFRR006TU5LRC5JUV9CRVRBXzFZUi42LzMwLzIwMTgBAAAAZqWNAAIAAAAQMS44NzcxODAxMjU3NTA0MQDpbVmGFAnWCOANYocUCdYIQ0NJUS5PVENQSzpORVhTLklRX1RPVEFMX1JFVl8zWVJfQU5OX0NBR1IuMjAwMC42LzMwLzIwMTguTEZSLkYuVVNELkgBAAAAHb1OFAMAAAAAAOUP74QUCdYIMV5RhxQJ1gg2Q0lRLlRTWFY6Q09CLlUuSVFfTklfTUFSR0lOLjIwMDAuNi8zMC8yMDE4LkxGUi5GLlVTRC5IAQAAAL/7AAgDAAAAAACvhuWEFAnWCIbAU4cUCdYIOUNJUS5PVENQSzpSWkxU</t>
  </si>
  <si>
    <t>LklRX1RPVEFMX0VRVUlUWS4xOTkyLjYvMzAvMjAxOC5MRlIuRi5VU0QuSAEAAAAhCZsKAgAAAAc1Ljk0MDM4AQgAAAAFAAAAATEBAAAACjE4NDIzMjkwNTMDAAAAAzE2MAIAAAAEMTI3NQQAAAABMAcAAAAJNi8zMC8yMDE4CAAAAAkzLzMxLzIwMTYJAAAAATDlD++EFAnWCIbAU4cUCdYIJkNJUS5OQVNEQVFHUzpPRFQuSVFfUEVSSU9EREFURV9JUy4xMDAwAQAAABoaRSAFAAAACjEyLzMxLzIwMTcAxiXjhBQJ1ghn51qHFAnWCDlDSVEuTkFTREFRQ006Q1VSLklRX0VBUk5JTkdfQ08uMTk5Mi42LzMwLzIwMTguTEZSLkYuVVNELkgBAAAA8e51AAIAAAAKLTIyLjQ1NjUzOQEIAAAABQAAAAExAQAAAAoxODQxMDcyNjg1AwAAAAMxNjACAAAAATcEAAAAATAHAAAACTYvMzAvMjAxOAgAAAAJMy8zMS8yMDE2CQAAAAEw5Q/vhBQJ1ggxXlGHFAnWCCRDSVEuT1RDUEs6QlRIRS5JUV9CRVRBXzJZUi42LzMwLzIwMTgBAAAAb525BQIAAAAQNS40MTk3Mzk4MDc4MDQ2NQDlD++EFAnWCIbAU4cUCdYIPENJUS5OQVNEQVFHTTpWVFZULklRX1RPVEFMX0VRVUlUWS4yMDAwLjYvMzAvMjAxOC5MRlIuRi5VU0QuSAEAAAAdox8SAgAAAActMjguMzkxAQgAAAAFAAAAATEBAAAACjE4ODkwNTY1MzcDAAAAAzE2MAIAAAAEMTI3NQQAAAABMAcAAAAJNi8zMC8yMDE4CAAAAAkzLzMxLzIwMTgJAAAAATDlD++EFAnWCIbAU4cUCdYI</t>
  </si>
  <si>
    <t>IENJUS5JUTM2MTgzODIyLklRX0xBU1RTQUxFUFJJQ0UuAQAAAA4fKAICAAAABDIuNDMA6W1ZhhQJ1gjpbVmGFAnWCDtDSVEuT1RDUEs6QlRIRS5JUV9DQVNIX1NUX0lOVkVTVC4yMDAwLjYvMzAvMjAxOC5MRlIuRi5VU0QuSAEAAABvnbkFAgAAAAgwLjIwNTMxOAEIAAAABQAAAAExAQAAAAoxODg4NjYzNzQyAwAAAAMxNjACAAAABDEwMDIEAAAAATAHAAAACTYvMzAvMjAxOAgAAAAJMy8zMS8yMDE4CQAAAAEw5Q/vhBQJ1giGwFOHFAnWCCxDSVEuSVFUUjE3MTkzMDUzNC5JUV9UUl9UT1RBTF9HUk9TU19UVi5VU0QuSAUAAAAAAAAACAAAABooSW52YWxpZCBDdXJyZW5jeSBSZXF1ZXN0KeY7RYIUCdYIe9JmhxQJ1ghCQ0lRLkNQU0U6WkVBTC5JUV9UT1RBTF9SRVZfM1lSX0FOTl9DQUdSLjIwMDAuNi8zMC8yMDE4LkxGUi5GLlVTRC5IAQAAACJbEwACAAAABy0wLjgyMzQBCAAAAAUAAAABMQEAAAAKMTg4OTkxMzEwMAMAAAACNDICAAAABDQyMjAEAAAAATAHAAAACTYvMzAvMjAxOAgAAAAJMy8zMS8yMDE4CQAAAAEwYpJ0hRQJ1gjgDWKHFAnWCCtDSVEuSVFUUjIxMjczMTg3Ny5JUV9UUl9UT1RBTF9HUk9TU19UVi4uVVNEAQAAAOUHrgwCAAAACzY5NDIuMzUxODE4AQYAAAAFAAAAAjU0AQAAAAYxMDIwODgCAAAACTIxMjczMTg3NwMAAAAJMjEyNzMyMzY4BAAAAAMxNjAGAAAABUZhbHNl5jtFghQJ1gh70maH</t>
  </si>
  <si>
    <t>FAnWCB9DSVEuSVE3NzI4ODgxLklRX0NPTVBBTllfVElDS0VSAQAAAPHudQADAAAADE5hc2RhcUNNOkNVUgDmO0WCFAnWCDBvvIIUCdYIPUNJUS5OQVNEQVFDTTpDVVIuSVFfQ0FTSF9TVF9JTlZFU1QuMjAwMC4zLzMxLzIwMTguTEZSLkYuVVNELkgBAAAA8e51AAIAAAAIMTQuMDYzNzEBCAAAAAUAAAABMQEAAAAKMTg2NDU2NjUxNwMAAAADMTYwAgAAAAQxMDAyBAAAAAEwBwAAAAkzLzMxLzIwMTgIAAAACTkvMzAvMjAxNwkAAAABMOUP74QUCdYIMV5RhxQJ1gg8Q0lRLk5BU0RBUUdNOlZUVlQuSVFfRUFSTklOR19DTy5DWTIwMTYuNi8zMC8yMDE4LkxGUi5GLlVTRC5IAQAAAB2jHxICAAAABy01NS4zNTMBCAAAAAUAAAABMQEAAAAKMTg3NjEzNzMwMAMAAAADMTYwAgAAAAE3BAAAAAEwBwAAAAk2LzMwLzIwMTgIAAAACjEyLzMxLzIwMTYJAAAAATDlD++EFAnWCIbAU4cUCdYIHkNJUS4uSVFfVFJfSU1QTElFRF9FVl9FQklUX0ZXRAUAAAABAAAACAAAABQoSW52YWxpZCBJZGVudGlmaWVyKZQLV4YUCdYIlAtXhhQJ1ggZQ0lRLlNFSEs6MTUzMC5JUV9FWENIQU5HRQEAAADvuHABAwAAAARTRUhLAJQLV4YUCdYIL3BkhxQJ1gg2Q0lRLk5BU0RBUUdTOkNCQVkuSVFfRUJJVERBLjE5OTYuNi8zMC8yMDE4LkxGUi5GLlVTRC5IAQAAAMB6AAACAAAABy0yMS42MTMBCAAAAAUAAAABMQEAAAAKMTg4NzQ0NTA4MgMA</t>
  </si>
  <si>
    <t>AAADMTYwAgAAAAQ0MDUxBAAAAAEwBwAAAAk2LzMwLzIwMTgIAAAACTMvMzEvMjAxNwkAAAABMGKSdIUUCdYIRUldhxQJ1gg6Q0lRLk5BU0RBUUdNOlZUVlQuSVFfVE9UQUxfREVCVC4yMDAwLjMvMzEvMjAxOC5MRlIuRi5VU0QuSAEAAAAdox8SAgAAAAYxOS41ODcBCAAAAAUAAAABMQEAAAAKMTg3NjEzNzMwOQMAAAADMTYwAgAAAAQ0MTczBAAAAAEwBwAAAAkzLzMxLzIwMTgIAAAACjEyLzMxLzIwMTcJAAAAATDlD++EFAnWCIbAU4cUCdYIPENJUS5OQVNEQVFHTTpSWVRNLklRX0VCSVREQV9FU1QuQ1kyMDIwLjYvMzAvMjAxOC5DT04uRi5VU0QuSAEAAAAYyW0SAwAAAAAAYpJ0hRQJ1ghFSV2HFAnWCDlDSVEuU0hTRTo2MDA4NjcuSVFfVE9UQUxfUkVWLkNZMjAxNi42LzMwLzIwMTguTEZSLkYuVVNELkgBAAAA2D6uAAIAAAAKMjkzLjg2MTAxMQEIAAAABQAAAAExAQAAAAoxODgzMTE4NDczAwAAAAMxNjACAAAAAjI4BAAAAAEwBwAAAAk2LzMwLzIwMTgIAAAACjEyLzMxLzIwMTYJAAAAATBiknSFFAnWCOANYocUCdYIPkNJUS5OQVNEQVFHUzpaRkdOLklRX1RPVEFMX0VRVUlUWS5DWTIwMTcuNi8zMC8yMDE4LkxGUi5GLlVTRC5IAQAAAJfAugECAAAABjc4LjIxNwEIAAAABQAAAAExAQAAAAoxODc4Nzg5NDE0AwAAAAMxNjACAAAABDEyNzUEAAAAATAHAAAACTYvMzAvMjAxOAgAAAAKMTIvMzEvMjAxNwkA</t>
  </si>
  <si>
    <t>AAABMMYl44QUCdYIp4RYhxQJ1gg2Q0lRLlRTWFY6Q09CLlUuSVFfVE9UQUxfUkVWLjE5OTIuNi8zMC8yMDE4LkxGUi5GLlVTRC5IAQAAAL/7AAgDAAAAAACvhuWEFAnWCIbAU4cUCdYIL0NJUS5JUVRSMTcxOTMwNTM0LklRX1RSX1RBUkdFVF9UT1RBTF9SRVYuLlVTRC5IAQAAAKZzPwoCAAAAAADmO0WCFAnWCHvSZocUCdYIK0NJUS5JUVRSMzA2NzUxMDk2LklRX1RSX1RPVEFMX0dST1NTX1RWLi5VU0QBAAAAeKZIEgIAAAALNzczMS4wMTY0ODgBBgAAAAUAAAACNTQBAAAABjEwMjA4OAIAAAAJMzA2NzUxMDk2AwAAAAkzMDY3NTEyNTgEAAAAAzE2MAYAAAAFRmFsc2XmO0WCFAnWCHvSZocUCdYIOkNJUS5OQVNEQVFHUzpPRFQuSVFfUFJFRl9FUVVJVFkuMjAwMC4zLzMxLzIwMTguTEZSLkYuVVNELkgBAAAAGhpFIAMAAAAAAMYl44QUCdYIp4RYhxQJ1ggnQ0lRLk5BU0RBUUNNOkJZU0kuSVFfUEVSSU9EREFURV9JUy4xMDAwAQAAAEfPbBgFAAAACjEyLzMxLzIwMTcAYpJ0hRQJ1ghFSV2HFAnWCDpDSVEuTkFTREFRQ006QVZFTy5JUV9UT1RBTF9ERUJULjIwMDAuMy8zMS8yMDE4LkxGUi5GLlVTRC5IAQAAAPQWHQACAAAABjE4LjQ3NwEIAAAABQAAAAExAQAAAAoxODc4MDgyNjUzAwAAAAMxNjACAAAABDQxNzMEAAAAATAHAAAACTMvMzEvMjAxOAgAAAAKMTIvMzEvMjAxNwkAAAABMMYl44QUCdYIZSJWhxQJ</t>
  </si>
  <si>
    <t>1gg8Q0lRLk5BU0RBUUdTOkxYUlguSVFfRUJJVERBX0VTVC5DWTIwMjAuNi8zMC8yMDE4LkNPTi5GLlVTRC5IAQAAAD14AAACAAAAAjQ3AQ4AAAAFAAAAAjExAQAAAAEwAgAAAAoxMDAxODMxMjkwAwAAAAYxMDAxODcEAAAAATIGAAAAATAHAAAAAzE2MAgAAAABMAkAAAABMQoAAAABMAsAAAALMTA3NjIzNTUxODAMAAAAATcNAAAACDcvMS8yMDE4EAAAAAk2LzMwLzIwMThiknSFFAnWCJSrX4cUCdYIOUNJUS5FTlhUUEE6RVJZUC5JUV9QUkVGX0VRVUlUWS4yMDAwLjYvMzAvMjAxOC5MRlIuRi5VU0QuSAEAAADYingBAwAAAAAA5Q/vhBQJ1ggxXlGHFAnWCC5DSVEuU0hTRTo2MDA4NjcuSVFfTEFTVFNBTEVQUklDRS42LzMwLzIwMTguVVNEAQAAANg+rgACAAAACDMuNjIxMTc0AGKSdIUUCdYI4A1ihxQJ1gggQ0lRLklRMzYxODM4NDMuSVFfTEFTVFNBTEVQUklDRS4BAAAAIx8oAgIAAAAEMi45OQDpbVmGFAnWCOltWYYUCdYIPENJUS5OQVNEQVFDTTpDT1JULklRX0VCSVREQV9FU1QuQ1kyMDIwLjYvMzAvMjAxOC5DT04uRi5VU0QuSAEAAADSuRUAAgAAAAczNjUuNTI1AQ4AAAAFAAAAAjExAQAAAAEwAgAAAAoxMDAwOTU0NTY3AwAAAAYxMDAxODcEAAAAATIGAAAAATAHAAAAAzE2MAgAAAABMAkAAAABMQoAAAABMAsAAAALMTA5MzIyNzk2MTAMAAAAATcNAAAACDcvMS8yMDE4EAAAAAk2LzMwLzIwMThiknSF</t>
  </si>
  <si>
    <t>FAnWCJSrX4cUCdYIPUNJUS5OQVNEQVFHUzpDQkFZLklRX1JFVkVOVUVfRVNULkNZMjAxOC42LzMwLzIwMTguQ09OLkYuVVNELkgBAAAAwHoAAAIAAAAHMC43MTQyOQEOAAAABQAAAAIxMQEAAAABMAIAAAAKMTAwMjgyNjA2MAMAAAAGMTAwMTgwBAAAAAEyBgAAAAEwBwAAAAMxNjAIAAAAATAJAAAAATEKAAAAATALAAAACzEwOTQ1NTczNzY1DAAAAAE3DQAAAAg3LzEvMjAxOBAAAAAJNi8zMC8yMDE4YpJ0hRQJ1ghFSV2HFAnWCEZDSVEuTkFTREFRR1M6WkZHTi5JUV9UT1RBTF9SRVZfM1lSX0FOTl9DQUdSLjIwMDAuNi8zMC8yMDE4LkxGUi5GLlVTRC5IAQAAAJfAugEDAAAAAADGJeOEFAnWCKeEWIcUCdYIIENJUS5JUTM2MTgzODI1LklRX0xBU1RTQUxFUFJJQ0UuAQAAABEfKAICAAAAAzIuNgDpbVmGFAnWCOltWYYUCdYIKkNJUS4oSU5WQUxJRCBJREVOVElGSUVSKS5JUV9DT01QQU5ZX1RJQ0tFUgUAAAAAAAAACAAAABQoSW52YWxpZCBJZGVudGlmaWVyKeY7RYIUCdYIF5bDghQJ1gg6Q0lRLk5BU0RBUUdTOlhFUlMuSVFfRUFSTklOR19DTy4xOTkyLjYvMzAvMjAxOC5MRlIuRi5VU0QuSAEAAADg7k8GAwAAAAAAxiXjhBQJ1ghn51qHFAnWCC5DSVEuSVFUUjM3MDA3MjM1My5JUV9UUl9UQVJHRVRfU1RPQ0tQUkVNSVVNXzFXAQAAACHbDhYCAAAACDEwNC4xNjEyAQYAAAAFAAAAAjU0AQAAAAYxMDEwNTQC</t>
  </si>
  <si>
    <t>AAAACTM3MDA3MjM1MwMAAAAJMzcwMDczNDU3BAAAAAMxNjAGAAAABUZhbHNl5jtFghQJ1gh70maHFAnWCCBDSVEuSVE5NjA1MDU0My5JUV9DT01QQU5ZX1RJQ0tFUgEAAABvnbkFAwAAAApPVENQSzpCVEhFAOY7RYIUCdYIMG+8ghQJ1gg2Q0lRLk9UQ1BLOkJUSEUuSVFfVE9UQUxfUkVWLjE5OTIuNi8zMC8yMDE4LkxGUi5GLlVTRC5IAQAAAG+duQUCAAAACDAuMDU5OTE5AQgAAAAFAAAAATEBAAAACjE4NDEzNDc2NzADAAAAAzE2MAIAAAACMjgEAAAAATAHAAAACTYvMzAvMjAxOAgAAAAJMy8zMS8yMDE2CQAAAAEw5Q/vhBQJ1giGwFOHFAnWCDVDSVEuT1RDUEs6QlRIRS5JUV9UT1RBTF9DQS4xOTk2LjYvMzAvMjAxOC5MRlIuRi5VU0QuSAEAAABvnbkFAgAAAAgwLjUzNzQwNAEIAAAABQAAAAExAQAAAAoxODg4NjYzNzM5AwAAAAMxNjACAAAABDEwMDgEAAAAATAHAAAACTYvMzAvMjAxOAgAAAAJMy8zMS8yMDE3CQAAAAEw5Q/vhBQJ1giGwFOHFAnWCCNDSVEuSVFUUjE3MjYyMTQ3MS5JUV9UUl9DTE9TRURfREFURQEAAACf/kkKBQAAAAkyLzI4LzIwMTIA5jtFghQJ1ghw+MWCFAnWCDVDSVEuU0VISzoyMTg2LklRX1RPVEFMX1JFVi4xOTk2LjYvMzAvMjAxOC5MRlIuRi5VU0QuSAEAAADCgZgAAgAAAAo0MjAuMjI1NTM4AQgAAAAFAAAAATEBAAAACjE4ODU0OTQ4MzQDAAAAAzE2MAIAAAACMjgEAAAAATAH</t>
  </si>
  <si>
    <t>AAAACTYvMzAvMjAxOAgAAAAKMTIvMzEvMjAxNgkAAAABMJQLV4YUCdYIL3BkhxQJ1gg5Q0lRLkNQU0U6WkVBTC5JUV9FQklUREFfTUFSR0lOLjIwMDAuNi8zMC8yMDE4LkxGUi5GLlVTRC5IAQAAACJbEwADAAAAAk5NAQgAAAAFAAAAATEBAAAACjE4ODk5MTMxMDADAAAAAjQyAgAAAAQ0MDQ3BAAAAAEwBwAAAAk2LzMwLzIwMTgIAAAACTMvMzEvMjAxOAkAAAABMGKSdIUUCdYI4A1ihxQJ1gg1Q0lRLk5BU0RBUUNNOkJZU0kuSVFfQ0FQRVguMTk5Ni42LzMwLzIwMTguTEZSLkYuVVNELkgBAAAAR89sGAIAAAAGLTAuMDc4AQgAAAAFAAAAATEBAAAACjE4OTM5NzMzODIDAAAAAzE2MAIAAAAEMjAyMQQAAAABMAcAAAAJNi8zMC8yMDE4CAAAAAkzLzMxLzIwMTcJAAAAATBiknSFFAnWCEVJXYcUCdYIOENJUS5OQVNEQVFHTTpSWVRNLklRX1RPVEFMX0NMLjE5OTYuNi8zMC8yMDE4LkxGUi5GLlVTRC5IAQAAABjJbRICAAAABTQuMTY3AQgAAAAFAAAAATEBAAAACjE4ODg5MTE0NTMDAAAAAzE2MAIAAAAEMTAwOQQAAAABMAcAAAAJNi8zMC8yMDE4CAAAAAkzLzMxLzIwMTcJAAAAATBiknSFFAnWCEVJXYcUCdYIK0NJUS5JUVRSNDAyMTAzOTE5LklRX1RSX0lNUExJRURfRVZfRUJJVF9GV0QBAAAAb573FwIAAAAAAOY7RYIUCdYIe9JmhxQJ1ghAQ0lRLk9UQ1BLOlJaTFQuSVFfRUJJVERBXzJZUl9BTk5fQ0FHUi4y</t>
  </si>
  <si>
    <t>MDAwLjYvMzAvMjAxOC5MRlIuRi5VU0QuSAEAAAAhCZsKAwAAAAJOTQEIAAAABQAAAAExAQAAAAoxODg5MTA1MTI0AwAAAAMxNjACAAAABDQyMDkEAAAAATAHAAAACTYvMzAvMjAxOAgAAAAJMy8zMS8yMDE4CQAAAAEw5Q/vhBQJ1giGwFOHFAnWCCVDSVEuSVFUUjQwMjEwMzkxOS5JUV9UUl9NQUpfTUlOX1NUQUtFAQAAAG+e9xcDAAAACE1ham9yaXR5AOY7RYIUCdYIe9JmhxQJ1gg8Q0lRLk5BU0RBUUdNOk1OT1YuSVFfRUJJVERBX0VTVC5DWTIwMjAuNi8zMC8yMDE4LkNPTi5GLlVTRC5IAQAAALhUjQACAAAABi0xNy43OQEOAAAABQAAAAIxMQEAAAABMAIAAAAKMTAwMDU5MzYxNgMAAAAGMTAwMTg3BAAAAAEyBgAAAAEwBwAAAAMxNjAIAAAAATAJAAAAATEKAAAAATALAAAACzEwODQzNzM3NTg5DAAAAAE3DQAAAAg3LzEvMjAxOBAAAAAJNi8zMC8yMDE4r4blhBQJ1ginhFiHFAnWCDhDSVEuQU1FWDpCVFguSVFfUkVWRU5VRV9FU1QuQ1kyMDIwLjYvMzAvMjAxOC5DT04uRi5VU0QuSAEAAAAWZAAAAgAAAAU4LjAwMgEOAAAABQAAAAIxMQEAAAABMAIAAAAKMTAwMzUwOTg0OQMAAAAGMTAwMTgwBAAAAAEyBgAAAAEwBwAAAAMxNjAIAAAAATAJAAAAATEKAAAAATALAAAACzEwODc4NTE0MjQ5DAAAAAE3DQAAAAg3LzEvMjAxOBAAAAAJNi8zMC8yMDE4r4blhBQJ1ghlIlaHFAnWCDtDSVEuTkFTREFRR006UllU</t>
  </si>
  <si>
    <t>TS5JUV9QUkVGX0VRVUlUWS4yMDAwLjYvMzAvMjAxOC5MRlIuRi5VU0QuSAEAAAAYyW0SAwAAAAAAYpJ0hRQJ1ghFSV2HFAnWCCJDSVEuSVEyNDY3NzA4MC5JUV9GSVJTVFBSSUNJTkdEQVRFAQAAANiKeAEFAAAACTQvMzAvMjAxMwDmO0WCFAnWCMQ0aYcUCdYIPENJUS5OQVNEQVFHUzpJQ1BULklRX0VBUk5JTkdfQ08uQ1kyMDE2LjYvMzAvMjAxOC5MRlIuRi5VU0QuSAEAAACCr60AAgAAAActNDEyLjgzAQgAAAAFAAAAATEBAAAACjE4NzcwMTE0NjADAAAAAzE2MAIAAAABNwQAAAABMAcAAAAJNi8zMC8yMDE4CAAAAAoxMi8zMS8yMDE2CQAAAAEw6W1ZhhQJ1ggvcGSHFAnWCDhDSVEuTkFTREFRQ006Q1VSLklRX1RPVEFMX1JFVi4xOTkyLjYvMzAvMjAxOC5MRlIuRi5VU0QuSAEAAADx7nUAAgAAAAQwLjAxAQgAAAAFAAAAATEBAAAACjE4NDEwNzI2ODUDAAAAAzE2MAIAAAACMjgEAAAAATAHAAAACTYvMzAvMjAxOAgAAAAJMy8zMS8yMDE2CQAAAAEw5Q/vhBQJ1ggxXlGHFAnWCCxDSVEuKElOVkFMSUQgSURFTlRJRklFUikuSVFfRklSU1RQUklDSU5HREFURQUAAAAAAAAACAAAABQoSW52YWxpZCBJZGVudGlmaWVyKeY7RYIUCdYIxDRphxQJ1gg7Q0lRLk5BU0RBUUdTOkNCQVkuSVFfUFJFRl9FUVVJVFkuMjAwMC4zLzMxLzIwMTguTEZSLkYuVVNELkgBAAAAwHoAAAMAAAAAAGKSdIUUCdYIZ+dahxQJ1ggn</t>
  </si>
  <si>
    <t>Q0lRLk5BU0RBUUdTOlpGR04uSVFfQkVUQV8xWVIuNi8zMC8yMDE4AQAAAJfAugECAAAAES0xLjE3NDU4NTYwODMzMjQ1AK+G5YQUCdYIp4RYhxQJ1gg8Q0lRLk5BU0RBUUdNOlJZVE0uSVFfRUJJVERBX0VTVC5DWTIwMTguNi8zMC8yMDE4LkNPTi5GLlVTRC5IAQAAABjJbRICAAAACS01MS44ODUzMQEOAAAABQAAAAIxMQEAAAABMAIAAAAKMTAwMzg5OTM0MQMAAAAGMTAwMTg3BAAAAAEyBgAAAAEwBwAAAAMxNjAIAAAAATAJAAAAATEKAAAAATALAAAACzEwOTM2MTYwODA4DAAAAAE3DQAAAAg3LzEvMjAxOBAAAAAJNi8zMC8yMDE4YpJ0hRQJ1ghFSV2HFAnWCDtDSVEuTkFTREFRR1M6WEVSUy5JUV9UT1RBTF9SRVYuQ1kyMDE2LjYvMzAvMjAxOC5MRlIuRi5VU0QuSAEAAADg7k8GAgAAAAUxLjA3NQEIAAAABQAAAAExAQAAAAoxODkwOTYxNjMyAwAAAAMxNjACAAAAAjI4BAAAAAEwBwAAAAk2LzMwLzIwMTgIAAAACjEyLzMxLzIwMTYJAAAAATDGJeOEFAnWCGfnWocUCdYIPkNJUS5OQVNEQVFHTTpNTk9WLklRX0NBU0hfU1RfSU5WRVNULjIwMDAuNi8zMC8yMDE4LkxGUi5GLlVTRC5IAQAAALhUjQACAAAACTYyLjkzOTIwMwEIAAAABQAAAAExAQAAAAoxODg0NjQ0MjI4AwAAAAMxNjACAAAABDEwMDIEAAAAATAHAAAACTYvMzAvMjAxOAgAAAAJMy8zMS8yMDE4CQAAAAEwxiXjhBQJ1ginhFiHFAnWCDVDSVEu</t>
  </si>
  <si>
    <t>TkFTREFRR1M6SUNQVC5JUV9DQVBFWC4xOTkyLjYvMzAvMjAxOC5MRlIuRi5VU0QuSAEAAACCr60AAgAAAAYtNi40MTIBCAAAAAUAAAABMQEAAAAKMTg0MTg0Mjg2OAMAAAADMTYwAgAAAAQyMDIxBAAAAAEwBwAAAAk2LzMwLzIwMTgIAAAACTMvMzEvMjAxNgkAAAABMOltWYYUCdYIL3BkhxQJ1ggnQ0lRLlNIU0U6NjAwODY3LklRX0JVU0lORVNTX0RFU0NSSVBUSU9OAQAAANg+rgADAAAA2gtUb25naHVhIERvbmdiYW8gUGhhcm1hY2V1dGljYWwgQ28uLCBMdGQuIHJlc2VhcmNoZXMgYW5kIGRldmVsb3BzLCBtYW51ZmFjdHVyZXMsIGFuZCBzZWxscyBwaGFybWFjZXV0aWNhbCBwcm9kdWN0cyBmb3IgdGhlIHRyZWF0bWVudCBvZiBkaWFiZXRlcyBhbmQgY2FyZGlvdmFzY3VsYXItYmFzZWQgZGlzZWFzZXMgaW4gQ2hpbmEuIFRoZSBjb21wYW55IG9wZXJhdGVzIHRocm91Z2ggUGhhcm1hY2V1dGljYWwgSW5kdXN0cnkgYW5kIEJ1aWxkaW5nIE1hdGVyaWFscyBJbmR1c3RyeSBzZWdtZW50cy4gSXQgbGVhZCBwcm9kdWN0IHBvcnRmb2xpbyBpbmNsdWRlcyBpbnN1bGluIGFuYWxvZ3Vlcywgc3VjaCBhcyBpbnN1bGluIGdsYXJnaW5lLCBJbnN1bGluIGFzcGFydCwgaW5zdWxpbiBkZXRlbWlyLCBhbmQgaW5zdWxpbiBsaXNwcm87IGFudGlkaWFiZXRpYyBkcnVnIGFnb25pc3QgcHJvZHVjdHM7IG9yYWwgaHlw</t>
  </si>
  <si>
    <t>b2dseWNlbWljIGFnZW50czsgYW5kIFpoZW4gTmFvIE5pbmcgYW5kIE5hbyBYdWUgS2FuZyBjYXBzdWxlcywgYXMgd2VsbCBhcyBHYW4gU2h1bGluIHBlbnMsIGJsb29kIGdsdWNvc2UgbWV0ZXJzLCBhbmQgb3RoZXIgbWVkaWNhbCBkZXZpY2VzLiBUaGUgY29tcGFueSBpcyBhbHNvIGludm9sdmVkIGluIGRldmVsb3BpbmcgWS1QRUcgb2YgcmVjb21iaW5hbnQgaHVtYW4gaW50ZXJmZXJvbiBhIDJiIGluamVjdGlvbiwgd2hpY2ggaGFzIGJlZW4gY29tcGxldGVkIFBoYXNlIElJSSBjbGluaWNhbCBzdGFnZSB0byB0cmVhdCBjaHJvbmljIGhlcGF0aXRpcyBDICgyLDMgZ2VuZSB0eXBlKSBhbmQgY2hyb25pYyBoZXBhdGl0aXMgQiBJSUk7IFktUEVHIGEgcmVjb21iaW5hbnQgaHVtYW4gZ3JhbnVsb2N5dGUgY29sb255LXN0aW11bGF0aW5nIGZhY3RvciBpbmplY3Rpb24gdGhhdCBpcyBpbiBQaGFzZSBJSSBjbGluaWNhbCBzdGFnZSBmb3IgdGhlIHRyZWF0bWVudCBvZiBjaGVtb3RoZXJhcHktaW5kdWNlZCBuZXV0cm9wZW5pYTsgWS1QRUcgaW5qZWN0aW9uIG9mIHJlY29tYmluYW50IGh1bWFuIGdyb3d0aCBob3Jtb25lLCB3aGljaCBpcyBpbiBQaGFzZSBJSSBjbGluaWNhbCBzdGFnZSB0byB0cmVhdCBzaG9ydCBzdGF0dXJlIGFuZCBncm93dGggaG9ybW9uZSBkZWZpY2llbmN5OyBhbmQgWS1QRUcgb2Yg</t>
  </si>
  <si>
    <t>cmVjb21iaW5hbnQgaHVtYW4gaW50ZXJmZXJvbiBhIDJhIGluamVjdGlvbiB0aGF0IGlzIGluIFBoYXNlIElJIGNsaW5pY2FsIHN0YWdlIHRvIHRyZWF0IGNocm9uaWMgaGVwYXRpdGlzIEIgYW5kIGhlcGF0aXRpcyBDLiBJdCBvZmZlcnMgYnVpbGRpbmcgbWF0ZXJpYWxzIGNvbXByaXNpbmcgcGxhc3RpYyB3aW5kb3dzIGFuZCBzZWN0aW9uczsgYW5kIG90aGVyIHByb2R1Y3RzLiBUaGUgY29tcGFueSBoYXMgYSBzdHJhdGVnaWMgYWxsaWFuY2Ugd2l0aCBBZG9jaWEuIFRvbmdodWEgRG9uZ2JhbyBQaGFybWFjZXV0aWNhbCBDby4sIEx0ZC4gd2FzIGZvdW5kZWQgaW4gMTk4NSBhbmQgaXMgYmFzZWQgaW4gVG9uZ2h1YSwgQ2hpbmEuAGKSdIUUCdYI4A1ihxQJ1ggpQ0lRLklRMzYxODM4MzEuSVFfTEFTVFNBTEVQUklDRS42LzMwLzIwMTgBAAAAFx8oAgIAAAAEMi43MwDmO0WCFAnWCMQ0aYcUCdYIIENJUS5JUVRSMjEyNzMxODc3LklRX1RSX0VBUk5PVVRTAQAAAOUHrgwCAAAAAADmO0WCFAnWCHvSZocUCdYINUNJUS5OQVNEQVFHTTpWVFZULklRX0NBUEVYLjE5OTIuNi8zMC8yMDE4LkxGUi5GLlVTRC5IAQAAAB2jHxICAAAABC0wLjEBCAAAAAUAAAABMQEAAAAKMTgzOTg4MDQ0OAMAAAADMTYwAgAAAAQyMDIxBAAAAAEwBwAAAAk2LzMwLzIwMTgIAAAACTMvMzEvMjAxNgkAAAABMOUP74QUCdYIhsBThxQJ</t>
  </si>
  <si>
    <t>1ggkQ0lRLk5BU0RBUUdNOlJZVE0uSVFfRUZGRUNUX1RBWF9SQVRFAQAAABjJbRIDAAAAAABiknSFFAnWCEVJXYcUCdYIIENJUS5JUVRSMzQwNzA0ODY1LklRX1RSX0VBUk5PVVRTAQAAAGG+ThQCAAAAAADmO0WCFAnWCHvSZocUCdYIM0NJUS5TSFNFOjYwMDg2Ny5JUV9DQVBFWC4xOTk2LjYvMzAvMjAxOC5MRlIuRi5VU0QuSAEAAADYPq4AAgAAAAotNDIuMTAxMTI4AQgAAAAFAAAAATEBAAAACjE4ODUxNDYyNjkDAAAAAzE2MAIAAAAEMjAyMQQAAAABMAcAAAAJNi8zMC8yMDE4CAAAAAkzLzMxLzIwMTcJAAAAATBiknSFFAnWCOANYocUCdYIKkNJUS5JUVRSMzQwNzA0ODY1LklRX1RSX1RBUkdFVF9FQklULi5VU0QuSAEAAABhvk4UAgAAAAktMC4wMjg5ODIBBgAAAAUAAAACMzcBAAAACjE3OTA1NTQyMTcCAAAABTIxNjc1AwAAAAMxNjAEAAAAATAHAAAACDEvMS8xOTAw5jtFghQJ1gh70maHFAnWCD5DSVEuTkFTREFRR006TU5PVi5JUV9UT1RBTF9FUVVJVFkuQ1kyMDE2LjYvMzAvMjAxOC5MRlIuRi5VU0QuSAEAAAC4VI0AAgAAAAkzNC41MzE5MjkBCAAAAAUAAAABMQEAAAAKMTg3NDAyNTA3MwMAAAADMTYwAgAAAAQxMjc1BAAAAAEwBwAAAAk2LzMwLzIwMTgIAAAACjEyLzMxLzIwMTYJAAAAATDGJeOEFAnWCKeEWIcUCdYIOkNJUS5OQVNEQVFHUzpDQkFZLklRX0VBUk5JTkdfQ08uMTk5Mi42LzMwLzIw</t>
  </si>
  <si>
    <t>MTguTEZSLkYuVVNELkgBAAAAwHoAAAIAAAAHLTIwLjA0OQEIAAAABQAAAAExAQAAAAoxODQ0NTQzODI0AwAAAAMxNjACAAAAATcEAAAAATAHAAAACTYvMzAvMjAxOAgAAAAJMy8zMS8yMDE2CQAAAAEwYpJ0hRQJ1ghn51qHFAnWCD1DSVEuTkFTREFRQ006VktUWC5JUV9SRVZFTlVFX0VTVC5DWTIwMjEuNi8zMC8yMDE4LkNPTi5GLlVTRC5IAQAAAPK8tQ4CAAAAATABDgAAAAUAAAACMTEBAAAAATACAAAACjEwMDMwOTczNjkDAAAABjEwMDE4MAQAAAABMgYAAAABMAcAAAADMTYwCAAAAAEwCQAAAAExCgAAAAEwCwAAAAsxMDk0NTU2NzE3NgwAAAABNw0AAAAINy8xLzIwMTgQAAAACTYvMzAvMjAxOK+G5YQUCdYIZ+dahxQJ1gg1Q0lRLk5BU0RBUUdTOklDUFQuSVFfQ0FQRVguMjAwMC42LzMwLzIwMTguTEZSLkYuVVNELkgBAAAAgq+tAAIAAAAGLTYuNDU2AQgAAAAFAAAAATEBAAAACjE4ODg2MTU1NDADAAAAAzE2MAIAAAAEMjAyMQQAAAABMAcAAAAJNi8zMC8yMDE4CAAAAAkzLzMxLzIwMTgJAAAAATDpbVmGFAnWCC9wZIcUCdYIOUNJUS5OQVNEQVFHUzpDQkFZLklRX1RPVEFMX1JFVi4xOTkyLjYvMzAvMjAxOC5MRlIuRi5VU0QuSAEAAADAegAAAwAAAAAAYpJ0hRQJ1ghFSV2HFAnWCDhDSVEuTkFTREFRR1M6Q1lUSy5JUV9UT1RBTF9DQS4xOTk2LjYvMzAvMjAxOC5MRlIuRi5VU0QuSAEAAACzagAAAgAA</t>
  </si>
  <si>
    <t>AAcyMTEuMDIzAQgAAAAFAAAAATEBAAAACjE4ODg0NzA2NDEDAAAAAzE2MAIAAAAEMTAwOAQAAAABMAcAAAAJNi8zMC8yMDE4CAAAAAkzLzMxLzIwMTcJAAAAATDGJeOEFAnWCGUiVocUCdYILkNJUS5JUVRSMTcxOTMwNTM0LklRX1RSX1RBUkdFVF9TVE9DS1BSRU1JVU1fMVcBAAAApnM/CgIAAAAAAOY7RYIUCdYIe9JmhxQJ1gguQ0lRLklRVFI1NTI3MjAyMDcuSVFfVFJfVEFSR0VUX1NUT0NLUFJFTUlVTV8xVwEAAABP1/EgAgAAAAAA5jtFghQJ1gh70maHFAnWCBhDSVEuQU1FWDpCVFguSVFfRVhDSEFOR0UBAAAAFmQAAAMAAAAEQU1FWADGJeOEFAnWCGUiVocUCdYIPkNJUS5OQVNEQVFHTTpGT0xELklRX0NBU0hfU1RfSU5WRVNULjIwMDAuMy8zMS8yMDE4LkxGUi5GLlVTRC5IAQAAAFb2agACAAAABzM1OC41NjIBCAAAAAUAAAABMQEAAAAKMTg3NzI3MTc4MAMAAAADMTYwAgAAAAQxMDAyBAAAAAEwBwAAAAkzLzMxLzIwMTgIAAAACjEyLzMxLzIwMTcJAAAAATBiknSFFAnWCJSrX4cUCdYIO0NJUS5PVENQSzpSWkxULklRX0NBU0hfU1RfSU5WRVNULjIwMDAuNi8zMC8yMDE4LkxGUi5GLlVTRC5IAQAAACEJmwoCAAAACDAuMDc4MTE5AQgAAAAFAAAAATEBAAAACjE4ODkxMDUxMjQDAAAAAzE2MAIAAAAEMTAwMgQAAAABMAcAAAAJNi8zMC8yMDE4CAAAAAkzLzMxLzIwMTgJAAAAATDlD++EFAnWCIbAU4cU</t>
  </si>
  <si>
    <t>CdYIR0NJUS5OQVNEQVFHUzpJVENJLklRX01JTk9SSVRZX0lOVEVSRVNUX1RPVEFMLjIwMDAuNi8zMC8yMDE4LkxGUi5GLlVTRC5IAQAAAHfRjwADAAAAAABiknSFFAnWCGfnWocUCdYIJ0NJUS5OQVNEQVFDTTpCWVNJLklRX0JFVEFfMllSLjYvMzAvMjAxOAEAAABHz2wYAgAAABAxLjQzNjkwOTYwNzQwMjQxAGKSdIUUCdYIRUldhxQJ1gg7Q0lRLlNIU0U6NjAwODY3LklRX1JFVkVOVUVfRVNULkNZMjAyMS42LzMwLzIwMTguQ09OLkYuVVNELkgBAAAA2D6uAAMAAAAAAGKSdIUUCdYI4A1ihxQJ1ggnQ0lRLk5BU0RBUUdTOklDUFQuSVFfQkVUQV81WVIuNi8zMC8yMDE4AQAAAIKvrQACAAAAES0xLjY3MzQ0Mjk3OTQzNjY5AOltWYYUCdYIL3BkhxQJ1gg8Q0lRLk5BU0RBUUdNOlZUVlQuSVFfR1JPU1NfTUFSR0lOLjIwMDAuNi8zMC8yMDE4LkxGUi5GLlVTRC5IAQAAAB2jHxIDAAAAAk5NAQgAAAAFAAAAATEBAAAACjE4ODkwNTY1MzcDAAAAAzE2MAIAAAAENDA3NAQAAAABMAcAAAAJNi8zMC8yMDE4CAAAAAkzLzMxLzIwMTgJAAAAATDlD++EFAnWCIbAU4cUCdYIIkNJUS5JUVRSMjEyNzMxODc3LklRX1RSX1RPVEFMX0NBU0gBAAAA5QeuDAIAAAALNTEyNC45NTM0MTgBBgAAAAUAAAACNTQBAAAABjEwMTA1NgIAAAAJMjEyNzMxODc3AwAAAAkyMTI3MzIzNjgEAAAAAzE2MAYAAAAFRmFsc2XmO0WCFAnWCHvS</t>
  </si>
  <si>
    <t>ZocUCdYIO0NJUS5OQVNEQVFHTTpNTk9WLklRX1BSRUZfRVFVSVRZLjIwMDAuNi8zMC8yMDE4LkxGUi5GLlVTRC5IAQAAALhUjQADAAAAAADGJeOEFAnWCKeEWIcUCdYILENJUS5OQVNEQVFHUzpaRkdOLklRX0xBU1RTQUxFUFJJQ0UuMy8zMS8yMDE4AQAAAJfAugECAAAABDcuNDUAxiXjhBQJ1ginhFiHFAnWCD5DSVEuQU1FWDpCVFguSVFfRUJJVERBXzNZUl9BTk5fQ0FHUi4yMDAwLjYvMzAvMjAxOC5MRlIuRi5VU0QuSAEAAAAWZAAAAwAAAAJOTQEIAAAABQAAAAExAQAAAAoxODg3OTgwMTY1AwAAAAMxNjACAAAABDQyMjIEAAAAATAHAAAACTYvMzAvMjAxOAgAAAAJMy8zMS8yMDE4CQAAAAEwxiXjhBQJ1ghlIlaHFAnWCCVDSVEuQ1BTRTpOT1ZPIEIuSVFfQkVUQV8xWVIuNi8zMC8yMDE4AQAAAHzvBAACAAAAETAuNTQzODQyNjAwNDY2MDE5AOltWYYUCdYIe9JmhxQJ1gg8Q0lRLk5BU0RBUUdTOklDUFQuSVFfVE9UQUxfRVFVSVRZLjIwMDAuNi8zMC8yMDE4LkxGUi5GLlVTRC5IAQAAAIKvrQACAAAABy01Mi4yNzUBCAAAAAUAAAABMQEAAAAKMTg4ODYxNTU0MAMAAAADMTYwAgAAAAQxMjc1BAAAAAEwBwAAAAk2LzMwLzIwMTgIAAAACTMvMzEvMjAxOAkAAAABMOltWYYUCdYIL3BkhxQJ1ggxQ0lRLklRVFIzNzAwNzIzNTMuSVFfVFJfVEFSR0VUX1JFVkVOVUVfRVNULi5VU0QuSAEAAAAh2w4WAgAAAAAA</t>
  </si>
  <si>
    <t>5jtFghQJ1gh70maHFAnWCERDSVEuKElOVkFMSUQgSURFTlRJRklFUikuSVFfUkVWRU5VRV9FU1QuQ1kyMDIxLjYvMzAvMjAxOC5DT04uRi5VU0QuSAUAAAAAAAAACAAAABQoSW52YWxpZCBJZGVudGlmaWVyKeUP74QUCdYIMV5RhxQJ1ghGQ0lRLk5BU0RBUUdNOlJZVE0uSVFfVE9UQUxfUkVWXzJZUl9BTk5fQ0FHUi4yMDAwLjYvMzAvMjAxOC5MRlIuRi5VU0QuSAEAAAAYyW0SAwAAAAAAYpJ0hRQJ1ghFSV2HFAnWCDxDSVEuTkFTREFRR006TU5LRC5JUV9UT1RBTF9FUVVJVFkuMTk5Mi42LzMwLzIwMTguTEZSLkYuVVNELkgBAAAAZqWNAAIAAAAILTM3My40NjQBCAAAAAUAAAABMQEAAAAKMTg0MTE3MTIyOAMAAAADMTYwAgAAAAQxMjc1BAAAAAEwBwAAAAk2LzMwLzIwMTgIAAAACTMvMzEvMjAxNgkAAAABMOltWYYUCdYI4A1ihxQJ1gg6Q0lRLlNFSEs6MjE4Ni5JUV9UT1RBTF9FUVVJVFkuQ1kyMDE2LjYvMzAvMjAxOC5MRlIuRi5VU0QuSAEAAADCgZgAAgAAAAo5NDUuMDcwMjg0AQgAAAAFAAAAATEBAAAACjE4ODU0OTQ4MzQDAAAAAzE2MAIAAAAEMTI3NQQAAAABMAcAAAAJNi8zMC8yMDE4CAAAAAoxMi8zMS8yMDE2CQAAAAEw6W1ZhhQJ1ggvcGSHFAnWCDVDSVEuTkFTREFRR1M6Q0JBWS5JUV9DQVBFWC4yMDAwLjYvMzAvMjAxOC5MRlIuRi5VU0QuSAEAAADAegAAAgAAAAYtMC4wNzMBCAAAAAUAAAAB</t>
  </si>
  <si>
    <t>MQEAAAAKMTg4NzQ0NTA4NAMAAAADMTYwAgAAAAQyMDIxBAAAAAEwBwAAAAk2LzMwLzIwMTgIAAAACTMvMzEvMjAxOAkAAAABMGKSdIUUCdYIZ+dahxQJ1gg6Q0lRLk9UQ1BLOkJUSEUuSVFfUkVWRU5VRV9FU1QuQ1kyMDIxLjYvMzAvMjAxOC5DT04uRi5VU0QuSAEAAABvnbkFAwAAAAAA5Q/vhBQJ1giGwFOHFAnWCDpDSVEuTkFTREFRR1M6Q0JBWS5JUV9UT1RBTF9ERUJULjIwMDAuMy8zMS8yMDE4LkxGUi5GLlVTRC5IAQAAAMB6AAACAAAABTYuMDk4AQgAAAAFAAAAATEBAAAACjE4Nzg1MjQwODgDAAAAAzE2MAIAAAAENDE3MwQAAAABMAcAAAAJMy8zMS8yMDE4CAAAAAoxMi8zMS8yMDE3CQAAAAEwYpJ0hRQJ1ghn51qHFAnWCDxDSVEuTkFTREFRR1M6Q0JBWS5JUV9UT1RBTF9FUVVJVFkuMjAwMC42LzMwLzIwMTguTEZSLkYuVVNELkgBAAAAwHoAAAIAAAAHMjEyLjE5OQEIAAAABQAAAAExAQAAAAoxODg3NDQ1MDg0AwAAAAMxNjACAAAABDEyNzUEAAAAATAHAAAACTYvMzAvMjAxOAgAAAAJMy8zMS8yMDE4CQAAAAEwYpJ0hRQJ1ghn51qHFAnWCDhDSVEuU0VISzozOTMzLklRX0VCSVREQV9FU1QuQ1kyMDE4LjYvMzAvMjAxOC5DT04uRi5VU0QuSAEAAABN2hECAgAAABAyNzAuMDM0MTU4NTI0MjM3AQ4AAAAFAAAAAjExAQAAAAEwAgAAAAoxMDAwNzA4ODAyAwAAAAYxMDAxODcEAAAAATMGAAAAATAHAAAA</t>
  </si>
  <si>
    <t>AzE2MAgAAAABMAkAAAABMQoAAAABMAsAAAALMTA5NDY4OTEyNDUMAAAAATcNAAAACDcvMS8yMDE4EAAAAAk2LzMwLzIwMTjpbVmGFAnWCOANYocUCdYIQkNJUS5OQVNEQVFDTTpDVVIuSVFfRUJJVERBXzNZUl9BTk5fQ0FHUi4yMDAwLjYvMzAvMjAxOC5MRlIuRi5VU0QuSAEAAADx7nUAAwAAAAJOTQEIAAAABQAAAAExAQAAAAoxODg4ODczMjE5AwAAAAMxNjACAAAABDQyMjIEAAAAATAHAAAACTYvMzAvMjAxOAgAAAAJMy8zMS8yMDE4CQAAAAEw5Q/vhBQJ1ggxXlGHFAnWCDxDSVEuQ1BTRTpOT1ZPIEIuSVFfVE9UQUxfRVFVSVRZLkNZMjAxNy42LzMwLzIwMTguTEZSLkYuVVNELkgBAAAAfO8EAAIAAAALODAzMy44NjEwNzIBCAAAAAUAAAABMQEAAAAKMTg3MzY5NDIyMwMAAAADMTYwAgAAAAQxMjc1BAAAAAEwBwAAAAk2LzMwLzIwMTgIAAAACjEyLzMxLzIwMTcJAAAAATCUC1eGFAnWCC9wZIcUCdYIPUNJUS5OQVNEQVFHUzpYRVJTLklRX1JFVkVOVUVfRVNULkNZMjAyMC42LzMwLzIwMTguQ09OLkYuVVNELkgBAAAA4O5PBgMAAAAAAK+G5YQUCdYIZ+dahxQJ1gg9Q0lRLk5BU0RBUUdTOklUQ0kuSVFfUkVWRU5VRV9FU1QuQ1kyMDIxLjYvMzAvMjAxOC5DT04uRi5VU0QuSAEAAAB30Y8AAgAAAAkzMzkuMDMzODMBDgAAAAUAAAACMTEBAAAAATACAAAACjEwMDIwMjEyMTQDAAAABjEwMDE4MAQAAAABMgYA</t>
  </si>
  <si>
    <t>AAABMAcAAAADMTYwCAAAAAEwCQAAAAExCgAAAAEwCwAAAAsxMDg2Njk5ODc4OQwAAAABNw0AAAAINy8xLzIwMTgQAAAACTYvMzAvMjAxOGKSdIUUCdYIZ+dahxQJ1gg9Q0lRLihJTlZBTElEIElERU5USUZJRVIpLklRX0VCSVREQS4xOTk2LjYvMzAvMjAxOC5MRlIuRi5VU0QuSAUAAAAAAAAACAAAABQoSW52YWxpZCBJZGVudGlmaWVyKeUP74QUCdYIMV5RhxQJ1ggwQ0lRLk5BU0RBUUNNOkNPUlQuSVFfTEFTVFNBTEVQUklDRS42LzMwLzIwMTguVVNEAQAAANK5FQACAAAABTE1LjcyAGKSdIUUCdYIlKtfhxQJ1gg4Q0lRLk5BU0RBUUdTOlhFUlMuSVFfVE9UQUxfQ0wuMTk5Mi42LzMwLzIwMTguTEZSLkYuVVNELkgBAAAA4O5PBgMAAAAAAMYl44QUCdYIZ+dahxQJ1ggnQ0lRLkVOWFRQQTpFUllQLklRX0JVU0lORVNTX0RFU0NSSVBUSU9OAQAAANiKeAEDAAAAkAdFUllURUNIIFBoYXJtYSBTLkEuLCBhIGJpb3BoYXJtYWNldXRpY2FsIGNvbXBhbnksIGRldmVsb3BzIHRoZXJhcGllcyBmb3Igc2V2ZXJlIGZvcm1zIG9mIGNhbmNlciBhbmQgb3JwaGFuIGRpc2Vhc2VzLiBJdCBpcyBkZXZlbG9waW5nIGEgcGlwZWxpbmUgb2YgcHJvZHVjdCBjYW5kaWRhdGVzIHRhcmdldGluZyBzb2xpZCBhbmQgbGlxdWlkIHR1bW9ycyBmb3IgcGF0aWVudHMgd2l0aCBoaWdoIHVubWV0IG1lZGljYWwgbmVlZHMuIFRoZSBj</t>
  </si>
  <si>
    <t>b21wYW554oCZcyBsZWFkIHByb2R1Y3QgY2FuZGlkYXRlIGlzIGVyeWFzcGFzZSwgd2hpY2ggaXMgdXNlZCBmb3IgdGhlIHRyZWF0bWVudCBvZiBzZXZlcmUgc29saWQgdHVtb3JzLCBpbmNsdWRpbmcgcGFuY3JlYXRpYyBjYW5jZXIgYW5kIGluIGFjdXRlIGx5bXBob2JsYXN0aWMgbGV1a2VtaWEuIEl0IGlzIHByZXBhcmluZyBmb3IgdGhlIGxhdW5jaCBvZiBhIHBpdm90YWwgUGhhc2UgSUlJIGNsaW5pY2FsIHRyaWFsIG9mIGVyeWFzcGFzZSBpbiB0aGUgVW5pdGVkIFN0YXRlcyBhbmQgRXVyb3BlLiBFUllURUNIIFBoYXJtYSBTLkEuIGhhcyByZXNlYXJjaCBjb2xsYWJvcmF0aW9ucyB3aXRoIHRoZSBGb3ggQ2hhc2UgQ2FuY2VyIENlbnRlciB0byBhZHZhbmNlIHRoZSBwcmVjbGluaWNhbCBkZXZlbG9wbWVudCBvZiBlcnltZXRoaW9uYXNlIGZvciB0aGUgdHJlYXRtZW50IG9mIGhvbW9jeXN0aW51cmlhIGFuZCB3aXRoIFF1ZWVu4oCZcyBVbml2ZXJzaXR5IG9mIENhbmFkYSB0byBhZHZhbmNlIHRoZSBwcmVjbGluaWNhbCBkZXZlbG9wbWVudCBvZiBlcnltaW5hc2UgZm9yIHRoZSB0cmVhdG1lbnQgb2YgYXJnaW5hc2UtMS1kZWZpY2llbmN5LiBFUllURUNIIFBoYXJtYSBTLkEuIHdhcyBmb3VuZGVkIGluIDIwMDQgYW5kIGlzIGJhc2VkIGluIEx5b24sIEZyYW5jZS4A5Q/vhBQJ1ggxXlGHFAnWCDxD</t>
  </si>
  <si>
    <t>SVEuTkFTREFRR1M6SVRDSS5JUV9UT1RBTF9FUVVJVFkuMjAwMC42LzMwLzIwMTguTEZSLkYuVVNELkgBAAAAd9GPAAIAAAAKNDIzLjE4ODk1NQEIAAAABQAAAAExAQAAAAoxODg2NjE3MzIyAwAAAAMxNjACAAAABDEyNzUEAAAAATAHAAAACTYvMzAvMjAxOAgAAAAJMy8zMS8yMDE4CQAAAAEwYpJ0hRQJ1ghn51qHFAnWCDtDSVEuTkFTREFRR1M6TFhSWC5JUV9QUkVGX0VRVUlUWS4yMDAwLjMvMzEvMjAxOC5MRlIuRi5VU0QuSAEAAAA9eAAAAwAAAAAAYpJ0hRQJ1ghFSV2HFAnWCDxDSVEuTkFTREFRQ006QllTSS5JUV9FQVJOSU5HX0NPLkNZMjAxNi42LzMwLzIwMTguTEZSLkYuVVNELkgBAAAAR89sGAIAAAAHLTEyLjU0NQEIAAAABQAAAAExAQAAAAoxODgxMjMwNjc0AwAAAAMxNjACAAAAATcEAAAAATAHAAAACTYvMzAvMjAxOAgAAAAKMTIvMzEvMjAxNgkAAAABMGKSdIUUCdYIRUldhxQJ1gg4Q0lRLk9UQ1BLOkVNSVMuSVFfRUJJVF9NQVJHSU4uMjAwMC42LzMwLzIwMTguTEZSLkYuVVNELkgBAAAAPv0DAAMAAAACTk0BCAAAAAUAAAABMQEAAAAKMTg0MTg5ODUzNQMAAAADMTYwAgAAAAQ0MDUzBAAAAAEwBwAAAAk2LzMwLzIwMTgIAAAACTMvMzEvMjAxNwkAAAABMK+G5YQUCdYIZSJWhxQJ1gg8Q0lRLk5BU0RBUUNNOlZLVFguSVFfRUJJVERBX0VTVC5DWTIwMTkuNi8zMC8yMDE4LkNPTi5GLlVTRC5I</t>
  </si>
  <si>
    <t>AQAAAPK8tQ4CAAAABS0yNi42AQ4AAAAFAAAAAjExAQAAAAEwAgAAAAoxMDAzMDk3MzU5AwAAAAYxMDAxODcEAAAAATIGAAAAATAHAAAAAzE2MAgAAAABMAkAAAABMQoAAAABMAsAAAALMTA4Nzg4NjMyNDAMAAAAATcNAAAACDcvMS8yMDE4EAAAAAk2LzMwLzIwMTivhuWEFAnWCGfnWocUCdYIOENJUS5OQVNEQVFHTTpNTktELklRX1RPVEFMX0NBLjIwMDAuNi8zMC8yMDE4LkxGUi5GLlVTRC5IAQAAAGaljQACAAAABjM1LjAyOAEIAAAABQAAAAExAQAAAAoxODg5Nzc1OTkzAwAAAAMxNjACAAAABDEwMDgEAAAAATAHAAAACTYvMzAvMjAxOAgAAAAJMy8zMS8yMDE4CQAAAAEw6W1ZhhQJ1gjgDWKHFAnWCDpDSVEuRU5YVFBBOkVSWVAuSVFfRUFSTklOR19DTy5DWTIwMTcuNi8zMC8yMDE4LkxGUi5GLlVTRC5IAQAAANiKeAECAAAACi00MC4yNjE3NjgBCAAAAAUAAAABMQEAAAAKMTg4NTIwNDIxOQMAAAADMTYwAgAAAAE3BAAAAAEwBwAAAAk2LzMwLzIwMTgIAAAACjEyLzMxLzIwMTcJAAAAATDlD++EFAnWCDFeUYcUCdYIR0NJUS5OQVNEQVFHUzpYRVJTLklRX01JTk9SSVRZX0lOVEVSRVNUX1RPVEFMLjIwMDAuNi8zMC8yMDE4LkxGUi5GLlVTRC5IAQAAAODuTwYDAAAAAADGJeOEFAnWCGfnWocUCdYIO0NJUS5DUFNFOk5PVk8gQi5JUV9FQklUREFfTUFSR0lOLjIwMDAuNi8zMC8yMDE4LkxGUi5GLlVTRC5I</t>
  </si>
  <si>
    <t>AQAAAHzvBAACAAAABzQ2LjE5MjMBCAAAAAUAAAABMQEAAAAKMTg5MjYyMzk1MwMAAAACNDICAAAABDQwNDcEAAAAATAHAAAACTYvMzAvMjAxOAgAAAAJMy8zMS8yMDE4CQAAAAEwlAtXhhQJ1gh70maHFAnWCDZDSVEuTllTRTpNWU9WLklRX0VBUk5JTkdfQ08uMTk5Mi42LzMwLzIwMTguTEZSLkYuVVNELkgBAAAAl9oLGAMAAAAAAGKSdIUUCdYIlKtfhxQJ1gg7Q0lRLk5BU0RBUUdNOk1OT1YuSVFfUFJFRl9FUVVJVFkuMjAwMC4zLzMxLzIwMTguTEZSLkYuVVNELkgBAAAAuFSNAAMAAAAAAMYl44QUCdYIp4RYhxQJ1gg+Q0lRLihJTlZBTElEIElERU5USUZJRVIpLklRX1BFUklPRERBVEVfSVMuMjAwMC42LzMwLzIwMTguTEZSLkYFAAAAAAAAAAgAAAAUKEludmFsaWQgSWRlbnRpZmllcinlD++EFAnWCDFeUYcUCdYIO0NJUS5OQVNEQVFHUzpMWFJYLklRX1RPVEFMX1JFVi5DWTIwMTYuNi8zMC8yMDE4LkxGUi5GLlVTRC5IAQAAAD14AAACAAAABjgzLjMzNwEIAAAABQAAAAExAQAAAAoxODc3MTMzOTY1AwAAAAMxNjACAAAAAjI4BAAAAAEwBwAAAAk2LzMwLzIwMTgIAAAACjEyLzMxLzIwMTYJAAAAATBiknSFFAnWCJSrX4cUCdYIPkNJUS5OQVNEQVFHUzpDWVRLLklRX0NBU0hfU1RfSU5WRVNULjIwMDAuMy8zMS8yMDE4LkxGUi5GLlVTRC5IAQAAALNqAAACAAAABzI2OC44OTEBCAAAAAUAAAABMQEAAAAK</t>
  </si>
  <si>
    <t>MTg3NzY2ODI5OQMAAAADMTYwAgAAAAQxMDAyBAAAAAEwBwAAAAkzLzMxLzIwMTgIAAAACjEyLzMxLzIwMTcJAAAAATCvhuWEFAnWCGUiVocUCdYIOkNJUS5FTlhUUEE6RVJZUC5JUV9UT1RBTF9FUVVJVFkuMTk5Ni42LzMwLzIwMTguTEZSLkYuVVNELkgBAAAA2Ip4AQIAAAAJMzcuNjIwNjA2AQgAAAAFAAAAATEBAAAACjE4ODUyMDQzNjkDAAAAAzE2MAIAAAAEMTI3NQQAAAABMAcAAAAJNi8zMC8yMDE4CAAAAAoxMi8zMS8yMDE2CQAAAAEw5Q/vhBQJ1ggxXlGHFAnWCClDSVEuSVE5NjA1MDU0My5JUV9HUC4yMDAwLjYvMzAvMjAxOC4uLlVTRAEAAABvnbkFAgAAAAktMC4wMTU1NDEBCAAAAAUAAAABMQEAAAAKMTg4ODY2Mzc0MgMAAAADMTYwAgAAAAIxMAQAAAABMAcAAAAJNi8zMC8yMDE4CAAAAAkzLzMxLzIwMTgJAAAAATDmO0WCFAnWCHvSZocUCdYIHUNJUS5OQVNEQVFHUzpOSVRFLklRX0VYQ0hBTkdFAQAAAAzTGBADAAAACE5hc2RhcUdTAMYl44QUCdYIp4RYhxQJ1ggnQ0lRLk5BU0RBUUdTOkxYUlguSVFfUEVSSU9EREFURV9JUy4xMDAwAQAAAD14AAAFAAAACjEyLzMxLzIwMTcAYpJ0hRQJ1giUq1+HFAnWCC1DSVEuT1RDUEs6TkVYUy5JUV9MQVNUU0FMRVBSSUNFLjYvMzAvMjAxOC5VU0QBAAAAHb1OFAIAAAAGMC4wNTk5AOUP74QUCdYIMV5RhxQJ1ggWQ0lRLjAuSVFfVFJfVEFSR0VUTkFNRQUA</t>
  </si>
  <si>
    <t>AAAAAAAACAAAABgoSW52YWxpZCBUcmFuc2FjdGlvbiBJZCnmO0WCFAnWCMQ0aYcUCdYIPENJUS5OQVNEQVFHUzpaRkdOLklRX0VBUk5JTkdfQ08uQ1kyMDE2LjYvMzAvMjAxOC5MRlIuRi5VU0QuSAEAAACXwLoBAgAAAActNTcuODc4AQgAAAAFAAAAATEBAAAACjE4Nzg3ODkzNzADAAAAAzE2MAIAAAABNwQAAAABMAcAAAAJNi8zMC8yMDE4CAAAAAoxMi8zMS8yMDE2CQAAAAEwxiXjhBQJ1ginhFiHFAnWCCBDSVEuSVFUUjI0OTk4MTU2NC5JUV9UUl9FQVJOT1VUUwEAAAB8auYOAgAAAAAA5jtFghQJ1gh70maHFAnWCDZDSVEuTkFTREFRQ006QllTSS5JUV9FQklUREEuMTk5Mi42LzMwLzIwMTguTEZSLkYuVVNELkgBAAAAR89sGAIAAAAGLTcuNDQ5AQgAAAAFAAAAATEBAAAACjE4NDUwMDczODQDAAAAAzE2MAIAAAAENDA1MQQAAAABMAcAAAAJNi8zMC8yMDE4CAAAAAkzLzMxLzIwMTYJAAAAATBiknSFFAnWCEVJXYcUCdYIK0NJUS5JUVRSMzEwMjI5MTg4LklRX1RSX0lNUExJRURfRVZfRUJJVF9GV0QBAAAAxLh9EgIAAAAAAOY7RYIUCdYIe9JmhxQJ1ghDQ0lRLk5BU0RBUUdTOkNCQVkuSVFfRUJJVERBXzJZUl9BTk5fQ0FHUi4yMDAwLjYvMzAvMjAxOC5MRlIuRi5VU0QuSAEAAADAegAAAwAAAAJOTQEIAAAABQAAAAExAQAAAAoxODg3NDQ1MDg0AwAAAAMxNjACAAAABDQyMDkEAAAAATAHAAAACTYvMzAv</t>
  </si>
  <si>
    <t>MjAxOAgAAAAJMy8zMS8yMDE4CQAAAAEwYpJ0hRQJ1ghn51qHFAnWCDpDSVEuTkFTREFRR006UllUTS5JUV9UT1RBTF9ERUJULjIwMDAuMy8zMS8yMDE4LkxGUi5GLlVTRC5IAQAAABjJbRICAAAAATABCAAAAAUAAAABMQEAAAAKMTg3ODAxNTg3NgMAAAADMTYwAgAAAAQ0MTczBAAAAAEwBwAAAAkzLzMxLzIwMTgIAAAACjEyLzMxLzIwMTcJAAAAATBiknSFFAnWCEVJXYcUCdYIO0NJUS5OQVNEQVFHTTpWVFZULklRX1BSRUZfRVFVSVRZLjIwMDAuMy8zMS8yMDE4LkxGUi5GLlVTRC5IAQAAAB2jHxIDAAAAAADlD++EFAnWCIbAU4cUCdYIPUNJUS5OQVNEQVFHUzpaRkdOLklRX1JFVkVOVUVfRVNULkNZMjAyMS42LzMwLzIwMTguQ09OLkYuVVNELkgBAAAAl8C6AQIAAAABMAEOAAAABQAAAAIxMQEAAAABMAIAAAAKMTAwMjgxMzQ0NwMAAAAGMTAwMTgwBAAAAAEyBgAAAAEwBwAAAAMxNjAIAAAAATAJAAAAATEKAAAAATALAAAACzEwODczNjQyNjU3DAAAAAE3DQAAAAg3LzEvMjAxOBAAAAAJNi8zMC8yMDE4r4blhBQJ1ginhFiHFAnWCD5DSVEuTkFTREFRR1M6SVRDSS5JUV9DQVNIX1NUX0lOVkVTVC4yMDAwLjYvMzAvMjAxOC5MRlIuRi5VU0QuSAEAAAB30Y8AAgAAAAo0MzcuMDA1NTEyAQgAAAAFAAAAATEBAAAACjE4ODY2MTczMjIDAAAAAzE2MAIAAAAEMTAwMgQAAAABMAcAAAAJNi8zMC8yMDE4CAAAAAkz</t>
  </si>
  <si>
    <t>LzMxLzIwMTgJAAAAATBiknSFFAnWCGfnWocUCdYINENJUS5FTlhUUEE6RVJZUC5JUV9FQklUREEuMjAwMC42LzMwLzIwMTguTEZSLkYuVVNELkgBAAAA2Ip4AQIAAAAJLTM2LjQ1MjkzAQgAAAAFAAAAATEBAAAACjE4ODUyMDQyMTkDAAAAAzE2MAIAAAAENDA1MQQAAAABMAcAAAAJNi8zMC8yMDE4CAAAAAoxMi8zMS8yMDE3CQAAAAEw5Q/vhBQJ1ggxXlGHFAnWCDNDSVEuKElOVkFMSUQgSURFTlRJRklFUikuSVFfTEFTVFNBTEVQUklDRS4zLzMxLzIwMTgFAAAAAAAAAAgAAAAUKEludmFsaWQgSWRlbnRpZmllcinlD++EFAnWCGD7TocUCdYINUNJUS5UU1hWOkNPQi5VLklRX1RPVEFMX0NMLjE5OTIuNi8zMC8yMDE4LkxGUi5GLlVTRC5IAQAAAL/7AAgCAAAACDAuNjA5MDAzAQgAAAAFAAAAATEBAAAACjE4NDI3NTg4MTADAAAAAzE2MAIAAAAEMTAwOQQAAAABMAcAAAAJNi8zMC8yMDE4CAAAAAkzLzMxLzIwMTYJAAAAATCvhuWEFAnWCIbAU4cUCdYIOENJUS5PVENQSzpSWkxULklRX1BSRUZfRVFVSVRZLjIwMDAuMy8zMS8yMDE4LkxGUi5GLlVTRC5IAQAAACEJmwoDAAAAAADlD++EFAnWCIbAU4cUCdYIOUNJUS5OQVNEQVFHUzpJVENJLklRX1RPVEFMX1JFVi4xOTkyLjYvMzAvMjAxOC5MRlIuRi5VU0QuSAEAAAB30Y8AAgAAAAgwLjA4ODA0OQEIAAAABQAAAAExAQAAAAoxODQxNzkyNjkyAwAAAAMxNjAC</t>
  </si>
  <si>
    <t>AAAAAjI4BAAAAAEwBwAAAAk2LzMwLzIwMTgIAAAACTMvMzEvMjAxNgkAAAABMGKSdIUUCdYIZ+dahxQJ1ggiQ0lRLklRVFIzODQwMjg0OTYuSVFfVFJfVEFSR0VUTkFNRQEAAABQz+MWAwAAABtWaXRhZSBQaGFybWFjZXV0aWNhbHMsIEluYy4A5jtFghQJ1gh70maHFAnWCDhDSVEuU0hTRTo2MDA4NjcuSVFfRUFSTklOR19DTy4xOTkyLjYvMzAvMjAxOC5MRlIuRi5VU0QuSAEAAADYPq4AAgAAAAk4Mi4wNjk4NTQBCAAAAAUAAAABMQEAAAAKMTgzODkzMDM1OQMAAAADMTYwAgAAAAE3BAAAAAEwBwAAAAk2LzMwLzIwMTgIAAAACTMvMzEvMjAxNgkAAAABMGKSdIUUCdYI4A1ihxQJ1gg1Q0lRLk5BU0RBUUdTOk9EVC5JUV9FQklUREEuMTk5Ni42LzMwLzIwMTguTEZSLkYuVVNELkgBAAAAGhpFIAMAAAAAAMYl44QUCdYIp4RYhxQJ1ggxQ0lRLkNQU0U6WkVBTC5JUV9DQVBFWC4xOTkyLjYvMzAvMjAxOC5MRlIuRi5VU0QuSAEAAAAiWxMAAgAAAAktMC41NjAyMDkBCAAAAAUAAAABMQEAAAAKMTg0MjczMTQzMwMAAAADMTYwAgAAAAQyMDIxBAAAAAEwBwAAAAk2LzMwLzIwMTgIAAAACTMvMzEvMjAxNgkAAAABMGKSdIUUCdYI4A1ihxQJ1ggsQ0lRLlNIU0U6NjAwODY3LklRX01BUktFVENBUC42LzMwLzIwMTguVVNELkgBAAAA2D6uAAIAAAALNzQzNi4yODI5OTcBBgAAAAUAAAABMQEAAAAKMTg4NTE0NjE1NgMA</t>
  </si>
  <si>
    <t>AAADMTYwAgAAAAYxMDAwNTQEAAAAATAHAAAACTYvMzAvMjAxOGKSdIUUCdYI4A1ihxQJ1gg4Q0lRLlNFSEs6MTUzMC5JUV9FQklUREFfRVNULkNZMjAyMC42LzMwLzIwMTguQ09OLkYuVVNELkgBAAAA77hwAQIAAAAOMzkwLjYxMDExMTA0MTMBDgAAAAUAAAACMTEBAAAAATACAAAACjEwMDA5NTEwMzMDAAAABjEwMDE4NwQAAAABMwYAAAABMAcAAAADMTYwCAAAAAEwCQAAAAExCgAAAAEwCwAAAAsxMDkyODYwMDU4MAwAAAABNw0AAAAINy8xLzIwMTgQAAAACTYvMzAvMjAxOOltWYYUCdYIL3BkhxQJ1gguQ0lRLk5BU0RBUUdNOk1OT1YuSVFfTUFSS0VUQ0FQLjMvMzEvMjAxOC5VU0QuSAEAAAC4VI0AAgAAAAk0MTguMjg5NzQBBgAAAAUAAAABMQEAAAAKMTg3NDAyNTA4NAMAAAADMTYwAgAAAAYxMDAwNTQEAAAAATAHAAAACTMvMzEvMjAxOMYl44QUCdYIp4RYhxQJ1ghGQ0lRLk5BU0RBUUNNOkFWRU8uSVFfVE9UQUxfUkVWXzVZUl9BTk5fQ0FHUi4yMDAwLjYvMzAvMjAxOC5MRlIuRi5VU0QuSAEAAAD0Fh0AAgAAAAgtMjAuMTg0OQEIAAAABQAAAAExAQAAAAoxODg3MjM0Mjk1AwAAAAMxNjACAAAABDQyMzMEAAAAATAHAAAACTYvMzAvMjAxOAgAAAAJMy8zMS8yMDE4CQAAAAEwxiXjhBQJ1ghlIlaHFAnWCB9DSVEuMC5JUV9UUl9JTVBMSUVEX0VWX0VCSVRfRldEBQAAAAAAAAAIAAAAGChJbnZhbGlkIFRy</t>
  </si>
  <si>
    <t>YW5zYWN0aW9uIElkKeY7RYIUCdYIxDRphxQJ1gguQ0lRLk5BU0RBUUdTOkNCQVkuSVFfTUFSS0VUQ0FQLjMvMzEvMjAxOC5VU0QuSAEAAADAegAAAgAAAAo3NTkuOTM4MzA0AQYAAAAFAAAAATEBAAAACjE4Nzg1MjQwODYDAAAAAzE2MAIAAAAGMTAwMDU0BAAAAAEwBwAAAAkzLzMxLzIwMThiknSFFAnWCGfnWocUCdYIOENJUS5PVENQSzpFTUlTLklRX1RPVEFMX1JFVi5DWTIwMTYuNi8zMC8yMDE4LkxGUi5GLlVTRC5IAQAAAD79AwACAAAABTEuMTk1AQgAAAAFAAAAATEBAAAACjE4MzQ1MDM0MzADAAAAAzE2MAIAAAACMjgEAAAAATAHAAAACTYvMzAvMjAxOAgAAAAKMTIvMzEvMjAxNgkAAAABMK+G5YQUCdYIZSJWhxQJ1ggdQ0lRLk5BU0RBUUdTOlhFUlMuSVFfRVhDSEFOR0UBAAAA4O5PBgMAAAAITmFzZGFxR1MAxiXjhBQJ1ghn51qHFAnWCENDSVEuTkFTREFRR006UllUTS5JUV9FQklUREFfM1lSX0FOTl9DQUdSLjIwMDAuNi8zMC8yMDE4LkxGUi5GLlVTRC5IAQAAABjJbRIDAAAAAABiknSFFAnWCEVJXYcUCdYIIkNJUS5JUVRSMTcxOTMwNTM0LklRX1RSX1BDVF9TT1VHSFQBAAAApnM/CgIAAAADMTAwAOY7RYIUCdYIe9JmhxQJ1ggpQ0lRLklRMjQ2NzcwODAuSVFfR1AuMjAwMC42LzMwLzIwMTguLi5VU0QBAAAA2Ip4AQIAAAAINC4wMzkzODUBCAAAAAUAAAABMQEAAAAKMTg4NTIwNDIxOQMAAAAD</t>
  </si>
  <si>
    <t>MTYwAgAAAAIxMAQAAAABMAcAAAAJNi8zMC8yMDE4CAAAAAoxMi8zMS8yMDE3CQAAAAEw5jtFghQJ1gh70maHFAnWCCdDSVEuQU1FWDpCVFguSVFfTEFTVFNBTEVQUklDRS4zLzMxLzIwMTgBAAAAFmQAAAIAAAAEMi42OQDGJeOEFAnWCGUiVocUCdYIKENJUS5TRUhLOjIxODYuSVFfTEFTVFNBTEVQUklDRS4zLzMxLzIwMTgBAAAAwoGYAAIAAAAIMC45NTY4MjkA6W1ZhhQJ1ggvcGSHFAnWCDhDSVEuVFNYVjpDT0IuVS5JUV9UT1RBTF9SRVYuQ1kyMDE3LjYvMzAvMjAxOC5MRlIuRi5VU0QuSAEAAAC/+wAIAwAAAAAAr4blhBQJ1gjENGmHFAnWCEZDSVEuTkFTREFRR006Rk9MRC5JUV9UT1RBTF9SRVZfM1lSX0FOTl9DQUdSLjIwMDAuNi8zMC8yMDE4LkxGUi5GLlVTRC5IAQAAAFb2agACAAAACDMwMC44MjU3AQgAAAAFAAAAATEBAAAACjE4ODg0ODQ2NTEDAAAAAzE2MAIAAAAENDIyMAQAAAABMAcAAAAJNi8zMC8yMDE4CAAAAAkzLzMxLzIwMTgJAAAAATBiknSFFAnWCJSrX4cUCdYIOkNJUS5OQVNEQVFHTTpSWVRNLklRX1RPVEFMX0RFQlQuMjAwMC42LzMwLzIwMTguTEZSLkYuVVNELkgBAAAAGMltEgIAAAABMAEIAAAABQAAAAExAQAAAAoxODg4OTExNDcwAwAAAAMxNjACAAAABDQxNzMEAAAAATAHAAAACTYvMzAvMjAxOAgAAAAJMy8zMS8yMDE4CQAAAAEwYpJ0hRQJ1ghFSV2HFAnWCDdDSVEuTkFTREFR</t>
  </si>
  <si>
    <t>Q006Q1VSLklRX1RPVEFMX0NMLjE5OTYuNi8zMC8yMDE4LkxGUi5GLlVTRC5IAQAAAPHudQACAAAACDUuMDQ3NjI0AQgAAAAFAAAAATEBAAAACjE4ODg4NzMxOTkDAAAAAzE2MAIAAAAEMTAwOQQAAAABMAcAAAAJNi8zMC8yMDE4CAAAAAkzLzMxLzIwMTcJAAAAATDlD++EFAnWCDFeUYcUCdYIKUNJUS5JUVRSMTA4OTA2Mjc2LklRX0JVU0lORVNTX0RFU0NSSVBUSU9OAQAAAAbHfQYDAAAA0AFNZXRhYm9sZXgsIEluYy4sIE1CWC0yOTgyIE5vdmVsIFR5cGUgMiBEaWFiZXRlcyBUcmVhdG1lbnQgUHJvZHVjdCBMaW5lIGNvbXByaXNlcyBNQlgtMjk4MiwgYSBwb3RlbnQgc2VsZWN0aXZlIG9yYWxseSBhY3RpdmUgR1BSMTE5IGFnb25pc3QgZm9yIHR5cGUgMiBkaWFiZXRlcy4gTWV0YWJvbGV4LCBJbmMuIGlzIGJhc2VkIGluIEhheXdhcmQsIENhbGlmb3JuaWEuAOY7RYIUCdYIxDRphxQJ1gg2Q0lRLlNFSEs6MzkzMy5JUV9UT1RBTF9ERUJULjIwMDAuNi8zMC8yMDE4LkxGUi5GLlVTRC5IAQAAAE3aEQICAAAACjc0Ni40NjExODUBCAAAAAUAAAABMQEAAAAKMTg4NTczOTIwMgMAAAADMTYwAgAAAAQ0MTczBAAAAAEwBwAAAAk2LzMwLzIwMTgIAAAACjEyLzMxLzIwMTcJAAAAATDpbVmGFAnWCC9wZIcUCdYIOENJUS5OQVNEQVFHTTpSWVRNLklRX1RPVEFMX0NBLjE5OTIuNi8zMC8yMDE4LkxGUi5GLlVTRC5I</t>
  </si>
  <si>
    <t>AQAAABjJbRIDAAAAAABiknSFFAnWCEVJXYcUCdYIPENJUS5OQVNEQVFHUzpYRVJTLklRX0VBUk5JTkdfQ08uQ1kyMDE3LjYvMzAvMjAxOC5MRlIuRi5VU0QuSAEAAADg7k8GAgAAAActMjYuNTU0AQgAAAAFAAAAATEBAAAACjE4OTA5NjE2NDcDAAAAAzE2MAIAAAABNwQAAAABMAcAAAAJNi8zMC8yMDE4CAAAAAoxMi8zMS8yMDE3CQAAAAEwxiXjhBQJ1ghn51qHFAnWCDxDSVEuTkFTREFRQ006Q1VSLklRX1JFVkVOVUVfRVNULkNZMjAyMS42LzMwLzIwMTguQ09OLkYuVVNELkgBAAAA8e51AAMAAAAAAOUP74QUCdYIMV5RhxQJ1ggpQ0lRLklRVFIxMDg5MDYyNzYuSVFfVFJfSU1QTElFRF9FUV9OSV9MVE0BAAAAJMd9BgIAAAAAAOY7RYIUCdYIxDRphxQJ1gg1Q0lRLk5BU0RBUUNNOkNPUlQuSVFfQ0FQRVguMjAwMC42LzMwLzIwMTguTEZSLkYuVVNELkgBAAAA0rkVAAIAAAAGLTAuMzg2AQgAAAAFAAAAATEBAAAACjE4ODgwOTk1NDQDAAAAAzE2MAIAAAAEMjAyMQQAAAABMAcAAAAJNi8zMC8yMDE4CAAAAAkzLzMxLzIwMTgJAAAAATBiknSFFAnWCJSrX4cUCdYINkNJUS5OQVNEQVFHUzpDWVRLLklRX0VCSVREQS4xOTk2LjYvMzAvMjAxOC5MRlIuRi5VU0QuSAEAAACzagAAAgAAAAUzLjg4MgEIAAAABQAAAAExAQAAAAoxODg4NDcwNjQxAwAAAAMxNjACAAAABDQwNTEEAAAAATAHAAAACTYvMzAvMjAxOAgA</t>
  </si>
  <si>
    <t>AAAJMy8zMS8yMDE3CQAAAAEwxiXjhBQJ1ghlIlaHFAnWCClDSVEuSVEzNjE4MzgzNC5JUV9MQVNUU0FMRVBSSUNFLjYvMzAvMjAxOAEAAAAaHygCAgAAAAQyLjgxAOY7RYIUCdYIxDRphxQJ1gg7Q0lRLk5BU0RBUUNNOkNVUi5JUV9FQklUREFfRVNULkNZMjAyMC42LzMwLzIwMTguQ09OLkYuVVNELkgBAAAA8e51AAMAAAAAAOUP74QUCdYIMV5RhxQJ1ggsQ0lRLlNFSEs6MTUzMC5JUV9MQVNUU0FMRVBSSUNFLjYvMzAvMjAxOC5VU0QBAAAA77hwAQIAAAAIMi4yNzExMjUA6W1ZhhQJ1ggvcGSHFAnWCDVDSVEuTkFTREFRR1M6WEVSUy5JUV9DQVBFWC4xOTk2LjYvMzAvMjAxOC5MRlIuRi5VU0QuSAEAAADg7k8GAwAAAAAAxiXjhBQJ1ghn51qHFAnWCDZDSVEuT1RDUEs6UlpMVC5JUV9UT1RBTF9SRVYuMTk5Mi42LzMwLzIwMTguTEZSLkYuVVNELkgBAAAAIQmbCgMAAAAAAOUP74QUCdYIhsBThxQJ1ggpQ0lRLklRVFIxMTc4MDM5MjAuSVFfQlVTSU5FU1NfREVTQ1JJUFRJT04BAAAAx/XYAQMAAAD+A01hcmNhZGlhIEJpb3RlY2gsIEluYy4gZGlzY292ZXJzLCBkZXZlbG9wcywgYW5kIGNvbW1lcmNpYWxpemVzIGRydWcgY2FuZGlkYXRlcyBhbmQgYmlvcGhhcm1hY2V1dGljYWwgcHJvZHVjdHMgZm9yIHRoZSB0cmVhdG1lbnQgb2YgZGlhYmV0ZXMsIG9iZXNpdHksIGFuZCBtZXRhYm9saWMgZGlzZWFzZXMu</t>
  </si>
  <si>
    <t>IEl0IGhhcyBhIHN0cmF0ZWdpYyBjb2xsYWJvcmF0aW9uIHdpdGggTWVyY2sgJiBDby4sIEluYy4gVGhlIGNvbXBhbnkgd2FzIGZvcm1lcmx5IGtub3duIGFzIFBoeVNjaSBQaGFybWFjZXV0aWNhbHMsIEluYy4gYW5kIGNoYW5nZWQgaXRzIG5hbWUgdG8gTWFyY2FkaWEgQmlvdGVjaCwgSW5jLiBpbiAyMDA2LiBUaGUgY29tcGFueSB3YXMgZm91bmRlZCBpbiAyMDA1IGFuZCBpcyBiYXNlZCBpbiBOdXRsZXksIE5ldyBKZXJzZXkuIEFzIG9mIERlY2VtYmVyIDMwLCAyMDEwLCBNYXJjYWRpYSBCaW90ZWNoLCBJbmMuIG9wZXJhdGVzIGFzIGEgc3Vic2lkaWFyeSBvZiBSb2NoZSBIb2xkaW5nIEFHLgDmO0WCFAnWCHvSZocUCdYIIkNJUS5JUVRSMjcwMDc0NzU0LklRX1RSX1BDVF9TT1VHSFQBAAAAggMZEAIAAAADMTAwAOY7RYIUCdYIe9JmhxQJ1ggxQ0lRLlNFSEs6MzkzMy5JUV9DQVBFWC4xOTk2LjYvMzAvMjAxOC5MRlIuRi5VU0QuSAEAAABN2hECAgAAAAotNTguMDE0ODA1AQgAAAAFAAAAATEBAAAACjE4ODU3MzkxOTkDAAAAAzE2MAIAAAAEMjAyMQQAAAABMAcAAAAJNi8zMC8yMDE4CAAAAAoxMi8zMS8yMDE2CQAAAAEw6W1ZhhQJ1gjgDWKHFAnWCCZDSVEuQ1BTRTpOT1ZPIEIuSVFfVEVWLjYvMzAvMjAxOC5VU0QuSAEAAAB87wQAAgAAAA0xMTA1ODQuMDg0MjM0AQYAAAAFAAAAATEBAAAACjE4OTI2</t>
  </si>
  <si>
    <t>MjMwNDQDAAAAAzE2MAIAAAAGMTAwMDYwBAAAAAEwBwAAAAk2LzMwLzIwMTiUC1eGFAnWCHvSZocUCdYIOkNJUS5PVENQSzpFTUlTLklRX1JFVkVOVUVfRVNULkNZMjAyMC42LzMwLzIwMTguQ09OLkYuVVNELkgBAAAAPv0DAAMAAAAAAK+G5YQUCdYIZSJWhxQJ1gguQ0lRLk5BU0RBUUdNOk1OS0QuSVFfTUFSS0VUQ0FQLjMvMzEvMjAxOC5VU0QuSAEAAABmpY0AAgAAAAoyODAuNDY1ODg1AQYAAAAFAAAAATEBAAAACjE4NzYyMzg5NDkDAAAAAzE2MAIAAAAGMTAwMDU0BAAAAAEwBwAAAAkzLzMxLzIwMTiUC1eGFAnWCOANYocUCdYIOUNJUS5UU1hWOkNPQi5VLklRX0VBUk5JTkdfQ08uQ1kyMDE3LjYvMzAvMjAxOC5MRlIuRi5VU0QuSAEAAAC/+wAIAgAAAAktOS44MzMxNTIBCAAAAAUAAAABMQEAAAAKMTg4MTE3MjU4MAMAAAADMTYwAgAAAAE3BAAAAAEwBwAAAAk2LzMwLzIwMTgIAAAACjEyLzMxLzIwMTcJAAAAATCvhuWEFAnWCIbAU4cUCdYIIUNJUS5TRUhLOjE1MzAuSVFfRklSU1RQUklDSU5HREFURQEAAADvuHABBQAAAAk2LzExLzIwMTUAlAtXhhQJ1ggvcGSHFAnWCDJDSVEuT1RDUEs6RU1JUy5JUV9EQV9DRi4yMDAwLjYvMzAvMjAxOC5MRlIuRi5VU0QuSAEAAAA+/QMAAgAAAAUwLjAwOAEIAAAABQAAAAExAQAAAAoxODQxODk4NTM1AwAAAAMxNjACAAAABDIxNjAEAAAAATAHAAAACTYvMzAvMjAx</t>
  </si>
  <si>
    <t>OAgAAAAJMy8zMS8yMDE3CQAAAAEwr4blhBQJ1gjENGmHFAnWCClDSVEuT1RDUEs6TkVYUy5JUV9MQVNUU0FMRVBSSUNFLjMvMzEvMjAxOAEAAAAdvU4UAgAAAAUwLjA2NgDlD++EFAnWCDFeUYcUCdYIO0NJUS5OQVNEQVFHUzpDWVRLLklRX1RPVEFMX1JFVi5DWTIwMTYuNi8zMC8yMDE4LkxGUi5GLlVTRC5IAQAAALNqAAACAAAABzEwNi40MDcBCAAAAAUAAAABMQEAAAAKMTg3NzY2ODMwNQMAAAADMTYwAgAAAAIyOAQAAAABMAcAAAAJNi8zMC8yMDE4CAAAAAoxMi8zMS8yMDE2CQAAAAEwxiXjhBQJ1ghlIlaHFAnWCDdDSVEuTkFTREFRR1M6T0RULklRX1RPVEFMX0NBLjE5OTYuNi8zMC8yMDE4LkxGUi5GLlVTRC5IAQAAABoaRSADAAAAAADGJeOEFAnWCKeEWIcUCdYIM0NJUS4oSU5WQUxJRCBJREVOVElGSUVSKS5JUV9HUC4yMDAwLjYvMzAvMjAxOC4uLlVTRAUAAAAAAAAACAAAABQoSW52YWxpZCBJZGVudGlmaWVyKeY7RYIUCdYIe9JmhxQJ1ggvQ0lRLklRVFI1NTI3MjAyMDcuSVFfVFJfVEFSR0VUX1RPVEFMX1JFVi4uVVNELkgBAAAAT9fxIAIAAAAIMC4wMDE5MDcBBgAAAAUAAAACMzcBAAAACjE4ODY0MjM4ODECAAAAAjI4AwAAAAMxNjAEAAAAATAHAAAACDEvMS8xOTAw5jtFghQJ1gh70maHFAnWCDNDSVEuQU1FWDpCVFguSVFfVE9UQUxfQ0EuMTk5Ni42LzMwLzIwMTguTEZSLkYuVVNELkgBAAAA</t>
  </si>
  <si>
    <t>FmQAAAIAAAAGMjkuMjU3AQgAAAAFAAAAATEBAAAACjE4ODc5ODAxNTcDAAAAAzE2MAIAAAAEMTAwOAQAAAABMAcAAAAJNi8zMC8yMDE4CAAAAAkzLzMxLzIwMTcJAAAAATDGJeOEFAnWCGUiVocUCdYIN0NJUS5TRUhLOjIxODYuSVFfVE9UQUxfUkVWLkNZMjAxNi42LzMwLzIwMTguTEZSLkYuVVNELkgBAAAAwoGYAAIAAAAKNDIwLjIyNTUzOAEIAAAABQAAAAExAQAAAAoxODg1NDk0ODM0AwAAAAMxNjACAAAAAjI4BAAAAAEwBwAAAAk2LzMwLzIwMTgIAAAACjEyLzMxLzIwMTYJAAAAATCUC1eGFAnWCC9wZIcUCdYIQ0NJUS5OQVNEQVFHUzpYRVJTLklRX0VCSVREQV8yWVJfQU5OX0NBR1IuMjAwMC42LzMwLzIwMTguTEZSLkYuVVNELkgBAAAA4O5PBgMAAAAAAMYl44QUCdYIZ+dahxQJ1ggpQ0lRLklRVFI1NTI3MjAyMDcuSVFfQlVTSU5FU1NfREVTQ1JJUFRJT04BAAAAtAzyIAMAAADMAkN1cmVETSBHcm91cCBIb2xkaW5ncywgTExDIGRldmVsb3BzIGFuZCBjb21tZXJjaWFsaXplcyB0aGVyYXBpZXMgdGhhdCBwcmV2ZW50LCBhbWVsaW9yYXRlIG9yIHJldmVyc2UgZGlhYmV0ZXMsIGFuZCBhbGxvdyBmb3IgdGhlIGRpc2NvbnRpbnVhdGlvbiBvZiBpbnN1bGluLiBUaGUgY29tcGFueSB3YXMgZm91bmRlZCBpbiAyMDEwIGFuZCBpcyBiYXNlZCBpbiBXaWxtaW5ndG9uLCBEZWxhd2FyZS4gQXMgb2YgRmVi</t>
  </si>
  <si>
    <t>cnVhcnkgMTIsIDIwMTgsIEN1cmVETSBHcm91cCBIb2xkaW5ncywgTExDIG9wZXJhdGVzIGFzIGEgc3Vic2lkaWFyeSBvZiBCb3N0b24gVGhlcmFwZXV0aWNzLCBJbmMuAOY7RYIUCdYIe9JmhxQJ1ggvQ0lRLklRVFI0MDIxMDM5MTkuSVFfVFJfVEFSR0VUX1RPVEFMX1JFVi4uVVNELkgBAAAAb573FwIAAAAHMC4wMDE5OQEGAAAABQAAAAIzNwEAAAAKMTc4OTI5NDA2MwIAAAACMjgDAAAAAzE2MAQAAAABMAcAAAAIMS8xLzE5MDDmO0WCFAnWCHvSZocUCdYIK0NJUS5JUVRSMTA4OTA2Mjc2LklRX1RSX1RPVEFMX0dST1NTX1RWLi5VU0QBAAAAJMd9BgIAAAADMzc1AQYAAAAFAAAAAjU0AQAAAAYxMDIwODgCAAAACTEwODkwNjI3NgMAAAAJMTA4OTA2MzgxBAAAAAMxNjAGAAAABUZhbHNl5jtFghQJ1gh70maHFAnWCDhDSVEuTkFTREFRR1M6Q1lUSy5JUV9UT1RBTF9DQS4yMDAwLjYvMzAvMjAxOC5MRlIuRi5VU0QuSAEAAACzagAAAgAAAAcyNzIuMzM5AQgAAAAFAAAAATEBAAAACjE4ODg0NzA2NjYDAAAAAzE2MAIAAAAEMTAwOAQAAAABMAcAAAAJNi8zMC8yMDE4CAAAAAkzLzMxLzIwMTgJAAAAATDGJeOEFAnWCGUiVocUCdYINUNJUS5TRUhLOjE1MzAuSVFfTklfTUFSR0lOLjIwMDAuNi8zMC8yMDE4LkxGUi5GLlVTRC5IAQAAAO+4cAECAAAABzI1LjA0ODMBCAAAAAUAAAABMQEAAAAKMTg4NjA5OTg2MgMA</t>
  </si>
  <si>
    <t>AAACMzICAAAABDQwOTQEAAAAATAHAAAACTYvMzAvMjAxOAgAAAAKMTIvMzEvMjAxNwkAAAABMJQLV4YUCdYIL3BkhxQJ1gg4Q0lRLk5BU0RBUUdNOkZPTEQuSVFfVE9UQUxfQ0wuMTk5Mi42LzMwLzIwMTguTEZSLkYuVVNELkgBAAAAVvZqAAIAAAAGNjQuNDI3AQgAAAAFAAAAATEBAAAACjE4NDE0NDc1NzMDAAAAAzE2MAIAAAAEMTAwOQQAAAABMAcAAAAJNi8zMC8yMDE4CAAAAAkzLzMxLzIwMTYJAAAAATBiknSFFAnWCJSrX4cUCdYIKUNJUS5BTUVYOkJUWC5JUV9NQVJLRVRDQVAuNi8zMC8yMDE4LlVTRC5IAQAAABZkAAACAAAACjI2MS4zNTg4NzQBBgAAAAUAAAABMQEAAAAKMTg4Nzk3OTQwOAMAAAADMTYwAgAAAAYxMDAwNTQEAAAAATAHAAAACTYvMzAvMjAxOMYl44QUCdYIZSJWhxQJ1ggyQ0lRLlNFSEs6MTUzMC5JUV9FQklUREEuMjAwMC42LzMwLzIwMTguTEZSLkYuVVNELkgBAAAA77hwAQIAAAAKMjA2LjI5MDEzMQEIAAAABQAAAAExAQAAAAoxODg2MDk5ODYyAwAAAAMxNjACAAAABDQwNTEEAAAAATAHAAAACTYvMzAvMjAxOAgAAAAKMTIvMzEvMjAxNwkAAAABMJQLV4YUCdYIL3BkhxQJ1gg7Q0lRLk5BU0RBUUdTOkNZVEsuSVFfRUJJVF9NQVJHSU4uMjAwMC42LzMwLzIwMTguTEZSLkYuVVNELkgBAAAAs2oAAAMAAAACTk0BCAAAAAUAAAABMQEAAAAKMTg4ODQ3MDY2NgMAAAADMTYwAgAAAAQ0</t>
  </si>
  <si>
    <t>MDUzBAAAAAEwBwAAAAk2LzMwLzIwMTgIAAAACTMvMzEvMjAxOAkAAAABMMYl44QUCdYIZSJWhxQJ1ggdQ0lRLk5BU0RBUUdTOkxYUlguSVFfRVhDSEFOR0UBAAAAPXgAAAMAAAAITmFzZGFxR1MAYpJ0hRQJ1giUq1+HFAnWCCJDSVEuSVFUUjI3MDA3NDc1NC5JUV9UUl9UT1RBTF9DQVNIAQAAAIIDGRACAAAAAzE1MADmO0WCFAnWCHvSZocUCdYIOENJUS5OQVNEQVFHTTpWVFZULklRX1RPVEFMX0NMLjIwMDAuNi8zMC8yMDE4LkxGUi5GLlVTRC5IAQAAAB2jHxICAAAABjI2LjgyMQEIAAAABQAAAAExAQAAAAoxODg5MDU2NTM3AwAAAAMxNjACAAAABDEwMDkEAAAAATAHAAAACTYvMzAvMjAxOAgAAAAJMy8zMS8yMDE4CQAAAAEw5Q/vhBQJ1giGwFOHFAnWCDxDSVEuTkFTREFRR006TU5PVi5JUV9FQVJOSU5HX0NPLkNZMjAxNi42LzMwLzIwMTguTEZSLkYuVVNELkgBAAAAuFSNAAIAAAAKLTEwLjg2NTk3OQEIAAAABQAAAAExAQAAAAoxODc0MDI1MDczAwAAAAMxNjACAAAAATcEAAAAATAHAAAACTYvMzAvMjAxOAgAAAAKMTIvMzEvMjAxNgkAAAABMMYl44QUCdYIp4RYhxQJ1ggtQ0lRLk5BU0RBUUdNOk1OT1YuSVFfRElWSURFTkRfWUlFTEQuNi8zMC8yMDE4AQAAALhUjQADAAAAAADGJeOEFAnWCKeEWIcUCdYIOUNJUS5UU1hWOkNPQi5VLklRX0VCSVREQV9FU1QuQ1kyMDIwLjYvMzAvMjAxOC5DT04uRi5V</t>
  </si>
  <si>
    <t>U0QuSAEAAAC/+wAIAwAAAAAAr4blhBQJ1giGwFOHFAnWCEdDSVEuTkFTREFRQ006QVZFTy5JUV9NSU5PUklUWV9JTlRFUkVTVF9UT1RBTC4yMDAwLjMvMzEvMjAxOC5MRlIuRi5VU0QuSAEAAAD0Fh0AAwAAAAAAxiXjhBQJ1ghlIlaHFAnWCDdDSVEuQU1FWDpCVFguSVFfVE9UQUxfRVFVSVRZLjE5OTYuNi8zMC8yMDE4LkxGUi5GLlVTRC5IAQAAABZkAAACAAAABzE4OS42OTcBCAAAAAUAAAABMQEAAAAKMTg4Nzk4MDE1NwMAAAADMTYwAgAAAAQxMjc1BAAAAAEwBwAAAAk2LzMwLzIwMTgIAAAACTMvMzEvMjAxNwkAAAABMMYl44QUCdYIZSJWhxQJ1ggqQ0lRLklRVFIxMDg5MDYyNzYuSVFfVFJfVEFSR0VUX0VCSVQuLlVTRC5IAQAAACTHfQYCAAAAAADmO0WCFAnWCMQ0aYcUCdYINkNJUS5TRUhLOjE1MzAuSVFfRUFSTklOR19DTy4xOTk2LjYvMzAvMjAxOC5MRlIuRi5VU0QuSAEAAADvuHABAgAAAAoxMDIuODY4MDQ3AQgAAAAFAAAAATEBAAAACjE4ODYwOTk4MjIDAAAAAzE2MAIAAAABNwQAAAABMAcAAAAJNi8zMC8yMDE4CAAAAAoxMi8zMS8yMDE2CQAAAAEwlAtXhhQJ1ggvcGSHFAnWCDxDSVEuTkFTREFRR006UllUTS5JUV9FQVJOSU5HX0NPLkNZMjAxNy42LzMwLzIwMTguTEZSLkYuVVNELkgBAAAAGMltEgIAAAAHLTMzLjcwOQEIAAAABQAAAAExAQAAAAoxODkzOTA1OTYxAwAAAAMxNjACAAAAATcE</t>
  </si>
  <si>
    <t>AAAAATAHAAAACTYvMzAvMjAxOAgAAAAKMTIvMzEvMjAxNwkAAAABMGKSdIUUCdYIRUldhxQJ1ghDQ0lRLk5BU0RBUUdTOklUQ0kuSVFfRUJJVERBXzVZUl9BTk5fQ0FHUi4yMDAwLjYvMzAvMjAxOC5MRlIuRi5VU0QuSAEAAAB30Y8AAwAAAAJOTQEIAAAABQAAAAExAQAAAAoxODg2NjE3MzIyAwAAAAMxNjACAAAABDQyMzUEAAAAATAHAAAACTYvMzAvMjAxOAgAAAAJMy8zMS8yMDE4CQAAAAEwYpJ0hRQJ1ghn51qHFAnWCDhDSVEuU0VISzoyMTg2LklRX0VCSVREQV9FU1QuQ1kyMDIwLjYvMzAvMjAxOC5DT04uRi5VU0QuSAEAAADCgZgAAgAAABAzMTMuNjExMzMxNzI0NzIyAQ4AAAAFAAAAAjExAQAAAAEwAgAAAAoxMDAyODM1MjE4AwAAAAYxMDAxODcEAAAAATMGAAAAATAHAAAAAzE2MAgAAAABMAkAAAABMQoAAAABMAsAAAALMTA5NDU3ODEzNjEMAAAAATcNAAAACDcvMS8yMDE4EAAAAAk2LzMwLzIwMTjpbVmGFAnWCC9wZIcUCdYII0NJUS5OWVNFOk1ZT1YuSVFfQkVUQV8yWVIuNi8zMC8yMDE4AQAAAJfaCxgCAAAAETAuNjg1NzE4MzA4Nzc1NjA4AGKSdIUUCdYIlKtfhxQJ1ghHQ0lRLk5BU0RBUUdTOkFQVFguSVFfTUlOT1JJVFlfSU5URVJFU1RfVE9UQUwuMjAwMC42LzMwLzIwMTguTEZSLkYuVVNELkgBAAAALykMFAMAAAAAAGKSdIUUCdYIRUldhxQJ1gg1Q0lRLk9UQ1BLOkJUSEUuSVFfVE9UQUxf</t>
  </si>
  <si>
    <t>Q0EuMjAwMC42LzMwLzIwMTguTEZSLkYuVVNELkgBAAAAb525BQIAAAAIMC40NjA3NDYBCAAAAAUAAAABMQEAAAAKMTg4ODY2Mzc0MgMAAAADMTYwAgAAAAQxMDA4BAAAAAEwBwAAAAk2LzMwLzIwMTgIAAAACTMvMzEvMjAxOAkAAAABMOUP74QUCdYIhsBThxQJ1gg1Q0lRLlRTWFY6Q09CLlUuSVFfVE9UQUxfQ0EuMjAwMC42LzMwLzIwMTguTEZSLkYuVVNELkgBAAAAv/sACAIAAAAIOC44NzUwNDgBCAAAAAUAAAABMQEAAAAKMTg4OTA2MjA3NAMAAAADMTYwAgAAAAQxMDA4BAAAAAEwBwAAAAk2LzMwLzIwMTgIAAAACTMvMzEvMjAxOAkAAAABMK+G5YQUCdYIhsBThxQJ1gghQ0lRLkNQU0U6WkVBTC5JUV9GSVJTVFBSSUNJTkdEQVRFAQAAACJbEwAFAAAACjExLzIzLzIwMTAAlAtXhhQJ1gjgDWKHFAnWCDVDSVEuTkFTREFRR1M6T0RULklRX0VCSVREQS4yMDAwLjYvMzAvMjAxOC5MRlIuRi5VU0QuSAEAAAAaGkUgAgAAAActNDYuODY1AQgAAAAFAAAAATEBAAAACjE4ODYzMDE0OTgDAAAAAzE2MAIAAAAENDA1MQQAAAABMAcAAAAJNi8zMC8yMDE4CAAAAAkzLzMxLzIwMTgJAAAAATDGJeOEFAnWCGfnWocUCdYIIENJUS5JUTM2MTgzODM3LklRX0xBU1RTQUxFUFJJQ0UuAQAAAB0fKAICAAAABDIuODIA6W1ZhhQJ1gjpbVmGFAnWCDxDSVEuTkFTREFRR1M6WEVSUy5JUV9FQklUREFfRVNULkNZMjAxOC42LzMw</t>
  </si>
  <si>
    <t>LzIwMTguQ09OLkYuVVNELkgBAAAA4O5PBgMAAAAAAK+G5YQUCdYIZ+dahxQJ1gg1Q0lRLlRTWFY6Q09CLlUuSVFfVE9UQUxfQ0EuMTk5Ni42LzMwLzIwMTguTEZSLkYuVVNELkgBAAAAv/sACAIAAAAIOS4zNjIzODIBCAAAAAUAAAABMQEAAAAKMTg4OTA2MjA2OQMAAAADMTYwAgAAAAQxMDA4BAAAAAEwBwAAAAk2LzMwLzIwMTgIAAAACTMvMzEvMjAxNwkAAAABMK+G5YQUCdYIhsBThxQJ1gg2Q0lRLk5BU0RBUUNNOlZLVFguSVFfRUJJVERBLjE5OTYuNi8zMC8yMDE4LkxGUi5GLlVTRC5IAQAAAPK8tQ4DAAAAAADGJeOEFAnWCGfnWocUCdYILkNJUS5OQVNEQVFHUzpDWVRLLklRX01BUktFVENBUC42LzMwLzIwMTguVVNELkgBAAAAs2oAAAIAAAAKNDQ5LjgzOTYzMgEGAAAABQAAAAExAQAAAAoxODg4NDcwMTk3AwAAAAMxNjACAAAABjEwMDA1NAQAAAABMAcAAAAJNi8zMC8yMDE4xiXjhBQJ1ghlIlaHFAnWCDVDSVEuT1RDUEs6TkVYUy5JUV9UT1RBTF9DTC4yMDAwLjYvMzAvMjAxOC5MRlIuRi5VU0QuSAEAAAAdvU4UAgAAAAgxLjgxNzY0OQEIAAAABQAAAAExAQAAAAoxODYyODYzMDkzAwAAAAMxNjACAAAABDEwMDkEAAAAATAHAAAACTYvMzAvMjAxOAgAAAAJNS8zMS8yMDE3CQAAAAEw5Q/vhBQJ1ggxXlGHFAnWCCVDSVEuTkFTREFRR1M6SUNQVC5JUV9GSVJTVFBSSUNJTkdEQVRFAQAAAIKvrQAFAAAA</t>
  </si>
  <si>
    <t>CjEwLzExLzIwMTIAlAtXhhQJ1ggvcGSHFAnWCCVDSVEuT1RDUEs6QlRIRS5JUV9URVYuNi8zMC8yMDE4LlVTRC5IAQAAAG+duQUCAAAACDkuODkxODQzAQYAAAAFAAAAATEBAAAACjE4ODg2NDc4MDcDAAAAAzE2MAIAAAAGMTAwMDYwBAAAAAEwBwAAAAk2LzMwLzIwMTjlD++EFAnWCIbAU4cUCdYINUNJUS5OQVNEQVFDTTpDVVIuSVFfRUJJVERBLjE5OTYuNi8zMC8yMDE4LkxGUi5GLlVTRC5IAQAAAPHudQACAAAACi0xOC42Nzc5OTIBCAAAAAUAAAABMQEAAAAKMTg4ODg3MzE5OQMAAAADMTYwAgAAAAQ0MDUxBAAAAAEwBwAAAAk2LzMwLzIwMTgIAAAACTMvMzEvMjAxNwkAAAABMOUP74QUCdYIMV5RhxQJ1ggoQ0lRLk5BU0RBUUdTOlhFUlMuSVFfVEVWLjYvMzAvMjAxOC5VU0QuSAEAAADg7k8GAgAAAAo0MzYuODE1NjU1AQYAAAAFAAAAATEBAAAACjE4OTA5NjA5MDcDAAAAAzE2MAIAAAAGMTAwMDYwBAAAAAEwBwAAAAk2LzMwLzIwMTjGJeOEFAnWCGfnWocUCdYIP0NJUS5DUFNFOlpFQUwuSVFfRUJJVERBXzVZUl9BTk5fQ0FHUi4yMDAwLjYvMzAvMjAxOC5MRlIuRi5VU0QuSAEAAAAiWxMAAwAAAAJOTQEIAAAABQAAAAExAQAAAAoxODg5OTEzMTAwAwAAAAI0MgIAAAAENDIzNQQAAAABMAcAAAAJNi8zMC8yMDE4CAAAAAkzLzMxLzIwMTgJAAAAATBiknSFFAnWCOANYocUCdYINUNJUS5OQVNEQVFDTTpB</t>
  </si>
  <si>
    <t>VkVPLklRX0NBUEVYLjE5OTYuNi8zMC8yMDE4LkxGUi5GLlVTRC5IAQAAAPQWHQACAAAABi0wLjAwNwEIAAAABQAAAAExAQAAAAoxODg3MjM0MjkxAwAAAAMxNjACAAAABDIwMjEEAAAAATAHAAAACTYvMzAvMjAxOAgAAAAJMy8zMS8yMDE3CQAAAAEwxiXjhBQJ1ghlIlaHFAnWCC9DSVEuSVFUUjE3MTkzMDUzNC5JUV9UUl9JTVBMSUVEX0VWX0ZJTkFMLi5VU0QuSAEAAACmcz8KAgAAAAAA5jtFghQJ1gh70maHFAnWCDZDSVEuTkFTREFRR006VlRWVC5JUV9FQklUREEuMTk5Ni42LzMwLzIwMTguTEZSLkYuVVNELkgBAAAAHaMfEgIAAAAHLTU0Ljk5NgEIAAAABQAAAAExAQAAAAoxODg5MDU2NTE0AwAAAAMxNjACAAAABDQwNTEEAAAAATAHAAAACTYvMzAvMjAxOAgAAAAJMy8zMS8yMDE3CQAAAAEw5Q/vhBQJ1giGwFOHFAnWCB1DSVEuTkFTREFRR1M6Q0JBWS5JUV9FWENIQU5HRQEAAADAegAAAwAAAAhOYXNkYXFHUwBiknSFFAnWCEVJXYcUCdYINkNJUS5TRUhLOjM5MzMuSVFfRUFSTklOR19DTy4yMDAwLjYvMzAvMjAxOC5MRlIuRi5VU0QuSAEAAABN2hECAgAAAAkxMi41NjUyMDIBCAAAAAUAAAABMQEAAAAKMTg4NTczOTIwMgMAAAADMTYwAgAAAAE3BAAAAAEwBwAAAAk2LzMwLzIwMTgIAAAACjEyLzMxLzIwMTcJAAAAATDpbVmGFAnWCOANYocUCdYIL0NJUS5OQVNEQVFDTTpDVVIuSVFfTEFTVFNBTEVQ</t>
  </si>
  <si>
    <t>UklDRS42LzMwLzIwMTguVVNEAQAAAPHudQACAAAABDEuMTEA5Q/vhBQJ1ggxXlGHFAnWCB1DSVEuQ1BTRTpaRUFMLklRX0NPTVBBTllfTkFNRQEAAAAiWxMAAwAAABJaZWFsYW5kIFBoYXJtYSBBL1MAlAtXhhQJ1gjgDWKHFAnWCDpDSVEuTkFTREFRR1M6Q0JBWS5JUV9FQVJOSU5HX0NPLjIwMDAuNi8zMC8yMDE4LkxGUi5GLlVTRC5IAQAAAMB6AAACAAAABy0zOS4yMTEBCAAAAAUAAAABMQEAAAAKMTg4NzQ0NTA4NAMAAAADMTYwAgAAAAE3BAAAAAEwBwAAAAk2LzMwLzIwMTgIAAAACTMvMzEvMjAxOAkAAAABMGKSdIUUCdYIZ+dahxQJ1gggQ0lRLklRVFIxNzE5MzA1MzQuSVFfVFJfRUFSTk9VVFMBAAAApnM/CgIAAAAAAOY7RYIUCdYIe9JmhxQJ1gglQ0lRLkVOWFRQQTpFUllQLklRX1BFUklPRERBVEVfSVMuMTAwMAEAAADYingBBQAAAAoxMi8zMS8yMDE3AOUP74QUCdYIMV5RhxQJ1gg6Q0lRLk9UQ1BLOkJUSEUuSVFfUkVWRU5VRV9FU1QuQ1kyMDE4LjYvMzAvMjAxOC5DT04uRi5VU0QuSAEAAABvnbkFAwAAAAAA5Q/vhBQJ1giGwFOHFAnWCERDSVEuU0hTRTo2MDA4NjcuSVFfVE9UQUxfUkVWXzNZUl9BTk5fQ0FHUi4yMDAwLjYvMzAvMjAxOC5MRlIuRi5VU0QuSAEAAADYPq4AAgAAAAcyMS4wNjQ3AQgAAAAFAAAAATEBAAAACjE4ODUxNDYyNzMDAAAAAjMyAgAAAAQ0MjIwBAAAAAEwBwAAAAk2LzMw</t>
  </si>
  <si>
    <t>LzIwMTgIAAAACTMvMzEvMjAxOAkAAAABMGKSdIUUCdYI4A1ihxQJ1gg0Q0lRLlNIU0U6NjAwODY3LklRX0VCSVREQS4xOTk2LjYvMzAvMjAxOC5MRlIuRi5VU0QuSAEAAADYPq4AAgAAAAoxNDcuOTU3MDc2AQgAAAAFAAAAATEBAAAACjE4ODUxNDYyNjkDAAAAAzE2MAIAAAAENDA1MQQAAAABMAcAAAAJNi8zMC8yMDE4CAAAAAkzLzMxLzIwMTcJAAAAATBiknSFFAnWCOANYocUCdYIIkNJUS5BTUVYOkJUWC5JUV9CRVRBXzVZUi42LzMwLzIwMTgBAAAAFmQAAAIAAAAQMi4wMzUwNTYwMzAyMDM1NgCvhuWEFAnWCGUiVocUCdYIPkNJUS5OQVNEQVFHUzpYRVJTLklRX0NBU0hfU1RfSU5WRVNULjIwMDAuMy8zMS8yMDE4LkxGUi5GLlVTRC5IAQAAAODuTwYCAAAABjQyLjA0NQEIAAAABQAAAAExAQAAAAoxODkwOTYxNjQ3AwAAAAMxNjACAAAABDEwMDIEAAAAATAHAAAACTMvMzEvMjAxOAgAAAAKMTIvMzEvMjAxNwkAAAABMMYl44QUCdYIZ+dahxQJ1gg1Q0lRLlNFSEs6MTUzMC5JUV9UT1RBTF9SRVYuMTk5Ni42LzMwLzIwMTguTEZSLkYuVVNELkgBAAAA77hwAQIAAAAKNDAyLjg3MDIwOAEIAAAABQAAAAExAQAAAAoxODg2MDk5ODIyAwAAAAMxNjACAAAAAjI4BAAAAAEwBwAAAAk2LzMwLzIwMTgIAAAACjEyLzMxLzIwMTYJAAAAATCUC1eGFAnWCC9wZIcUCdYIK0NJUS5OQVNEQVFHUzpPRFQuSVFfTEFTVFNB</t>
  </si>
  <si>
    <t>TEVQUklDRS4zLzMxLzIwMTgBAAAAGhpFIAIAAAAFMjEuMTgAxiXjhBQJ1ginhFiHFAnWCCpDSVEuTllTRTpNWU9WLklRX01BUktFVENBUC42LzMwLzIwMTguVVNELkgBAAAAl9oLGAIAAAAKMTQ4My42OTEyNQEGAAAABQAAAAExAQAAAAoxODkyODM0NzI2AwAAAAMxNjACAAAABjEwMDA1NAQAAAABMAcAAAAJNi8zMC8yMDE4YpJ0hRQJ1giUq1+HFAnWCDhDSVEuRU5YVFBBOkVSWVAuSVFfRUFSTklOR19DTy4xOTkyLjYvMzAvMjAxOC5MRlIuRi5VU0QuSAEAAADYingBAgAAAAotMTYuMzA1MTg2AQgAAAAFAAAAATEBAAAACjE4ODUyMDQ0MDcDAAAAAzE2MAIAAAABNwQAAAABMAcAAAAJNi8zMC8yMDE4CAAAAAoxMi8zMS8yMDE1CQAAAAEw5Q/vhBQJ1ggxXlGHFAnWCDhDSVEuTkFTREFRQ006Q1VSLklRX1RPVEFMX1JFVi4yMDAwLjYvMzAvMjAxOC5MRlIuRi5VU0QuSAEAAADx7nUAAgAAAAQwLjI2AQgAAAAFAAAAATEBAAAACjE4ODg4NzMyMTkDAAAAAzE2MAIAAAACMjgEAAAAATAHAAAACTYvMzAvMjAxOAgAAAAJMy8zMS8yMDE4CQAAAAEw5Q/vhBQJ1ggxXlGHFAnWCD1DSVEuTkFTREFRR1M6Q0JBWS5JUV9SRVZFTlVFX0VTVC5DWTIwMTkuNi8zMC8yMDE4LkNPTi5GLlVTRC5IAQAAAMB6AAACAAAABzIuODU3MTQBDgAAAAUAAAACMTEBAAAAATACAAAACjEwMDI4MjYwNjUDAAAABjEwMDE4MAQAAAABMgYA</t>
  </si>
  <si>
    <t>AAABMAcAAAADMTYwCAAAAAEwCQAAAAExCgAAAAEwCwAAAAsxMDk0NTU3MzQyMgwAAAABNw0AAAAINy8xLzIwMTgQAAAACTYvMzAvMjAxOGKSdIUUCdYIRUldhxQJ1gg4Q0lRLlNFSEs6MTUzMC5JUV9HUk9TU19NQVJHSU4uMjAwMC42LzMwLzIwMTguTEZSLkYuVVNELkgBAAAA77hwAQIAAAAHODEuODkxNAEIAAAABQAAAAExAQAAAAoxODg2MDk5ODYyAwAAAAIzMgIAAAAENDA3NAQAAAABMAcAAAAJNi8zMC8yMDE4CAAAAAoxMi8zMS8yMDE3CQAAAAEwlAtXhhQJ1ggvcGSHFAnWCDZDSVEuU0VISzozOTMzLklRX1RPVEFMX0RFQlQuMjAwMC4zLzMxLzIwMTguTEZSLkYuVVNELkgBAAAATdoRAgIAAAAJODI0Ljg0NzU2AQgAAAAFAAAAATEBAAAACjE4NjA0MTczOTUDAAAAAzE2MAIAAAAENDE3MwQAAAABMAcAAAAJMy8zMS8yMDE4CAAAAAk2LzMwLzIwMTcJAAAAATDpbVmGFAnWCOANYocUCdYIOENJUS5DUFNFOk5PVk8gQi5JUV9FQVJOSU5HX0NPLjE5OTIuNi8zMC8yMDE4LkxGUi5GLlVTRC5IAQAAAHzvBAACAAAACzUyNjQuMTMxMzI5AQgAAAAFAAAAATEBAAAACjE4NDAwNjk2NTcDAAAAAzE2MAIAAAABNwQAAAABMAcAAAAJNi8zMC8yMDE4CAAAAAkzLzMxLzIwMTYJAAAAATCUC1eGFAnWCHvSZocUCdYIM0NJUS5BTUVYOkJUWC5JUV9UT1RBTF9DQS4xOTkyLjYvMzAvMjAxOC5MRlIuRi5VU0QuSAEAAAAW</t>
  </si>
  <si>
    <t>ZAAAAgAAAAYzMi45MDcBCAAAAAUAAAABMQEAAAAKMTg0MTE4MDE2MwMAAAADMTYwAgAAAAQxMDA4BAAAAAEwBwAAAAk2LzMwLzIwMTgIAAAACTMvMzEvMjAxNgkAAAABMMYl44QUCdYIZSJWhxQJ1gg9Q0lRLk5BU0RBUUdTOkNZVEsuSVFfUkVWRU5VRV9FU1QuQ1kyMDE4LjYvMzAvMjAxOC5DT04uRi5VU0QuSAEAAACzagAAAgAAAAgyMi4xMTk0MgEOAAAABQAAAAIxMQEAAAABMAIAAAAKMTAwMTUwNzA1OAMAAAAGMTAwMTgwBAAAAAEyBgAAAAEwBwAAAAMxNjAIAAAAATAJAAAAATEKAAAAATALAAAACzEwOTQ2NDQ1Mzc0DAAAAAE3DQAAAAg3LzEvMjAxOBAAAAAJNi8zMC8yMDE4r4blhBQJ1ghlIlaHFAnWCDVDSVEuTkFTREFRQ006QVZFTy5JUV9EQV9DRi4yMDAwLjYvMzAvMjAxOC5MRlIuRi5VU0QuSAEAAAD0Fh0AAwAAAAAAxiXjhBQJ1ghlIlaHFAnWCDhDSVEuT1RDUEs6RU1JUy5JUV9QUkVGX0VRVUlUWS4yMDAwLjYvMzAvMjAxOC5MRlIuRi5VU0QuSAEAAAA+/QMAAwAAAAAAr4blhBQJ1ghlIlaHFAnWCCFDSVEuTkFTREFRR006Rk9MRC5JUV9DT01QQU5ZX05BTUUBAAAAVvZqAAMAAAAZQW1pY3VzIFRoZXJhcGV1dGljcywgSW5jLgBiknSFFAnWCJSrX4cUCdYIN0NJUS5TRUhLOjE1MzAuSVFfVE9UQUxfUkVWLkNZMjAxNy42LzMwLzIwMTguTEZSLkYuVVNELkgBAAAA77hwAQIAAAAKNTczLjkyMTM0</t>
  </si>
  <si>
    <t>MgEIAAAABQAAAAExAQAAAAoxODg2MDk5ODYyAwAAAAMxNjACAAAAAjI4BAAAAAEwBwAAAAk2LzMwLzIwMTgIAAAACjEyLzMxLzIwMTcJAAAAATCUC1eGFAnWCC9wZIcUCdYIQ0NJUS5OQVNEQVFHUzpaRkdOLklRX0VCSVREQV8yWVJfQU5OX0NBR1IuMjAwMC42LzMwLzIwMTguTEZSLkYuVVNELkgBAAAAl8C6AQMAAAACTk0BCAAAAAUAAAABMQEAAAAKMTg4OTg5NTM4MQMAAAADMTYwAgAAAAQ0MjA5BAAAAAEwBwAAAAk2LzMwLzIwMTgIAAAACTMvMzEvMjAxOAkAAAABMMYl44QUCdYIp4RYhxQJ1ggnQ0lRLk5BU0RBUUdTOkxYUlguSVFfQkVUQV8xWVIuNi8zMC8yMDE4AQAAAD14AAACAAAAEDAuNjM1MTY2Mzc0NTc1OTcAYpJ0hRQJ1giUq1+HFAnWCDNDSVEuU0hTRTo2MDA4NjcuSVFfQ0FQRVguMTk5Mi42LzMwLzIwMTguTEZSLkYuVVNELkgBAAAA2D6uAAIAAAAJLTg0LjI0NjY5AQgAAAAFAAAAATEBAAAACjE4Mzg5MzAzNTkDAAAAAzE2MAIAAAAEMjAyMQQAAAABMAcAAAAJNi8zMC8yMDE4CAAAAAkzLzMxLzIwMTYJAAAAATBiknSFFAnWCOANYocUCdYIO0NJUS5PVENQSzpFTUlTLklRX1RPVEFMX0VRVUlUWS5DWTIwMTYuNi8zMC8yMDE4LkxGUi5GLlVTRC5IAQAAAD79AwACAAAACC0xNjEuNDA4AQgAAAAFAAAAATEBAAAACjE4MzQ1MDM0MzADAAAAAzE2MAIAAAAEMTI3NQQAAAABMAcAAAAJNi8zMC8y</t>
  </si>
  <si>
    <t>MDE4CAAAAAoxMi8zMS8yMDE2CQAAAAEwr4blhBQJ1ghlIlaHFAnWCDtDSVEuTkFTREFRR1M6WEVSUy5JUV9QUkVGX0VRVUlUWS4yMDAwLjYvMzAvMjAxOC5MRlIuRi5VU0QuSAEAAADg7k8GAgAAAAcxMDIuMjkyAQgAAAAFAAAAATEBAAAACjE4OTA5NjE2NTUDAAAAAzE2MAIAAAAEMTAwNQQAAAABMAcAAAAJNi8zMC8yMDE4CAAAAAkzLzMxLzIwMTgJAAAAATDGJeOEFAnWCGfnWocUCdYIPENJUS5OQVNEQVFDTTpBVkVPLklRX0VBUk5JTkdfQ08uQ1kyMDE3LjYvMzAvMjAxOC5MRlIuRi5VU0QuSAEAAAD0Fh0AAgAAAActNjUuMDI1AQgAAAAFAAAAATEBAAAACjE4NzgwODI2NTMDAAAAAzE2MAIAAAABNwQAAAABMAcAAAAJNi8zMC8yMDE4CAAAAAoxMi8zMS8yMDE3CQAAAAEwxiXjhBQJ1ghlIlaHFAnWCDtDSVEuTkFTREFRQ006QllTSS5JUV9QUkVGX0VRVUlUWS4yMDAwLjMvMzEvMjAxOC5MRlIuRi5VU0QuSAEAAABHz2wYAwAAAAAAYpJ0hRQJ1ghFSV2HFAnWCD1DSVEuTkFTREFRR1M6WEVSUy5JUV9FQklUREFfTUFSR0lOLjIwMDAuNi8zMC8yMDE4LkxGUi5GLlVTRC5IAQAAAODuTwYDAAAAAk5NAQgAAAAFAAAAATEBAAAACjE4OTA5NjE2NTUDAAAAAzE2MAIAAAAENDA0NwQAAAABMAcAAAAJNi8zMC8yMDE4CAAAAAkzLzMxLzIwMTgJAAAAATDGJeOEFAnWCGfnWocUCdYIIUNJUS5JUTI0Njc5MTQxMC5J</t>
  </si>
  <si>
    <t>UV9DT01QQU5ZX1RJQ0tFUgEAAADyvLUOAwAAAA1OYXNkYXFDTTpWS1RYAOY7RYIUCdYITYSwghQJ1gg4Q0lRLlNFSEs6MzkzMy5JUV9FQVJOSU5HX0NPLkNZMjAxNi42LzMwLzIwMTguTEZSLkYuVVNELkgBAAAATdoRAgIAAAAKLTM5LjIyNjE3MgEIAAAABQAAAAExAQAAAAoxODg1NzM5MTk5AwAAAAMxNjACAAAAATcEAAAAATAHAAAACTYvMzAvMjAxOAgAAAAKMTIvMzEvMjAxNgkAAAABMOltWYYUCdYI4A1ihxQJ1gg4Q0lRLk5BU0RBUUdTOk5JVEUuSVFfVE9UQUxfQ0wuMTk5Ni42LzMwLzIwMTguTEZSLkYuVVNELkgBAAAADNMYEAMAAAAAAMYl44QUCdYIp4RYhxQJ1ggsQ0lRLk5BU0RBUUdNOlZUVlQuSVFfTEFTVFNBTEVQUklDRS4zLzMxLzIwMTgBAAAAHaMfEgIAAAAENC4wNwDlD++EFAnWCIbAU4cUCdYIO0NJUS5PVENQSzpCVEhFLklRX0NBU0hfU1RfSU5WRVNULjIwMDAuMy8zMS8yMDE4LkxGUi5GLlVTRC5IAQAAAG+duQUCAAAACDAuMTM3Mjc5AQgAAAAFAAAAATEBAAAACjE4ODAxMDU2MjgDAAAAAzE2MAIAAAAEMTAwMgQAAAABMAcAAAAJMy8zMS8yMDE4CAAAAAoxMi8zMS8yMDE3CQAAAAEw5Q/vhBQJ1ggxXlGHFAnWCD9DSVEuU0VISzoyMTg2LklRX0VCSVREQV8zWVJfQU5OX0NBR1IuMjAwMC42LzMwLzIwMTguTEZSLkYuVVNELkgBAAAAwoGYAAIAAAAHMTMuODM1NQEIAAAABQAAAAExAQAA</t>
  </si>
  <si>
    <t>AAoxODg1NDk1MDA2AwAAAAIzMgIAAAAENDIyMgQAAAABMAcAAAAJNi8zMC8yMDE4CAAAAAoxMi8zMS8yMDE3CQAAAAEw6W1ZhhQJ1ggvcGSHFAnWCB5DSVEuT1RDUEs6TkVYUy5JUV9DT01QQU5ZX05BTUUBAAAAHb1OFAMAAAAVTmV4dXMgQmlvUGhhcm1hLCBJbmMuAOUP74QUCdYIMV5RhxQJ1ggnQ0lRLk5BU0RBUUdNOkZPTEQuSVFfQkVUQV8yWVIuNi8zMC8yMDE4AQAAAFb2agACAAAAEDIuNTE1NzgyNzMwMzQ3OTEAYpJ0hRQJ1giUq1+HFAnWCDVDSVEuT1RDUEs6RU1JUy5JUV9UT1RBTF9DTC4yMDAwLjYvMzAvMjAxOC5MRlIuRi5VU0QuSAEAAAA+/QMAAgAAAAU2LjU3OAEIAAAABQAAAAExAQAAAAoxODQxODk4NTM1AwAAAAMxNjACAAAABDEwMDkEAAAAATAHAAAACTYvMzAvMjAxOAgAAAAJMy8zMS8yMDE3CQAAAAEwr4blhBQJ1ghlIlaHFAnWCD5DSVEuTkFTREFRR006Rk9MRC5JUV9UT1RBTF9FUVVJVFkuQ1kyMDE3LjYvMzAvMjAxOC5MRlIuRi5VU0QuSAEAAABW9moAAgAAAAYzNTIuODUBCAAAAAUAAAABMQEAAAAKMTg3NzI3MTc4MAMAAAADMTYwAgAAAAQxMjc1BAAAAAEwBwAAAAk2LzMwLzIwMTgIAAAACjEyLzMxLzIwMTcJAAAAATBiknSFFAnWCJSrX4cUCdYIPENJUS5OQVNEQVFDTTpDT1JULklRX0dST1NTX01BUkdJTi4yMDAwLjYvMzAvMjAxOC5MRlIuRi5VU0QuSAEAAADSuRUAAgAAAAc5</t>
  </si>
  <si>
    <t>Ny44NDMxAQgAAAAFAAAAATEBAAAACjE4ODgwOTk1NDQDAAAAAzE2MAIAAAAENDA3NAQAAAABMAcAAAAJNi8zMC8yMDE4CAAAAAkzLzMxLzIwMTgJAAAAATBiknSFFAnWCJSrX4cUCdYINENJUS5TRUhLOjE1MzAuSVFfVE9UQUxfQ0EuMTk5Ni42LzMwLzIwMTguTEZSLkYuVVNELkgBAAAA77hwAQIAAAAIMzIyLjcxMzgBCAAAAAUAAAABMQEAAAAKMTg4NjA5OTgyMgMAAAADMTYwAgAAAAQxMDA4BAAAAAEwBwAAAAk2LzMwLzIwMTgIAAAACjEyLzMxLzIwMTYJAAAAATCUC1eGFAnWCC9wZIcUCdYIPENJUS5TSFNFOjYwMDg2Ny5JUV9DQVNIX1NUX0lOVkVTVC4yMDAwLjYvMzAvMjAxOC5MRlIuRi5VU0QuSAEAAADYPq4AAgAAAAk3NS45NTgyOTgBCAAAAAUAAAABMQEAAAAKMTg4NTE0NjI3MwMAAAADMTYwAgAAAAQxMDAyBAAAAAEwBwAAAAk2LzMwLzIwMTgIAAAACTMvMzEvMjAxOAkAAAABMGKSdIUUCdYI4A1ihxQJ1gglQ0lRLklRVFIzMTAyMjkxODguSVFfVFJfSU1QTElFRF9FUV9CVgEAAADEuH0SAgAAAAAA5jtFghQJ1gh70maHFAnWCDFDSVEuQ1BTRTpaRUFMLklRX0NBUEVYLjE5OTYuNi8zMC8yMDE4LkxGUi5GLlVTRC5IAQAAACJbEwACAAAACS0wLjYyMjE4MwEIAAAABQAAAAExAQAAAAoxODg5OTEzMDk3AwAAAAMxNjACAAAABDIwMjEEAAAAATAHAAAACTYvMzAvMjAxOAgAAAAJMy8zMS8yMDE3CQAA</t>
  </si>
  <si>
    <t>AAEwYpJ0hRQJ1gjgDWKHFAnWCDlDSVEuTkFTREFRQ006QllTSS5JUV9UT1RBTF9SRVYuMTk5Mi42LzMwLzIwMTguTEZSLkYuVVNELkgBAAAAR89sGAMAAAAAAGKSdIUUCdYIRUldhxQJ1ggeQ0lRLklRMzYxODM4NDAuSVFfQ09NUEFOWV9OQU1FAQAAACAfKAIDAAAAMlVuaXRlZCBTdGF0ZXMgVHJlYXN1cnkgQ29uc3RhbnQgTWF0dXJpdHkgLSAyMCBZZWFyAOY7RYIUCdYIWEqWghQJ1gg0Q0lRLk5BU0RBUUNNOkNVUi5JUV9DQVBFWC4xOTkyLjYvMzAvMjAxOC5MRlIuRi5VU0QuSAEAAADx7nUAAgAAAAktMC4xNzQ4MTgBCAAAAAUAAAABMQEAAAAKMTg0MTA3MjY4NQMAAAADMTYwAgAAAAQyMDIxBAAAAAEwBwAAAAk2LzMwLzIwMTgIAAAACTMvMzEvMjAxNgkAAAABMOUP74QUCdYIMV5RhxQJ1gg6Q0lRLk5BU0RBUUdTOkNZVEsuSVFfRUFSTklOR19DTy4yMDAwLjYvMzAvMjAxOC5MRlIuRi5VU0QuSAEAAACzagAAAgAAAAgtMTMyLjIwNAEIAAAABQAAAAExAQAAAAoxODg4NDcwNjY2AwAAAAMxNjACAAAAATcEAAAAATAHAAAACTYvMzAvMjAxOAgAAAAJMy8zMS8yMDE4CQAAAAEwxiXjhBQJ1ghlIlaHFAnWCDVDSVEuTkFTREFRR006VlRWVC5JUV9DQVBFWC4yMDAwLjYvMzAvMjAxOC5MRlIuRi5VU0QuSAEAAAAdox8SAgAAAAYtMC4wMTgBCAAAAAUAAAABMQEAAAAKMTg4OTA1NjUzNwMAAAADMTYwAgAAAAQy</t>
  </si>
  <si>
    <t>MDIxBAAAAAEwBwAAAAk2LzMwLzIwMTgIAAAACTMvMzEvMjAxOAkAAAABMOUP74QUCdYIhsBThxQJ1ghGQ0lRLk5BU0RBUUdTOlpGR04uSVFfVE9UQUxfUkVWXzJZUl9BTk5fQ0FHUi4yMDAwLjYvMzAvMjAxOC5MRlIuRi5VU0QuSAEAAACXwLoBAwAAAAAAxiXjhBQJ1ginhFiHFAnWCDxDSVEuTkFTREFRR1M6Q1lUSy5JUV9UT1RBTF9FUVVJVFkuMTk5Ni42LzMwLzIwMTguTEZSLkYuVVNELkgBAAAAs2oAAAIAAAAGOTUuMzgzAQgAAAAFAAAAATEBAAAACjE4ODg0NzA2NDEDAAAAAzE2MAIAAAAEMTI3NQQAAAABMAcAAAAJNi8zMC8yMDE4CAAAAAkzLzMxLzIwMTcJAAAAATDGJeOEFAnWCGUiVocUCdYIPENJUS5OQVNEQVFHUzpJQ1BULklRX1RPVEFMX0VRVUlUWS4xOTk2LjYvMzAvMjAxOC5MRlIuRi5VU0QuSAEAAACCr60AAgAAAAcyNDAuMjM4AQgAAAAFAAAAATEBAAAACjE4ODg2MTU1MTkDAAAAAzE2MAIAAAAEMTI3NQQAAAABMAcAAAAJNi8zMC8yMDE4CAAAAAkzLzMxLzIwMTcJAAAAATDpbVmGFAnWCC9wZIcUCdYINUNJUS5OQVNEQVFHUzpDWVRLLklRX0NBUEVYLjIwMDAuNi8zMC8yMDE4LkxGUi5GLlVTRC5IAQAAALNqAAACAAAABS0xLjc1AQgAAAAFAAAAATEBAAAACjE4ODg0NzA2NjYDAAAAAzE2MAIAAAAEMjAyMQQAAAABMAcAAAAJNi8zMC8yMDE4CAAAAAkzLzMxLzIwMTgJAAAAATDGJeOEFAnW</t>
  </si>
  <si>
    <t>CGUiVocUCdYIRkNJUS5OQVNEQVFHUzpaRkdOLklRX1RPVEFMX1JFVl81WVJfQU5OX0NBR1IuMjAwMC42LzMwLzIwMTguTEZSLkYuVVNELkgBAAAAl8C6AQMAAAAAAMYl44QUCdYIp4RYhxQJ1ghDQ0lRLk5BU0RBUUNNOkJZU0kuSVFfRUJJVERBXzVZUl9BTk5fQ0FHUi4yMDAwLjYvMzAvMjAxOC5MRlIuRi5VU0QuSAEAAABHz2wYAwAAAAAAYpJ0hRQJ1ghFSV2HFAnWCDdDSVEuTkFTREFRR1M6Q0JBWS5JUV9QRVJJT0REQVRFX0lTLjIwMDAuNi8zMC8yMDE4LkxGUi5GAQAAAMB6AAAFAAAACTMvMzEvMjAxOABiknSFFAnWCEVJXYcUCdYIO0NJUS5OQVNEQVFDTTpWS1RYLklRX0VCSVRfTUFSR0lOLjIwMDAuNi8zMC8yMDE4LkxGUi5GLlVTRC5IAQAAAPK8tQ4DAAAAAADGJeOEFAnWCGfnWocUCdYIPUNJUS5OQVNEQVFHTTpSWVRNLklRX0VCSVREQV9NQVJHSU4uMjAwMC42LzMwLzIwMTguTEZSLkYuVVNELkgBAAAAGMltEgMAAAAAAGKSdIUUCdYIRUldhxQJ1ggnQ0lRLk5BU0RBUUdNOlJZVE0uSVFfUEVSSU9EREFURV9JUy4xMDAwAQAAABjJbRIFAAAACjEyLzMxLzIwMTcAYpJ0hRQJ1ghFSV2HFAnWCDRDSVEuQ1BTRTpaRUFMLklRX1RPVEFMX0NBLjIwMDAuNi8zMC8yMDE4LkxGUi5GLlVTRC5IAQAAACJbEwACAAAACTk3LjA5ODQ3NwEIAAAABQAAAAExAQAAAAoxODg5OTEzMTAwAwAAAAMxNjACAAAABDEw</t>
  </si>
  <si>
    <t>MDgEAAAAATAHAAAACTYvMzAvMjAxOAgAAAAJMy8zMS8yMDE4CQAAAAEwYpJ0hRQJ1gjgDWKHFAnWCCVDSVEuMC5JUV9UUl9UQVJHRVRfUkVWRU5VRV9FU1QuLlVTRC5IBQAAAAAAAAAIAAAAGChJbnZhbGlkIFRyYW5zYWN0aW9uIElkKeY7RYIUCdYIxDRphxQJ1ghGQ0lRLk5BU0RBUUdNOkZPTEQuSVFfVE9UQUxfUkVWXzVZUl9BTk5fQ0FHUi4yMDAwLjYvMzAvMjAxOC5MRlIuRi5VU0QuSAEAAABW9moAAgAAAAczNS45ODIxAQgAAAAFAAAAATEBAAAACjE4ODg0ODQ2NTEDAAAAAzE2MAIAAAAENDIzMwQAAAABMAcAAAAJNi8zMC8yMDE4CAAAAAkzLzMxLzIwMTgJAAAAATBiknSFFAnWCJSrX4cUCdYIPENJUS5DUFNFOk5PVk8gQi5JUV9DQVNIX1NUX0lOVkVTVC4yMDAwLjMvMzEvMjAxOC5MRlIuRi5VU0QuSAEAAAB87wQAAgAAAAszMDQwLjMzNjIyMwEIAAAABQAAAAExAQAAAAoxODczNjk0MjIzAwAAAAMxNjACAAAABDEwMDIEAAAAATAHAAAACTMvMzEvMjAxOAgAAAAKMTIvMzEvMjAxNwkAAAABMJQLV4YUCdYIL3BkhxQJ1gg+Q0lRLk5BU0RBUUdTOk5JVEUuSVFfQ0FTSF9TVF9JTlZFU1QuMjAwMC4zLzMxLzIwMTguTEZSLkYuVVNELkgBAAAADNMYEAIAAAAGNjkuNTg0AQgAAAAFAAAAATEBAAAACjE4NTg2OTMyNTgDAAAAAzE2MAIAAAAEMTAwMgQAAAABMAcAAAAJMy8zMS8yMDE4CAAAAAk2LzMwLzIw</t>
  </si>
  <si>
    <t>MTcJAAAAATDGJeOEFAnWCKeEWIcUCdYIKUNJUS5JUTM2MTgzODE5LklRX0xBU1RTQUxFUFJJQ0UuNi8zMC8yMDE4AQAAAAsfKAICAAAABDIuMTEA5jtFghQJ1gjENGmHFAnWCDBDSVEuSVFUUjI0OTk4MTU2NC5JUV9UUl9UQVJHRVRfRUJJVERBX0VTVC4uVVNELkgBAAAAfGrmDgIAAAAFMTIwLjUA5jtFghQJ1gh70maHFAnWCEJDSVEuQ1BTRTpaRUFMLklRX1RPVEFMX1JFVl81WVJfQU5OX0NBR1IuMjAwMC42LzMwLzIwMTguTEZSLkYuVVNELkgBAAAAIlsTAAIAAAAHLTYuNzA4MgEIAAAABQAAAAExAQAAAAoxODg5OTEzMTAwAwAAAAI0MgIAAAAENDIzMwQAAAABMAcAAAAJNi8zMC8yMDE4CAAAAAkzLzMxLzIwMTgJAAAAATBiknSFFAnWCOANYocUCdYIQ0NJUS5OQVNEQVFDTTpBVkVPLklRX0VCSVREQV8zWVJfQU5OX0NBR1IuMjAwMC42LzMwLzIwMTguTEZSLkYuVVNELkgBAAAA9BYdAAMAAAAAAMYl44QUCdYIZSJWhxQJ1gg7Q0lRLk5BU0RBUUdTOkNZVEsuSVFfUFJFRl9FUVVJVFkuMjAwMC42LzMwLzIwMTguTEZSLkYuVVNELkgBAAAAs2oAAAMAAAAAAMYl44QUCdYIZSJWhxQJ1gg6Q0lRLk5BU0RBUUdTOk5JVEUuSVFfRUFSTklOR19DTy4yMDAwLjYvMzAvMjAxOC5MRlIuRi5VU0QuSAEAAAAM0xgQAgAAAActNDAuNTcyAQgAAAAFAAAAATEBAAAACjE4OTM0OTY3NDUDAAAAAzE2MAIAAAABNwQAAAAB</t>
  </si>
  <si>
    <t>MAcAAAAJNi8zMC8yMDE4CAAAAAkzLzMxLzIwMTgJAAAAATDGJeOEFAnWCKeEWIcUCdYIQ0NJUS5OQVNEQVFHUzpOSVRFLklRX0VCSVREQV8yWVJfQU5OX0NBR1IuMjAwMC42LzMwLzIwMTguTEZSLkYuVVNELkgBAAAADNMYEAMAAAAAAMYl44QUCdYIp4RYhxQJ1ggwQ0lRLkFNRVg6QlRYLklRX0NBUEVYLjIwMDAuNi8zMC8yMDE4LkxGUi5GLlVTRC5IAQAAABZkAAACAAAABi0xLjMwOQEIAAAABQAAAAExAQAAAAoxODg3OTgwMTY1AwAAAAMxNjACAAAABDIwMjEEAAAAATAHAAAACTYvMzAvMjAxOAgAAAAJMy8zMS8yMDE4CQAAAAEwxiXjhBQJ1ghlIlaHFAnWCDZDSVEuTllTRTpNWU9WLklRX1RPVEFMX0RFQlQuMjAwMC42LzMwLzIwMTguTEZSLkYuVVNELkgBAAAAl9oLGAIAAAAGNDMuNjI0AQgAAAAFAAAAATEBAAAACjE4OTI4MzQ3MzMDAAAAAzE2MAIAAAAENDE3MwQAAAABMAcAAAAJNi8zMC8yMDE4CAAAAAkzLzMxLzIwMTgJAAAAATBiknSFFAnWCJSrX4cUCdYIMkNJUS5TRUhLOjM5MzMuSVFfRUJJVERBLjE5OTIuNi8zMC8yMDE4LkxGUi5GLlVTRC5IAQAAAE3aEQICAAAACjIwMC4xNzEzNTMBCAAAAAUAAAABMQEAAAAKMTgzODgwNzY5MAMAAAADMTYwAgAAAAQ0MDUxBAAAAAEwBwAAAAk2LzMwLzIwMTgIAAAACjEyLzMxLzIwMTUJAAAAATDpbVmGFAnWCC9wZIcUCdYIPENJUS5OQVNEQVFHUzpOSVRF</t>
  </si>
  <si>
    <t>LklRX1RPVEFMX0VRVUlUWS4yMDAwLjYvMzAvMjAxOC5MRlIuRi5VU0QuSAEAAAAM0xgQAgAAAAcxMTguNjM2AQgAAAAFAAAAATEBAAAACjE4OTM0OTY3NDUDAAAAAzE2MAIAAAAEMTI3NQQAAAABMAcAAAAJNi8zMC8yMDE4CAAAAAkzLzMxLzIwMTgJAAAAATDGJeOEFAnWCKeEWIcUCdYIJENJUS5OQVNEQVFDTTpDT1JULklRX0VGRkVDVF9UQVhfUkFURQEAAADSuRUAAwAAAAJOTQEIAAAABQAAAAExAQAAAAoxODk5NTMxMDc3AwAAAAMxNjACAAAABDQzNzYEAAAAATAHAAAACTgvMjMvMjAxOAgAAAAJNi8zMC8yMDE4CQAAAAEwYpJ0hRQJ1giUq1+HFAnWCDRDSVEuU0VISzoxNTMwLklRX0VCSVREQS5DWTIwMTcuNi8zMC8yMDE4LkxGUi5GLlVTRC5IAQAAAO+4cAECAAAACjIwNi4yOTAxMzEBCAAAAAUAAAABMQEAAAAKMTg4NjA5OTg2MgMAAAADMTYwAgAAAAQ0MDUxBAAAAAEwBwAAAAk2LzMwLzIwMTgIAAAACjEyLzMxLzIwMTcJAAAAATCUC1eGFAnWCC9wZIcUCdYINkNJUS5OQVNEQVFHTTpNTk9WLklRX0VCSVREQS4xOTk2LjYvMzAvMjAxOC5MRlIuRi5VU0QuSAEAAAC4VI0AAgAAAAotMTAuNDk2NTQyAQgAAAAFAAAAATEBAAAACjE4ODQ2NDQyMTQDAAAAAzE2MAIAAAAENDA1MQQAAAABMAcAAAAJNi8zMC8yMDE4CAAAAAkzLzMxLzIwMTcJAAAAATDGJeOEFAnWCKeEWIcUCdYIJ0NJUS5OQVNEQVFHTTpG</t>
  </si>
  <si>
    <t>T0xELklRX0JFVEFfNVlSLjYvMzAvMjAxOAEAAABW9moAAgAAABAxLjQxNzEyOTk3MTE0MTczAGKSdIUUCdYIlKtfhxQJ1ggzQ0lRLkNQU0U6Tk9WTyBCLklRX0NBUEVYLjE5OTIuNi8zMC8yMDE4LkxGUi5GLlVTRC5IAQAAAHzvBAACAAAACy04NDguMDMyNzcxAQgAAAAFAAAAATEBAAAACjE4NDAwNjk2NTcDAAAAAzE2MAIAAAAEMjAyMQQAAAABMAcAAAAJNi8zMC8yMDE4CAAAAAkzLzMxLzIwMTYJAAAAATCUC1eGFAnWCHvSZocUCdYIPUNJUS5OQVNEQVFHUzpOSVRFLklRX1JFVkVOVUVfRVNULkNZMjAxOC42LzMwLzIwMTguQ09OLkYuVVNELkgBAAAADNMYEAIAAAABMAEOAAAABQAAAAIxMQEAAAABMAIAAAAKMTAwMzg5MjM0NAMAAAAGMTAwMTgwBAAAAAEyBgAAAAEwBwAAAAMxNjAIAAAAATAJAAAAATEKAAAAATALAAAACzExMDQzNzE3NjIxDAAAAAE3DQAAAAg3LzEvMjAxOBAAAAAJNi8zMC8yMDE4r4blhBQJ1ginhFiHFAnWCENDSVEuTkFTREFRR006TU5PVi5JUV9FQklUREFfMllSX0FOTl9DQUdSLjIwMDAuNi8zMC8yMDE4LkxGUi5GLlVTRC5IAQAAALhUjQADAAAAAk5NAQgAAAAFAAAAATEBAAAACjE4ODQ2NDQyMjgDAAAAAzE2MAIAAAAENDIwOQQAAAABMAcAAAAJNi8zMC8yMDE4CAAAAAkzLzMxLzIwMTgJAAAAATDGJeOEFAnWCKeEWIcUCdYINENJUS5OWVNFOk1ZT1YuSVFfRUJJVERBLkNZMjAx</t>
  </si>
  <si>
    <t>Ni42LzMwLzIwMTguTEZSLkYuVVNELkgBAAAAl9oLGAMAAAAAAGKSdIUUCdYIlKtfhxQJ1gg8Q0lRLk5BU0RBUUdTOk5JVEUuSVFfVE9UQUxfRVFVSVRZLjE5OTYuNi8zMC8yMDE4LkxGUi5GLlVTRC5IAQAAAAzTGBACAAAABTkuMDQ0AQgAAAAFAAAAATEBAAAACjE4OTM0OTY3MzgDAAAAAzE2MAIAAAAEMTI3NQQAAAABMAcAAAAJNi8zMC8yMDE4CAAAAAkzLzMxLzIwMTcJAAAAATDGJeOEFAnWCKeEWIcUCdYIMENJUS5OQVNEQVFHUzpDQkFZLklRX0xBU1RTQUxFUFJJQ0UuNi8zMC8yMDE4LlVTRAEAAADAegAAAgAAAAUxMy40MgBiknSFFAnWCEVJXYcUCdYIKUNJUS5JUVRSMzA2NzUxMDk2LklRX0JVU0lORVNTX0RFU0NSSVBUSU9OAQAAAKZ93gQDAAAAhwhSZWNlcHRvcywgSW5jLiwgYSBjbGluaWNhbC1zdGFnZSBiaW9waGFybWFjZXV0aWNhbCBjb21wYW55LCBmb2N1c2VzIG9uIHRoZSBkaXNjb3ZlcnksIGRldmVsb3BtZW50LCBhbmQgY29tbWVyY2lhbGl6YXRpb24gb2YgdGhlcmFwZXV0aWNzIGluIGltbXVuZSBkaXNvcmRlcnMuIEl0cyBsZWFkIHByb2R1Y3QgaW5jbHVkZXMgb3phbmltb2QsIGFuIG9yYWwgdGhlcmFweSB0aGF0IGlzIGluIHBoYXNlIElJSSBzdHVkaWVzIGZvciB0aGUgdHJlYXRtZW50IG9mIHJlbGFwc2luZyBtdWx0aXBsZSBzY2xlcm9zaXM7IGFuZCBpcyBpbiBwaGFzZSBJSSBz</t>
  </si>
  <si>
    <t>dHVkaWVzIHRvIHRyZWF0IHVsY2VyYXRpdmUgY29saXRpcyBhbmQgY3JvaG7igJlzIGRpc2Vhc2UuIFRoZSBjb21wYW55IGlzIGFsc28gZGV2ZWxvcGluZyBSUEM0MDQ2LCBhIG1vbm9jbG9uYWwgYW50aWJvZHksIHdoaWNoIGlzIGluIHBoYXNlIElJIHRyaWFscyBmb3IgdGhlIHRyZWF0bWVudCBvZiBlb3Npbm9waGlsaWMgZXNvcGhhZ2l0aXMsIGFuIGFsbGVyZ2ljL2ltbXVuZS1tZWRpYXRlZCBkaXNvcmRlci4gSW4gYWRkaXRpb24sIGl0IGlzIGludm9sdmVkIGluIGEgcmVzZWFyY2ggcHJvZ3JhbSBmb3IgZ2x1Y2Fnb24tbGlrZSBwZXB0aWRlLTEgcmVjZXB0b3Igc21hbGwgbW9sZWN1bGUgcG9zaXRpdmUgYWxsb3N0ZXJpYyBtb2R1bGF0b3JzIHRoYXQgaXMgaW4gcHJlY2xpbmljYWwgc3R1ZGllcyBmb3IgdGhlIHRyZWF0bWVudCBvZiBUeXBlIDIgZGlhYmV0ZXMuIFRoZSBjb21wYW55IHdhcyBmb3JtZXJseSBrbm93biBhcyBSZWNlcHRvciBQaGFybWFjZXV0aWNhbHMsIEluYy4gYW5kIGNoYW5nZWQgaXRzIG5hbWUgdG8gUmVjZXB0b3MsIEluYy4gaW4gTWF5IDIwMDkuIFJlY2VwdG9zLCBJbmMuIHdhcyBmb3VuZGVkIGluIDIwMDggYW5kIGlzIGhlYWRxdWFydGVyZWQgaW4gU2FuIERpZWdvLCBDYWxpZm9ybmlhLiBBcyBvZiBBdWd1c3QgMjcsIDIwMTUsIFJlY2VwdG9zLCBJbmMuIG9wZXJhdGVz</t>
  </si>
  <si>
    <t>IGFzIGEgc3Vic2lkaWFyeSBvZiBDZWxnZW5lIENvcnBvcmF0aW9uLgDmO0WCFAnWCHvSZocUCdYIPENJUS5OQVNEQVFHUzpDWVRLLklRX1RPVEFMX0VRVUlUWS4yMDAwLjYvMzAvMjAxOC5MRlIuRi5VU0QuSAEAAACzagAAAgAAAAY5OS41OTkBCAAAAAUAAAABMQEAAAAKMTg4ODQ3MDY2NgMAAAADMTYwAgAAAAQxMjc1BAAAAAEwBwAAAAk2LzMwLzIwMTgIAAAACTMvMzEvMjAxOAkAAAABMMYl44QUCdYIZSJWhxQJ1gghQ0lRLklRVFI0MDIxMDM5MTkuSVFfVFJfQlVZRVJOQU1FAQAAAG+e9xcDAAAAGFZhbGVyaXRhcyBIb2xkaW5ncywgSW5jLgDmO0WCFAnWCHvSZocUCdYIIkNJUS5PVENQSzpORVhTLklRX0ZJUlNUUFJJQ0lOR0RBVEUBAAAAHb1OFAUAAAAJNi8xMC8yMDE2AOUP74QUCdYIMV5RhxQJ1ggiQ0lRLklRVFIzNzAwNzIzNTMuSVFfVFJfVEFSR0VUTkFNRQEAAAAh2w4WAwAAABxUcmFuc2l0aW9uIFRoZXJhcGV1dGljcyBJbmMuAOY7RYIUCdYIe9JmhxQJ1ggwQ0lRLk5BU0RBUUdNOlJZVE0uSVFfTEFTVFNBTEVQUklDRS42LzMwLzIwMTguVVNEAQAAABjJbRICAAAABTMxLjI2AGKSdIUUCdYIRUldhxQJ1ggkQ0lRLlRTWFY6Q09CLlUuSVFfUEVSSU9EREFURV9JUy4xMDAwAQAAAL/7AAgFAAAACjEyLzMxLzIwMTcAr4blhBQJ1giGwFOHFAnWCDtDSVEuTkFTREFRQ006VktUWC5JUV9UT1RBTF9S</t>
  </si>
  <si>
    <t>RVYuQ1kyMDE3LjYvMzAvMjAxOC5MRlIuRi5VU0QuSAEAAADyvLUOAwAAAAAAxiXjhBQJ1gjENGmHFAnWCCFDSVEuU0VISzozOTMzLklRX0ZJUlNUUFJJQ0lOR0RBVEUBAAAATdoRAgUAAAAJNi8xNS8yMDA3AJQLV4YUCdYIL3BkhxQJ1gghQ0lRLklRVFIxNzI2MjE0NzEuSVFfVFJfQlVZRVJOQU1FAQAAAJ/+SQoDAAAAVUNESCBJbnZlc3RtZW50czsgTmV3IEhvcml6b24gQ2FwaXRhbDsgQ0lUSUMgUHJpdmF0ZSBFcXVpdHkgRnVuZHMgTWFuYWdlbWVudCBDby4sIEx0ZC4A5jtFghQJ1gh70maHFAnWCD1DSVEuTkFTREFRR1M6WkZHTi5JUV9FQklUREFfTUFSR0lOLjIwMDAuNi8zMC8yMDE4LkxGUi5GLlVTRC5IAQAAAJfAugEDAAAAAADGJeOEFAnWCKeEWIcUCdYINkNJUS5OQVNEQVFHUzpOSVRFLklRX0VCSVREQS4yMDAwLjYvMzAvMjAxOC5MRlIuRi5VU0QuSAEAAAAM0xgQAgAAAActMzIuNjQxAQgAAAAFAAAAATEBAAAACjE4OTM0OTY3NDUDAAAAAzE2MAIAAAAENDA1MQQAAAABMAcAAAAJNi8zMC8yMDE4CAAAAAkzLzMxLzIwMTgJAAAAATDGJeOEFAnWCKeEWIcUCdYILUNJUS5OQVNEQVFDTTpCWVNJLklRX0RJVklERU5EX1lJRUxELjYvMzAvMjAxOAEAAABHz2wYAwAAAAAAYpJ0hRQJ1ghFSV2HFAnWCDxDSVEuTkFTREFRR1M6QVBUWC5JUV9FQVJOSU5HX0NPLkNZMjAxNy42LzMwLzIwMTguTEZSLkYu</t>
  </si>
  <si>
    <t>VVNELkgBAAAALykMFAIAAAAHLTMyLjA2OAEIAAAABQAAAAExAQAAAAoxODkwODUxMzgxAwAAAAMxNjACAAAAATcEAAAAATAHAAAACTYvMzAvMjAxOAgAAAAKMTIvMzEvMjAxNwkAAAABMGKSdIUUCdYIRUldhxQJ1ggiQ0lRLklRVFIzMDY3NTEwOTYuSVFfVFJfUENUX1NPVUdIVAEAAAB4pkgSAgAAAAMxMDAA5jtFghQJ1gh70maHFAnWCD1DSVEuTkFTREFRR1M6QVBUWC5JUV9SRVZFTlVFX0VTVC5DWTIwMjEuNi8zMC8yMDE4LkNPTi5GLlVTRC5IAQAAAC8pDBQDAAAAAABiknSFFAnWCEVJXYcUCdYIIUNJUS5JUTE3NzkzMjU3Ny5JUV9DT01QQU5ZX1RJQ0tFUgEAAAAhCZsKAwAAAApPVENQSzpSWkxUAOY7RYIUCdYIMG+8ghQJ1ggpQ0lRLklRVFIxMTc4MDM5MjAuSVFfVFJfSU1QTElFRF9FUV9OSV9MVE0BAAAAkIsFBwIAAAAAAOY7RYIUCdYIe9JmhxQJ1ggnQ0lRLk5BU0RBUUdTOlpGR04uSVFfQkVUQV8yWVIuNi8zMC8yMDE4AQAAAJfAugECAAAAEi0wLjMwMTkzMTAyMzYxMDMyMgCvhuWEFAnWCKeEWIcUCdYIQ0NJUS5OQVNEQVFHTTpWVFZULklRX0VCSVREQV81WVJfQU5OX0NBR1IuMjAwMC42LzMwLzIwMTguTEZSLkYuVVNELkgBAAAAHaMfEgMAAAAAAOUP74QUCdYIhsBThxQJ1gg5Q0lRLk9UQ1BLOlJaTFQuSVFfRUJJVERBX0VTVC5DWTIwMTkuNi8zMC8yMDE4LkNPTi5GLlVTRC5IAQAAACEJmwoD</t>
  </si>
  <si>
    <t>AAAAAADlD++EFAnWCIbAU4cUCdYIHUNJUS5OQVNEQVFHUzpDWVRLLklRX0VYQ0hBTkdFAQAAALNqAAADAAAACE5hc2RhcUdTAMYl44QUCdYIZSJWhxQJ1ghGQ0lRLk5BU0RBUUNNOkNPUlQuSVFfVE9UQUxfUkVWXzJZUl9BTk5fQ0FHUi4yMDAwLjYvMzAvMjAxOC5MRlIuRi5VU0QuSAEAAADSuRUAAgAAAAc4My40Mzc3AQgAAAAFAAAAATEBAAAACjE4ODgwOTk1NDQDAAAAAzE2MAIAAAAENDIwNwQAAAABMAcAAAAJNi8zMC8yMDE4CAAAAAkzLzMxLzIwMTgJAAAAATBiknSFFAnWCJSrX4cUCdYIMUNJUS5JUVRSMTE3ODAzOTIwLklRX1RSX1RBUkdFVF9SRVZFTlVFX0VTVC4uVVNELkgBAAAAkIsFBwIAAAAAAOY7RYIUCdYIe9JmhxQJ1ggsQ0lRLklRVFIyNzAwNzQ3NTQuSVFfVFJfVEFSR0VUX0VCSVREQS4uVVNELkgBAAAAggMZEAIAAAAAAOY7RYIUCdYIe9JmhxQJ1gg1Q0lRLk5BU0RBUUdNOk1OS0QuSVFfREFfQ0YuMjAwMC42LzMwLzIwMTguTEZSLkYuVVNELkgBAAAAZqWNAAIAAAAFMS41OTMBCAAAAAUAAAABMQEAAAAKMTg4OTc3NTk5MwMAAAADMTYwAgAAAAQyMTYwBAAAAAEwBwAAAAk2LzMwLzIwMTgIAAAACTMvMzEvMjAxOAkAAAABMOltWYYUCdYI4A1ihxQJ1gg3Q0lRLkNQU0U6Tk9WTyBCLklRX1RPVEFMX1JFVi4xOTkyLjYvMzAvMjAxOC5MRlIuRi5VU0QuSAEAAAB87wQAAgAAAAwxNjgwNC41</t>
  </si>
  <si>
    <t>OTE3MTkBCAAAAAUAAAABMQEAAAAKMTg0MDA2OTY1NwMAAAADMTYwAgAAAAIyOAQAAAABMAcAAAAJNi8zMC8yMDE4CAAAAAkzLzMxLzIwMTYJAAAAATCUC1eGFAnWCHvSZocUCdYIJ0NJUS5OQVNEQVFHUzpDWVRLLklRX1BFUklPRERBVEVfSVMuMTAwMAEAAACzagAABQAAAAoxMi8zMS8yMDE3AMYl44QUCdYIZSJWhxQJ1gg5Q0lRLlRTWFY6Q09CLlUuSVFfRUJJVERBX0VTVC5DWTIwMTkuNi8zMC8yMDE4LkNPTi5GLlVTRC5IAQAAAL/7AAgDAAAAAACvhuWEFAnWCIbAU4cUCdYILkNJUS5OQVNEQVFDTTpBVkVPLklRX01BUktFVENBUC42LzMwLzIwMTguVVNELkgBAAAA9BYdAAIAAAAKMjY4LjY0MDQ4NAEGAAAABQAAAAExAQAAAAoxODg3MjMzOTEwAwAAAAMxNjACAAAABjEwMDA1NAQAAAABMAcAAAAJNi8zMC8yMDE4xiXjhBQJ1ghlIlaHFAnWCDlDSVEuU0VISzozOTMzLklRX1JFVkVOVUVfRVNULkNZMjAxOS42LzMwLzIwMTguQ09OLkYuVVNELkgBAAAATdoRAgIAAAAQMTI4NS41MjQyMDUwMDk3MwEOAAAABQAAAAIxMQEAAAABMAIAAAAKMTAwMDcwODgwMwMAAAAGMTAwMTgwBAAAAAEzBgAAAAEwBwAAAAMxNjAIAAAAATAJAAAAATEKAAAAATALAAAACzEwOTQ2ODkxMjIxDAAAAAE3DQAAAAg3LzEvMjAxOBAAAAAJNi8zMC8yMDE46W1ZhhQJ1ggvcGSHFAnWCB5DSVEuSVEzNjE4MzgxOS5JUV9DT01QQU5Z</t>
  </si>
  <si>
    <t>X05BTUUBAAAACx8oAgMAAAAyVW5pdGVkIFN0YXRlcyBUcmVhc3VyeSBDb25zdGFudCBNYXR1cml0eSAtIDYgTW9udGgA5jtFghQJ1gikrJiCFAnWCCFDSVEuT1RDUEs6RU1JUy5JUV9FRkZFQ1RfVEFYX1JBVEUBAAAAPv0DAAMAAAAAAK+G5YQUCdYIZSJWhxQJ1ggyQ0lRLlNFSEs6MzkzMy5JUV9FQklUREEuMTk5Ni42LzMwLzIwMTguTEZSLkYuVVNELkgBAAAATdoRAgIAAAAJMTUwLjIzNzc4AQgAAAAFAAAAATEBAAAACjE4ODU3MzkxOTkDAAAAAzE2MAIAAAAENDA1MQQAAAABMAcAAAAJNi8zMC8yMDE4CAAAAAoxMi8zMS8yMDE2CQAAAAEw6W1ZhhQJ1ggvcGSHFAnWCDJDSVEuU0VISzoyMTg2LklRX0VCSVREQS4xOTk2LjYvMzAvMjAxOC5MRlIuRi5VU0QuSAEAAADCgZgAAgAAAAoxMzQuMDY3MzE2AQgAAAAFAAAAATEBAAAACjE4ODU0OTQ4MzQDAAAAAzE2MAIAAAAENDA1MQQAAAABMAcAAAAJNi8zMC8yMDE4CAAAAAoxMi8zMS8yMDE2CQAAAAEwlAtXhhQJ1ggvcGSHFAnWCCNDSVEuSVFUUjMxMDIyOTE4OC5JUV9UUl9UT1RBTF9TVE9DSwEAAADEuH0SAgAAAAAA5jtFghQJ1gh70maHFAnWCDZDSVEuTllTRTpNWU9WLklRX1RPVEFMX0RFQlQuMjAwMC4zLzMxLzIwMTguTEZSLkYuVVNELkgBAAAAl9oLGAIAAAAGMjguNTc1AQgAAAAFAAAAATEBAAAACjE4NzQwNDM2NDEDAAAAAzE2MAIAAAAENDE3MwQA</t>
  </si>
  <si>
    <t>AAABMAcAAAAJMy8zMS8yMDE4CAAAAAoxMi8zMS8yMDE3CQAAAAEwYpJ0hRQJ1giUq1+HFAnWCDhDSVEuTkFTREFRR1M6QVBUWC5JUV9UT1RBTF9DQS4xOTkyLjYvMzAvMjAxOC5MRlIuRi5VU0QuSAEAAAAvKQwUAwAAAAAAYpJ0hRQJ1ghFSV2HFAnWCCRDSVEuT1RDUEs6QlRIRS5JUV9CRVRBXzVZUi42LzMwLzIwMTgBAAAAb525BQIAAAARLTEuMTc4NDM4MzkyOTEzNTkA5Q/vhBQJ1giGwFOHFAnWCDdDSVEuU0VISzoyMTg2LklRX1BSRUZfRVFVSVRZLjIwMDAuNi8zMC8yMDE4LkxGUi5GLlVTRC5IAQAAAMKBmAADAAAAAACUC1eGFAnWCC9wZIcUCdYIMENJUS5JUVRSMjEyNzMxODc3LklRX1RSX1RBUkdFVF9FQklUREFfRVNULi5VU0QuSAEAAADlB64MAgAAAAMtMjEA5jtFghQJ1gh70maHFAnWCCdDSVEuTkFTREFRR006Rk9MRC5JUV9CRVRBXzFZUi42LzMwLzIwMTgBAAAAVvZqAAIAAAAQMS40MDE5ODE2ODg3ODM5NQBiknSFFAnWCJSrX4cUCdYIPUNJUS5OQVNEQVFHTTpNTk9WLklRX1JFVkVOVUVfRVNULkNZMjAyMC42LzMwLzIwMTguQ09OLkYuVVNELkgBAAAAuFSNAAIAAAABMAEOAAAABQAAAAIxMQEAAAABMAIAAAAKMTAwMDU5MzYxNgMAAAAGMTAwMTgwBAAAAAEyBgAAAAEwBwAAAAMxNjAIAAAAATAJAAAAATEKAAAAATALAAAACzEwOTUwMDU0MDU4DAAAAAE3DQAAAAg3LzEvMjAxOBAAAAAJNi8z</t>
  </si>
  <si>
    <t>MC8yMDE4r4blhBQJ1ginhFiHFAnWCB5DSVEuSVEzNjE4MzgzNy5JUV9DT01QQU5ZX05BTUUBAAAAHR8oAgMAAAAyVW5pdGVkIFN0YXRlcyBUcmVhc3VyeSBDb25zdGFudCBNYXR1cml0eSAtIDEwIFllYXIA5jtFghQJ1ghYSpaCFAnWCCJDSVEuSVFUUjMwNjc1MTA5Ni5JUV9UUl9UQVJHRVROQU1FAQAAAHimSBIDAAAADlJlY2VwdG9zLCBJbmMuAOY7RYIUCdYIe9JmhxQJ1ggrQ0lRLklRVFIzNzAwNzIzNTMuSVFfVFJfSU1QTElFRF9FVl9FQklUX0ZXRAEAAAAh2w4WAwAAAAJOTQDmO0WCFAnWCHvSZocUCdYIOUNJUS5TRUhLOjM5MzMuSVFfUkVWRU5VRV9FU1QuQ1kyMDE4LjYvMzAvMjAxOC5DT04uRi5VU0QuSAEAAABN2hECAgAAABAxMTkzLjIzNjk1OTkzMTI2AQ4AAAAFAAAAAjExAQAAAAEwAgAAAAoxMDAwNzA4ODAyAwAAAAYxMDAxODAEAAAAATMGAAAAATAHAAAAAzE2MAgAAAABMAkAAAABMQoAAAABMAsAAAALMTA5NDY4OTEyNTEMAAAAATcNAAAACDcvMS8yMDE4EAAAAAk2LzMwLzIwMTjpbVmGFAnWCC9wZIcUCdYIOkNJUS5DUFNFOk5PVk8gQi5JUV9UT1RBTF9FUVVJVFkuMTk5Ni42LzMwLzIwMTguTEZSLkYuVVNELkgBAAAAfO8EAAIAAAALNTc5NC45MTEyNTgBCAAAAAUAAAABMQEAAAAKMTg5MjYyMzkzMAMAAAADMTYwAgAAAAQxMjc1BAAAAAEwBwAAAAk2LzMwLzIwMTgIAAAACTMvMzEvMjAx</t>
  </si>
  <si>
    <t>NwkAAAABMJQLV4YUCdYIL3BkhxQJ1ghCQ0lRLihJTlZBTElEIElERU5USUZJRVIpLklRX1RPVEFMX1JFVi5DWTIwMTYuNi8zMC8yMDE4LkxGUi5GLlVTRC5IBQAAAAAAAAAIAAAAFChJbnZhbGlkIElkZW50aWZpZXIp5Q/vhBQJ1ggxXlGHFAnWCCRDSVEuT1RDUEs6UlpMVC5JUV9CRVRBXzJZUi42LzMwLzIwMTgBAAAAIQmbCgIAAAASLTAuMTAwOTc4OTUyODAxOTQxAOUP74QUCdYIhsBThxQJ1gg4Q0lRLk5BU0RBUUNNOkFWRU8uSVFfVE9UQUxfQ0wuMTk5Ni42LzMwLzIwMTguTEZSLkYuVVNELkgBAAAA9BYdAAIAAAAGMTQuMjQ5AQgAAAAFAAAAATEBAAAACjE4ODcyMzQyOTEDAAAAAzE2MAIAAAAEMTAwOQQAAAABMAcAAAAJNi8zMC8yMDE4CAAAAAkzLzMxLzIwMTcJAAAAATDGJeOEFAnWCGUiVocUCdYIJ0NJUS5OQVNEQVFHTTpNTk9WLklRX0JFVEFfMVlSLjYvMzAvMjAxOAEAAAC4VI0AAgAAABAxLjAzODg1NTkyNzY0Mzg5AK+G5YQUCdYIp4RYhxQJ1gg7Q0lRLk5BU0RBUUdTOlpGR04uSVFfRUJJVF9NQVJHSU4uMjAwMC42LzMwLzIwMTguTEZSLkYuVVNELkgBAAAAl8C6AQMAAAAAAMYl44QUCdYIp4RYhxQJ1gg5Q0lRLk5BU0RBUUdNOlZUVlQuSVFfVE9UQUxfUkVWLjIwMDAuNi8zMC8yMDE4LkxGUi5GLlVTRC5IAQAAAB2jHxICAAAABTIuMzI1AQgAAAAFAAAAATEBAAAACjE4ODkwNTY1MzcDAAAA</t>
  </si>
  <si>
    <t>AzE2MAIAAAACMjgEAAAAATAHAAAACTYvMzAvMjAxOAgAAAAJMy8zMS8yMDE4CQAAAAEw5Q/vhBQJ1giGwFOHFAnWCDlDSVEuT1RDUEs6TkVYUy5JUV9FQklUREFfRVNULkNZMjAxOC42LzMwLzIwMTguQ09OLkYuVVNELkgBAAAAHb1OFAMAAAAAAOUP74QUCdYIMV5RhxQJ1ggyQ0lRLk9UQ1BLOlJaTFQuSVFfQ0FQRVguMTk5Ni42LzMwLzIwMTguTEZSLkYuVVNELkgBAAAAIQmbCgIAAAAJLTAuNjE3Njc5AQgAAAAFAAAAATEBAAAACjE4ODkxMDUxMjADAAAAAzE2MAIAAAAEMjAyMQQAAAABMAcAAAAJNi8zMC8yMDE4CAAAAAkzLzMxLzIwMTcJAAAAATDlD++EFAnWCIbAU4cUCdYINUNJUS5TRUhLOjM5MzMuSVFfTklfTUFSR0lOLjIwMDAuNi8zMC8yMDE4LkxGUi5GLlVTRC5IAQAAAE3aEQICAAAABjEuMTk3NgEIAAAABQAAAAExAQAAAAoxODg1NzM5MjAyAwAAAAIzMgIAAAAENDA5NAQAAAABMAcAAAAJNi8zMC8yMDE4CAAAAAoxMi8zMS8yMDE3CQAAAAEw6W1ZhhQJ1gjgDWKHFAnWCDpDSVEuRU5YVFBBOkVSWVAuSVFfRUFSTklOR19DTy5DWTIwMTYuNi8zMC8yMDE4LkxGUi5GLlVTRC5IAQAAANiKeAECAAAACS0yMy4xMzIwNgEIAAAABQAAAAExAQAAAAoxODg1MjA0MzY5AwAAAAMxNjACAAAAATcEAAAAATAHAAAACTYvMzAvMjAxOAgAAAAKMTIvMzEvMjAxNgkAAAABMOUP74QUCdYIMV5RhxQJ1ggoQ0lR</t>
  </si>
  <si>
    <t>Lk5BU0RBUUdTOlpGR04uSVFfVEVWLjYvMzAvMjAxOC5VU0QuSAEAAACXwLoBAgAAAAoyOTQuODU3MzczAQYAAAAFAAAAATEBAAAACjE4ODk4OTQ3MDkDAAAAAzE2MAIAAAAGMTAwMDYwBAAAAAEwBwAAAAk2LzMwLzIwMTjGJeOEFAnWCKeEWIcUCdYIOUNJUS5OQVNEQVFHTTpGT0xELklRX1RPVEFMX1JFVi4xOTkyLjYvMzAvMjAxOC5MRlIuRi5VU0QuSAEAAABW9moAAwAAAAAAYpJ0hRQJ1giUq1+HFAnWCDtDSVEuTkFTREFRQ006Q1VSLklRX0dST1NTX01BUkdJTi4yMDAwLjYvMzAvMjAxOC5MRlIuRi5VU0QuSAEAAADx7nUAAgAAAAMxMDABCAAAAAUAAAABMQEAAAAKMTg4ODg3MzIxOQMAAAADMTYwAgAAAAQ0MDc0BAAAAAEwBwAAAAk2LzMwLzIwMTgIAAAACTMvMzEvMjAxOAkAAAABMOUP74QUCdYIMV5RhxQJ1gg6Q0lRLk5BU0RBUUdNOk1OT1YuSVFfVE9UQUxfREVCVC4yMDAwLjYvMzAvMjAxOC5MRlIuRi5VU0QuSAEAAAC4VI0AAgAAAAEwAQgAAAAFAAAAATEBAAAACjE4ODQ2NDQyMjgDAAAAAzE2MAIAAAAENDE3MwQAAAABMAcAAAAJNi8zMC8yMDE4CAAAAAkzLzMxLzIwMTgJAAAAATDGJeOEFAnWCKeEWIcUCdYII0NJUS5JUTM0MDcwNDU0MS5JUV9GSVJTVFBSSUNJTkdEQVRFAQAAAB29ThQFAAAACTYvMTAvMjAxNgDmO0WCFAnWCMQ0aYcUCdYIMUNJUS5JUVRSMTcxOTMwNTM0LklRX1RSX1RBUkdF</t>
  </si>
  <si>
    <t>VF9SRVZFTlVFX0VTVC4uVVNELkgBAAAApnM/CgIAAAAAAOY7RYIUCdYIe9JmhxQJ1gg8Q0lRLkNQU0U6Tk9WTyBCLklRX0NBU0hfU1RfSU5WRVNULjIwMDAuNi8zMC8yMDE4LkxGUi5GLlVTRC5IAQAAAHzvBAACAAAACzE3MzcuNjA4NDA0AQgAAAAFAAAAATEBAAAACjE4OTI2MjM5NTMDAAAAAzE2MAIAAAAEMTAwMgQAAAABMAcAAAAJNi8zMC8yMDE4CAAAAAkzLzMxLzIwMTgJAAAAATCUC1eGFAnWCHvSZocUCdYIOENJUS5TRUhLOjIxODYuSVFfRUFSTklOR19DTy5DWTIwMTcuNi8zMC8yMDE4LkxGUi5GLlVTRC5IAQAAAMKBmAACAAAACjE1MC43MDA4MTYBCAAAAAUAAAABMQEAAAAKMTg4NTQ5NTAwNgMAAAADMTYwAgAAAAE3BAAAAAEwBwAAAAk2LzMwLzIwMTgIAAAACjEyLzMxLzIwMTcJAAAAATDpbVmGFAnWCC9wZIcUCdYIQ0NJUS5DUFNFOlpFQUwuSVFfTUlOT1JJVFlfSU5URVJFU1RfVE9UQUwuMjAwMC4zLzMxLzIwMTguTEZSLkYuVVNELkgBAAAAIlsTAAMAAAAAAGKSdIUUCdYI4A1ihxQJ1ggsQ0lRLklRVFIzMDY3NTEwOTYuSVFfVFJfVEFSR0VUX0VCSVREQS4uVVNELkgBAAAAeKZIEgIAAAAILTE3NS42MjcBBgAAAAUAAAACMzcBAAAACjE3NDc3NTI2MDUCAAAABTIxNjc3AwAAAAMxNjAEAAAAATAHAAAACDEvMS8xOTAw5jtFghQJ1gh70maHFAnWCDxDSVEuTkFTREFRR1M6Q0JBWS5JUV9FQklU</t>
  </si>
  <si>
    <t>REFfRVNULkNZMjAxOC42LzMwLzIwMTguQ09OLkYuVVNELkgBAAAAwHoAAAIAAAAHLTU0LjgyNQEOAAAABQAAAAIxMQEAAAABMAIAAAAKMTAwMjgyNjA2MAMAAAAGMTAwMTg3BAAAAAEyBgAAAAEwBwAAAAMxNjAIAAAAATAJAAAAATEKAAAAATALAAAACzEwOTQyODIxNzQ4DAAAAAE3DQAAAAg3LzEvMjAxOBAAAAAJNi8zMC8yMDE4YpJ0hRQJ1ghFSV2HFAnWCDtDSVEuQ1BTRTpOT1ZPIEIuSVFfUkVWRU5VRV9FU1QuQ1kyMDIxLjYvMzAvMjAxOC5DT04uRi5VU0QuSAEAAAB87wQAAgAAABAyMTQzNS4wNjIzMzU3NDczAQ4AAAAFAAAAAjExAQAAAAEwAgAAAAoxMDAwMjE0NjIxAwAAAAYxMDAxODAEAAAAATMGAAAAATAHAAAAAzE2MAgAAAABMAkAAAABMQoAAAABMAsAAAALMTA5NDQ2OTQyODkMAAAAATcNAAAACDcvMS8yMDE4EAAAAAk2LzMwLzIwMTjpbVmGFAnWCHvSZocUCdYIOUNJUS5OQVNEQVFHUzpJVENJLklRX1RPVEFMX1JFVi4yMDAwLjYvMzAvMjAxOC5MRlIuRi5VU0QuSAEAAAB30Y8AAgAAAAcwLjE1MDU1AQgAAAAFAAAAATEBAAAACjE4ODY2MTczMjIDAAAAAzE2MAIAAAACMjgEAAAAATAHAAAACTYvMzAvMjAxOAgAAAAJMy8zMS8yMDE4CQAAAAEwYpJ0hRQJ1ghn51qHFAnWCDpDSVEuTkFTREFRR1M6T0RULklRX1BSRUZfRVFVSVRZLjIwMDAuNi8zMC8yMDE4LkxGUi5GLlVTRC5IAQAAABoaRSAD</t>
  </si>
  <si>
    <t>AAAAAADGJeOEFAnWCGfnWocUCdYIO0NJUS5OQVNEQVFHUzpPRFQuSVFfRUFSTklOR19DTy5DWTIwMTcuNi8zMC8yMDE4LkxGUi5GLlVTRC5IAQAAABoaRSACAAAABy0zMi43NDQBCAAAAAUAAAABMQEAAAAKMTg3NDE2NzIzOQMAAAADMTYwAgAAAAE3BAAAAAEwBwAAAAk2LzMwLzIwMTgIAAAACjEyLzMxLzIwMTcJAAAAATDGJeOEFAnWCKeEWIcUCdYIPENJUS5OQVNEQVFHTTpNTktELklRX0VCSVREQV9FU1QuQ1kyMDIwLjYvMzAvMjAxOC5DT04uRi5VU0QuSAEAAABmpY0AAwAAAAAA6W1ZhhQJ1gjgDWKHFAnWCDxDSVEuRU5YVFBBOkVSWVAuSVFfQ0FTSF9TVF9JTlZFU1QuMjAwMC42LzMwLzIwMTguTEZSLkYuVVNELkgBAAAA2Ip4AQIAAAAKMjIyLjc3MjU3NAEIAAAABQAAAAExAQAAAAoxODg1MjA0MjE5AwAAAAMxNjACAAAABDEwMDIEAAAAATAHAAAACTYvMzAvMjAxOAgAAAAKMTIvMzEvMjAxNwkAAAABMOUP74QUCdYIMV5RhxQJ1gg8Q0lRLk5BU0RBUUNNOkNVUi5JUV9SRVZFTlVFX0VTVC5DWTIwMTguNi8zMC8yMDE4LkNPTi5GLlVTRC5IAQAAAPHudQADAAAAAADlD++EFAnWCDFeUYcUCdYINkNJUS5FTlhUUEE6RVJZUC5JUV9FQklUREEuQ1kyMDE2LjYvMzAvMjAxOC5MRlIuRi5VU0QuSAEAAADYingBAgAAAAotMjMuMTg2OTUyAQgAAAAFAAAAATEBAAAACjE4ODUyMDQzNjkDAAAAAzE2MAIAAAAE</t>
  </si>
  <si>
    <t>NDA1MQQAAAABMAcAAAAJNi8zMC8yMDE4CAAAAAoxMi8zMS8yMDE2CQAAAAEw5Q/vhBQJ1ggxXlGHFAnWCDhDSVEuU0VISzoyMTg2LklRX0VBUk5JTkdfQ08uQ1kyMDE2LjYvMzAvMjAxOC5MRlIuRi5VU0QuSAEAAADCgZgAAgAAAAoxMjguNzU0NjQ1AQgAAAAFAAAAATEBAAAACjE4ODU0OTQ4MzQDAAAAAzE2MAIAAAABNwQAAAABMAcAAAAJNi8zMC8yMDE4CAAAAAoxMi8zMS8yMDE2CQAAAAEw6W1ZhhQJ1ggvcGSHFAnWCChDSVEuTkFTREFRR006UllUTS5JUV9URVYuNi8zMC8yMDE4LlVTRC5IAQAAABjJbRICAAAACjkzMC4yMDAyMTkBBgAAAAUAAAABMQEAAAAKMTg4ODkwOTg0NgMAAAADMTYwAgAAAAYxMDAwNjAEAAAAATAHAAAACTYvMzAvMjAxOGKSdIUUCdYIRUldhxQJ1gg2Q0lRLlNFSEs6MTUzMC5JUV9UT1RBTF9ERUJULjIwMDAuMy8zMS8yMDE4LkxGUi5GLlVTRC5IAQAAAO+4cAECAAAACjM2NS41NTQ4MTgBCAAAAAUAAAABMQEAAAAKMTg2MDQwNzA0MgMAAAADMTYwAgAAAAQ0MTczBAAAAAEwBwAAAAkzLzMxLzIwMTgIAAAACTYvMzAvMjAxNwkAAAABMJQLV4YUCdYIL3BkhxQJ1gg9Q0lRLk5BU0RBUUdNOlZUVlQuSVFfUkVWRU5VRV9FU1QuQ1kyMDIxLjYvMzAvMjAxOC5DT04uRi5VU0QuSAEAAAAdox8SAgAAAAczNS4yOTE1AQ4AAAAFAAAAAjExAQAAAAEwAgAAAAoxMDAzMTY0OTc0AwAAAAYx</t>
  </si>
  <si>
    <t>MDAxODAEAAAAATIGAAAAATAHAAAAAzE2MAgAAAABMAkAAAABMQoAAAABMAsAAAALMTA4Mzc2MTU5MTkMAAAAATcNAAAACDcvMS8yMDE4EAAAAAk2LzMwLzIwMTjlD++EFAnWCIbAU4cUCdYIP0NJUS5OWVNFOk1ZT1YuSVFfRUJJVERBXzVZUl9BTk5fQ0FHUi4yMDAwLjYvMzAvMjAxOC5MRlIuRi5VU0QuSAEAAACX2gsYAwAAAAAAYpJ0hRQJ1giUq1+HFAnWCDlDSVEuTkFTREFRR006UllUTS5JUV9UT1RBTF9SRVYuMTk5Ni42LzMwLzIwMTguTEZSLkYuVVNELkgBAAAAGMltEgMAAAAAAGKSdIUUCdYIRUldhxQJ1ggqQ0lRLklRVFIyMTI3MzE4NzcuSVFfVFJfVEFSR0VUX0VCSVQuLlVTRC5IAQAAAOUHrgwCAAAACC01MDguMjgzAQYAAAAFAAAAAjM3AQAAAAoxNTQ1MzYxMDc4AgAAAAUyMTY3NQMAAAADMTYwBAAAAAEwBwAAAAgxLzEvMTkwMOY7RYIUCdYIe9JmhxQJ1gg5Q0lRLk5ZU0U6TVlPVi5JUV9SRVZFTlVFX0VTVC5DWTIwMTkuNi8zMC8yMDE4LkNPTi5GLlVTRC5IAQAAAJfaCxgCAAAABTI4Ljc1AQ4AAAAFAAAAAjExAQAAAAEwAgAAAAcxNjM4OTYyAwAAAAYxMDAxODAEAAAAATIGAAAAATAHAAAAAzE2MAgAAAABMAkAAAABMQoAAAABMAsAAAALMTA5MTg2OTI1NjIMAAAAATcNAAAACDcvMS8yMDE4EAAAAAk2LzMwLzIwMThiknSFFAnWCJSrX4cUCdYIO0NJUS5OQVNEQVFHUzpPRFQuSVFfRUFSTklO</t>
  </si>
  <si>
    <t>R19DTy5DWTIwMTYuNi8zMC8yMDE4LkxGUi5GLlVTRC5IAQAAABoaRSACAAAABi0zLjA4NQEIAAAABQAAAAExAQAAAAoxODc0MTY3MjMwAwAAAAMxNjACAAAAATcEAAAAATAHAAAACTYvMzAvMjAxOAgAAAAKMTIvMzEvMjAxNgkAAAABMMYl44QUCdYIp4RYhxQJ1gg2Q0lRLk9UQ1BLOkVNSVMuSVFfVE9UQUxfUkVWLjE5OTYuNi8zMC8yMDE4LkxGUi5GLlVTRC5IAQAAAD79AwACAAAABTAuNzc4AQgAAAAFAAAAATEBAAAACjE4NDE4OTg1MjYDAAAAAzE2MAIAAAACMjgEAAAAATAHAAAACTYvMzAvMjAxOAgAAAAJMy8zMS8yMDE2CQAAAAEwr4blhBQJ1ghlIlaHFAnWCCdDSVEuTkFTREFRR006TU5LRC5JUV9QRVJJT0REQVRFX0lTLjEwMDABAAAAZqWNAAUAAAAKMTIvMzEvMjAxNwDpbVmGFAnWCOANYocUCdYIMkNJUS5PVENQSzpORVhTLklRX0RBX0NGLjIwMDAuNi8zMC8yMDE4LkxGUi5GLlVTRC5IAQAAAB29ThQCAAAACDAuMDAxODI5AQgAAAAFAAAAATEBAAAACjE4NjI4NjMwOTMDAAAAAzE2MAIAAAAEMjE2MAQAAAABMAcAAAAJNi8zMC8yMDE4CAAAAAk1LzMxLzIwMTcJAAAAATDlD++EFAnWCMQ0aYcUCdYIKUNJUS5PVENQSzpFTUlTLklRX0xBU1RTQUxFUFJJQ0UuMy8zMS8yMDE4AQAAAD79AwACAAAABjAuMzg5OQDGJeOEFAnWCGUiVocUCdYIRENJUS5UU1hWOkNPQi5VLklRX01JTk9SSVRZX0lOVEVS</t>
  </si>
  <si>
    <t>RVNUX1RPVEFMLjIwMDAuNi8zMC8yMDE4LkxGUi5GLlVTRC5IAQAAAL/7AAgDAAAAAACvhuWEFAnWCIbAU4cUCdYIOkNJUS5TSFNFOjYwMDg2Ny5JUV9FQklUREFfRVNULkNZMjAyMC42LzMwLzIwMTguQ09OLkYuVVNELkgBAAAA2D6uAAIAAAAQMzQ4LjI1MTA4OTA5MTUwNgEOAAAABQAAAAIxMQEAAAABMAIAAAAKMTAwMjAwNzU5MAMAAAAGMTAwMTg3BAAAAAIyNwYAAAABMAcAAAADMTYwCAAAAAEwCQAAAAExCgAAAAEwCwAAAAsxMDk0NTg1Njg1NgwAAAABNw0AAAAINy8xLzIwMTgQAAAACTYvMzAvMjAxOGKSdIUUCdYI4A1ihxQJ1gg9Q0lRLk5BU0RBUUdTOkNZVEsuSVFfUkVWRU5VRV9FU1QuQ1kyMDIxLjYvMzAvMjAxOC5DT04uRi5VU0QuSAEAAACzagAAAwAAAAAAr4blhBQJ1ghlIlaHFAnWCDFDSVEuSVFUUjM0MDcwNDg2NS5JUV9UUl9UQVJHRVRfUkVWRU5VRV9FU1QuLlVTRC5IAQAAAGG+ThQCAAAAAADmO0WCFAnWCHvSZocUCdYILkNJUS5JUVRSMTcxOTMwNTM0LklRX1RSX1RBUkdFVF9TVE9DS1BSRU1JVU1fMU0BAAAApnM/CgIAAAAAAOY7RYIUCdYIe9JmhxQJ1ggsQ0lRLklRVFIzNzAwNzIzNTMuSVFfVFJfVEFSR0VUX0VCSVREQS4uVVNELkgBAAAAIdsOFgIAAAAKLTE5LjQwMjQwNAEHAAAABQAAAAIzNwEAAAAKMTc5MDkwODQxOQIAAAAFMjE2NzcDAAAAAzE2MAQAAAABMAcAAAAIMS8xLzE5</t>
  </si>
  <si>
    <t>MDAGAAAACTYvMzAvMjAxNuY7RYIUCdYIe9JmhxQJ1gg6Q0lRLlNFSEs6MTUzMC5JUV9UT1RBTF9FUVVJVFkuQ1kyMDE2LjYvMzAvMjAxOC5MRlIuRi5VU0QuSAEAAADvuHABAgAAAAo5NzQuNDk5ODE0AQgAAAAFAAAAATEBAAAACjE4ODYwOTk4MjIDAAAAAzE2MAIAAAAEMTI3NQQAAAABMAcAAAAJNi8zMC8yMDE4CAAAAAoxMi8zMS8yMDE2CQAAAAEwlAtXhhQJ1ggvcGSHFAnWCDZDSVEuQU1FWDpCVFguSVFfVE9UQUxfUkVWLkNZMjAxNi42LzMwLzIwMTguTEZSLkYuVVNELkgBAAAAFmQAAAIAAAAFNS45MjMBCAAAAAUAAAABMQEAAAAKMTg3ODUxMzYxMwMAAAADMTYwAgAAAAIyOAQAAAABMAcAAAAJNi8zMC8yMDE4CAAAAAoxMi8zMS8yMDE2CQAAAAEwxiXjhBQJ1ghlIlaHFAnWCENDSVEuTkFTREFRR1M6WkZHTi5JUV9FQklUREFfNVlSX0FOTl9DQUdSLjIwMDAuNi8zMC8yMDE4LkxGUi5GLlVTRC5IAQAAAJfAugEDAAAAAADGJeOEFAnWCKeEWIcUCdYIO0NJUS5TSFNFOjYwMDg2Ny5JUV9SRVZFTlVFX0VTVC5DWTIwMjAuNi8zMC8yMDE4LkNPTi5GLlVTRC5IAQAAANg+rgACAAAAEDY5NC45MzY4MTI3NDI2MjYBDgAAAAUAAAACMTEBAAAAATACAAAACjEwMDIwMDc1OTADAAAABjEwMDE4MAQAAAACMjcGAAAAATAHAAAAAzE2MAgAAAABMAkAAAABMQoAAAABMAsAAAALMTA5NDU4NTY5MzQMAAAAATcNAAAA</t>
  </si>
  <si>
    <t>CDcvMS8yMDE4EAAAAAk2LzMwLzIwMThiknSFFAnWCOANYocUCdYIPUNJUS5OQVNEQVFHTTpGT0xELklRX1JFVkVOVUVfRVNULkNZMjAxOC42LzMwLzIwMTguQ09OLkYuVVNELkgBAAAAVvZqAAIAAAAIODYuMTI4NDIBDgAAAAUAAAACMTEBAAAAATACAAAACjEwMDEwMjU4NDEDAAAABjEwMDE4MAQAAAABMgYAAAABMAcAAAADMTYwCAAAAAEwCQAAAAExCgAAAAEwCwAAAAsxMTAzNDY2ODM4NQwAAAABNw0AAAAINy8xLzIwMTgQAAAACTYvMzAvMjAxOGKSdIUUCdYIlKtfhxQJ1gg1Q0lRLk5BU0RBUUdTOkxYUlguSVFfREFfQ0YuMjAwMC42LzMwLzIwMTguTEZSLkYuVVNELkgBAAAAPXgAAAIAAAAEMy42OQEIAAAABQAAAAExAQAAAAoxODg2NTQzODc1AwAAAAMxNjACAAAABDIxNjAEAAAAATAHAAAACTYvMzAvMjAxOAgAAAAJMy8zMS8yMDE4CQAAAAEwYpJ0hRQJ1giUq1+HFAnWCD9DSVEuU0VISzoxNTMwLklRX0VCSVREQV8yWVJfQU5OX0NBR1IuMjAwMC42LzMwLzIwMTguTEZSLkYuVVNELkgBAAAA77hwAQIAAAAHNDAuNDMwNAEIAAAABQAAAAExAQAAAAoxODg2MDk5ODYyAwAAAAIzMgIAAAAENDIwOQQAAAABMAcAAAAJNi8zMC8yMDE4CAAAAAoxMi8zMS8yMDE3CQAAAAEwlAtXhhQJ1ggvcGSHFAnWCEJDSVEuU0VISzoxNTMwLklRX1RPVEFMX1JFVl8zWVJfQU5OX0NBR1IuMjAwMC42LzMwLzIwMTguTEZS</t>
  </si>
  <si>
    <t>LkYuVVNELkgBAAAA77hwAQIAAAAGNDguOTE0AQgAAAAFAAAAATEBAAAACjE4ODYwOTk4NjIDAAAAAjMyAgAAAAQ0MjIwBAAAAAEwBwAAAAk2LzMwLzIwMTgIAAAACjEyLzMxLzIwMTcJAAAAATCUC1eGFAnWCC9wZIcUCdYINkNJUS5PVENQSzpSWkxULklRX05JX01BUkdJTi4yMDAwLjYvMzAvMjAxOC5MRlIuRi5VU0QuSAEAAAAhCZsKAwAAAAAA5Q/vhBQJ1giGwFOHFAnWCDFDSVEuSVFUUjI0OTk4MTU2NC5JUV9UUl9UQVJHRVRfUkVWRU5VRV9FU1QuLlVTRC5IAQAAAHxq5g4CAAAABzQ0MC43NDMA5jtFghQJ1gh70maHFAnWCCtDSVEuSVFUUjExNzgwMzkyMC5JUV9UUl9JTVBMSUVEX0VWX0VCSVRfRldEAQAAAJCLBQcCAAAAAADmO0WCFAnWCHvSZocUCdYILENJUS5JUVRSNTUyNzIwMjA3LklRX1RSX1RPVEFMX0dST1NTX1RWLlVTRC5IBQAAAAAAAAAIAAAAGihJbnZhbGlkIEN1cnJlbmN5IFJlcXVlc3Qp5jtFghQJ1gh70maHFAnWCENDSVEuT1RDUEs6UlpMVC5JUV9UT1RBTF9SRVZfNVlSX0FOTl9DQUdSLjIwMDAuNi8zMC8yMDE4LkxGUi5GLlVTRC5IAQAAACEJmwoDAAAAAADlD++EFAnWCIbAU4cUCdYIN0NJUS5DUFNFOk5PVk8gQi5JUV9OSV9NQVJHSU4uMjAwMC42LzMwLzIwMTguTEZSLkYuVVNELkgBAAAAfO8EAAIAAAAHMzUuMTQ4OQEIAAAABQAAAAExAQAAAAoxODkyNjIzOTUzAwAAAAI0MgIA</t>
  </si>
  <si>
    <t>AAAENDA5NAQAAAABMAcAAAAJNi8zMC8yMDE4CAAAAAkzLzMxLzIwMTgJAAAAATCUC1eGFAnWCHvSZocUCdYILkNJUS5JUVRSMTE3ODAzOTIwLklRX1RSX1RBUkdFVF9TVE9DS1BSRU1JVU1fMVcBAAAAkIsFBwIAAAAAAOY7RYIUCdYIe9JmhxQJ1ggsQ0lRLkNQU0U6Tk9WTyBCLklRX01BUktFVENBUC42LzMwLzIwMTguVVNELkgBAAAAfO8EAAIAAAANMTEyMTk0LjUwOTk1NgEGAAAABQAAAAExAQAAAAoxODkyNjIzMDQ0AwAAAAMxNjACAAAABjEwMDA1NAQAAAABMAcAAAAJNi8zMC8yMDE4lAtXhhQJ1gh70maHFAnWCCBDSVEuU0VISzozOTMzLklRX0VGRkVDVF9UQVhfUkFURQEAAABN2hECAwAAAAJOTQEIAAAABQAAAAExAQAAAAoxODg1NzM5MjAyAwAAAAIzMgIAAAAENDM3NgQAAAABMAcAAAAJOC8yMy8yMDE4CAAAAAoxMi8zMS8yMDE3CQAAAAEw6W1ZhhQJ1gjgDWKHFAnWCDVDSVEuU0VISzoyMTg2LklRX1RPVEFMX1JFVi4xOTkyLjYvMzAvMjAxOC5MRlIuRi5VU0QuSAEAAADCgZgAAgAAAAozOTQuNzgzMDU4AQgAAAAFAAAAATEBAAAACjE4Mzg4NTUyODkDAAAAAzE2MAIAAAACMjgEAAAAATAHAAAACTYvMzAvMjAxOAgAAAAKMTIvMzEvMjAxNQkAAAABMJQLV4YUCdYIL3BkhxQJ1gg3Q0lRLkNQU0U6WkVBTC5JUV9UT1RBTF9SRVYuQ1kyMDE3LjYvMzAvMjAxOC5MRlIuRi5VU0QuSAEAAAAiWxMAAgAA</t>
  </si>
  <si>
    <t>AAkyMi41NDIwNjQBCAAAAAUAAAABMQEAAAAKMTg3ODA1OTcyMQMAAAADMTYwAgAAAAIyOAQAAAABMAcAAAAJNi8zMC8yMDE4CAAAAAoxMi8zMS8yMDE3CQAAAAEwYpJ0hRQJ1gjgDWKHFAnWCDxDSVEuTkFTREFRR006VlRWVC5JUV9UT1RBTF9FUVVJVFkuMTk5Mi42LzMwLzIwMTguTEZSLkYuVVNELkgBAAAAHaMfEgIAAAAGNzAuNjQ4AQgAAAAFAAAAATEBAAAACjE4Mzk4ODA0NDgDAAAAAzE2MAIAAAAEMTI3NQQAAAABMAcAAAAJNi8zMC8yMDE4CAAAAAkzLzMxLzIwMTYJAAAAATDlD++EFAnWCIbAU4cUCdYINUNJUS5PVENQSzpSWkxULklRX0VCSVREQS5DWTIwMTYuNi8zMC8yMDE4LkxGUi5GLlVTRC5IAQAAACEJmwoCAAAACS0xNC45MjAzNwEIAAAABQAAAAExAQAAAAoxODc0MTk0MDA4AwAAAAMxNjACAAAABDQwNTEEAAAAATAHAAAACTYvMzAvMjAxOAgAAAAKMTIvMzEvMjAxNgkAAAABMOUP74QUCdYIhsBThxQJ1ghBQ0lRLkVOWFRQQTpFUllQLklRX0VCSVREQV8zWVJfQU5OX0NBR1IuMjAwMC42LzMwLzIwMTguTEZSLkYuVVNELkgBAAAA2Ip4AQMAAAACTk0BCAAAAAUAAAABMQEAAAAKMTg4NTIwNDIxOQMAAAACNTACAAAABDQyMjIEAAAAATAHAAAACTYvMzAvMjAxOAgAAAAKMTIvMzEvMjAxNwkAAAABMOUP74QUCdYIMV5RhxQJ1gg9Q0lRLk5BU0RBUUNNOlZLVFguSVFfRUJJVERBX01BUkdJTi4y</t>
  </si>
  <si>
    <t>MDAwLjYvMzAvMjAxOC5MRlIuRi5VU0QuSAEAAADyvLUOAwAAAAAAxiXjhBQJ1ghn51qHFAnWCDRDSVEuTkFTREFRR1M6T0RULklRX0NBUEVYLjE5OTYuNi8zMC8yMDE4LkxGUi5GLlVTRC5IAQAAABoaRSADAAAAAADGJeOEFAnWCKeEWIcUCdYINENJUS5TRUhLOjM5MzMuSVFfVE9UQUxfQ0EuMTk5Mi42LzMwLzIwMTguTEZSLkYuVVNELkgBAAAATdoRAgIAAAAKNzQzLjMwNTgyMgEIAAAABQAAAAExAQAAAAoxODM4ODA3NjkwAwAAAAMxNjACAAAABDEwMDgEAAAAATAHAAAACTYvMzAvMjAxOAgAAAAKMTIvMzEvMjAxNQkAAAABMOltWYYUCdYI4A1ihxQJ1gg6Q0lRLk5BU0RBUUdTOlhFUlMuSVFfVE9UQUxfREVCVC4yMDAwLjMvMzEvMjAxOC5MRlIuRi5VU0QuSAEAAADg7k8GAgAAAAEwAQgAAAAFAAAAATEBAAAACjE4OTA5NjE2NDcDAAAAAzE2MAIAAAAENDE3MwQAAAABMAcAAAAJMy8zMS8yMDE4CAAAAAoxMi8zMS8yMDE3CQAAAAEwxiXjhBQJ1ghn51qHFAnWCDtDSVEuTkFTREFRR1M6Q0JBWS5JUV9UT1RBTF9SRVYuQ1kyMDE2LjYvMzAvMjAxOC5MRlIuRi5VU0QuSAEAAADAegAAAwAAAAAAYpJ0hRQJ1ghFSV2HFAnWCDxDSVEuTkFTREFRR006TU5PVi5JUV9UT1RBTF9FUVVJVFkuMTk5Ni42LzMwLzIwMTguTEZSLkYuVVNELkgBAAAAuFSNAAIAAAAJMzIuNzUxNDMyAQgAAAAFAAAAATEBAAAACjE4ODQ2</t>
  </si>
  <si>
    <t>NDQyMTQDAAAAAzE2MAIAAAAEMTI3NQQAAAABMAcAAAAJNi8zMC8yMDE4CAAAAAkzLzMxLzIwMTcJAAAAATDGJeOEFAnWCKeEWIcUCdYIOUNJUS5PVENQSzpFTUlTLklRX1RPVEFMX0VRVUlUWS4xOTk2LjYvMzAvMjAxOC5MRlIuRi5VU0QuSAEAAAA+/QMAAgAAAAgtMTUzLjY1MgEIAAAABQAAAAExAQAAAAoxODQxODk4NTI2AwAAAAMxNjACAAAABDEyNzUEAAAAATAHAAAACTYvMzAvMjAxOAgAAAAJMy8zMS8yMDE2CQAAAAEwr4blhBQJ1ghlIlaHFAnWCCRDSVEuTkFTREFRQ006VktUWC5JUV9FRkZFQ1RfVEFYX1JBVEUBAAAA8ry1DgMAAAAAAMYl44QUCdYIZ+dahxQJ1gg+Q0lRLk5BU0RBUUdTOkNCQVkuSVFfQ0FTSF9TVF9JTlZFU1QuMjAwMC4zLzMxLzIwMTguTEZSLkYuVVNELkgBAAAAwHoAAAIAAAAFOTcuMjEBCAAAAAUAAAABMQEAAAAKMTg3ODUyNDA4OAMAAAADMTYwAgAAAAQxMDAyBAAAAAEwBwAAAAkzLzMxLzIwMTgIAAAACjEyLzMxLzIwMTcJAAAAATBiknSFFAnWCGfnWocUCdYIO0NJUS5OQVNEQVFHUzpBUFRYLklRX1RPVEFMX1JFVi5DWTIwMTYuNi8zMC8yMDE4LkxGUi5GLlVTRC5IAQAAAC8pDBQCAAAABTkuNzkyAQgAAAAFAAAAATEBAAAACjE4OTA4NTEzNjcDAAAAAzE2MAIAAAACMjgEAAAAATAHAAAACTYvMzAvMjAxOAgAAAAKMTIvMzEvMjAxNgkAAAABMGKSdIUUCdYIRUldhxQJ1gg3</t>
  </si>
  <si>
    <t>Q0lRLk5BU0RBUUNNOkNVUi5JUV9FQklUREEuQ1kyMDE2LjYvMzAvMjAxOC5MRlIuRi5VU0QuSAEAAADx7nUAAgAAAAotMjAuMjk5MzM1AQgAAAAFAAAAATEBAAAACjE4ODEwNjU2OTMDAAAAAzE2MAIAAAAENDA1MQQAAAABMAcAAAAJNi8zMC8yMDE4CAAAAAoxMi8zMS8yMDE2CQAAAAEw5Q/vhBQJ1ggxXlGHFAnWCCdDSVEuTkFTREFRR1M6WEVSUy5JUV9CRVRBXzVZUi42LzMwLzIwMTgBAAAA4O5PBgMAAAAAAK+G5YQUCdYIZ+dahxQJ1gg2Q0lRLkNQU0U6Tk9WTyBCLklRX1RPVEFMX0NMLjIwMDAuNi8zMC8yMDE4LkxGUi5GLlVTRC5IAQAAAHzvBAACAAAACzczMDAuMTcwMDc2AQgAAAAFAAAAATEBAAAACjE4OTI2MjM5NTMDAAAAAzE2MAIAAAAEMTAwOQQAAAABMAcAAAAJNi8zMC8yMDE4CAAAAAkzLzMxLzIwMTgJAAAAATCUC1eGFAnWCHvSZocUCdYIP0NJUS4oSU5WQUxJRCBJREVOVElGSUVSKS5JUV9FQklUREEuQ1kyMDE2LjYvMzAvMjAxOC5MRlIuRi5VU0QuSAUAAAAAAAAACAAAABQoSW52YWxpZCBJZGVudGlmaWVyKeUP74QUCdYIMV5RhxQJ1ghDQ0lRLk5BU0RBUUdNOk1OS0QuSVFfRUJJVERBXzJZUl9BTk5fQ0FHUi4yMDAwLjYvMzAvMjAxOC5MRlIuRi5VU0QuSAEAAABmpY0AAwAAAAJOTQEIAAAABQAAAAExAQAAAAoxODg5Nzc1OTkzAwAAAAMxNjACAAAABDQyMDkEAAAAATAHAAAACTYvMzAv</t>
  </si>
  <si>
    <t>MjAxOAgAAAAJMy8zMS8yMDE4CQAAAAEw6W1ZhhQJ1gjgDWKHFAnWCDdDSVEuTkFTREFRQ006Q1VSLklRX1RPVEFMX0NMLjIwMDAuNi8zMC8yMDE4LkxGUi5GLlVTRC5IAQAAAPHudQACAAAACDEuMjc5MDAyAQgAAAAFAAAAATEBAAAACjE4ODg4NzMyMTkDAAAAAzE2MAIAAAAEMTAwOQQAAAABMAcAAAAJNi8zMC8yMDE4CAAAAAkzLzMxLzIwMTgJAAAAATDlD++EFAnWCDFeUYcUCdYIN0NJUS5PVENQSzpFTUlTLklRX1RPVEFMX0RFQlQuMjAwMC42LzMwLzIwMTguTEZSLkYuVVNELkgBAAAAPv0DAAIAAAAGNjguMDg5AQgAAAAFAAAAATEBAAAACjE4NDE4OTg1MzUDAAAAAzE2MAIAAAAENDE3MwQAAAABMAcAAAAJNi8zMC8yMDE4CAAAAAkzLzMxLzIwMTcJAAAAATCvhuWEFAnWCGUiVocUCdYIOUNJUS5TRUhLOjE1MzAuSVFfUkVWRU5VRV9FU1QuQ1kyMDIwLjYvMzAvMjAxOC5DT04uRi5VU0QuSAEAAADvuHABAgAAABAxMTI5LjA1NTk1MzI4Njg0AQ4AAAAFAAAAAjExAQAAAAEwAgAAAAoxMDAwOTUxMDMzAwAAAAYxMDAxODAEAAAAATMGAAAAATAHAAAAAzE2MAgAAAABMAkAAAABMQoAAAABMAsAAAALMTA5Mjg2MDA1OTIMAAAAATcNAAAACDcvMS8yMDE4EAAAAAk2LzMwLzIwMTjpbVmGFAnWCC9wZIcUCdYIOUNJUS5PVENQSzpCVEhFLklRX1RPVEFMX0VRVUlUWS4xOTkyLjYvMzAvMjAxOC5MRlIuRi5VU0Qu</t>
  </si>
  <si>
    <t>SAEAAABvnbkFAgAAAAktMC41NDc4ODYBCAAAAAUAAAABMQEAAAAKMTg0MTM0NzY3MAMAAAADMTYwAgAAAAQxMjc1BAAAAAEwBwAAAAk2LzMwLzIwMTgIAAAACTMvMzEvMjAxNgkAAAABMOUP74QUCdYIhsBThxQJ1gg3Q0lRLk5BU0RBUUdTOk5JVEUuSVFfUEVSSU9EREFURV9JUy4yMDAwLjYvMzAvMjAxOC5MRlIuRgEAAAAM0xgQBQAAAAkzLzMxLzIwMTgAxiXjhBQJ1ginhFiHFAnWCDxDSVEuKElOVkFMSUQgSURFTlRJRklFUikuSVFfREFfQ0YuMjAwMC42LzMwLzIwMTguTEZSLkYuVVNELkgFAAAAAAAAAAgAAAAUKEludmFsaWQgSWRlbnRpZmllcinlD++EFAnWCDFeUYcUCdYIIENJUS5TRUhLOjE1MzAuSVFfRUZGRUNUX1RBWF9SQVRFAQAAAO+4cAECAAAABzE0LjQ1NDMBCAAAAAUAAAABMQEAAAAKMTkwMjE2NzA2MwMAAAACMzICAAAABDQzNzYEAAAAATAHAAAACTgvMjMvMjAxOAgAAAAJNi8zMC8yMDE4CQAAAAEwlAtXhhQJ1ggvcGSHFAnWCClDSVEuSVFUUjE3MTkzMDUzNC5JUV9UUl9JTVBMSUVEX0VRX05JX0xUTQEAAACmcz8KAgAAAAAA5jtFghQJ1gh70maHFAnWCDhDSVEuT1RDUEs6TkVYUy5JUV9UT1RBTF9SRVYuQ1kyMDE2LjYvMzAvMjAxOC5MRlIuRi5VU0QuSAEAAAAdvU4UAwAAAAAA5Q/vhBQJ1ggxXlGHFAnWCC5DSVEuSVFUUjEwODkwNjI3Ni5JUV9UUl9UQVJHRVRfU1RPQ0tQUkVNSVVN</t>
  </si>
  <si>
    <t>XzFNAQAAACTHfQYCAAAAAADmO0WCFAnWCMQ0aYcUCdYIJENJUS5UU1hWOkNPQi5VLklRX0JFVEFfMVlSLjYvMzAvMjAxOAEAAAC/+wAIAgAAAA8zLjA4NzIyNTgyNjY5MTYAr4blhBQJ1giGwFOHFAnWCE1DSVEuKElOVkFMSUQgSURFTlRJRklFUikuSVFfVE9UQUxfUkVWXzNZUl9BTk5fQ0FHUi4yMDAwLjYvMzAvMjAxOC5MRlIuRi5VU0QuSAUAAAAAAAAACAAAABQoSW52YWxpZCBJZGVudGlmaWVyKeUP74QUCdYIYPtOhxQJ1ggjQ0lRLklRVFIyNzAwNzQ3NTQuSVFfVFJfQ0xPU0VEX0RBVEUBAAAAggMZEAUAAAAJOS8yMy8yMDE0AOY7RYIUCdYIcPjFghQJ1gg4Q0lRLk5BU0RBUUdNOlJZVE0uSVFfVE9UQUxfQ0wuMjAwMC42LzMwLzIwMTguTEZSLkYuVVNELkgBAAAAGMltEgIAAAAFNS41NzkBCAAAAAUAAAABMQEAAAAKMTg4ODkxMTQ3MAMAAAADMTYwAgAAAAQxMDA5BAAAAAEwBwAAAAk2LzMwLzIwMTgIAAAACTMvMzEvMjAxOAkAAAABMGKSdIUUCdYIRUldhxQJ1gg8Q0lRLk5BU0RBUUNNOlZLVFguSVFfRUJJVERBX0VTVC5DWTIwMTguNi8zMC8yMDE4LkNPTi5GLlVTRC5IAQAAAPK8tQ4CAAAABS0yMS44AQ4AAAAFAAAAAjExAQAAAAEwAgAAAAoxMDAzMDk3MzU0AwAAAAYxMDAxODcEAAAAATIGAAAAATAHAAAAAzE2MAgAAAABMAkAAAABMQoAAAABMAsAAAALMTA4Nzg4NjMyNDYMAAAAATcNAAAACDcv</t>
  </si>
  <si>
    <t>MS8yMDE4EAAAAAk2LzMwLzIwMTivhuWEFAnWCGfnWocUCdYIP0NJUS5TRUhLOjM5MzMuSVFfRUJJVERBXzVZUl9BTk5fQ0FHUi4yMDAwLjYvMzAvMjAxOC5MRlIuRi5VU0QuSAEAAABN2hECAgAAAAcxMy40OTY0AQgAAAAFAAAAATEBAAAACjE4ODU3MzkyMDIDAAAAAjMyAgAAAAQ0MjM1BAAAAAEwBwAAAAk2LzMwLzIwMTgIAAAACjEyLzMxLzIwMTcJAAAAATDpbVmGFAnWCOANYocUCdYIOENJUS5TRUhLOjE1MzAuSVFfVE9UQUxfRVFVSVRZLjE5OTYuNi8zMC8yMDE4LkxGUi5GLlVTRC5IAQAAAO+4cAECAAAACjk3NC40OTk4MTQBCAAAAAUAAAABMQEAAAAKMTg4NjA5OTgyMgMAAAADMTYwAgAAAAQxMjc1BAAAAAEwBwAAAAk2LzMwLzIwMTgIAAAACjEyLzMxLzIwMTYJAAAAATCUC1eGFAnWCC9wZIcUCdYINUNJUS5TRUhLOjM5MzMuSVFfVE9UQUxfUkVWLjE5OTIuNi8zMC8yMDE4LkxGUi5GLlVTRC5IAQAAAE3aEQICAAAACjk5Mi44MzUzMTIBCAAAAAUAAAABMQEAAAAKMTgzODgwNzY5MAMAAAADMTYwAgAAAAIyOAQAAAABMAcAAAAJNi8zMC8yMDE4CAAAAAoxMi8zMS8yMDE1CQAAAAEw6W1ZhhQJ1ggvcGSHFAnWCDhDSVEuTkFTREFRR1M6T0RULklRX1RPVEFMX1JFVi4xOTk2LjYvMzAvMjAxOC5MRlIuRi5VU0QuSAEAAAAaGkUgAwAAAAAAxiXjhBQJ1ghn51qHFAnWCENDSVEuTkFTREFRR1M6Q1lUSy5J</t>
  </si>
  <si>
    <t>UV9FQklUREFfM1lSX0FOTl9DQUdSLjIwMDAuNi8zMC8yMDE4LkxGUi5GLlVTRC5IAQAAALNqAAADAAAAAk5NAQgAAAAFAAAAATEBAAAACjE4ODg0NzA2NjYDAAAAAzE2MAIAAAAENDIyMgQAAAABMAcAAAAJNi8zMC8yMDE4CAAAAAkzLzMxLzIwMTgJAAAAATCvhuWEFAnWCGUiVocUCdYIOENJUS5OQVNEQVFHUzpDWVRLLklRX1RPVEFMX0NMLjE5OTIuNi8zMC8yMDE4LkxGUi5GLlVTRC5IAQAAALNqAAACAAAABjI0LjY4MwEIAAAABQAAAAExAQAAAAoxODQwNDkxNjA1AwAAAAMxNjACAAAABDEwMDkEAAAAATAHAAAACTYvMzAvMjAxOAgAAAAJMy8zMS8yMDE2CQAAAAEwxiXjhBQJ1ghlIlaHFAnWCCxDSVEuTkFTREFRQ006Q09SVC5JUV9MQVNUU0FMRVBSSUNFLjMvMzEvMjAxOAEAAADSuRUAAgAAAAUxNi40NQBiknSFFAnWCJSrX4cUCdYIOkNJUS5DUFNFOk5PVk8gQi5JUV9HUk9TU19NQVJHSU4uMjAwMC42LzMwLzIwMTguTEZSLkYuVVNELkgBAAAAfO8EAAIAAAAHODQuMDQ1MgEIAAAABQAAAAExAQAAAAoxODkyNjIzOTUzAwAAAAI0MgIAAAAENDA3NAQAAAABMAcAAAAJNi8zMC8yMDE4CAAAAAkzLzMxLzIwMTgJAAAAATCUC1eGFAnWCHvSZocUCdYIPkNJUS5OQVNEQVFHTTpNTk9WLklRX0NBU0hfU1RfSU5WRVNULjIwMDAuMy8zMS8yMDE4LkxGUi5GLlVTRC5IAQAAALhUjQACAAAACTI3Ljk5MTc0MwEI</t>
  </si>
  <si>
    <t>AAAABQAAAAExAQAAAAoxODc0MDI1MTAzAwAAAAMxNjACAAAABDEwMDIEAAAAATAHAAAACTMvMzEvMjAxOAgAAAAKMTIvMzEvMjAxNwkAAAABMMYl44QUCdYIp4RYhxQJ1ggkQ0lRLk9UQ1BLOkVNSVMuSVFfQkVUQV8xWVIuNi8zMC8yMDE4AQAAAD79AwACAAAAEDEuNjU3OTAzMTU2MjQxOTYAr4blhBQJ1ghlIlaHFAnWCDJDSVEuT1RDUEs6QlRIRS5JUV9DQVBFWC4xOTkyLjYvMzAvMjAxOC5MRlIuRi5VU0QuSAEAAABvnbkFAwAAAAAA5Q/vhBQJ1giGwFOHFAnWCENDSVEuTkFTREFRR1M6TFhSWC5JUV9FQklUREFfMllSX0FOTl9DQUdSLjIwMDAuNi8zMC8yMDE4LkxGUi5GLlVTRC5IAQAAAD14AAADAAAAAk5NAQgAAAAFAAAAATEBAAAACjE4ODY1NDM4NzUDAAAAAzE2MAIAAAAENDIwOQQAAAABMAcAAAAJNi8zMC8yMDE4CAAAAAkzLzMxLzIwMTgJAAAAATBiknSFFAnWCEVJXYcUCdYIJENJUS5OQVNEQVFHUzpYRVJTLklRX0VGRkVDVF9UQVhfUkFURQEAAADg7k8GAwAAAAAAxiXjhBQJ1ghn51qHFAnWCBtDSVEuU0hTRTo2MDA4NjcuSVFfRVhDSEFOR0UBAAAA2D6uAAMAAAAEU0hTRQBiknSFFAnWCOANYocUCdYIOUNJUS5OQVNEQVFDTTpWS1RYLklRX1RPVEFMX1JFVi4yMDAwLjYvMzAvMjAxOC5MRlIuRi5VU0QuSAEAAADyvLUOAwAAAAAAxiXjhBQJ1ghn51qHFAnWCEBDSVEuVFNYVjpDT0IuVS5JUV9F</t>
  </si>
  <si>
    <t>QklUREFfNVlSX0FOTl9DQUdSLjIwMDAuNi8zMC8yMDE4LkxGUi5GLlVTRC5IAQAAAL/7AAgDAAAAAACvhuWEFAnWCIbAU4cUCdYILkNJUS5OQVNEQVFHUzpJQ1BULklRX01BUktFVENBUC42LzMwLzIwMTguVVNELkgBAAAAgq+tAAIAAAALMjQ4Mi4zMDU3NTQBBgAAAAUAAAABMQEAAAAKMTg4ODYxNTExNQMAAAADMTYwAgAAAAYxMDAwNTQEAAAAATAHAAAACTYvMzAvMjAxOJQLV4YUCdYIL3BkhxQJ1ggmQ0lRLk5BU0RBUUNNOkNVUi5JUV9QRVJJT0REQVRFX0lTLjEwMDABAAAA8e51AAUAAAAKMTIvMzEvMjAxNwDlD++EFAnWCDFeUYcUCdYIQUNJUS5BTUVYOkJUWC5JUV9UT1RBTF9SRVZfMllSX0FOTl9DQUdSLjIwMDAuNi8zMC8yMDE4LkxGUi5GLlVTRC5IAQAAABZkAAACAAAACC0zMC42ODY3AQgAAAAFAAAAATEBAAAACjE4ODc5ODAxNjUDAAAAAzE2MAIAAAAENDIwNwQAAAABMAcAAAAJNi8zMC8yMDE4CAAAAAkzLzMxLzIwMTgJAAAAATDGJeOEFAnWCGUiVocUCdYIO0NJUS5OQVNEQVFHUzpPRFQuSVFfRUJJVERBX0VTVC5DWTIwMjAuNi8zMC8yMDE4LkNPTi5GLlVTRC5IAQAAABoaRSACAAAABy05MC42NjMBDgAAAAUAAAACMTEBAAAAATACAAAACjEwMDM5NTE2MjMDAAAABjEwMDE4NwQAAAABMgYAAAABMAcAAAADMTYwCAAAAAEwCQAAAAExCgAAAAEwCwAAAAsxMDkzMzkzMjQ4OAwAAAABNw0AAAAI</t>
  </si>
  <si>
    <t>Ny8xLzIwMTgQAAAACTYvMzAvMjAxOK+G5YQUCdYIp4RYhxQJ1ggtQ0lRLk5BU0RBUUdNOlJZVE0uSVFfRElWSURFTkRfWUlFTEQuNi8zMC8yMDE4AQAAABjJbRIDAAAAAABiknSFFAnWCEVJXYcUCdYIPUNJUS5OQVNEQVFHUzpBUFRYLklRX0VCSVREQV9NQVJHSU4uMjAwMC42LzMwLzIwMTguTEZSLkYuVVNELkgBAAAALykMFAMAAAACTk0BCAAAAAUAAAABMQEAAAAKMTg5MDg1MTM5MQMAAAADMTYwAgAAAAQ0MDQ3BAAAAAEwBwAAAAk2LzMwLzIwMTgIAAAACTMvMzEvMjAxOAkAAAABMGKSdIUUCdYIRUldhxQJ1ghGQ0lRLk5BU0RBUUdTOlhFUlMuSVFfVE9UQUxfUkVWXzJZUl9BTk5fQ0FHUi4yMDAwLjYvMzAvMjAxOC5MRlIuRi5VU0QuSAEAAADg7k8GAwAAAAAAxiXjhBQJ1ghn51qHFAnWCCNDSVEuSVFUUjMxMDIyOTE4OC5JUV9UUl9DTE9TRURfREFURQEAAADEuH0SBQAAAAoxMC8zMC8yMDE1AOY7RYIUCdYIv1rIghQJ1ggtQ0lRLk5BU0RBUUNNOlZLVFguSVFfRElWSURFTkRfWUlFTEQuNi8zMC8yMDE4AQAAAPK8tQ4DAAAAAADGJeOEFAnWCGfnWocUCdYIKUNJUS5JUVRSMzcwMDcyMzUzLklRX0JVU0lORVNTX0RFU0NSSVBUSU9OAQAAAIxxEwADAAAA/glUcmFuc2l0aW9uIFRoZXJhcGV1dGljcyBJbmMuLCBhIGJpb3BoYXJtYWNldXRpY2FsIGNvbXBhbnksIHJlc2VhcmNoZXMgYW5kIGRldmVsb3Bz</t>
  </si>
  <si>
    <t>IHRoZXJhcGV1dGljIGFnZW50cyBmb3IgZGlzZWFzZSBpbmRpY2F0aW9ucyBwcmltYXJpbHkgaW4gQ2FuYWRhLiBUaGUgY29tcGFueSdzIGxlYWQgY2VudHJhbCBuZXJ2b3VzIHN5c3RlbSBkcnVnIGNhbmRpZGF0ZSBpcyBFTE5EMDA1LCB3aGljaCBoYXMgY29tcGxldGVkIGEgUGhhc2UgSUkvSUlJIGNsaW5pY2FsIHRyaWFsIGZvciB0aGUgdHJlYXRtZW50IG9mIGFnaXRhdGlvbi9hZ2dyZXNzaW9uIGFzc29jaWF0ZWQgd2l0aCBBbHpoZWltZXIncyBkaXNlYXNlOyBhbmQgaGFzIGNvbXBsZXRlZCBQaGFzZSBJSWEgY2xpbmljYWwgdHJpYWwgZm9yIHRoZSB0cmVhdG1lbnQgb2YgRG93biBzeW5kcm9tZS4gSXRzIGxlYWQgbWV0YWJvbGljIGRydWcgY2FuZGlkYXRlIGlzIFRUNDAxLCB3aGljaCBpcyBpbiBQaGFzZSBJSSBjbGluaWNhbCBzdHVkeSBmb3IgdGhlIHRyZWF0bWVudCBvZiB0eXBlIDIgZGlhYmV0ZXMgYW5kIGFjY29tcGFueWluZyBvYmVzaXR5LiBUaGUgY29tcGFueSBpcyBhbHNvIGRldmVsb3BpbmcgVFQ3MDEsIGEgc2VsZWN0aXZlIGFuZHJvZ2VuIHJlY2VwdG9yIG1vZHVsYXRvciBmb3IgdGhlIHRyZWF0bWVudCBvZiBhbmRyb2dlbiBkZWZpY2llbmNpZXMuIFRyYW5zaXRpb24gVGhlcmFwZXV0aWNzIEluYy4gaGFzIGEgbGljZW5zaW5nIGFuZCBjb2xsYWJvcmF0aW9uIGFncmVlbWVudCB3</t>
  </si>
  <si>
    <t>aXRoIEVsaSBMaWxseSB0byBkZXZlbG9wIGFuZCBjb21tZXJjaWFsaXplIFRUNDAxOyBhbmQgdG8gZGV2ZWxvcCBjb21wb3VuZHMgaW4gcHJlY2xpbmljYWwgbW9kZWxzIHRvIHByb3ZpZGUgZ2x5Y2VtaWMgY29udHJvbCBhbmQgb3RoZXIgYmVuZWZpY2lhbCBlZmZlY3RzLCBpbmNsdWRpbmcgd2VpZ2h0IGxvc3MuIFRoZSBjb21wYW55IHdhcyBmb3JtZXJseSBrbm93biBhcyBUcmFuc2l0aW9uIFRoZXJhcGV1dGljcyBhbmQgRGlhZ25vc3RpY3MgSW5jLiBhbmQgY2hhbmdlZCBpdHMgbmFtZSB0byBUcmFuc2l0aW9uIFRoZXJhcGV1dGljcyBJbmMuIGluIERlY2VtYmVyIDIwMDAuIFRyYW5zaXRpb24gVGhlcmFwZXV0aWNzIEluYy4gd2FzIGZvdW5kZWQgaW4gMTk4NyBhbmQgaXMgaGVhZHF1YXJ0ZXJlZCBpbiBUb3JvbnRvLCBDYW5hZGEuIEFzIG9mIEF1Z3VzdCAzMSwgMjAxNiwgVHJhbnNpdGlvbiBUaGVyYXBldXRpY3MgSW5jLiBvcGVyYXRlcyBhcyBhIHN1YnNpZGlhcnkgb2YgT3BrbyBIZWFsdGgsIEluYy4A5jtFghQJ1gh70maHFAnWCEdDSVEuTkFTREFRR1M6TklURS5JUV9NSU5PUklUWV9JTlRFUkVTVF9UT1RBTC4yMDAwLjYvMzAvMjAxOC5MRlIuRi5VU0QuSAEAAAAM0xgQAwAAAAAAxiXjhBQJ1ginhFiHFAnWCCNDSVEuLklRX1RSX1RBUkdFVF9FQklUREFfRVNULi5VU0QuSAUAAAABAAAACAAA</t>
  </si>
  <si>
    <t>ABQoSW52YWxpZCBJZGVudGlmaWVyKZQLV4YUCdYIlAtXhhQJ1ggZQ0lRLk5ZU0U6TVlPVi5JUV9FWENIQU5HRQEAAACX2gsYAwAAAAROWVNFAGKSdIUUCdYIlKtfhxQJ1ggkQ0lRLkNQU0U6WkVBTC5JUV9URVYuNi8zMC8yMDE4LlVTRC5IAQAAACJbEwACAAAACjMzNi43NjcxNDQBBgAAAAUAAAABMQEAAAAKMTg4OTkxMzA1MQMAAAADMTYwAgAAAAYxMDAwNjAEAAAAATAHAAAACTYvMzAvMjAxOJQLV4YUCdYI4A1ihxQJ1gg5Q0lRLk9UQ1BLOkJUSEUuSVFfRUFSTklOR19DTy5DWTIwMTYuNi8zMC8yMDE4LkxGUi5GLlVTRC5IAQAAAG+duQUCAAAACS0zLjczNzUyNAEIAAAABQAAAAExAQAAAAoxODgwMTA1NjIyAwAAAAMxNjACAAAAATcEAAAAATAHAAAACTYvMzAvMjAxOAgAAAAKMTIvMzEvMjAxNgkAAAABMOUP74QUCdYIhsBThxQJ1gg5Q0lRLk9UQ1BLOkVNSVMuSVFfVE9UQUxfRVFVSVRZLjE5OTIuNi8zMC8yMDE4LkxGUi5GLlVTRC5IAQAAAD79AwACAAAACC0xNDQuODczAQgAAAAFAAAAATEBAAAACjE3OTIxNjM3ODkDAAAAAzE2MAIAAAAEMTI3NQQAAAABMAcAAAAJNi8zMC8yMDE4CAAAAAkzLzMxLzIwMTUJAAAAATCvhuWEFAnWCGUiVocUCdYIIENJUS5JUTI0MTY0NTkxLklRX0NPTVBBTllfVElDS0VSAQAAAO+4cAEDAAAACVNFSEs6MTUzMADmO0WCFAnWCIvTn4IUCdYII0NJUS5OWVNFOk1ZT1Yu</t>
  </si>
  <si>
    <t>SVFfQkVUQV8xWVIuNi8zMC8yMDE4AQAAAJfaCxgCAAAAEDAuNDM1NTI5Nzg1NjE5ODUAYpJ0hRQJ1giUq1+HFAnWCCRDSVEuTkFTREFRR1M6WkZHTi5JUV9FRkZFQ1RfVEFYX1JBVEUBAAAAl8C6AQMAAAAAAMYl44QUCdYIp4RYhxQJ1gglQ0lRLkNQU0U6Tk9WTyBCLklRX0JFVEFfNVlSLjYvMzAvMjAxOAEAAAB87wQAAgAAABEwLjUxMTUzMjQ4MTY4NDYwNwDpbVmGFAnWCHvSZocUCdYIN0NJUS5OQVNEQVFHUzpDWVRLLklRX1BFUklPRERBVEVfSVMuMjAwMC42LzMwLzIwMTguTEZSLkYBAAAAs2oAAAUAAAAJMy8zMS8yMDE4AMYl44QUCdYIZSJWhxQJ1ggwQ0lRLklRVFIzMTAyMjkxODguSVFfVFJfVEFSR0VUX0VCSVREQV9FU1QuLlVTRC5IAQAAAMS4fRICAAAAAADmO0WCFAnWCHvSZocUCdYIPkNJUS5OQVNEQVFDTTpDT1JULklRX0NBU0hfU1RfSU5WRVNULjIwMDAuNi8zMC8yMDE4LkxGUi5GLlVTRC5IAQAAANK5FQACAAAABzEyNS4zNjIBCAAAAAUAAAABMQEAAAAKMTg4ODA5OTU0NAMAAAADMTYwAgAAAAQxMDAyBAAAAAEwBwAAAAk2LzMwLzIwMTgIAAAACTMvMzEvMjAxOAkAAAABMGKSdIUUCdYIlKtfhxQJ1ggsQ0lRLklRVFIzMTAyMjkxODguSVFfVFJfVE9UQUxfR1JPU1NfVFYuVVNELkgFAAAAAAAAAAgAAAAaKEludmFsaWQgQ3VycmVuY3kgUmVxdWVzdCnmO0WCFAnWCHvSZocUCdYII0NJUS5J</t>
  </si>
  <si>
    <t>UVRSNDAyMTAzOTE5LklRX1RSX0NMT1NFRF9EQVRFAQAAAG+e9xcFAAAACDUvMy8yMDE2AOY7RYIUCdYIcPjFghQJ1ggpQ0lRLklRMzYxODM4MjguSVFfTEFTVFNBTEVQUklDRS42LzMwLzIwMTgBAAAAFB8oAgIAAAAEMi42MwDmO0WCFAnWCMQ0aYcUCdYIJENJUS5PVENQSzpORVhTLklRX0JFVEFfMVlSLjYvMzAvMjAxOAEAAAAdvU4UAgAAABAzLjg3MTAzNzExMTczOTcxAOUP74QUCdYIMV5RhxQJ1ghAQ0lRLk9UQ1BLOlJaTFQuSVFfRUJJVERBXzNZUl9BTk5fQ0FHUi4yMDAwLjYvMzAvMjAxOC5MRlIuRi5VU0QuSAEAAAAhCZsKAwAAAAJOTQEIAAAABQAAAAExAQAAAAoxODg5MTA1MTI0AwAAAAMxNjACAAAABDQyMjIEAAAAATAHAAAACTYvMzAvMjAxOAgAAAAJMy8zMS8yMDE4CQAAAAEw5Q/vhBQJ1giGwFOHFAnWCDhDSVEuTkFTREFRQ006QVZFTy5JUV9FQklUREEuQ1kyMDE2LjYvMzAvMjAxOC5MRlIuRi5VU0QuSAEAAAD0Fh0AAgAAAActMjkuMzYzAQgAAAAFAAAAATEBAAAACjE4NzgwODI2NTADAAAAAzE2MAIAAAAENDA1MQQAAAABMAcAAAAJNi8zMC8yMDE4CAAAAAoxMi8zMS8yMDE2CQAAAAEwxiXjhBQJ1ghlIlaHFAnWCDtDSVEuTkFTREFRQ006QllTSS5JUV9QUkVGX0VRVUlUWS4yMDAwLjYvMzAvMjAxOC5MRlIuRi5VU0QuSAEAAABHz2wYAwAAAAAAYpJ0hRQJ1ghFSV2HFAnWCD5DSVEuTkFT</t>
  </si>
  <si>
    <t>REFRR006Rk9MRC5JUV9DQVNIX1NUX0lOVkVTVC4yMDAwLjYvMzAvMjAxOC5MRlIuRi5VU0QuSAEAAABW9moAAgAAAAY1NjIuNTIBCAAAAAUAAAABMQEAAAAKMTg4ODQ4NDY1MQMAAAADMTYwAgAAAAQxMDAyBAAAAAEwBwAAAAk2LzMwLzIwMTgIAAAACTMvMzEvMjAxOAkAAAABMGKSdIUUCdYIlKtfhxQJ1gg/Q0lRLlNFSEs6MTUzMC5JUV9FQklUREFfM1lSX0FOTl9DQUdSLjIwMDAuNi8zMC8yMDE4LkxGUi5GLlVTRC5IAQAAAO+4cAECAAAABjUyLjcyMwEIAAAABQAAAAExAQAAAAoxODg2MDk5ODYyAwAAAAIzMgIAAAAENDIyMgQAAAABMAcAAAAJNi8zMC8yMDE4CAAAAAoxMi8zMS8yMDE3CQAAAAEwlAtXhhQJ1ggvcGSHFAnWCDtDSVEuTkFTREFRR1M6SUNQVC5JUV9UT1RBTF9SRVYuQ1kyMDE2LjYvMzAvMjAxOC5MRlIuRi5VU0QuSAEAAACCr60AAgAAAAYyNC45NTEBCAAAAAUAAAABMQEAAAAKMTg3NzAxMTQ2MAMAAAADMTYwAgAAAAIyOAQAAAABMAcAAAAJNi8zMC8yMDE4CAAAAAoxMi8zMS8yMDE2CQAAAAEw6W1ZhhQJ1ggvcGSHFAnWCC1DSVEuT1RDUEs6RU1JUy5JUV9MQVNUU0FMRVBSSUNFLjYvMzAvMjAxOC5VU0QBAAAAPv0DAAIAAAADMi40AMYl44QUCdYIZSJWhxQJ1gg2Q0lRLlNIU0U6NjAwODY3LklRX1RPVEFMX0NMLjE5OTYuNi8zMC8yMDE4LkxGUi5GLlVTRC5IAQAAANg+rgACAAAACTc1</t>
  </si>
  <si>
    <t>LjY0MDQ0OAEIAAAABQAAAAExAQAAAAoxODg1MTQ2MjY5AwAAAAMxNjACAAAABDEwMDkEAAAAATAHAAAACTYvMzAvMjAxOAgAAAAJMy8zMS8yMDE3CQAAAAEwYpJ0hRQJ1gjgDWKHFAnWCC5DSVEuSVFUUjI0OTk4MTU2NC5JUV9UUl9UQVJHRVRfU1RPQ0tQUkVNSVVNXzFNAQAAAHxq5g4CAAAABjUyLjAxOQEGAAAABQAAAAI1NAEAAAAGMTAxMDU1AgAAAAkyNDk5ODE1NjQDAAAACTI0OTk4MzQzNwQAAAADMTYwBgAAAAVGYWxzZeY7RYIUCdYIe9JmhxQJ1gg2Q0lRLk5BU0RBUUNNOkNPUlQuSVFfRUJJVERBLjE5OTIuNi8zMC8yMDE4LkxGUi5GLlVTRC5IAQAAANK5FQACAAAABTEuMzIxAQgAAAAFAAAAATEBAAAACjE4NDAxNzA5NjgDAAAAAzE2MAIAAAAENDA1MQQAAAABMAcAAAAJNi8zMC8yMDE4CAAAAAkzLzMxLzIwMTYJAAAAATBiknSFFAnWCJSrX4cUCdYIQ0NJUS5OQVNEQVFHTTpWVFZULklRX0VCSVREQV8zWVJfQU5OX0NBR1IuMjAwMC42LzMwLzIwMTguTEZSLkYuVVNELkgBAAAAHaMfEgMAAAACTk0BCAAAAAUAAAABMQEAAAAKMTg4OTA1NjUzNwMAAAADMTYwAgAAAAQ0MjIyBAAAAAEwBwAAAAk2LzMwLzIwMTgIAAAACTMvMzEvMjAxOAkAAAABMOUP74QUCdYIhsBThxQJ1ghBQ0lRLihJTlZBTElEIElERU5USUZJRVIpLklRX0VBUk5JTkdfQ08uMTk5Mi42LzMwLzIwMTguTEZSLkYuVVNELkgFAAAA</t>
  </si>
  <si>
    <t>AAAAAAgAAAAUKEludmFsaWQgSWRlbnRpZmllcinlD++EFAnWCDFeUYcUCdYIIENJUS5JUTExNDE5MzUyLklRX0NPTVBBTllfVElDS0VSAQAAANg+rgADAAAAC1NIU0U6NjAwODY3AOY7RYIUCdYI9vqmghQJ1gg5Q0lRLk9UQ1BLOkVNSVMuSVFfRUJJVERBX0VTVC5DWTIwMTkuNi8zMC8yMDE4LkNPTi5GLlVTRC5IAQAAAD79AwADAAAAAACvhuWEFAnWCGUiVocUCdYIOENJUS5OQVNEQVFDTTpBVkVPLklRX0VCSVREQS5DWTIwMTcuNi8zMC8yMDE4LkxGUi5GLlVTRC5IAQAAAPQWHQACAAAABy0yNi43MDgBCAAAAAUAAAABMQEAAAAKMTg3ODA4MjY1MwMAAAADMTYwAgAAAAQ0MDUxBAAAAAEwBwAAAAk2LzMwLzIwMTgIAAAACjEyLzMxLzIwMTcJAAAAATDGJeOEFAnWCGUiVocUCdYIRUNJUS5FTlhUUEE6RVJZUC5JUV9NSU5PUklUWV9JTlRFUkVTVF9UT1RBTC4yMDAwLjYvMzAvMjAxOC5MRlIuRi5VU0QuSAEAAADYingBAwAAAAAA5Q/vhBQJ1ggxXlGHFAnWCB1DSVEuTllTRTpNWU9WLklRX0NPTVBBTllfTkFNRQEAAACX2gsYAwAAABVNeW92YW50IFNjaWVuY2VzIEx0ZC4AYpJ0hRQJ1giUq1+HFAnWCDtDSVEuT1RDUEs6QlRIRS5JUV9UT1RBTF9FUVVJVFkuQ1kyMDE3LjYvMzAvMjAxOC5MRlIuRi5VU0QuSAEAAABvnbkFAgAAAAgtMy44ODM1OAEIAAAABQAAAAExAQAAAAoxODgwMTA1NjI4AwAAAAMxNjAC</t>
  </si>
  <si>
    <t>AAAABDEyNzUEAAAAATAHAAAACTYvMzAvMjAxOAgAAAAKMTIvMzEvMjAxNwkAAAABMOUP74QUCdYIhsBThxQJ1gg3Q0lRLk5BU0RBUUdNOk1OS0QuSVFfUEVSSU9EREFURV9JUy4yMDAwLjYvMzAvMjAxOC5MRlIuRgEAAABmpY0ABQAAAAkzLzMxLzIwMTgA6W1ZhhQJ1gjgDWKHFAnWCDVDSVEuTkFTREFRR1M6Q0JBWS5JUV9DQVBFWC4xOTk2LjYvMzAvMjAxOC5MRlIuRi5VU0QuSAEAAADAegAAAgAAAAYtMC4wNDIBCAAAAAUAAAABMQEAAAAKMTg4NzQ0NTA4MgMAAAADMTYwAgAAAAQyMDIxBAAAAAEwBwAAAAk2LzMwLzIwMTgIAAAACTMvMzEvMjAxNwkAAAABMGKSdIUUCdYIZ+dahxQJ1ggpQ0lRLk5BU0RBUUdTOkxYUlguSVFfQlVTSU5FU1NfREVTQ1JJUFRJT04BAAAAPXgAAAMAAACxB0xleGljb24gUGhhcm1hY2V1dGljYWxzLCBJbmMuLCBhIGJpb3BoYXJtYWNldXRpY2FsIGNvbXBhbnksIGZvY3VzZXMgb24gdGhlIGRldmVsb3BtZW50IGFuZCBjb21tZXJjaWFsaXphdGlvbiBvZiBwaGFybWFjZXV0aWNhbCBwcm9kdWN0cyBmb3IgdGhlIHRyZWF0bWVudCBvZiBodW1hbiBkaXNlYXNlcy4gVGhlIGNvbXBhbnkgb2ZmZXJzIFhFUk1FTE8sIGFuIG9yYWxseS1kZWxpdmVyZWQgc21hbGwgbW9sZWN1bGUgZHJ1ZyBjYW5kaWRhdGUgZm9yIHRoZSB0cmVhdG1lbnQgb2YgY2FyY2lub2lkIHN5bmRyb21lIGRp</t>
  </si>
  <si>
    <t>YXJyaGVhIGluIGNvbWJpbmF0aW9uIHdpdGggc29tYXRvc3RhdGluIGFuYWxvZyB0aGVyYXB5IGluIGFkdWx0cy4gSXRzIG9yYWxseS1kZWxpdmVyZWQgc21hbGwgbW9sZWN1bGUgZHJ1ZyBjYW5kaWRhdGVzIHVuZGVyIGRldmVsb3BtZW50IGNvbXByaXNlIFNvdGFnbGlmbG96aW4gdGhhdCBpcyBpbiBQaGFzZSAzIGNsaW5pY2FsIHRyaWFscyBmb3IgdGhlIHRyZWF0bWVudCBvZiB0eXBlIDEgYW5kIHR5cGUgMiBkaWFiZXRlczsgTFgyNzYxLCB3aGljaCBpcyBpbiBQaGFzZSAxIGNsaW5pY2FsIGRldmVsb3BtZW50IGZvciB0aGUgdHJlYXRtZW50IG9mIGRpYWJldGVzOyBhbmQgTFg5MjExIHRoYXQgaXMgaW4gUGhhc2UgMSBjbGluaWNhbCBkZXZlbG9wbWVudCBmb3IgdGhlIHRyZWF0bWVudCBvZiBuZXVyb3BhdGhpYyBwYWluLiBUaGUgY29tcGFueSBoYXMgc3RyYXRlZ2ljIGNvbGxhYm9yYXRpb24gYW5kIGxpY2Vuc2UgYWdyZWVtZW50cyB3aXRoIFNhbm9maTsgSXBzZW4gUGhhcm1hIFNBUzsgQnJpc3RvbC1NeWVycyBTcXVpYmIgQ29tcGFueTsgYW5kIEdlbmVudGVjaCwgSW5jLiBMZXhpY29uIFBoYXJtYWNldXRpY2FscywgSW5jLiB3YXMgZm91bmRlZCBpbiAxOTk1IGFuZCBpcyBoZWFkcXVhcnRlcmVkIGluIFRoZSBXb29kbGFuZHMsIFRleGFzLgBiknSFFAnWCJSrX4cUCdYIIENJUS5DUFNFOlpF</t>
  </si>
  <si>
    <t>QUwuSVFfRUZGRUNUX1RBWF9SQVRFAQAAACJbEwADAAAAAk5NAQgAAAAFAAAAATEBAAAACjE5MDE4MjkyNzIDAAAAAjQyAgAAAAQ0Mzc2BAAAAAEwBwAAAAk4LzIzLzIwMTgIAAAACTYvMzAvMjAxOAkAAAABMGKSdIUUCdYI4A1ihxQJ1ggyQ0lRLlNFSEs6MTUzMC5JUV9FQklUREEuMTk5Ni42LzMwLzIwMTguTEZSLkYuVVNELkgBAAAA77hwAQIAAAAKMTQxLjI5NzQ5MQEIAAAABQAAAAExAQAAAAoxODg2MDk5ODIyAwAAAAMxNjACAAAABDQwNTEEAAAAATAHAAAACTYvMzAvMjAxOAgAAAAKMTIvMzEvMjAxNgkAAAABMJQLV4YUCdYIL3BkhxQJ1gg3Q0lRLk9UQ1BLOlJaTFQuSVFfVE9UQUxfREVCVC4yMDAwLjMvMzEvMjAxOC5MRlIuRi5VU0QuSAEAAAAhCZsKAgAAAAQwLjAxAQgAAAAFAAAAATEBAAAACjE4NzQxOTQwNDMDAAAAAzE2MAIAAAAENDE3MwQAAAABMAcAAAAJMy8zMS8yMDE4CAAAAAoxMi8zMS8yMDE3CQAAAAEw5Q/vhBQJ1giGwFOHFAnWCDlDSVEuT1RDUEs6RU1JUy5JUV9FQVJOSU5HX0NPLkNZMjAxNi42LzMwLzIwMTguTEZSLkYuVVNELkgBAAAAPv0DAAIAAAAHLTEwLjA0MQEIAAAABQAAAAExAQAAAAoxODM0NTAzNDMwAwAAAAMxNjACAAAAATcEAAAAATAHAAAACTYvMzAvMjAxOAgAAAAKMTIvMzEvMjAxNgkAAAABMK+G5YQUCdYIZSJWhxQJ1gg4Q0lRLk5BU0RBUUNNOlZLVFguSVFfVE9U</t>
  </si>
  <si>
    <t>QUxfQ0EuMTk5Mi42LzMwLzIwMTguTEZSLkYuVVNELkgBAAAA8ry1DgIAAAAJMTIuMTYxNTIxAQgAAAAFAAAAATEBAAAACjE4NDEyMTEzNTADAAAAAzE2MAIAAAAEMTAwOAQAAAABMAcAAAAJNi8zMC8yMDE4CAAAAAkzLzMxLzIwMTYJAAAAATDGJeOEFAnWCGfnWocUCdYIP0NJUS4oSU5WQUxJRCBJREVOVElGSUVSKS5JUV9UT1RBTF9DTC4xOTk2LjYvMzAvMjAxOC5MRlIuRi5VU0QuSAUAAAAAAAAACAAAABQoSW52YWxpZCBJZGVudGlmaWVyKeUP74QUCdYIMV5RhxQJ1ggnQ0lRLk5BU0RBUUdNOlJZVE0uSVFfQkVUQV8yWVIuNi8zMC8yMDE4AQAAABjJbRIDAAAAAABiknSFFAnWCEVJXYcUCdYIPkNJUS5OQVNEQVFDTTpDT1JULklRX1RPVEFMX0VRVUlUWS5DWTIwMTYuNi8zMC8yMDE4LkxGUi5GLlVTRC5IAQAAANK5FQACAAAABjQxLjM3OQEIAAAABQAAAAExAQAAAAoxODc3MTExMjUzAwAAAAMxNjACAAAABDEyNzUEAAAAATAHAAAACTYvMzAvMjAxOAgAAAAKMTIvMzEvMjAxNgkAAAABMGKSdIUUCdYIlKtfhxQJ1ghFQ0lRLkNQU0U6Tk9WTyBCLklRX01JTk9SSVRZX0lOVEVSRVNUX1RPVEFMLjIwMDAuNi8zMC8yMDE4LkxGUi5GLlVTRC5IAQAAAHzvBAADAAAAAACUC1eGFAnWCHvSZocUCdYIMUNJUS5TRUhLOjIxODYuSVFfQ0FQRVguMTk5Ni42LzMwLzIwMTguTEZSLkYuVVNELkgBAAAAwoGYAAIAAAAJ</t>
  </si>
  <si>
    <t>LTM3LjkzNjg5AQgAAAAFAAAAATEBAAAACjE4ODU0OTQ4MzQDAAAAAzE2MAIAAAAEMjAyMQQAAAABMAcAAAAJNi8zMC8yMDE4CAAAAAoxMi8zMS8yMDE2CQAAAAEwlAtXhhQJ1ggvcGSHFAnWCD1DSVEuTkFTREFRR006Rk9MRC5JUV9SRVZFTlVFX0VTVC5DWTIwMTkuNi8zMC8yMDE4LkNPTi5GLlVTRC5IAQAAAFb2agACAAAACTE3MS42MzkyNwEOAAAABQAAAAIxMQEAAAABMAIAAAAKMTAwMTAyNTg0NgMAAAAGMTAwMTgwBAAAAAEyBgAAAAEwBwAAAAMxNjAIAAAAATAJAAAAATEKAAAAATALAAAACzExMDM2NDY5OTYxDAAAAAE3DQAAAAg3LzEvMjAxOBAAAAAJNi8zMC8yMDE4YpJ0hRQJ1giUq1+HFAnWCCRDSVEuLklRX1RSX1RBUkdFVF9SRVZFTlVFX0VTVC4uVVNELkgFAAAAAQAAAAgAAAAUKEludmFsaWQgSWRlbnRpZmllcimUC1eGFAnWCJQLV4YUCdYIOENJUS5OQVNEQVFHTTpGT0xELklRX1RPVEFMX0NMLjE5OTYuNi8zMC8yMDE4LkxGUi5GLlVTRC5IAQAAAFb2agACAAAABzEwOS41OTYBCAAAAAUAAAABMQEAAAAKMTg4ODQ4NDYxOQMAAAADMTYwAgAAAAQxMDA5BAAAAAEwBwAAAAk2LzMwLzIwMTgIAAAACTMvMzEvMjAxNwkAAAABMGKSdIUUCdYIlKtfhxQJ1ggiQ0lRLklRVFIyMTI3MzE4NzcuSVFfVFJfUENUX1NPVUdIVAEAAADlB64MAgAAAAMxMDAA5jtFghQJ1gh70maHFAnWCCxDSVEuTkFTREFR</t>
  </si>
  <si>
    <t>R006TU5PVi5JUV9MQVNUU0FMRVBSSUNFLjMvMzEvMjAxOAEAAAC4VI0AAgAAAAUxMC4yMgDGJeOEFAnWCKeEWIcUCdYIOENJUS5OQVNEQVFHUzpYRVJTLklRX1RPVEFMX0NBLjE5OTYuNi8zMC8yMDE4LkxGUi5GLlVTRC5IAQAAAODuTwYDAAAAAADGJeOEFAnWCGfnWocUCdYIOENJUS5OQVNEQVFHUzpPRFQuSVFfVE9UQUxfUkVWLjIwMDAuNi8zMC8yMDE4LkxGUi5GLlVTRC5IAQAAABoaRSADAAAAAADGJeOEFAnWCGfnWocUCdYIO0NJUS5OQVNEQVFHUzpBUFRYLklRX1BSRUZfRVFVSVRZLjIwMDAuNi8zMC8yMDE4LkxGUi5GLlVTRC5IAQAAAC8pDBQCAAAABzEzMi4zODYBCAAAAAUAAAABMQEAAAAKMTg5MDg1MTM5MQMAAAADMTYwAgAAAAQxMDA1BAAAAAEwBwAAAAk2LzMwLzIwMTgIAAAACTMvMzEvMjAxOAkAAAABMGKSdIUUCdYIRUldhxQJ1ghGQ0lRLk5BU0RBUUNNOkJZU0kuSVFfVE9UQUxfUkVWXzNZUl9BTk5fQ0FHUi4yMDAwLjYvMzAvMjAxOC5MRlIuRi5VU0QuSAEAAABHz2wYAwAAAAAAYpJ0hRQJ1ghFSV2HFAnWCDVDSVEuTkFTREFRR1M6Q0JBWS5JUV9EQV9DRi4yMDAwLjYvMzAvMjAxOC5MRlIuRi5VU0QuSAEAAADAegAAAgAAAAUwLjAzOAEIAAAABQAAAAExAQAAAAoxODg3NDQ1MDg0AwAAAAMxNjACAAAABDIxNjAEAAAAATAHAAAACTYvMzAvMjAxOAgAAAAJMy8zMS8yMDE4CQAAAAEwYpJ0</t>
  </si>
  <si>
    <t>hRQJ1ghFSV2HFAnWCCVDSVEuTkFTREFRQ006QVZFTy5JUV9GSVJTVFBSSUNJTkdEQVRFAQAAAPQWHQAFAAAACTMvMTIvMjAxMADGJeOEFAnWCGUiVocUCdYIO0NJUS5OQVNEQVFHTTpSWVRNLklRX1RPVEFMX1JFVi5DWTIwMTcuNi8zMC8yMDE4LkxGUi5GLlVTRC5IAQAAABjJbRIDAAAAAABiknSFFAnWCMQ0aYcUCdYIRENJUS5FTlhUUEE6RVJZUC5JUV9UT1RBTF9SRVZfMllSX0FOTl9DQUdSLjIwMDAuNi8zMC8yMDE4LkxGUi5GLlVTRC5IAQAAANiKeAECAAAABjcuMTY4NwEIAAAABQAAAAExAQAAAAoxODg1MjA0MjE5AwAAAAI1MAIAAAAENDIwNwQAAAABMAcAAAAJNi8zMC8yMDE4CAAAAAoxMi8zMS8yMDE3CQAAAAEw5Q/vhBQJ1ggxXlGHFAnWCDhDSVEuTkFTREFRQ006VktUWC5JUV9UT1RBTF9DTC4xOTk2LjYvMzAvMjAxOC5MRlIuRi5VU0QuSAEAAADyvLUOAgAAAAgzLjM4MjE2NgEIAAAABQAAAAExAQAAAAoxODg3NzA0OTEwAwAAAAMxNjACAAAABDEwMDkEAAAAATAHAAAACTYvMzAvMjAxOAgAAAAJMy8zMS8yMDE3CQAAAAEwxiXjhBQJ1ghn51qHFAnWCDBDSVEuSVFUUjU1MjcyMDIwNy5JUV9UUl9UQVJHRVRfRUJJVERBX0VTVC4uVVNELkgBAAAAT9fxIAIAAAAAAOY7RYIUCdYIe9JmhxQJ1ggzQ0lRLk9UQ1BLOkVNSVMuSVFfRUJJVERBLjE5OTYuNi8zMC8yMDE4LkxGUi5GLlVTRC5IAQAAAD79</t>
  </si>
  <si>
    <t>AwACAAAABy0xNi4xMjIBCAAAAAUAAAABMQEAAAAKMTg0MTg5ODUyNgMAAAADMTYwAgAAAAQ0MDUxBAAAAAEwBwAAAAk2LzMwLzIwMTgIAAAACTMvMzEvMjAxNgkAAAABMK+G5YQUCdYIZSJWhxQJ1gguQ0lRLk5BU0RBUUNNOkNPUlQuSVFfTUFSS0VUQ0FQLjMvMzEvMjAxOC5VU0QuSAEAAADSuRUAAgAAAAsxODg4Ljk1OTE3NQEGAAAABQAAAAExAQAAAAoxODc3MTExMjc1AwAAAAMxNjACAAAABjEwMDA1NAQAAAABMAcAAAAJMy8zMS8yMDE4YpJ0hRQJ1giUq1+HFAnWCDlDSVEuU0VISzoyMTg2LklRX1JFVkVOVUVfRVNULkNZMjAyMS42LzMwLzIwMTguQ09OLkYuVVNELkgBAAAAwoGYAAIAAAAOMTAyMy44MDg4MDQwMzgBDgAAAAUAAAACMTEBAAAAATACAAAACjEwMDI4MzUyMTkDAAAABjEwMDE4MAQAAAABMwYAAAABMAcAAAADMTYwCAAAAAEwCQAAAAExCgAAAAEwCwAAAAsxMDkzOTYyNTAzNAwAAAABNw0AAAAINy8xLzIwMTgQAAAACTYvMzAvMjAxOOltWYYUCdYIL3BkhxQJ1gg+Q0lRLk5BU0RBUUdTOlhFUlMuSVFfVE9UQUxfRVFVSVRZLkNZMjAxNy42LzMwLzIwMTguTEZSLkYuVVNELkgBAAAA4O5PBgIAAAAGNDAuMDQ4AQgAAAAFAAAAATEBAAAACjE4OTA5NjE2NDcDAAAAAzE2MAIAAAAEMTI3NQQAAAABMAcAAAAJNi8zMC8yMDE4CAAAAAoxMi8zMS8yMDE3CQAAAAEwxiXjhBQJ1ghn51qHFAnWCCRD</t>
  </si>
  <si>
    <t>SVEuTkFTREFRR1M6Q0JBWS5JUV9FRkZFQ1RfVEFYX1JBVEUBAAAAwHoAAAMAAAAAAGKSdIUUCdYIZ+dahxQJ1ggiQ0lRLklRVFIyMTI3MzE4NzcuSVFfVFJfVEFSR0VUTkFNRQEAAADlB64MAwAAABtBbXlsaW4gUGhhcm1hY2V1dGljYWxzLCBMTEMA5jtFghQJ1gh70maHFAnWCDZDSVEuT1RDUEs6UlpMVC5JUV9UT1RBTF9SRVYuMjAwMC42LzMwLzIwMTguTEZSLkYuVVNELkgBAAAAIQmbCgMAAAAAAOUP74QUCdYIhsBThxQJ1ggpQ0lRLklRVFIyNDk5ODE1NjQuSVFfVFJfSU1QTElFRF9FUV9OSV9MVE0BAAAAfGrmDgIAAAAJMTYuODIzMDk0AQYAAAAFAAAAAjU0AQAAAAYxMDIwOTYCAAAACTI0OTk4MTU2NAMAAAAJMjQ5OTgzNDM3BAAAAAMxNjAGAAAABUZhbHNl5jtFghQJ1gh70maHFAnWCDpDSVEuTkFTREFRQ006Q09SVC5JUV9UT1RBTF9ERUJULjIwMDAuMy8zMS8yMDE4LkxGUi5GLlVTRC5IAQAAANK5FQACAAAAATABCAAAAAUAAAABMQEAAAAKMTg3NzExMTI3NwMAAAADMTYwAgAAAAQ0MTczBAAAAAEwBwAAAAkzLzMxLzIwMTgIAAAACjEyLzMxLzIwMTcJAAAAATBiknSFFAnWCJSrX4cUCdYIOENJUS5OQVNEQVFHUzpBUFRYLklRX1RPVEFMX0NMLjE5OTYuNi8zMC8yMDE4LkxGUi5GLlVTRC5IAQAAAC8pDBQDAAAAAABiknSFFAnWCEVJXYcUCdYIPENJUS5OQVNEQVFHUzpBUFRYLklRX0dST1NTX01B</t>
  </si>
  <si>
    <t>UkdJTi4yMDAwLjYvMzAvMjAxOC5MRlIuRi5VU0QuSAEAAAAvKQwUAwAAAAJOTQEIAAAABQAAAAExAQAAAAoxODkwODUxMzkxAwAAAAMxNjACAAAABDQwNzQEAAAAATAHAAAACTYvMzAvMjAxOAgAAAAJMy8zMS8yMDE4CQAAAAEwYpJ0hRQJ1ghFSV2HFAnWCDVDSVEuVFNYVjpDT0IuVS5JUV9UT1RBTF9DQS4xOTkyLjYvMzAvMjAxOC5MRlIuRi5VU0QuSAEAAAC/+wAIAgAAAAg5LjIyMTk0MQEIAAAABQAAAAExAQAAAAoxODQyNzU4ODEwAwAAAAMxNjACAAAABDEwMDgEAAAAATAHAAAACTYvMzAvMjAxOAgAAAAJMy8zMS8yMDE2CQAAAAEwr4blhBQJ1giGwFOHFAnWCDlDSVEuTkFTREFRR1M6T0RULklRX0VBUk5JTkdfQ08uMTk5Mi42LzMwLzIwMTguTEZSLkYuVVNELkgBAAAAGhpFIAMAAAAAAMYl44QUCdYIp4RYhxQJ1ggjQ0lRLklRVFIzNDA3MDQ4NjUuSVFfVFJfQ0xPU0VEX0RBVEUBAAAAYb5OFAUAAAAINi85LzIwMTYA5jtFghQJ1ghw+MWCFAnWCDxDSVEuTkFTREFRR006TU5PVi5JUV9FQklUREFfRVNULkNZMjAxOC42LzMwLzIwMTguQ09OLkYuVVNELkgBAAAAuFSNAAIAAAADLTIyAQ4AAAAFAAAAAjExAQAAAAEwAgAAAAoxMDAwNTkzNjE0AwAAAAYxMDAxODcEAAAAATIGAAAAATAHAAAAAzE2MAgAAAABMAkAAAABMQoAAAABMAsAAAALMTA5NTAwNTM4NzcMAAAAATcNAAAACDcvMS8yMDE4EAAAAAk2</t>
  </si>
  <si>
    <t>LzMwLzIwMTivhuWEFAnWCKeEWIcUCdYIKUNJUS5OQVNEQVFHTTpWVFZULklRX0JVU0lORVNTX0RFU0NSSVBUSU9OAQAAAB2jHxIDAAAA2wl2VHYgVGhlcmFwZXV0aWNzIEluYy4sIGEgY2xpbmljYWwtc3RhZ2UgYmlvcGhhcm1hY2V1dGljYWwgY29tcGFueSwgZGlzY292ZXJzLCBkZXZlbG9wcywgYW5kIHNlbGxzIG9yYWxseSBhZG1pbmlzdGVyZWQgc21hbGwgbW9sZWN1bGUgZHJ1ZyBjYW5kaWRhdGVzIHdvcmxkd2lkZS4gVGhlIGNvbXBhbnnigJlzIGRydWcgY2FuZGlkYXRlcyBjb21wcmlzZSBhemVsaXJhZ29uIChUVFA0ODgpLCBhbiBvcmFsbHkgYWRtaW5pc3RlcmVkLCBzbWFsbCBtb2xlY3VsZSBhbnRhZ29uaXN0IHRhcmdldGluZyB0aGUgcmVjZXB0b3IgZm9yIGFkdmFuY2VkIGdseWNhdGlvbiBlbmRwcm9kdWN0cywgd2hpY2ggaXMgaW4gUGhhc2UgSUlJIGNsaW5pY2FsIHRyaWFscyBmb3IgdGhlIHRyZWF0bWVudCBvZiBBbHpoZWltZXLigJlzIGRpc2Vhc2UuIEl0cyBkcnVnIGNhbmRpZGF0ZXMgYWxzbyBpbmNsdWRlIFRUUDM5OSwgYW4gb3JhbGx5IGFkbWluaXN0ZXJlZCwgbGl2ZXItc2VsZWN0aXZlIGdsdWNva2luYXNlIGFjdGl2YXRvciB0aGF0IGhhcyBjb21wbGV0ZWQgUGhhc2UgMmIgY2xpbmljYWwgdHJpYWxzIGZvciB0aGUgdHJlYXRtZW50IG9mIHR5cGUgMiBkaWFiZXRlcywgYXMg</t>
  </si>
  <si>
    <t>d2VsbCBhcyBpbml0aWF0ZWQgUGhhc2UgMWIvMiBjbGluaWNhbCB0cmlhbHMgZm9yIHRoZSB0cmVhdG1lbnQgb2YgdHlwZSAxIGRpYWJldGVzOyBhbmQgVFRQMjczLCBhbiBvcmFsbHkgYWRtaW5pc3RlcmVkLCBub24tcGVwdGlkZSBhZ29uaXN0IHRoYXQgdGFyZ2V0cyB0aGUgZ2x1Y2Fnb24tbGlrZSBwZXB0aWRlLTEgcmVjZXB0b3IsIHdoaWNoIGhhcyBjb21wbGV0ZWQgUGhhc2UgSUkgY2xpbmljYWwgdHJpYWxzIGZvciB0aGUgdHJlYXRtZW50IG9mIHR5cGUgMiBkaWFiZXRlcy4gdlR2IFRoZXJhcGV1dGljcyBJbmMuIGhhcyBhIGxpY2Vuc2UgYW5kIHJlc2VhcmNoIGFncmVlbWVudCB3aXRoIENhbGl0aGVyYSBCaW9zY2llbmNlcywgSW5jLiB0byBkZXZlbG9wIGFuZCBjb21tZXJjaWFsaXplIGl0cyBoZXhva2luYXNlIElJIGluaGliaXRvcnMgZm9yIHRoZXJhcGV1dGljLCBwcm9waHlsYWN0aWMsIHByZXZlbnRhdGl2ZSwgb3IgZGlhZ25vc3RpYyB1c2UuIFRoZSBjb21wYW55IHdhcyBmb3VuZGVkIGluIDIwMTUgYW5kIGlzIGhlYWRxdWFydGVyZWQgaW4gSGlnaCBQb2ludCwgTm9ydGggQ2Fyb2xpbmEuIHZUdiBUaGVyYXBldXRpY3MgSW5jLiBpcyBhIHN1YnNpZGlhcnkgb2YgdlR2IFRoZXJhcGV1dGljcyBIb2xkaW5ncyBMTEMuAOUP74QUCdYIhsBThxQJ1gg4Q0lRLk5BU0RBUUNNOkFWRU8uSVFf</t>
  </si>
  <si>
    <t>VE9UQUxfQ0wuMjAwMC42LzMwLzIwMTguTEZSLkYuVVNELkgBAAAA9BYdAAIAAAAGMzIuNDI4AQgAAAAFAAAAATEBAAAACjE4ODcyMzQyOTUDAAAAAzE2MAIAAAAEMTAwOQQAAAABMAcAAAAJNi8zMC8yMDE4CAAAAAkzLzMxLzIwMTgJAAAAATDGJeOEFAnWCGUiVocUCdYIQ0NJUS5TRUhLOjIxODYuSVFfTUlOT1JJVFlfSU5URVJFU1RfVE9UQUwuMjAwMC4zLzMxLzIwMTguTEZSLkYuVVNELkgBAAAAwoGYAAIAAAAJMjAuMDUwNTkyAQgAAAAFAAAAATEBAAAACjE4NjA1ODkxODMDAAAAAzE2MAIAAAAEMTMxMgQAAAABMAcAAAAJMy8zMS8yMDE4CAAAAAk2LzMwLzIwMTcJAAAAATDpbVmGFAnWCC9wZIcUCdYINUNJUS5OQVNEQVFHTTpNTktELklRX0NBUEVYLjE5OTIuNi8zMC8yMDE4LkxGUi5GLlVTRC5IAQAAAGaljQACAAAABi03LjIyNgEIAAAABQAAAAExAQAAAAoxODQxMTcxMjI4AwAAAAMxNjACAAAABDIwMjEEAAAAATAHAAAACTYvMzAvMjAxOAgAAAAJMy8zMS8yMDE2CQAAAAEw6W1ZhhQJ1gjgDWKHFAnWCCxDSVEuSVFUUjM4NDAyODQ5Ni5JUV9UUl9UT1RBTF9HUk9TU19UVi5VU0QuSAUAAAAAAAAACAAAABooSW52YWxpZCBDdXJyZW5jeSBSZXF1ZXN0KeY7RYIUCdYIe9JmhxQJ1ghFQ0lRLkVOWFRQQTpFUllQLklRX01JTk9SSVRZX0lOVEVSRVNUX1RPVEFMLjIwMDAuMy8zMS8yMDE4LkxGUi5GLlVT</t>
  </si>
  <si>
    <t>RC5IAQAAANiKeAEDAAAAAADlD++EFAnWCDFeUYcUCdYINUNJUS5OQVNEQVFHUzpJVENJLklRX0NBUEVYLjIwMDAuNi8zMC8yMDE4LkxGUi5GLlVTRC5IAQAAAHfRjwACAAAACS0wLjk5MDAyMwEIAAAABQAAAAExAQAAAAoxODg2NjE3MzIyAwAAAAMxNjACAAAABDIwMjEEAAAAATAHAAAACTYvMzAvMjAxOAgAAAAJMy8zMS8yMDE4CQAAAAEwYpJ0hRQJ1ghn51qHFAnWCDxDSVEuTkFTREFRR1M6WEVSUy5JUV9FQklUREFfRVNULkNZMjAyMC42LzMwLzIwMTguQ09OLkYuVVNELkgBAAAA4O5PBgMAAAAAAK+G5YQUCdYIZ+dahxQJ1gglQ0lRLklRVFIzNzAwNzIzNTMuSVFfVFJfSU1QTElFRF9FUV9CVgEAAAAh2w4WAgAAAAgyLjg3NzM2NwEGAAAABQAAAAI1NAEAAAAGMTAyMDk3AgAAAAkzNzAwNzIzNTMDAAAACTM3MDA3MzQ1NwQAAAADMTYwBgAAAAVGYWxzZeY7RYIUCdYIe9JmhxQJ1gg8Q0lRLk5BU0RBUUdNOk1OS0QuSVFfRUFSTklOR19DTy5DWTIwMTcuNi8zMC8yMDE4LkxGUi5GLlVTRC5IAQAAAGaljQACAAAACC0xMTcuMzMzAQgAAAAFAAAAATEBAAAACjE4NzYyMzg5NzQDAAAAAzE2MAIAAAABNwQAAAABMAcAAAAJNi8zMC8yMDE4CAAAAAoxMi8zMS8yMDE3CQAAAAEw6W1ZhhQJ1gjgDWKHFAnWCDxDSVEuTkFTREFRR1M6SUNQVC5JUV9HUk9TU19NQVJHSU4uMjAwMC42LzMwLzIwMTguTEZSLkYuVVNE</t>
  </si>
  <si>
    <t>LkgBAAAAgq+tAAIAAAAHOTguOTM0NgEIAAAABQAAAAExAQAAAAoxODg4NjE1NTQwAwAAAAMxNjACAAAABDQwNzQEAAAAATAHAAAACTYvMzAvMjAxOAgAAAAJMy8zMS8yMDE4CQAAAAEw6W1ZhhQJ1ggvcGSHFAnWCDJDSVEuT1RDUEs6UlpMVC5JUV9DQVBFWC4yMDAwLjYvMzAvMjAxOC5MRlIuRi5VU0QuSAEAAAAhCZsKAgAAAAktMC4xMTM0NDMBCAAAAAUAAAABMQEAAAAKMTg4OTEwNTEyNAMAAAADMTYwAgAAAAQyMDIxBAAAAAEwBwAAAAk2LzMwLzIwMTgIAAAACTMvMzEvMjAxOAkAAAABMOUP74QUCdYIhsBThxQJ1gg2Q0lRLk5ZU0U6TVlPVi5JUV9FQVJOSU5HX0NPLjIwMDAuNi8zMC8yMDE4LkxGUi5GLlVTRC5IAQAAAJfaCxgCAAAACC0xNDMuMjU1AQgAAAAFAAAAATEBAAAACjE4OTI4MzQ3MzMDAAAAAzE2MAIAAAABNwQAAAABMAcAAAAJNi8zMC8yMDE4CAAAAAkzLzMxLzIwMTgJAAAAATBiknSFFAnWCJSrX4cUCdYIN0NJUS5OQVNEQVFHUzpPRFQuSVFfRUJJVERBLkNZMjAxNi42LzMwLzIwMTguTEZSLkYuVVNELkgBAAAAGhpFIAMAAAAAAMYl44QUCdYIp4RYhxQJ1ggpQ0lRLklRVFIyNzAwNzQ3NTQuSVFfQlVTSU5FU1NfREVTQ1JJUFRJT04BAAAANAMZEAMAAACUAkFzIG9mIFNlcHRlbWJlciAyMywgMjAxNCwgR2xvYmFsIFJpZ2h0cyBvZiBBZnJlenphIG9mIE1hbm5LaW5kIENvcnAuIHdlcmUg</t>
  </si>
  <si>
    <t>YWNxdWlyZWQgYnkgU2Fub2ZpLUF2ZW50aXMgRGV1dHNjaGxhbmQgR21iSC4gTWFubktpbmQgQ29ycC4sIEdsb2JhbCBSaWdodHMgb2YgQWZyZXp6YSBjb21wcmlzZXMgbGljZW5zZXMgZm9yIGRldmVsb3BtZW50IGFuZCBjb21tZXJjaWFsaXphdGlvbiBvZiBBZnJlenphIEluaGFsYXRpb24gUG93ZGVyIGZvciB0aGUgdHJlYXRtZW50IG9mIGRpYWJldGVzLgDmO0WCFAnWCHvSZocUCdYINUNJUS5PVENQSzpCVEhFLklRX0VCSVREQS5DWTIwMTcuNi8zMC8yMDE4LkxGUi5GLlVTRC5IAQAAAG+duQUCAAAACS0xLjE5ODY1NQEIAAAABQAAAAExAQAAAAoxODgwMTA1NjI4AwAAAAMxNjACAAAABDQwNTEEAAAAATAHAAAACTYvMzAvMjAxOAgAAAAKMTIvMzEvMjAxNwkAAAABMOUP74QUCdYIhsBThxQJ1ggtQ0lRLk5BU0RBUUdTOlhFUlMuSVFfRElWSURFTkRfWUlFTEQuNi8zMC8yMDE4AQAAAODuTwYDAAAAAADGJeOEFAnWCGfnWocUCdYIQ0NJUS4oSU5WQUxJRCBJREVOVElGSUVSKS5JUV9UT1RBTF9FUVVJVFkuMjAwMC42LzMwLzIwMTguTEZSLkYuVVNELkgFAAAAAAAAAAgAAAAUKEludmFsaWQgSWRlbnRpZmllcinlD++EFAnWCGD7TocUCdYIJENJUS5PVENQSzpCVEhFLklRX0JFVEFfMVlSLjYvMzAvMjAxOAEAAABvnbkFAgAAABA2LjE1MTM4NDI4MjIzNDI0AOUP74QUCdYIhsBThxQJ1gglQ0lRLklRVFIy</t>
  </si>
  <si>
    <t>NDk5ODE1NjQuSVFfUFJJTUFSWV9JTkRVU1RSWQEAAAB5vQEAAwAAAA9QaGFybWFjZXV0aWNhbHMA5jtFghQJ1gh70maHFAnWCDpDSVEuTllTRTpNWU9WLklRX1RPVEFMX0VRVUlUWS5DWTIwMTYuNi8zMC8yMDE4LkxGUi5GLlVTRC5IAQAAAJfaCxgDAAAAAABiknSFFAnWCJSrX4cUCdYINkNJUS5OQVNEQVFHTTpNTk9WLklRX0VCSVREQS4xOTkyLjYvMzAvMjAxOC5MRlIuRi5VU0QuSAEAAAC4VI0AAgAAAAktOS45NzczNzcBCAAAAAUAAAABMQEAAAAKMTgzNzk3MTI3MwMAAAADMTYwAgAAAAQ0MDUxBAAAAAEwBwAAAAk2LzMwLzIwMTgIAAAACTMvMzEvMjAxNgkAAAABMMYl44QUCdYIp4RYhxQJ1ggZQ0lRLkNQU0U6WkVBTC5JUV9FWENIQU5HRQEAAAAiWxMAAwAAAARDUFNFAJQLV4YUCdYI4A1ihxQJ1gg+Q0lRLk5BU0RBUUdTOlpGR04uSVFfQ0FTSF9TVF9JTlZFU1QuMjAwMC4zLzMxLzIwMTguTEZSLkYuVVNELkgBAAAAl8C6AQIAAAAHMTAyLjA1MgEIAAAABQAAAAExAQAAAAoxODc4Nzg5NDE0AwAAAAMxNjACAAAABDEwMDIEAAAAATAHAAAACTMvMzEvMjAxOAgAAAAKMTIvMzEvMjAxNwkAAAABMMYl44QUCdYIp4RYhxQJ1gg6Q0lRLk5BU0RBUUdTOkxYUlguSVFfRUFSTklOR19DTy4xOTk2LjYvMzAvMjAxOC5MRlIuRi5VU0QuSAEAAAA9eAAAAgAAAAgtMTQxLjQzNwEIAAAABQAAAAExAQAAAAoxODg2</t>
  </si>
  <si>
    <t>NTQzODIwAwAAAAMxNjACAAAAATcEAAAAATAHAAAACTYvMzAvMjAxOAgAAAAJMy8zMS8yMDE3CQAAAAEwYpJ0hRQJ1giUq1+HFAnWCDpDSVEuVFNYVjpDT0IuVS5JUV9SRVZFTlVFX0VTVC5DWTIwMjEuNi8zMC8yMDE4LkNPTi5GLlVTRC5IAQAAAL/7AAgDAAAAAACvhuWEFAnWCIbAU4cUCdYINENJUS5TRUhLOjM5MzMuSVFfRUJJVERBLkNZMjAxNy42LzMwLzIwMTguTEZSLkYuVVNELkgBAAAATdoRAgIAAAAJMjA5Ljg4NTgxAQgAAAAFAAAAATEBAAAACjE4ODU3MzkyMDIDAAAAAzE2MAIAAAAENDA1MQQAAAABMAcAAAAJNi8zMC8yMDE4CAAAAAoxMi8zMS8yMDE3CQAAAAEw6W1ZhhQJ1gjgDWKHFAnWCD5DSVEuTkFTREFRR006VlRWVC5JUV9UT1RBTF9FUVVJVFkuQ1kyMDE3LjYvMzAvMjAxOC5MRlIuRi5VU0QuSAEAAAAdox8SAgAAAActMTkuNjA3AQgAAAAFAAAAATEBAAAACjE4NzYxMzczMDkDAAAAAzE2MAIAAAAEMTI3NQQAAAABMAcAAAAJNi8zMC8yMDE4CAAAAAoxMi8zMS8yMDE3CQAAAAEw5Q/vhBQJ1giGwFOHFAnWCBNDSVEuLklRX1RSX0VBUk5PVVRTBQAAAAEAAAAIAAAAFChJbnZhbGlkIElkZW50aWZpZXIplAtXhhQJ1giUC1eGFAnWCD5DSVEuTkFTREFRR1M6Q1lUSy5JUV9UT1RBTF9FUVVJVFkuQ1kyMDE3LjYvMzAvMjAxOC5MRlIuRi5VU0QuSAEAAACzagAAAgAAAAcxMDkuODQyAQgAAAAF</t>
  </si>
  <si>
    <t>AAAAATEBAAAACjE4Nzc2NjgyOTkDAAAAAzE2MAIAAAAEMTI3NQQAAAABMAcAAAAJNi8zMC8yMDE4CAAAAAoxMi8zMS8yMDE3CQAAAAEwxiXjhBQJ1ghlIlaHFAnWCDpDSVEuTkFTREFRR1M6SUNQVC5JUV9UT1RBTF9ERUJULjIwMDAuMy8zMS8yMDE4LkxGUi5GLlVTRC5IAQAAAIKvrQACAAAABzM1NS42NzcBCAAAAAUAAAABMQEAAAAKMTg3NzAxMTQ4OQMAAAADMTYwAgAAAAQ0MTczBAAAAAEwBwAAAAkzLzMxLzIwMTgIAAAACjEyLzMxLzIwMTcJAAAAATDpbVmGFAnWCC9wZIcUCdYIJ0NJUS5OQVNEQVFHTTpSWVRNLklRX0JFVEFfMVlSLjYvMzAvMjAxOAEAAAAYyW0SAgAAABAxLjU2NDQ3MTY3NjIzNTUxAGKSdIUUCdYIRUldhxQJ1gg8Q0lRLk5BU0RBUUdNOlZUVlQuSVFfRUJJVERBX0VTVC5DWTIwMTguNi8zMC8yMDE4LkNPTi5GLlVTRC5IAQAAAB2jHxIDAAAAAADlD++EFAnWCIbAU4cUCdYIK0NJUS5JUVRSMjcwMDc0NzU0LklRX1RSX1RPVEFMX0dST1NTX1RWLi5VU0QBAAAAggMZEAIAAAADOTI1AOY7RYIUCdYIe9JmhxQJ1gg6Q0lRLkNQU0U6Tk9WTyBCLklRX0VCSVREQV9FU1QuQ1kyMDE4LjYvMzAvMjAxOC5DT04uRi5VU0QuSAEAAAB87wQAAgAAABA3ODkwLjE0OTA0MDkzNTc1AQ4AAAAFAAAAAjExAQAAAAEwAgAAAAoxMDAwMjE0NjE4AwAAAAYxMDAxODcEAAAAATMGAAAAATAHAAAAAzE2MAgA</t>
  </si>
  <si>
    <t>AAABMAkAAAABMQoAAAABMAsAAAALMTA5NDcwNDk5MzUMAAAAATcNAAAACDcvMS8yMDE4EAAAAAk2LzMwLzIwMTjpbVmGFAnWCHvSZocUCdYIOENJUS5TRUhLOjM5MzMuSVFfR1JPU1NfTUFSR0lOLjIwMDAuNi8zMC8yMDE4LkxGUi5GLlVTRC5IAQAAAE3aEQICAAAABjM2LjU5NQEIAAAABQAAAAExAQAAAAoxODg1NzM5MjAyAwAAAAIzMgIAAAAENDA3NAQAAAABMAcAAAAJNi8zMC8yMDE4CAAAAAoxMi8zMS8yMDE3CQAAAAEw6W1ZhhQJ1gjgDWKHFAnWCDVDSVEuTkFTREFRR006Rk9MRC5JUV9DQVBFWC4yMDAwLjYvMzAvMjAxOC5MRlIuRi5VU0QuSAEAAABW9moAAgAAAAYtNC42MTMBCAAAAAUAAAABMQEAAAAKMTg4ODQ4NDY1MQMAAAADMTYwAgAAAAQyMDIxBAAAAAEwBwAAAAk2LzMwLzIwMTgIAAAACTMvMzEvMjAxOAkAAAABMGKSdIUUCdYIlKtfhxQJ1ghFQ0lRLk5BU0RBUUdTOk9EVC5JUV9UT1RBTF9SRVZfM1lSX0FOTl9DQUdSLjIwMDAuNi8zMC8yMDE4LkxGUi5GLlVTRC5IAQAAABoaRSADAAAAAADGJeOEFAnWCKeEWIcUCdYIPUNJUS5OQVNEQVFHUzpDQkFZLklRX1JFVkVOVUVfRVNULkNZMjAyMC42LzMwLzIwMTguQ09OLkYuVVNELkgBAAAAwHoAAAIAAAAINTkuMzMzMzMBDgAAAAUAAAACMTEBAAAAATACAAAACjEwMDI4MjYwNzADAAAABjEwMDE4MAQAAAABMgYAAAABMAcAAAADMTYwCAAAAAEw</t>
  </si>
  <si>
    <t>CQAAAAExCgAAAAEwCwAAAAsxMDk0NTU3MzMwMgwAAAABNw0AAAAINy8xLzIwMTgQAAAACTYvMzAvMjAxOGKSdIUUCdYIRUldhxQJ1gglQ0lRLkNQU0U6WkVBTC5JUV9CVVNJTkVTU19ERVNDUklQVElPTgEAAAAiWxMAAwAAANsIWmVhbGFuZCBQaGFybWEgQS9TLCBhIGJpb3RlY2hub2xvZ3kgY29tcGFueSwgZW5nYWdlcyBpbiB0aGUgZGlzY292ZXJ5LCBkZXNpZ24sIGFuZCBkZXZlbG9wbWVudCBvZiBwZXB0aWRlIHRoZXJhcGV1dGljcy1iYXNlZCBtZWRpY2luZXMgaW4gRGVubWFyay4gSXQgaGFzIGEgcG9ydGZvbGlvIG9mIHByb3ByaWV0YXJ5IG1lZGljaW5lcyBpbiBsYXRlLXN0YWdlIGNsaW5pY2FsIGRldmVsb3BtZW50IGZvY3VzaW5nIG9uIGdhc3Ryb2ludGVzdGluYWwgYW5kIG1ldGFib2xpYyBkaXNlYXNlcy4gVGhlIGNvbXBhbnkgbWFya2V0cyBsaXhpc2VuYXRpZGUgZm9yIHRoZSB0cmVhdG1lbnQgb2YgdHlwZSAyIGRpYWJldGVzIHVuZGVyIHRoZSBicmFuZCBuYW1lcyBvZiBBZGx5eGluIGFuZCBMeXh1bWlhOyBhbmQgYSBjb21iaW5hdGlvbiBvZiBsaXhpc2VuYXRpZGUgYW5kIGluc3VsaW4gZ2xhcmdpbmUgZm9yIHRoZSB0cmVhdG1lbnQgb2YgdHlwZSAyIGRpYWJldGVzIHVuZGVyIHRoZSBicmFuZCBuYW1lcyBvZiBTb2xpcXVhIDEwMC8zMyBhbmQgU3VsaXF1YS4gVGhlIGNvbXBhbnni</t>
  </si>
  <si>
    <t>gJlzIHByb2R1Y3QgcGlwZWxpbmUgaW5jbHVkZXMgZ2xlcGFnbHV0aWRlLCBhIGxvbmcgYWN0aW5nIEdMUC0yIGFuYWxvZyBmb3IgdGhlIHRyZWF0bWVudCBvZiBzaG9ydCBib3dlbCBzeW5kcm9tZSwgd2hpY2ggaGFzIGNvbXBsZXRlZCBQaGFzZSAyIGNsaW5pY2FsIHRyaWFsczsgYW5kIGRhc2lnbHVjYWdvbiwgYSBwcm9wcmlldGFyeSBnbHVjYWdvbiBhbmFsb2cgZm9yIHZhcmlvdXMgaW5kaWNhdGlvbnMgY29tcHJpc2luZyBhcyBhIGR1YWwtaG9ybW9uZSBhcnRpZmljaWFsIHBhbmNyZWFzIGZvciBkaWFiZXRlcyB0cmVhdG1lbnQsIHJlc2N1ZSB0cmVhdG1lbnQgZm9yIHNldmVyZSBoeXBvZ2x5Y2VtaWEsIGFuZCBjb25nZW5pdGFsIGh5cGVyaW5zdWxpbmlzbS4gVGhlIGNvbXBhbnkgaGFzIGNvbGxhYm9yYXRpb24gYWdyZWVtZW50cyB3aXRoIFNhbm9maS1BdmVudGlzIERldXRzY2hsYW5kIEdtYkggYW5kIEJvZWhyaW5nZXIgSW5nZWxoZWltIEdtYkguIFRoZSBjb21wYW55IHdhcyBmb3VuZGVkIGluIDE5OTcgYW5kIGlzIGhlYWRxdWFydGVyZWQgaW4gQ29wZW5oYWdlbiwgRGVubWFyay4AYpJ0hRQJ1gjgDWKHFAnWCCFDSVEuSVFUUjE3MTkzMDUzNC5JUV9UUl9CVVlFUk5BTUUBAAAApnM/CgMAAAAUSXNsZXQgU2NpZW5jZXMsIEluYy4A5jtFghQJ1gh70maHFAnWCD1DSVEuTkFTREFRR1M6T0RU</t>
  </si>
  <si>
    <t>LklRX0NBU0hfU1RfSU5WRVNULjIwMDAuMy8zMS8yMDE4LkxGUi5GLlVTRC5IAQAAABoaRSACAAAABzE5OC4xMDUBCAAAAAUAAAABMQEAAAAKMTg3NDE2NzIzOQMAAAADMTYwAgAAAAQxMDAyBAAAAAEwBwAAAAkzLzMxLzIwMTgIAAAACjEyLzMxLzIwMTcJAAAAATDGJeOEFAnWCKeEWIcUCdYIPkNJUS5OQVNEQVFHTTpGT0xELklRX1RPVEFMX0VRVUlUWS5DWTIwMTYuNi8zMC8yMDE4LkxGUi5GLlVTRC5IAQAAAFb2agACAAAABzM2MC4xNTEBCAAAAAUAAAABMQEAAAAKMTg3NzI3MTY5MgMAAAADMTYwAgAAAAQxMjc1BAAAAAEwBwAAAAk2LzMwLzIwMTgIAAAACjEyLzMxLzIwMTYJAAAAATBiknSFFAnWCJSrX4cUCdYII0NJUS5JUVRSMjQ5OTgxNTY0LklRX1RSX1RPVEFMX1NUT0NLAQAAAHxq5g4CAAAAAADmO0WCFAnWCHvSZocUCdYIPUNJUS5OQVNEQVFDTTpBVkVPLklRX0VCSVREQV9NQVJHSU4uMjAwMC42LzMwLzIwMTguTEZSLkYuVVNELkgBAAAA9BYdAAMAAAAAAMYl44QUCdYIZSJWhxQJ1ghCQ0lRLlNFSEs6MjE4Ni5JUV9UT1RBTF9SRVZfMllSX0FOTl9DQUdSLjIwMDAuNi8zMC8yMDE4LkxGUi5GLlVTRC5IAQAAAMKBmAACAAAABzIxLjk5ODEBCAAAAAUAAAABMQEAAAAKMTg4NTQ5NTAwNgMAAAACMzICAAAABDQyMDcEAAAAATAHAAAACTYvMzAvMjAxOAgAAAAKMTIvMzEvMjAxNwkAAAABMOltWYYU</t>
  </si>
  <si>
    <t>CdYIL3BkhxQJ1ghCQ0lRLlNFSEs6MTUzMC5JUV9UT1RBTF9SRVZfNVlSX0FOTl9DQUdSLjIwMDAuNi8zMC8yMDE4LkxGUi5GLlVTRC5IAQAAAO+4cAECAAAABzQxLjU5MzMBCAAAAAUAAAABMQEAAAAKMTg4NjA5OTg2MgMAAAACMzICAAAABDQyMzMEAAAAATAHAAAACTYvMzAvMjAxOAgAAAAKMTIvMzEvMjAxNwkAAAABMJQLV4YUCdYIL3BkhxQJ1ghDQ0lRLk9UQ1BLOkVNSVMuSVFfVE9UQUxfUkVWXzJZUl9BTk5fQ0FHUi4yMDAwLjYvMzAvMjAxOC5MRlIuRi5VU0QuSAEAAAA+/QMAAgAAAAkxMjE5LjA5MDYBCAAAAAUAAAABMQEAAAAKMTg0MTg5ODUzNQMAAAADMTYwAgAAAAQ0MjA3BAAAAAEwBwAAAAk2LzMwLzIwMTgIAAAACTMvMzEvMjAxNwkAAAABMK+G5YQUCdYIhsBThxQJ1ggxQ0lRLlNFSEs6MzkzMy5JUV9DQVBFWC4yMDAwLjYvMzAvMjAxOC5MRlIuRi5VU0QuSAEAAABN2hECAgAAAAotNzAuNDA2ODExAQgAAAAFAAAAATEBAAAACjE4ODU3MzkyMDIDAAAAAzE2MAIAAAAEMjAyMQQAAAABMAcAAAAJNi8zMC8yMDE4CAAAAAoxMi8zMS8yMDE3CQAAAAEw6W1ZhhQJ1gjgDWKHFAnWCDxDSVEuTkFTREFRR006Rk9MRC5JUV9FQklUREFfRVNULkNZMjAxOC42LzMwLzIwMTguQ09OLkYuVVNELkgBAAAAVvZqAAIAAAAKLTIyMy41NzY1MgEOAAAABQAAAAIxMQEAAAABMAIAAAAKMTAwMTAyNTg0MQMAAAAG</t>
  </si>
  <si>
    <t>MTAwMTg3BAAAAAEyBgAAAAEwBwAAAAMxNjAIAAAAATAJAAAAATEKAAAAATALAAAACzEwODc5MDkwOTA0DAAAAAE3DQAAAAg3LzEvMjAxOBAAAAAJNi8zMC8yMDE4YpJ0hRQJ1giUq1+HFAnWCD5DSVEuTkFTREFRR1M6WkZHTi5JUV9UT1RBTF9FUVVJVFkuQ1kyMDE2LjYvMzAvMjAxOC5MRlIuRi5VU0QuSAEAAACXwLoBAgAAAAcxMjEuNzI3AQgAAAAFAAAAATEBAAAACjE4Nzg3ODkzNzADAAAAAzE2MAIAAAAEMTI3NQQAAAABMAcAAAAJNi8zMC8yMDE4CAAAAAoxMi8zMS8yMDE2CQAAAAEwxiXjhBQJ1ginhFiHFAnWCDNDSVEuRU5YVFBBOkVSWVAuSVFfREFfQ0YuMjAwMC42LzMwLzIwMTguTEZSLkYuVVNELkgBAAAA2Ip4AQIAAAAIMC42Mzg4MDkBCAAAAAUAAAABMQEAAAAKMTg4NTIwNDIxOQMAAAADMTYwAgAAAAQyMTYwBAAAAAEwBwAAAAk2LzMwLzIwMTgIAAAACjEyLzMxLzIwMTcJAAAAATDlD++EFAnWCDFeUYcUCdYIJUNJUS5OQVNEQVFDTTpDT1JULklRX0ZJUlNUUFJJQ0lOR0RBVEUBAAAA0rkVAAUAAAAJNC8xNC8yMDA0AGKSdIUUCdYIlKtfhxQJ1gg8Q0lRLk5BU0RBUUdTOkxYUlguSVFfRUFSTklOR19DTy5DWTIwMTYuNi8zMC8yMDE4LkxGUi5GLlVTRC5IAQAAAD14AAACAAAACC0xNDEuNDI5AQgAAAAFAAAAATEBAAAACjE4NzcxMzM5NjUDAAAAAzE2MAIAAAABNwQAAAABMAcAAAAJNi8zMC8y</t>
  </si>
  <si>
    <t>MDE4CAAAAAoxMi8zMS8yMDE2CQAAAAEwYpJ0hRQJ1ghFSV2HFAnWCDlDSVEuTkFTREFRR1M6WEVSUy5JUV9UT1RBTF9SRVYuMTk5Ni42LzMwLzIwMTguTEZSLkYuVVNELkgBAAAA4O5PBgMAAAAAAMYl44QUCdYIZ+dahxQJ1gglQ0lRLk5BU0RBUUNNOlZLVFguSVFfRklSU1RQUklDSU5HREFURQEAAADyvLUOBQAAAAk0LzI5LzIwMTUAYpJ0hRQJ1ghn51qHFAnWCDpDSVEuQ1BTRTpOT1ZPIEIuSVFfRUJJVERBX0VTVC5DWTIwMTkuNi8zMC8yMDE4LkNPTi5GLlVTRC5IAQAAAHzvBAACAAAAEDgzNjUuNjM3MTU5MzA2MjQBDgAAAAUAAAACMTEBAAAAATACAAAACjEwMDAyMTQ2MTkDAAAABjEwMDE4NwQAAAABMwYAAAABMAcAAAADMTYwCAAAAAEwCQAAAAExCgAAAAEwCwAAAAsxMDk0NzA0OTg3NQwAAAABNw0AAAAINy8xLzIwMTgQAAAACTYvMzAvMjAxOOltWYYUCdYIe9JmhxQJ1gg7Q0lRLk5BU0RBUUdNOlZUVlQuSVFfVE9UQUxfUkVWLkNZMjAxNy42LzMwLzIwMTguTEZSLkYuVVNELkgBAAAAHaMfEgIAAAAFMC4yOTEBCAAAAAUAAAABMQEAAAAKMTg3NjEzNzMwOQMAAAADMTYwAgAAAAIyOAQAAAABMAcAAAAJNi8zMC8yMDE4CAAAAAoxMi8zMS8yMDE3CQAAAAEw5Q/vhBQJ1giGwFOHFAnWCCNDSVEuU0VISzoxNTMwLklRX0JFVEFfMllSLjYvMzAvMjAxOAEAAADvuHABAgAAABEwLjgwMTY2NzA1MjQ2OTY0</t>
  </si>
  <si>
    <t>NgDpbVmGFAnWCC9wZIcUCdYIO0NJUS5PVENQSzpSWkxULklRX1RPVEFMX0VRVUlUWS5DWTIwMTYuNi8zMC8yMDE4LkxGUi5GLlVTRC5IAQAAACEJmwoCAAAACDcuOTMyODQ0AQgAAAAFAAAAATEBAAAACjE4NzQxOTQwMDgDAAAAAzE2MAIAAAAEMTI3NQQAAAABMAcAAAAJNi8zMC8yMDE4CAAAAAoxMi8zMS8yMDE2CQAAAAEw5Q/vhBQJ1giGwFOHFAnWCD1DSVEuTkFTREFRQ006QVZFTy5JUV9SRVZFTlVFX0VTVC5DWTIwMTguNi8zMC8yMDE4LkNPTi5GLlVTRC5IAQAAAPQWHQACAAAABzYuMTMzNjcBDgAAAAUAAAACMTEBAAAAATACAAAACjEwMDA3NDgwNzMDAAAABjEwMDE4MAQAAAABMgYAAAABMAcAAAADMTYwCAAAAAEwCQAAAAExCgAAAAEwCwAAAAsxMDg3NTI0NzUzNAwAAAABNw0AAAAINy8xLzIwMTgQAAAACTYvMzAvMjAxOK+G5YQUCdYIZSJWhxQJ1gg5Q0lRLk9UQ1BLOlJaTFQuSVFfRUFSTklOR19DTy5DWTIwMTcuNi8zMC8yMDE4LkxGUi5GLlVTRC5IAQAAACEJmwoCAAAACi0yMy45NzY1MzUBCAAAAAUAAAABMQEAAAAKMTg3NDE5NDA0MwMAAAADMTYwAgAAAAE3BAAAAAEwBwAAAAk2LzMwLzIwMTgIAAAACjEyLzMxLzIwMTcJAAAAATDlD++EFAnWCIbAU4cUCdYIIENJUS5JUTM2MTgzODEzLklRX0xBU1RTQUxFUFJJQ0UuAQAAAAUfKAICAAAABDEuOTUA6W1ZhhQJ1gjpbVmGFAnWCDxDSVEuTkFT</t>
  </si>
  <si>
    <t>REFRR1M6SVRDSS5JUV9FQVJOSU5HX0NPLkNZMjAxNy42LzMwLzIwMTguTEZSLkYuVVNELkgBAAAAd9GPAAIAAAAKLTk3Ljc3MzQxNAEIAAAABQAAAAExAQAAAAoxODc3MjA3ODQ2AwAAAAMxNjACAAAAATcEAAAAATAHAAAACTYvMzAvMjAxOAgAAAAKMTIvMzEvMjAxNwkAAAABMGKSdIUUCdYIZ+dahxQJ1gggQ0lRLklRMzYxODM4MTkuSVFfTEFTVFNBTEVQUklDRS4BAAAACx8oAgIAAAAEMi4yNADpbVmGFAnWCOltWYYUCdYIJ0NJUS5OQVNEQVFHUzpaRkdOLklRX0JFVEFfNVlSLjYvMzAvMjAxOAEAAACXwLoBAgAAABItMC41ODQ2MjQ1NDkxMzEwNjYAr4blhBQJ1ginhFiHFAnWCDlDSVEuT1RDUEs6RU1JUy5JUV9FQklUREFfRVNULkNZMjAxOC42LzMwLzIwMTguQ09OLkYuVVNELkgBAAAAPv0DAAMAAAAAAK+G5YQUCdYIZSJWhxQJ1gggQ0lRLlNFSEs6MjE4Ni5JUV9FRkZFQ1RfVEFYX1JBVEUBAAAAwoGYAAIAAAAGMTIuMTYxAQgAAAAFAAAAATEBAAAACjE4ODU0OTUwMDYDAAAAAjMyAgAAAAQ0Mzc2BAAAAAEwBwAAAAk4LzIzLzIwMTgIAAAACjEyLzMxLzIwMTcJAAAAATDpbVmGFAnWCC9wZIcUCdYIKUNJUS5BTUVYOkJUWC5JUV9NQVJLRVRDQVAuMy8zMS8yMDE4LlVTRC5IAQAAABZkAAACAAAACjM0MS4yNzgwMTkBBgAAAAUAAAABMQEAAAAKMTg3ODUxMzYzMwMAAAADMTYwAgAAAAYxMDAwNTQEAAAA</t>
  </si>
  <si>
    <t>ATAHAAAACTMvMzEvMjAxOMYl44QUCdYIZSJWhxQJ1ggpQ0lRLk5BU0RBUUdNOk1OT1YuSVFfQlVTSU5FU1NfREVTQ1JJUFRJT04BAAAAuFSNAAMAAADuB01lZGljaU5vdmEsIEluYy4sIGEgYmlvcGhhcm1hY2V1dGljYWwgY29tcGFueSwgZm9jdXNlcyBvbiBhY3F1aXJpbmcgYW5kIGRldmVsb3Bpbmcgbm92ZWwgYW5kIHNtYWxsIG1vbGVjdWxlIHRoZXJhcGV1dGljcyBmb3IgdGhlIHRyZWF0bWVudCBvZiBzZXJpb3VzIGRpc2Vhc2VzIHdpdGggdW5tZXQgbWVkaWNhbCBuZWVkcyBpbiB0aGUgVW5pdGVkIFN0YXRlcy4gVGhlIGNvbXBhbnnigJlzIHByb2R1Y3QgY2FuZGlkYXRlIGluY2x1ZGVzIE1OLTE2NiAoaWJ1ZGlsYXN0KSwgYW4gb3JhbCBhbnRpLWluZmxhbW1hdG9yeSBhbmQgbmV1cm9wcm90ZWN0aXZlIGFnZW50IGZvciB0aGUgdHJlYXRtZW50IG9mIG5ldXJvbG9naWNhbCBkaXNvcmRlcnMgY29uc2lzdGluZyBvZiBwcmltYXJ5IGFuZCBzZWNvbmRhcnkgcHJvZ3Jlc3NpdmUgbXVsdGlwbGUgc2NsZXJvc2lzOyBhbXlvdHJvcGhpYyBsYXRlcmFsIHNjbGVyb3NpczsgYW5kIHN1YnN0YW5jZSBkZXBlbmRlbmNlIGFuZCBhZGRpY3Rpb24uIEl0cyBwcm9kdWN0IHBpcGVsaW5lIGFsc28gY29tcHJpc2VzIE1OLTIyMSAoYmVkb3JhZHJpbmUpLCBhIHNlbGVjdGl2ZSAtYWRyZW5lcmdpYyByZWNlcHRv</t>
  </si>
  <si>
    <t>ciBhZ29uaXN0IGZvciB0aGUgdHJlYXRtZW50IG9mIGFjdXRlIGV4YWNlcmJhdGlvbnMgb2YgYXN0aG1hOyBNTi0wMDEgKHRpcGVsdWthc3QpLCBhbiBvcmFsbHkgYmlvYXZhaWxhYmxlIHNtYWxsIG1vbGVjdWxlIGNvbXBvdW5kIHRvIHRyZWF0IGZpYnJvdGljIGRpc2Vhc2VzLCBpbmNsdWRpbmcgbm9uYWxjb2hvbGljIHN0ZWF0b2hlcGF0aXRpcywgaWRpb3BhdGhpYyBwdWxtb25hcnkgZmlicm9zaXMsIGFuZCBvdGhlciBmaWJyb3RpYyBkaXNlYXNlczsgYW5kIE1OLTAyOSAoZGVuaWJ1bGluKSwgYSB0dWJ1bGluIGJpbmRpbmcgYWdlbnQgdG8gdHJlYXQgc29saWQgdHVtb3IgY2FuY2Vycy4gVGhlIGNvbXBhbnkgd2FzIGZvdW5kZWQgaW4gMjAwMCBhbmQgaXMgaGVhZHF1YXJ0ZXJlZCBpbiBMYSBKb2xsYSwgQ2FsaWZvcm5pYS4AxiXjhBQJ1ginhFiHFAnWCDdDSVEuT1RDUEs6QlRIRS5JUV9FQVJOSU5HX0NPLjIwMDAuNi8zMC8yMDE4LkxGUi5GLlVTRC5IAQAAAG+duQUCAAAACS0zLjYxOTk3OQEIAAAABQAAAAExAQAAAAoxODg4NjYzNzQyAwAAAAMxNjACAAAAATcEAAAAATAHAAAACTYvMzAvMjAxOAgAAAAJMy8zMS8yMDE4CQAAAAEw5Q/vhBQJ1giGwFOHFAnWCB5DSVEuSVEzNjE4MzgzNC5JUV9DT01QQU5ZX05BTUUBAAAAGh8oAgMAAAAxVW5pdGVkIFN0YXRlcyBUcmVhc3VyeSBDb25zdGFudCBN</t>
  </si>
  <si>
    <t>YXR1cml0eSAtIDcgWWVhcgDmO0WCFAnWCFhKloIUCdYIPENJUS5OQVNEQVFHUzpJQ1BULklRX0VCSVREQV9FU1QuQ1kyMDE5LjYvMzAvMjAxOC5DT04uRi5VU0QuSAEAAACCr60AAgAAAAotMjQ1Ljk2MTMyAQ4AAAAFAAAAAjExAQAAAAEwAgAAAAoxMDAxNjY1NjA5AwAAAAYxMDAxODcEAAAAATIGAAAAATAHAAAAAzE2MAgAAAABMAkAAAABMQoAAAABMAsAAAALMTA4Nzk1MTIxODgMAAAAATcNAAAACDcvMS8yMDE4EAAAAAk2LzMwLzIwMTjpbVmGFAnWCC9wZIcUCdYINUNJUS5OQVNEQVFHUzpBUFRYLklRX0NBUEVYLjIwMDAuNi8zMC8yMDE4LkxGUi5GLlVTRC5IAQAAAC8pDBQCAAAABS0xLjM2AQgAAAAFAAAAATEBAAAACjE4OTA4NTEzOTEDAAAAAzE2MAIAAAAEMjAyMQQAAAABMAcAAAAJNi8zMC8yMDE4CAAAAAkzLzMxLzIwMTgJAAAAATBiknSFFAnWCEVJXYcUCdYIMkNJUS5TRUhLOjIxODYuSVFfRUJJVERBLjE5OTIuNi8zMC8yMDE4LkxGUi5GLlVTRC5IAQAAAMKBmAACAAAACjEzNC41ODA4MjQBCAAAAAUAAAABMQEAAAAKMTgzODg1NTI4OQMAAAADMTYwAgAAAAQ0MDUxBAAAAAEwBwAAAAk2LzMwLzIwMTgIAAAACjEyLzMxLzIwMTUJAAAAATCUC1eGFAnWCC9wZIcUCdYIPENJUS5OQVNEQVFDTTpBVkVPLklRX0dST1NTX01BUkdJTi4yMDAwLjYvMzAvMjAxOC5MRlIuRi5VU0QuSAEAAAD0Fh0AAgAA</t>
  </si>
  <si>
    <t>AAktMjcyLjU4MzUBCAAAAAUAAAABMQEAAAAKMTg4NzIzNDI5NQMAAAADMTYwAgAAAAQ0MDc0BAAAAAEwBwAAAAk2LzMwLzIwMTgIAAAACTMvMzEvMjAxOAkAAAABMMYl44QUCdYIZSJWhxQJ1ggrQ0lRLk9UQ1BLOkVNSVMuSVFfTUFSS0VUQ0FQLjYvMzAvMjAxOC5VU0QuSAEAAAA+/QMAAgAAAAoxNDYuMDQ1OTQ3AQYAAAAFAAAAATEBAAAACjE4NDE4OTgyNzUDAAAAAzE2MAIAAAAGMTAwMDU0BAAAAAEwBwAAAAk2LzMwLzIwMTjGJeOEFAnWCGUiVocUCdYIKkNJUS5PVENQSzpSWkxULklRX0RJVklERU5EX1lJRUxELjYvMzAvMjAxOAEAAAAhCZsKAwAAAAAA5Q/vhBQJ1giGwFOHFAnWCDlDSVEuTkFTREFRR1M6SVRDSS5JUV9OSV9NQVJHSU4uMjAwMC42LzMwLzIwMTguTEZSLkYuVVNELkgBAAAAd9GPAAMAAAACTk0BCAAAAAUAAAABMQEAAAAKMTg4NjYxNzMyMgMAAAADMTYwAgAAAAQ0MDk0BAAAAAEwBwAAAAk2LzMwLzIwMTgIAAAACTMvMzEvMjAxOAkAAAABMGKSdIUUCdYIZ+dahxQJ1gg9Q0lRLk5BU0RBUUdTOlpGR04uSVFfUkVWRU5VRV9FU1QuQ1kyMDE5LjYvMzAvMjAxOC5DT04uRi5VU0QuSAEAAACXwLoBAgAAAAczLjMzMzMzAQ4AAAAFAAAAAjExAQAAAAEwAgAAAAoxMDAyODEzNDM2AwAAAAYxMDAxODAEAAAAATIGAAAAATAHAAAAAzE2MAgAAAABMAkAAAABMQoAAAABMAsAAAALMTA4NzQxMDY1</t>
  </si>
  <si>
    <t>NTkMAAAAATcNAAAACDcvMS8yMDE4EAAAAAk2LzMwLzIwMTivhuWEFAnWCKeEWIcUCdYIQ0NJUS5PVENQSzpFTUlTLklRX1RPVEFMX1JFVl81WVJfQU5OX0NBR1IuMjAwMC42LzMwLzIwMTguTEZSLkYuVVNELkgBAAAAPv0DAAMAAAAAAK+G5YQUCdYIhsBThxQJ1ggoQ0lRLk5BU0RBUUdTOklUQ0kuSVFfVEVWLjYvMzAvMjAxOC5VU0QuSAEAAAB30Y8AAgAAAAo1MjkuNDc5NTI0AQYAAAAFAAAAATEBAAAACjE4ODY2MTM5MjYDAAAAAzE2MAIAAAAGMTAwMDYwBAAAAAEwBwAAAAk2LzMwLzIwMThiknSFFAnWCGfnWocUCdYIQ0NJUS5OQVNEQVFHUzpJVENJLklRX0VCSVREQV8zWVJfQU5OX0NBR1IuMjAwMC42LzMwLzIwMTguTEZSLkYuVVNELkgBAAAAd9GPAAMAAAACTk0BCAAAAAUAAAABMQEAAAAKMTg4NjYxNzMyMgMAAAADMTYwAgAAAAQ0MjIyBAAAAAEwBwAAAAk2LzMwLzIwMTgIAAAACTMvMzEvMjAxOAkAAAABMGKSdIUUCdYIZ+dahxQJ1ggkQ0lRLk5BU0RBUUdTOk9EVC5JUV9GSVJTVFBSSUNJTkdEQVRFAQAAABoaRSAFAAAACTEyLzcvMjAxNwDGJeOEFAnWCGfnWocUCdYIPkNJUS5OQVNEQVFHTTpNTktELklRX0NBU0hfU1RfSU5WRVNULjIwMDAuNi8zMC8yMDE4LkxGUi5GLlVTRC5IAQAAAGaljQACAAAABjI2LjcwNgEIAAAABQAAAAExAQAAAAoxODg5Nzc1OTkzAwAAAAMxNjACAAAABDEwMDIEAAAA</t>
  </si>
  <si>
    <t>ATAHAAAACTYvMzAvMjAxOAgAAAAJMy8zMS8yMDE4CQAAAAEw6W1ZhhQJ1gjgDWKHFAnWCCVDSVEuSVFUUjE3MjYyMTQ3MS5JUV9UUl9JTVBMSUVEX0VRX0JWAQAAAJ/+SQoCAAAAAADmO0WCFAnWCHvSZocUCdYIMkNJUS5OWVNFOk1ZT1YuSVFfRUJJVERBLjIwMDAuNi8zMC8yMDE4LkxGUi5GLlVTRC5IAQAAAJfaCxgCAAAABy0xNDAuODIBCAAAAAUAAAABMQEAAAAKMTg5MjgzNDczMwMAAAADMTYwAgAAAAQ0MDUxBAAAAAEwBwAAAAk2LzMwLzIwMTgIAAAACTMvMzEvMjAxOAkAAAABMGKSdIUUCdYIlKtfhxQJ1gglQ0lRLklRVFIyNzAwNzQ3NTQuSVFfVFJfTUFKX01JTl9TVEFLRQEAAACCAxkQAwAAAAhNYWpvcml0eQDmO0WCFAnWCHvSZocUCdYILkNJUS5JUVRSNTUyNzIwMjA3LklRX1RSX1RBUkdFVF9TVE9DS1BSRU1JVU1fMU0BAAAAT9fxIAIAAAAAAOY7RYIUCdYIe9JmhxQJ1ggsQ0lRLk5BU0RBUUdTOkNZVEsuSVFfTEFTVFNBTEVQUklDRS4zLzMxLzIwMTgBAAAAs2oAAAIAAAADNy4yAMYl44QUCdYIZSJWhxQJ1gg4Q0lRLlNFSEs6MjE4Ni5JUV9UT1RBTF9FUVVJVFkuMTk5Ni42LzMwLzIwMTguTEZSLkYuVVNELkgBAAAAwoGYAAIAAAAKOTQ1LjA3MDI4NAEIAAAABQAAAAExAQAAAAoxODg1NDk0ODM0AwAAAAMxNjACAAAABDEyNzUEAAAAATAHAAAACTYvMzAvMjAxOAgAAAAKMTIvMzEvMjAxNgkA</t>
  </si>
  <si>
    <t>AAABMOltWYYUCdYIL3BkhxQJ1gg6Q0lRLk5BU0RBUUdNOk1OT1YuSVFfRUFSTklOR19DTy4xOTkyLjYvMzAvMjAxOC5MRlIuRi5VU0QuSAEAAAC4VI0AAgAAAAotMTAuMDExNjE0AQgAAAAFAAAAATEBAAAACjE4Mzc5NzEyNzMDAAAAAzE2MAIAAAABNwQAAAABMAcAAAAJNi8zMC8yMDE4CAAAAAkzLzMxLzIwMTYJAAAAATDGJeOEFAnWCKeEWIcUCdYIJkNJUS5PVENQSzpSWkxULklRX0JVU0lORVNTX0RFU0NSSVBUSU9OAQAAACEJmwoDAAAA/AdSZXpvbHV0ZSwgSW5jLiwgYSBjbGluaWNhbCBzdGFnZSBiaW9waGFybWFjZXV0aWNhbCBjb21wYW55LCBzcGVjaWFsaXplcyBpbiB0aGUgZGV2ZWxvcG1lbnQgb2YgZHJ1ZyB0aGVyYXBpZXMgZm9yIHRyZWF0aW5nIGRpYWJldGVzIGFuZCBtZXRhYm9saWMgZGlzZWFzZXMgaW4gdGhlIFVuaXRlZCBTdGF0ZXMuIEl0cyBsZWFkIHByb2R1Y3QgY2FuZGlkYXRlIGlzIEFCMTAxLCB3aGljaCBpcyBhIGh1bWFuIHJlY29tYmluYW50IGluc3VsaW4gdGhhdCBpcyB1c2VkIGFsb25lIGFuZCBpbiBjb21iaW5hdGlvbiB3aXRoIGJvbHVzIHByYW5kaWFsIGluc3VsaW4gb3Igb3JhbCBnbHVjb3NlIGxvd2VyaW5nIHRoZXJhcGllcyB0byBlbmhhbmNlIGdseWNlbWljIGNvbnRyb2wgaW4gcGF0aWVudHMgd2l0aCB0eXBlIDEgYW5kIHR5cGUgMiBkaWFiZXRlcyBtZWxsaXR1</t>
  </si>
  <si>
    <t>cyBoYXMgY29tcGxldGVkIHBoYXNlIEkgY2xpbmljYWwgdHJpYWwuIFRoZSBjb21wYW55IGFsc28gZGV2ZWxvcHMgQUIzMDEsIGEgaHVtYW4gZ2x1Y2Fnb24tbGlrZSBwZXB0aWRlLTEgYWdvbmlzdCBmb3IgdGhlIHRyZWF0bWVudCBvZiBwYXRpZW50cyB3aXRoIHR5cGUgMiBkaWFiZXRlczsgQUI0MDIgZm9yIHZpc2lvbi10aHJlYXRlbmluZyBleWUgY29tcGxpY2F0aW9ucyBvZiBkaWFiZXRlcywgaW5jbHVkaW5nIERpYWJldGljIFJldGlub3BhdGh5IGFuZCBEaWFiZXRpYyBNYWN1bGFyIEVkZW1hOyBhbmQgQUI2MDIgdG8gdHJlYXQgSGVyZWRpdGFyeSBBbmdpb2VkZW1hLCB3aGljaCBhcmUgaW4gcHJlY2xpbmljYWwgc3R1ZGllcy4gSXQgaGFzIGEgbGljZW5zaW5nIGFncmVlbWVudCB3aXRoIEFjdGl2ZVNpdGUgUGhhcm1hY2V1dGljYWxzLCBJbmMuIFRoZSBjb21wYW55IHdhcyBmb3JtZXJseSBrbm93biBhcyBBbnRyaWFCaW8sIEluYy4gYW5kIGNoYW5nZWQgaXRzIG5hbWUgdG8gUmV6b2x1dGUsIEluYy4gaW4gRGVjZW1iZXIgMjAxNy4gUmV6b2x1dGUsIEluYy4gaXMgaGVhZHF1YXJ0ZXJlZCBpbiBMb3Vpc3ZpbGxlLCBDb2xvcmFkby4A5Q/vhBQJ1giGwFOHFAnWCClDSVEuSVEzNjE4Mzg0My5JUV9MQVNUU0FMRVBSSUNFLjYvMzAvMjAxOAEAAAAjHygCAgAAAAQyLjk4AOY7RYIUCdYIxDRphxQJ</t>
  </si>
  <si>
    <t>1gg4Q0lRLk5BU0RBUUdTOklDUFQuSVFfVE9UQUxfQ0wuMjAwMC42LzMwLzIwMTguTEZSLkYuVVNELkgBAAAAgq+tAAIAAAAGNzkuNDQ2AQgAAAAFAAAAATEBAAAACjE4ODg2MTU1NDADAAAAAzE2MAIAAAAEMTAwOQQAAAABMAcAAAAJNi8zMC8yMDE4CAAAAAkzLzMxLzIwMTgJAAAAATDpbVmGFAnWCC9wZIcUCdYIRkNJUS5OQVNEQVFHTTpGT0xELklRX1RPVEFMX1JFVl8yWVJfQU5OX0NBR1IuMjAwMC42LzMwLzIwMTguTEZSLkYuVVNELkgBAAAAVvZqAAMAAAAAAGKSdIUUCdYIlKtfhxQJ1gg1Q0lRLk5BU0RBUUdTOk5JVEUuSVFfREFfQ0YuMjAwMC42LzMwLzIwMTguTEZSLkYuVVNELkgBAAAADNMYEAIAAAAFMC4yMjIBCAAAAAUAAAABMQEAAAAKMTg5MzQ5Njc0NQMAAAADMTYwAgAAAAQyMTYwBAAAAAEwBwAAAAk2LzMwLzIwMTgIAAAACTMvMzEvMjAxOAkAAAABMMYl44QUCdYIxDRphxQJ1gglQ0lRLklRVFIyNDk5ODE1NjQuSVFfVFJfSU1QTElFRF9FUV9CVgEAAAB8auYOAgAAAAg5LjQwODc0MgEGAAAABQAAAAI1NAEAAAAGMTAyMDk3AgAAAAkyNDk5ODE1NjQDAAAACTI0OTk4MzQzNwQAAAADMTYwBgAAAAVGYWxzZeY7RYIUCdYIe9JmhxQJ1gg7Q0lRLk5BU0RBUUdTOklUQ0kuSVFfRUJJVF9NQVJHSU4uMjAwMC42LzMwLzIwMTguTEZSLkYuVVNELkgBAAAAd9GPAAMAAAACTk0BCAAAAAUAAAABMQEA</t>
  </si>
  <si>
    <t>AAAKMTg4NjYxNzMyMgMAAAADMTYwAgAAAAQ0MDUzBAAAAAEwBwAAAAk2LzMwLzIwMTgIAAAACTMvMzEvMjAxOAkAAAABMGKSdIUUCdYIZ+dahxQJ1ggyQ0lRLk9UQ1BLOk5FWFMuSVFfQ0FQRVguMTk5Mi42LzMwLzIwMTguTEZSLkYuVVNELkgBAAAAHb1OFAMAAAAAAOUP74QUCdYIMV5RhxQJ1ghGQ0lRLk5BU0RBUUNNOlZLVFguSVFfVE9UQUxfUkVWXzJZUl9BTk5fQ0FHUi4yMDAwLjYvMzAvMjAxOC5MRlIuRi5VU0QuSAEAAADyvLUOAwAAAAAAxiXjhBQJ1ghn51qHFAnWCDlDSVEuTkFTREFRR1M6Q1lUSy5JUV9OSV9NQVJHSU4uMjAwMC42LzMwLzIwMTguTEZSLkYuVVNELkgBAAAAs2oAAAMAAAACTk0BCAAAAAUAAAABMQEAAAAKMTg4ODQ3MDY2NgMAAAADMTYwAgAAAAQ0MDk0BAAAAAEwBwAAAAk2LzMwLzIwMTgIAAAACTMvMzEvMjAxOAkAAAABMMYl44QUCdYIZSJWhxQJ1gg5Q0lRLk5BU0RBUUdNOk1OT1YuSVFfVE9UQUxfUkVWLjIwMDAuNi8zMC8yMDE4LkxGUi5GLlVTRC5IAQAAALhUjQADAAAAAADGJeOEFAnWCKeEWIcUCdYIH0NJUS5TSFNFOjYwMDg2Ny5JUV9DT01QQU5ZX05BTUUBAAAA2D6uAAMAAAAoVG9uZ2h1YSBEb25nYmFvIFBoYXJtYWNldXRpY2FsIENvLiwgTHRkLgBiknSFFAnWCOANYocUCdYIRUNJUS5OQVNEQVFDTTpDVVIuSVFfVE9UQUxfUkVWXzJZUl9BTk5fQ0FHUi4yMDAwLjYv</t>
  </si>
  <si>
    <t>MzAvMjAxOC5MRlIuRi5VU0QuSAEAAADx7nUAAgAAAAc0MDkuOTAyAQgAAAAFAAAAATEBAAAACjE4ODg4NzMyMTkDAAAAAzE2MAIAAAAENDIwNwQAAAABMAcAAAAJNi8zMC8yMDE4CAAAAAkzLzMxLzIwMTgJAAAAATDlD++EFAnWCDFeUYcUCdYIJENJUS5OQVNEQVFHUzpJQ1BULklRX0VGRkVDVF9UQVhfUkFURQEAAACCr60AAwAAAAAA6W1ZhhQJ1ggvcGSHFAnWCDhDSVEuTkFTREFRR006TU5PVi5JUV9UT1RBTF9DTC4yMDAwLjYvMzAvMjAxOC5MRlIuRi5VU0QuSAEAAAC4VI0AAgAAAAgxLjE5ODk4MgEIAAAABQAAAAExAQAAAAoxODg0NjQ0MjI4AwAAAAMxNjACAAAABDEwMDkEAAAAATAHAAAACTYvMzAvMjAxOAgAAAAJMy8zMS8yMDE4CQAAAAEwxiXjhBQJ1ginhFiHFAnWCDtDSVEuTkFTREFRR1M6QVBUWC5JUV9FQklUX01BUkdJTi4yMDAwLjYvMzAvMjAxOC5MRlIuRi5VU0QuSAEAAAAvKQwUAwAAAAJOTQEIAAAABQAAAAExAQAAAAoxODkwODUxMzkxAwAAAAMxNjACAAAABDQwNTMEAAAAATAHAAAACTYvMzAvMjAxOAgAAAAJMy8zMS8yMDE4CQAAAAEwYpJ0hRQJ1ghFSV2HFAnWCCpDSVEuSVFUUjM3MDA3MjM1My5JUV9UUl9UQVJHRVRfRUJJVC4uVVNELkgBAAAAIdsOFgIAAAAKLTE5Ljk1NzI0NgEHAAAABQAAAAIzNwEAAAAKMTc5MDkwODQxOQIAAAAFMjE2NzUDAAAAAzE2MAQAAAABMAcAAAAIMS8x</t>
  </si>
  <si>
    <t>LzE5MDAGAAAACTYvMzAvMjAxNuY7RYIUCdYIe9JmhxQJ1gglQ0lRLklRVFIyMTI3MzE4NzcuSVFfVFJfSU1QTElFRF9FUV9CVgEAAADlB64MAwAAAAJOTQDmO0WCFAnWCHvSZocUCdYIKkNJUS5DUFNFOlpFQUwuSVFfTUFSS0VUQ0FQLjMvMzEvMjAxOC5VU0QuSAEAAAAiWxMAAgAAAAo0NzIuMjA1MjcxAQYAAAAFAAAAATEBAAAACjE4NzgwNTk3MTUDAAAAAzE2MAIAAAAGMTAwMDU0BAAAAAEwBwAAAAkzLzMxLzIwMThiknSFFAnWCOANYocUCdYIOkNJUS5OQVNEQVFHUzpOSVRFLklRX1RPVEFMX0RFQlQuMjAwMC42LzMwLzIwMTguTEZSLkYuVVNELkgBAAAADNMYEAIAAAABMAEIAAAABQAAAAExAQAAAAoxODkzNDk2NzQ1AwAAAAMxNjACAAAABDQxNzMEAAAAATAHAAAACTYvMzAvMjAxOAgAAAAJMy8zMS8yMDE4CQAAAAEwxiXjhBQJ1ginhFiHFAnWCDpDSVEuTkFTREFRR1M6TklURS5JUV9FQVJOSU5HX0NPLjE5OTIuNi8zMC8yMDE4LkxGUi5GLlVTRC5IAQAAAAzTGBACAAAABy0xMy42NDgBCAAAAAUAAAABMQEAAAAKMTg4MTUxMDA3NQMAAAADMTYwAgAAAAE3BAAAAAEwBwAAAAk2LzMwLzIwMTgIAAAACjEyLzMxLzIwMTUJAAAAATDGJeOEFAnWCKeEWIcUCdYIQ0NJUS4oSU5WQUxJRCBJREVOVElGSUVSKS5JUV9FQVJOSU5HX0NPLkNZMjAxNi42LzMwLzIwMTguTEZSLkYuVVNELkgFAAAAAAAAAAgAAAAU</t>
  </si>
  <si>
    <t>KEludmFsaWQgSWRlbnRpZmllcinlD++EFAnWCDFeUYcUCdYINUNJUS5OQVNEQVFHUzpYRVJTLklRX0NBUEVYLjE5OTIuNi8zMC8yMDE4LkxGUi5GLlVTRC5IAQAAAODuTwYDAAAAAADGJeOEFAnWCGfnWocUCdYIRkNJUS5OQVNEQVFHUzpOSVRFLklRX1RPVEFMX1JFVl8zWVJfQU5OX0NBR1IuMjAwMC42LzMwLzIwMTguTEZSLkYuVVNELkgBAAAADNMYEAMAAAAAAMYl44QUCdYIp4RYhxQJ1gg2Q0lRLlNFSEs6MzkzMy5JUV9FQVJOSU5HX0NPLjE5OTYuNi8zMC8yMDE4LkxGUi5GLlVTRC5IAQAAAE3aEQICAAAACi0zOS4yMjYxNzIBCAAAAAUAAAABMQEAAAAKMTg4NTczOTE5OQMAAAADMTYwAgAAAAE3BAAAAAEwBwAAAAk2LzMwLzIwMTgIAAAACjEyLzMxLzIwMTYJAAAAATDpbVmGFAnWCOANYocUCdYIOENJUS5OQVNEQVFHUzpJVENJLklRX1RPVEFMX0NBLjIwMDAuNi8zMC8yMDE4LkxGUi5GLlVTRC5IAQAAAHfRjwACAAAACjQ0My4xNTM1NzkBCAAAAAUAAAABMQEAAAAKMTg4NjYxNzMyMgMAAAADMTYwAgAAAAQxMDA4BAAAAAEwBwAAAAk2LzMwLzIwMTgIAAAACTMvMzEvMjAxOAkAAAABMGKSdIUUCdYIZ+dahxQJ1ggzQ0lRLlNFSEs6MTUzMC5JUV9QRVJJT0REQVRFX0lTLjIwMDAuNi8zMC8yMDE4LkxGUi5GAQAAAO+4cAEFAAAACjEyLzMxLzIwMTcAlAtXhhQJ1ggvcGSHFAnWCC9DSVEuSVFUUjM4NDAy</t>
  </si>
  <si>
    <t>ODQ5Ni5JUV9UUl9JTVBMSUVEX0VWX0ZJTkFMLi5VU0QuSAEAAABQz+MWAgAAAAo1MjguMjM5MzY2AQYAAAAFAAAAAjU0AQAAAAYxMDIwNDUCAAAACTM4NDAyODQ5NgMAAAAJNDA3Mjc1Nzc2BAAAAAMxNjAGAAAABUZhbHNl5jtFghQJ1gh70maHFAnWCDpDSVEuT1RDUEs6QlRIRS5JUV9SRVZFTlVFX0VTVC5DWTIwMTkuNi8zMC8yMDE4LkNPTi5GLlVTRC5IAQAAAG+duQUDAAAAAADlD++EFAnWCIbAU4cUCdYIO0NJUS5TSFNFOjYwMDg2Ny5JUV9FQklUREFfTUFSR0lOLjIwMDAuNi8zMC8yMDE4LkxGUi5GLlVTRC5IAQAAANg+rgACAAAABzQ0Ljc2MTIBCAAAAAUAAAABMQEAAAAKMTg4NTE0NjI3MwMAAAACMzICAAAABDQwNDcEAAAAATAHAAAACTYvMzAvMjAxOAgAAAAJMy8zMS8yMDE4CQAAAAEwYpJ0hRQJ1gjgDWKHFAnWCC5DSVEuTkFTREFRR006TU5PVi5JUV9NQVJLRVRDQVAuNi8zMC8yMDE4LlVTRC5IAQAAALhUjQACAAAACjMyNy4zODc0MjEBBgAAAAUAAAABMQEAAAAKMTg4NDY0MzY5NAMAAAADMTYwAgAAAAYxMDAwNTQEAAAAATAHAAAACTYvMzAvMjAxOMYl44QUCdYIp4RYhxQJ1ggdQ0lRLlNFSEs6MjE4Ni5JUV9DT01QQU5ZX05BTUUBAAAAwoGYAAMAAAAWTHV5ZSBQaGFybWEgR3JvdXAgTHRkLgCUC1eGFAnWCC9wZIcUCdYIPENJUS5OQVNEQVFHUzpaRkdOLklRX0VCSVREQV9FU1QuQ1kyMDE4</t>
  </si>
  <si>
    <t>LjYvMzAvMjAxOC5DT04uRi5VU0QuSAEAAACXwLoBAwAAAAAAr4blhBQJ1ginhFiHFAnWCDpDSVEuU0VISzoxNTMwLklRX1RPVEFMX0VRVUlUWS5DWTIwMTcuNi8zMC8yMDE4LkxGUi5GLlVTRC5IAQAAAO+4cAECAAAACzExNzIuNTgzMDI4AQgAAAAFAAAAATEBAAAACjE4ODYwOTk4NjIDAAAAAzE2MAIAAAAEMTI3NQQAAAABMAcAAAAJNi8zMC8yMDE4CAAAAAoxMi8zMS8yMDE3CQAAAAEwlAtXhhQJ1ggvcGSHFAnWCCVDSVEuRU5YVFBBOkVSWVAuSVFfQkVUQV8yWVIuNi8zMC8yMDE4AQAAANiKeAECAAAAEDEuMzQ1MzAyNjExMDMxOTEA5Q/vhBQJ1ggxXlGHFAnWCCJDSVEuSVFUUjQwMjEwMzkxOS5JUV9UUl9UT1RBTF9DQVNIAQAAAG+e9xcCAAAAAADmO0WCFAnWCHvSZocUCdYIL0NJUS5JUVRSMjcwMDc0NzU0LklRX1RSX1RBUkdFVF9UT1RBTF9SRVYuLlVTRC5IAQAAAIIDGRACAAAAAADmO0WCFAnWCHvSZocUCdYIOENJUS5OQVNEQVFDTTpWS1RYLklRX1RPVEFMX0NMLjIwMDAuNi8zMC8yMDE4LkxGUi5GLlVTRC5IAQAAAPK8tQ4CAAAABTYuMzM5AQgAAAAFAAAAATEBAAAACjE4ODc3MDQ5MTQDAAAAAzE2MAIAAAAEMTAwOQQAAAABMAcAAAAJNi8zMC8yMDE4CAAAAAkzLzMxLzIwMTgJAAAAATDGJeOEFAnWCGfnWocUCdYIO0NJUS5FTlhUUEE6RVJZUC5JUV9SRVZFTlVFX0VTVC5DWTIwMjEuNi8zMC8y</t>
  </si>
  <si>
    <t>MDE4LkNPTi5GLlVTRC5IAQAAANiKeAECAAAADjcuMTE5MzU1OTY4MzA2AQ4AAAAFAAAAAjExAQAAAAEwAgAAAAoxMDAyODgxNzk3AwAAAAYxMDAxODAEAAAAATMGAAAAATAHAAAAAzE2MAgAAAABMAkAAAABMQoAAAABMAsAAAALMTA5NTEyNDUxODIMAAAAATcNAAAACDcvMS8yMDE4EAAAAAk2LzMwLzIwMTjlD++EFAnWCDFeUYcUCdYIR0NJUS5OQVNEQVFHTTpSWVRNLklRX01JTk9SSVRZX0lOVEVSRVNUX1RPVEFMLjIwMDAuNi8zMC8yMDE4LkxGUi5GLlVTRC5IAQAAABjJbRIDAAAAAABiknSFFAnWCEVJXYcUCdYIPENJUS5OQVNEQVFHTTpNTktELklRX1RPVEFMX0VRVUlUWS4xOTk2LjYvMzAvMjAxOC5MRlIuRi5VU0QuSAEAAABmpY0AAgAAAAgtMTk4LjcyNQEIAAAABQAAAAExAQAAAAoxODg5Nzc1OTY1AwAAAAMxNjACAAAABDEyNzUEAAAAATAHAAAACTYvMzAvMjAxOAgAAAAJMy8zMS8yMDE3CQAAAAEw6W1ZhhQJ1gjgDWKHFAnWCCpDSVEuTllTRTpNWU9WLklRX01BUktFVENBUC4zLzMxLzIwMTguVVNELkgBAAAAl9oLGAIAAAALMTI5Ny4yNDQ0MzIBBgAAAAUAAAABMQEAAAAKMTg3NDA0MzQ0MAMAAAADMTYwAgAAAAYxMDAwNTQEAAAAATAHAAAACTMvMzEvMjAxOGKSdIUUCdYIlKtfhxQJ1ggvQ0lRLklRVFI0MDIxMDM5MTkuSVFfVFJfSU1QTElFRF9FVl9GSU5BTC4uVVNELkgBAAAAb573FwIAAAAA</t>
  </si>
  <si>
    <t>AOY7RYIUCdYIe9JmhxQJ1gg4Q0lRLk5BU0RBUUdTOkFQVFguSVFfVE9UQUxfQ0EuMTk5Ni42LzMwLzIwMTguTEZSLkYuVVNELkgBAAAALykMFAMAAAAAAGKSdIUUCdYIRUldhxQJ1ggiQ0lRLi5JUV9UUl9JTVBMSUVEX0VWX0ZJTkFMLi5VU0QuSAUAAAABAAAACAAAABQoSW52YWxpZCBJZGVudGlmaWVyKZQLV4YUCdYIlAtXhhQJ1ggxQ0lRLk5ZU0U6TVlPVi5JUV9DQVBFWC4xOTkyLjYvMzAvMjAxOC5MRlIuRi5VU0QuSAEAAACX2gsYAwAAAAAAYpJ0hRQJ1giUq1+HFAnWCClDSVEuU0VISzoxNTMwLklRX0RJVklERU5EX1lJRUxELjYvMzAvMjAxOAEAAADvuHABAgAAAAYwLjM4NDMAlAtXhhQJ1ggvcGSHFAnWCCFDSVEuTllTRTpNWU9WLklRX0ZJUlNUUFJJQ0lOR0RBVEUBAAAAl9oLGAUAAAAKMTAvMjcvMjAxNgBiknSFFAnWCJSrX4cUCdYIM0NJUS5UU1hWOkNPQi5VLklRX0VCSVREQS4xOTkyLjYvMzAvMjAxOC5MRlIuRi5VU0QuSAEAAAC/+wAIAgAAAAktNC4yNjkxMzcBCAAAAAUAAAABMQEAAAAKMTg0Mjc1ODgxMAMAAAADMTYwAgAAAAQ0MDUxBAAAAAEwBwAAAAk2LzMwLzIwMTgIAAAACTMvMzEvMjAxNgkAAAABMK+G5YQUCdYIhsBThxQJ1gg2Q0lRLk5BU0RBUUdNOk1OT1YuSVFfRUJJVERBLjIwMDAuNi8zMC8yMDE4LkxGUi5GLlVTRC5IAQAAALhUjQACAAAACi0xNC42NDI1ODIBCAAAAAUAAAAB</t>
  </si>
  <si>
    <t>MQEAAAAKMTg4NDY0NDIyOAMAAAADMTYwAgAAAAQ0MDUxBAAAAAEwBwAAAAk2LzMwLzIwMTgIAAAACTMvMzEvMjAxOAkAAAABMMYl44QUCdYIp4RYhxQJ1gg6Q0lRLlNFSEs6MzkzMy5JUV9DQVNIX1NUX0lOVkVTVC4yMDAwLjMvMzEvMjAxOC5MRlIuRi5VU0QuSAEAAABN2hECAgAAAAoyMjQuNTAzMTQ5AQgAAAAFAAAAATEBAAAACjE4NjA0MTczOTUDAAAAAzE2MAIAAAAEMTAwMgQAAAABMAcAAAAJMy8zMS8yMDE4CAAAAAk2LzMwLzIwMTcJAAAAATDpbVmGFAnWCOANYocUCdYIKkNJUS5JUVRSMTE3ODAzOTIwLklRX1RSX1RBUkdFVF9FQklULi5VU0QuSAEAAACQiwUHAgAAAAAA5jtFghQJ1gh70maHFAnWCERDSVEuQ1BTRTpOT1ZPIEIuSVFfVE9UQUxfUkVWXzJZUl9BTk5fQ0FHUi4yMDAwLjYvMzAvMjAxOC5MRlIuRi5VU0QuSAEAAAB87wQAAgAAAAYwLjEwNjgBCAAAAAUAAAABMQEAAAAKMTg5MjYyMzk1MwMAAAACNDICAAAABDQyMDcEAAAAATAHAAAACTYvMzAvMjAxOAgAAAAJMy8zMS8yMDE4CQAAAAEwlAtXhhQJ1ggvcGSHFAnWCC5DSVEuTkFTREFRR1M6Q0JBWS5JUV9NQVJLRVRDQVAuNi8zMC8yMDE4LlVTRC5IAQAAAMB6AAACAAAACjc4OC42NzcyODMBBgAAAAUAAAABMQEAAAAKMTg4NzQ0NTAyNgMAAAADMTYwAgAAAAYxMDAwNTQEAAAAATAHAAAACTYvMzAvMjAxOGKSdIUUCdYIRUldhxQJ1gg8</t>
  </si>
  <si>
    <t>Q0lRLk5BU0RBUUdTOklUQ0kuSVFfRUJJVERBX0VTVC5DWTIwMjAuNi8zMC8yMDE4LkNPTi5GLlVTRC5IAQAAAHfRjwACAAAABi0yMjYuNgEOAAAABQAAAAIxMQEAAAABMAIAAAAKMTAwMjAyMTIwOQMAAAAGMTAwMTg3BAAAAAEyBgAAAAEwBwAAAAMxNjAIAAAAATAJAAAAATEKAAAAATALAAAACzExMDEyMzA0OTc2DAAAAAE3DQAAAAg3LzEvMjAxOBAAAAAJNi8zMC8yMDE4YpJ0hRQJ1ghn51qHFAnWCDVDSVEuTkFTREFRR1M6Q1lUSy5JUV9DQVBFWC4xOTk2LjYvMzAvMjAxOC5MRlIuRi5VU0QuSAEAAACzagAAAgAAAAYtMi41NjQBCAAAAAUAAAABMQEAAAAKMTg4ODQ3MDY0MQMAAAADMTYwAgAAAAQyMDIxBAAAAAEwBwAAAAk2LzMwLzIwMTgIAAAACTMvMzEvMjAxNwkAAAABMMYl44QUCdYIZSJWhxQJ1gg5Q0lRLlRTWFY6Q09CLlUuSVFfVE9UQUxfRVFVSVRZLjE5OTYuNi8zMC8yMDE4LkxGUi5GLlVTRC5IAQAAAL/7AAgCAAAACDguNzgyODY5AQgAAAAFAAAAATEBAAAACjE4ODkwNjIwNjkDAAAAAzE2MAIAAAAEMTI3NQQAAAABMAcAAAAJNi8zMC8yMDE4CAAAAAkzLzMxLzIwMTcJAAAAATCvhuWEFAnWCIbAU4cUCdYINENJUS5TRUhLOjIxODYuSVFfVE9UQUxfQ0EuMTk5Ni42LzMwLzIwMTguTEZSLkYuVVNELkgBAAAAwoGYAAIAAAAKNzYwLjc4ODIzMQEIAAAABQAAAAExAQAAAAoxODg1NDk0ODM0AwAA</t>
  </si>
  <si>
    <t>AAMxNjACAAAABDEwMDgEAAAAATAHAAAACTYvMzAvMjAxOAgAAAAKMTIvMzEvMjAxNgkAAAABMJQLV4YUCdYIL3BkhxQJ1gg5Q0lRLk5BU0RBUUdTOkFQVFguSVFfVE9UQUxfUkVWLjIwMDAuNi8zMC8yMDE4LkxGUi5GLlVTRC5IAQAAAC8pDBQCAAAABTYuMjgxAQgAAAAFAAAAATEBAAAACjE4OTA4NTEzOTEDAAAAAzE2MAIAAAACMjgEAAAAATAHAAAACTYvMzAvMjAxOAgAAAAJMy8zMS8yMDE4CQAAAAEwYpJ0hRQJ1ghFSV2HFAnWCDlDSVEuTkFTREFRR1M6Q0JBWS5JUV9UT1RBTF9SRVYuMTk5Ni42LzMwLzIwMTguTEZSLkYuVVNELkgBAAAAwHoAAAIAAAAFNC43OTMBCAAAAAUAAAABMQEAAAAKMTg4NzQ0NTA4MgMAAAADMTYwAgAAAAIyOAQAAAABMAcAAAAJNi8zMC8yMDE4CAAAAAkzLzMxLzIwMTcJAAAAATBiknSFFAnWCEVJXYcUCdYINUNJUS5BTUVYOkJUWC5JUV9FQVJOSU5HX0NPLjE5OTIuNi8zMC8yMDE4LkxGUi5GLlVTRC5IAQAAABZkAAACAAAABy02OS41NDEBCAAAAAUAAAABMQEAAAAKMTg0MTE4MDE2MwMAAAADMTYwAgAAAAE3BAAAAAEwBwAAAAk2LzMwLzIwMTgIAAAACTMvMzEvMjAxNgkAAAABMMYl44QUCdYIZSJWhxQJ1gg2Q0lRLkNQU0U6WkVBTC5JUV9FQVJOSU5HX0NPLjE5OTIuNi8zMC8yMDE4LkxGUi5GLlVTRC5IAQAAACJbEwACAAAACi0yMS4xNzU0NDYBCAAAAAUAAAABMQEAAAAK</t>
  </si>
  <si>
    <t>MTg0MjczMTQzMwMAAAADMTYwAgAAAAE3BAAAAAEwBwAAAAk2LzMwLzIwMTgIAAAACTMvMzEvMjAxNgkAAAABMGKSdIUUCdYI4A1ihxQJ1ggxQ0lRLlNFSEs6MzkzMy5JUV9DQVBFWC4xOTkyLjYvMzAvMjAxOC5MRlIuRi5VU0QuSAEAAABN2hECAgAAAAotOTMuMjc1MDQ2AQgAAAAFAAAAATEBAAAACjE4Mzg4MDc2OTADAAAAAzE2MAIAAAAEMjAyMQQAAAABMAcAAAAJNi8zMC8yMDE4CAAAAAoxMi8zMS8yMDE1CQAAAAEw6W1ZhhQJ1gjgDWKHFAnWCDZDSVEuT1RDUEs6RU1JUy5JUV9UT1RBTF9SRVYuMjAwMC42LzMwLzIwMTguTEZSLkYuVVNELkgBAAAAPv0DAAIAAAAFMS4wNDQBCAAAAAUAAAABMQEAAAAKMTg0MTg5ODUzNQMAAAADMTYwAgAAAAIyOAQAAAABMAcAAAAJNi8zMC8yMDE4CAAAAAkzLzMxLzIwMTcJAAAAATCvhuWEFAnWCGUiVocUCdYIJENJUS5OQVNEQVFHTTpWVFZULklRX0VGRkVDVF9UQVhfUkFURQEAAAAdox8SAwAAAAJOTQEIAAAABQAAAAExAQAAAAoxODk4MzM5NDU3AwAAAAMxNjACAAAABDQzNzYEAAAAATAHAAAACTgvMjMvMjAxOAgAAAAJNi8zMC8yMDE4CQAAAAEw5Q/vhBQJ1giGwFOHFAnWCD1DSVEuTkFTREFRR006TU5LRC5JUV9SRVZFTlVFX0VTVC5DWTIwMjEuNi8zMC8yMDE4LkNPTi5GLlVTRC5IAQAAAGaljQACAAAABzIwOC44ODYBDgAAAAUAAAACMTEBAAAAATACAAAACjEw</t>
  </si>
  <si>
    <t>MDEzOTg3OTUDAAAABjEwMDE4MAQAAAABMgYAAAABMAcAAAADMTYwCAAAAAEwCQAAAAExCgAAAAEwCwAAAAsxMDk0MTY1NDM5MAwAAAABNw0AAAAINy8xLzIwMTgQAAAACTYvMzAvMjAxOOltWYYUCdYI4A1ihxQJ1gg7Q0lRLk5BU0RBUUdTOkxYUlguSVFfVE9UQUxfUkVWLkNZMjAxNy42LzMwLzIwMTguTEZSLkYuVVNELkgBAAAAPXgAAAIAAAAGOTAuMzM1AQgAAAAFAAAAATEBAAAACjE4NzcxMzM5NzQDAAAAAzE2MAIAAAACMjgEAAAAATAHAAAACTYvMzAvMjAxOAgAAAAKMTIvMzEvMjAxNwkAAAABMGKSdIUUCdYIlKtfhxQJ1gggQ0lRLklRVFIzMTAyMjkxODguSVFfVFJfRUFSTk9VVFMBAAAAxLh9EgIAAAAAAOY7RYIUCdYIe9JmhxQJ1ggpQ0lRLklRVFIxNzE5MzA1MzQuSVFfQlVTSU5FU1NfREVTQ1JJUFRJT04BAAAAJHlNAQMAAAD6BERpYUtpbmUgVGhlcmFwZXV0aWNzLCBJbmMuIGRldmVsb3BzIGFuZCBjb21tZXJjaWFsaXplcyB0aGVyYXBpZXMgZm9yIHR5cGUgMSBhbmQgdHlwZSAyIGRpYWJldGVzLCBhbmQgcmVsYXRlZCBjb21wbGljYXRpb25zLiBUaGUgY29tcGFueSBkZXZlbG9wcyBpbW11bmUgYW50aS1pbmZsYW1hdG9yeSBtb2R1bGF0b3JzIGludG8gdGhlcmFwaWVzIGZvciBwcmV2ZW50aW5nIGluZmxhbW1hdG9yeSBkYW1hZ2UgdG8gaW5zdWxpbiBwcm9kdWNpbmcgY2VsbHMgaW4gaXNs</t>
  </si>
  <si>
    <t>ZXRzIGFuZCBibG9ja2luZyBjb21wbGljYXRpb25zIHRoYXQgcmVzdWx0IGZyb20gZGlhYmV0ZXMuIFRoZSBjb21wYW55IGRldmVsb3BzIExpc29meWxsaW5lLCBhIHNtYWxsLW1vbGVjdWxlIGRydWcgdGhhdCBibG9ja3MgdGhlIGRlc3RydWN0aXZlIGFuZCBpbmZsYW1tYXRvcnkgYWN0aW9ucyBvZiBpbW11bmUgYWdlbnRzIGNhbGxlZCBjeXRva2luZXMuIFRoZSBjb21wYW55IHdhcyBpbmNvcnBvcmF0ZWQgaW4gMjAwNCBhbmQgaXMgYmFzZWQgaW4gTm9yZm9saywgVmlyZ2luaWEuIEFzIG9mIE1hcmNoIDE0LCAyMDEyLCBEaWFLaW5lIFRoZXJhcGV1dGljcywgSW5jLiBvcGVyYXRlcyBhcyBhIHN1YnNpZGlhcnkgb2YgSXNsZXQgU2NpZW5jZXMsIEluYy4A5jtFghQJ1gh70maHFAnWCCFDSVEuSVEyNzAwNjIzNDguSVFfQ09NUEFOWV9USUNLRVIBAAAADNMYEAMAAAANTmFzZGFxR1M6TklURQDmO0WCFAnWCPflsoIUCdYIKENJUS5DUFNFOlpFQUwuSVFfTEFTVFNBTEVQUklDRS4zLzMxLzIwMTgBAAAAIlsTAAIAAAAJMTUuMzg3NzQzAGKSdIUUCdYI4A1ihxQJ1gg7Q0lRLk5BU0RBUUdNOk1OT1YuSVFfRUJJVF9NQVJHSU4uMjAwMC42LzMwLzIwMTguTEZSLkYuVVNELkgBAAAAuFSNAAMAAAAAAMYl44QUCdYIp4RYhxQJ1gg5Q0lRLk5BU0RBUUdTOkFQVFguSVFfVE9UQUxfUkVWLjE5OTYuNi8zMC8yMDE4</t>
  </si>
  <si>
    <t>LkxGUi5GLlVTRC5IAQAAAC8pDBQDAAAAAABiknSFFAnWCEVJXYcUCdYIOUNJUS5OQVNEQVFHUzpMWFJYLklRX05JX01BUkdJTi4yMDAwLjYvMzAvMjAxOC5MRlIuRi5VU0QuSAEAAAA9eAAAAgAAAAktMTQwLjA4NzgBCAAAAAUAAAABMQEAAAAKMTg4NjU0Mzg3NQMAAAADMTYwAgAAAAQ0MDk0BAAAAAEwBwAAAAk2LzMwLzIwMTgIAAAACTMvMzEvMjAxOAkAAAABMGKSdIUUCdYIlKtfhxQJ1gg3Q0lRLk5BU0RBUUdTOkFQVFguSVFfUEVSSU9EREFURV9JUy4yMDAwLjYvMzAvMjAxOC5MRlIuRgEAAAAvKQwUBQAAAAkzLzMxLzIwMTgAYpJ0hRQJ1ghFSV2HFAnWCCVDSVEuTkFTREFRR1M6Q1lUSy5JUV9GSVJTVFBSSUNJTkdEQVRFAQAAALNqAAAFAAAACTQvMjkvMjAwNADGJeOEFAnWCGUiVocUCdYIH0NJUS5JUTE0MjM4MjYuSVFfQ09NUEFOWV9USUNLRVIBAAAA0rkVAAMAAAANTmFzZGFxQ006Q09SVADmO0WCFAnWCPb6poIUCdYIKENJUS5OQVNEQVFHUzpOSVRFLklRX1RFVi42LzMwLzIwMTguVVNELkgBAAAADNMYEAIAAAAKMzQwLjE5ODQyNAEGAAAABQAAAAExAQAAAAoxODkzNDk2MTg5AwAAAAMxNjACAAAABjEwMDA2MAQAAAABMAcAAAAJNi8zMC8yMDE4xiXjhBQJ1ginhFiHFAnWCDtDSVEuTkFTREFRR1M6T0RULklRX0VCSVREQV9FU1QuQ1kyMDE4LjYvMzAvMjAxOC5DT04uRi5VU0QuSAEAAAAaGkUg</t>
  </si>
  <si>
    <t>AgAAAActOTQuNTE0AQ4AAAAFAAAAAjExAQAAAAEwAgAAAAoxMDAzOTUxNjEzAwAAAAYxMDAxODcEAAAAATIGAAAAATAHAAAAAzE2MAgAAAABMAkAAAABMQoAAAABMAsAAAALMTA5MzM5MzI1NDIMAAAAATcNAAAACDcvMS8yMDE4EAAAAAk2LzMwLzIwMTivhuWEFAnWCKeEWIcUCdYIJ0NJUS5OQVNEQVFHTTpNTk9WLklRX0JFVEFfNVlSLjYvMzAvMjAxOAEAAAC4VI0AAgAAABEwLjI0MDg0MjQ0MDM4MTQ1OACvhuWEFAnWCKeEWIcUCdYIR0NJUS5OQVNEQVFHUzpBUFRYLklRX01JTk9SSVRZX0lOVEVSRVNUX1RPVEFMLjIwMDAuMy8zMS8yMDE4LkxGUi5GLlVTRC5IAQAAAC8pDBQDAAAAAABiknSFFAnWCEVJXYcUCdYIOUNJUS5OQVNEQVFDTTpDVVIuSVFfVE9UQUxfREVCVC4yMDAwLjYvMzAvMjAxOC5MRlIuRi5VU0QuSAEAAADx7nUAAgAAAAEwAQgAAAAFAAAAATEBAAAACjE4ODg4NzMyMTkDAAAAAzE2MAIAAAAENDE3MwQAAAABMAcAAAAJNi8zMC8yMDE4CAAAAAkzLzMxLzIwMTgJAAAAATDlD++EFAnWCDFeUYcUCdYIJ0NJUS5OQVNEQVFHUzpJVENJLklRX1BFUklPRERBVEVfSVMuMTAwMAEAAAB30Y8ABQAAAAoxMi8zMS8yMDE3AGKSdIUUCdYIZ+dahxQJ1ggjQ0lRLkNQU0U6Tk9WTyBCLklRX0ZJUlNUUFJJQ0lOR0RBVEUBAAAAfO8EAAUAAAAIMS8yLzE5OTIAlAtXhhQJ1gh70maHFAnWCDBDSVEuTkFT</t>
  </si>
  <si>
    <t>REFRR006TU5LRC5JUV9MQVNUU0FMRVBSSUNFLjYvMzAvMjAxOC5VU0QBAAAAZqWNAAIAAAADMS45AOltWYYUCdYI4A1ihxQJ1ggtQ0lRLk5BU0RBUUdTOlpGR04uSVFfRElWSURFTkRfWUlFTEQuNi8zMC8yMDE4AQAAAJfAugEDAAAAAADGJeOEFAnWCKeEWIcUCdYIOENJUS5OQVNEQVFHUzpDQkFZLklRX0VCSVREQS5DWTIwMTcuNi8zMC8yMDE4LkxGUi5GLlVTRC5IAQAAAMB6AAACAAAABi0xOC42OQEIAAAABQAAAAExAQAAAAoxODc4NTI0MDg4AwAAAAMxNjACAAAABDQwNTEEAAAAATAHAAAACTYvMzAvMjAxOAgAAAAKMTIvMzEvMjAxNwkAAAABMGKSdIUUCdYIRUldhxQJ1ghDQ0lRLk5BU0RBUUdTOlpGR04uSVFfRUJJVERBXzNZUl9BTk5fQ0FHUi4yMDAwLjYvMzAvMjAxOC5MRlIuRi5VU0QuSAEAAACXwLoBAwAAAAJOTQEIAAAABQAAAAExAQAAAAoxODg5ODk1MzgxAwAAAAMxNjACAAAABDQyMjIEAAAAATAHAAAACTYvMzAvMjAxOAgAAAAJMy8zMS8yMDE4CQAAAAEwxiXjhBQJ1ginhFiHFAnWCDZDSVEuT1RDUEs6QlRIRS5JUV9UT1RBTF9SRVYuMjAwMC42LzMwLzIwMTguTEZSLkYuVVNELkgBAAAAb525BQIAAAAIMC4wMzQxMTMBCAAAAAUAAAABMQEAAAAKMTg4ODY2Mzc0MgMAAAADMTYwAgAAAAIyOAQAAAABMAcAAAAJNi8zMC8yMDE4CAAAAAkzLzMxLzIwMTgJAAAAATDlD++EFAnWCIbAU4cUCdYI</t>
  </si>
  <si>
    <t>R0NJUS5OQVNEQVFDTTpDT1JULklRX01JTk9SSVRZX0lOVEVSRVNUX1RPVEFMLjIwMDAuNi8zMC8yMDE4LkxGUi5GLlVTRC5IAQAAANK5FQADAAAAAABiknSFFAnWCJSrX4cUCdYIQ0NJUS4oSU5WQUxJRCBJREVOVElGSUVSKS5JUV9FQklUREFfRVNULkNZMjAxOC42LzMwLzIwMTguQ09OLkYuVVNELkgFAAAAAAAAAAgAAAAUKEludmFsaWQgSWRlbnRpZmllcinlD++EFAnWCDFeUYcUCdYILUNJUS5UU1hWOkNPQi5VLklRX0xBU1RTQUxFUFJJQ0UuNi8zMC8yMDE4LlVTRAEAAAC/+wAIAgAAAAE1AMYl44QUCdYIhsBThxQJ1gg/Q0lRLihJTlZBTElEIElERU5USUZJRVIpLklRX1RPVEFMX0NBLjE5OTIuNi8zMC8yMDE4LkxGUi5GLlVTRC5IBQAAAAAAAAAIAAAAFChJbnZhbGlkIElkZW50aWZpZXIp5Q/vhBQJ1ggxXlGHFAnWCCpDSVEuSVFUUjI3MDA3NDc1NC5JUV9UUl9UQVJHRVRfRUJJVC4uVVNELkgBAAAAggMZEAIAAAAAAOY7RYIUCdYIe9JmhxQJ1gg2Q0lRLkFNRVg6QlRYLklRX1RPVEFMX1JFVi5DWTIwMTcuNi8zMC8yMDE4LkxGUi5GLlVTRC5IAQAAABZkAAACAAAABTMuNDU4AQgAAAAFAAAAATEBAAAACjE4Nzg1MTM2NTMDAAAAAzE2MAIAAAACMjgEAAAAATAHAAAACTYvMzAvMjAxOAgAAAAKMTIvMzEvMjAxNwkAAAABMMYl44QUCdYIZSJWhxQJ1gg9Q0lRLk5BU0RBUUdTOkFQVFguSVFfUkVWRU5V</t>
  </si>
  <si>
    <t>RV9FU1QuQ1kyMDE5LjYvMzAvMjAxOC5DT04uRi5VU0QuSAEAAAAvKQwUAwAAAAAAYpJ0hRQJ1ghFSV2HFAnWCENDSVEuT1RDUEs6TkVYUy5JUV9UT1RBTF9SRVZfNVlSX0FOTl9DQUdSLjIwMDAuNi8zMC8yMDE4LkxGUi5GLlVTRC5IAQAAAB29ThQDAAAAAADlD++EFAnWCDFeUYcUCdYILkNJUS5FTlhUUEE6RVJZUC5JUV9MQVNUU0FMRVBSSUNFLjYvMzAvMjAxOC5VU0QBAAAA2Ip4AQIAAAAJMTEuMjQ3MjI5AOUP74QUCdYIMV5RhxQJ1gg9Q0lRLk5BU0RBUUNNOkNPUlQuSVFfUkVWRU5VRV9FU1QuQ1kyMDE5LjYvMzAvMjAxOC5DT04uRi5VU0QuSAEAAADSuRUAAgAAAAkzOTUuMzI0NjEBDgAAAAUAAAACMTEBAAAAATACAAAACjEwMDA5NTQ1NjYDAAAABjEwMDE4MAQAAAABMgYAAAABMAcAAAADMTYwCAAAAAEwCQAAAAExCgAAAAEwCwAAAAsxMDkzMjI3OTY5NAwAAAABNw0AAAAINy8xLzIwMTgQAAAACTYvMzAvMjAxOGKSdIUUCdYIlKtfhxQJ1gg1Q0lRLk5BU0RBUUdTOkNCQVkuSVFfQ0FQRVguMTk5Mi42LzMwLzIwMTguTEZSLkYuVVNELkgBAAAAwHoAAAMAAAAAAGKSdIUUCdYIZ+dahxQJ1gg2Q0lRLkNQU0U6WkVBTC5JUV9FQVJOSU5HX0NPLjIwMDAuNi8zMC8yMDE4LkxGUi5GLlVTRC5IAQAAACJbEwACAAAACi01NS43NTc2NzcBCAAAAAUAAAABMQEAAAAKMTg4OTkxMzEwMAMAAAADMTYwAgAAAAE3</t>
  </si>
  <si>
    <t>BAAAAAEwBwAAAAk2LzMwLzIwMTgIAAAACTMvMzEvMjAxOAkAAAABMGKSdIUUCdYI4A1ihxQJ1ggmQ0lRLkVOWFRQQTpFUllQLklRX1RFVi42LzMwLzIwMTguVVNELkgBAAAA2Ip4AQIAAAAKLTExLjM5MjA5MwEGAAAABQAAAAExAQAAAAoxODg1MjA0MzEzAwAAAAMxNjACAAAABjEwMDA2MAQAAAABMAcAAAAJNi8zMC8yMDE45Q/vhBQJ1ggxXlGHFAnWCCdDSVEuTkFTREFRR1M6Q0JBWS5JUV9CRVRBXzJZUi42LzMwLzIwMTgBAAAAwHoAAAIAAAAOMi40NTAyMTk1NTk1MjEAYpJ0hRQJ1ghn51qHFAnWCDZDSVEuTkFTREFRQ006VktUWC5JUV9FQklUREEuMjAwMC42LzMwLzIwMTguTEZSLkYuVVNELkgBAAAA8ry1DgMAAAAAAMYl44QUCdYIZ+dahxQJ1gggQ0lRLklRMzYxODM4MjguSVFfTEFTVFNBTEVQUklDRS4BAAAAFB8oAgIAAAAEMi42NQDpbVmGFAnWCOltWYYUCdYIHkNJUS5UU1hWOkNPQi5VLklRX0NPTVBBTllfTkFNRQEAAAC/+wAIAwAAAAxDb2hCYXIsIEluYy4AxiXjhBQJ1giGwFOHFAnWCDBDSVEuSVFUUjI3MDA3NDc1NC5JUV9UUl9UQVJHRVRfRUJJVERBX0VTVC4uVVNELkgBAAAAggMZEAIAAAAAAOY7RYIUCdYIe9JmhxQJ1ghGQ0lRLk5BU0RBUUdTOkxYUlguSVFfVE9UQUxfUkVWXzNZUl9BTk5fQ0FHUi4yMDAwLjYvMzAvMjAxOC5MRlIuRi5VU0QuSAEAAAA9eAAAAgAAAAc1OC42MTY4AQgA</t>
  </si>
  <si>
    <t>AAAFAAAAATEBAAAACjE4ODY1NDM4NzUDAAAAAzE2MAIAAAAENDIyMAQAAAABMAcAAAAJNi8zMC8yMDE4CAAAAAkzLzMxLzIwMTgJAAAAATBiknSFFAnWCEVJXYcUCdYIKkNJUS5JUVRSMzg0MDI4NDk2LklRX1RSX1RBUkdFVF9FQklULi5VU0QuSAEAAABQz+MWAgAAAAotNDUuNTcwNDY5AQYAAAAFAAAAAjM3AQAAAAoxODAxOTMwNDc1AgAAAAUyMTY3NQMAAAADMTYwBAAAAAEwBwAAAAgxLzEvMTkwMOY7RYIUCdYIe9JmhxQJ1gg5Q0lRLk5BU0RBUUdNOlJZVE0uSVFfTklfTUFSR0lOLjIwMDAuNi8zMC8yMDE4LkxGUi5GLlVTRC5IAQAAABjJbRIDAAAAAABiknSFFAnWCEVJXYcUCdYIO0NJUS5OQVNEQVFHUzpPRFQuSVFfRUJJVERBX0VTVC5DWTIwMTkuNi8zMC8yMDE4LkNPTi5GLlVTRC5IAQAAABoaRSACAAAABy03OC4yMDEBDgAAAAUAAAACMTEBAAAAATACAAAACjEwMDM5NTE2MTgDAAAABjEwMDE4NwQAAAABMgYAAAABMAcAAAADMTYwCAAAAAEwCQAAAAExCgAAAAEwCwAAAAsxMDkzMzkzMjUxOAwAAAABNw0AAAAINy8xLzIwMTgQAAAACTYvMzAvMjAxOK+G5YQUCdYIp4RYhxQJ1ggsQ0lRLk5BU0RBUUdTOk9EVC5JUV9ESVZJREVORF9ZSUVMRC42LzMwLzIwMTgBAAAAGhpFIAMAAAAAAMYl44QUCdYIp4RYhxQJ1gg3Q0lRLk5BU0RBUUNNOkNPUlQuSVFfUEVSSU9EREFURV9JUy4yMDAwLjYvMzAvMjAx</t>
  </si>
  <si>
    <t>OC5MRlIuRgEAAADSuRUABQAAAAkzLzMxLzIwMTgAYpJ0hRQJ1giUq1+HFAnWCDxDSVEuTkFTREFRQ006QVZFTy5JUV9UT1RBTF9FUVVJVFkuMTk5Mi42LzMwLzIwMTguTEZSLkYuVVNELkgBAAAA9BYdAAIAAAAFOS45MTUBCAAAAAUAAAABMQEAAAAKMTg0MDA0NjExMQMAAAADMTYwAgAAAAQxMjc1BAAAAAEwBwAAAAk2LzMwLzIwMTgIAAAACTMvMzEvMjAxNgkAAAABMMYl44QUCdYIZSJWhxQJ1gg4Q0lRLlRTWFY6Q09CLlUuSVFfVE9UQUxfUkVWLkNZMjAxNi42LzMwLzIwMTguTEZSLkYuVVNELkgBAAAAv/sACAMAAAAAAK+G5YQUCdYIhsBThxQJ1ggwQ0lRLklRVFIxMDg5MDYyNzYuSVFfVFJfVEFSR0VUX0VCSVREQV9FU1QuLlVTRC5IAQAAACTHfQYCAAAAAADmO0WCFAnWCMQ0aYcUCdYIOENJUS5TRUhLOjE1MzAuSVFfVE9UQUxfRVFVSVRZLjIwMDAuNi8zMC8yMDE4LkxGUi5GLlVTRC5IAQAAAO+4cAECAAAACzExNzIuNTgzMDI4AQgAAAAFAAAAATEBAAAACjE4ODYwOTk4NjIDAAAAAzE2MAIAAAAEMTI3NQQAAAABMAcAAAAJNi8zMC8yMDE4CAAAAAoxMi8zMS8yMDE3CQAAAAEwlAtXhhQJ1ggvcGSHFAnWCB5DSVEuT1RDUEs6QlRIRS5JUV9DT01QQU5ZX05BTUUBAAAAb525BQMAAAAZQm9zdG9uIFRoZXJhcGV1dGljcywgSW5jLgDlD++EFAnWCIbAU4cUCdYIOUNJUS5OWVNFOk1ZT1YuSVFfUkVWRU5V</t>
  </si>
  <si>
    <t>RV9FU1QuQ1kyMDE4LjYvMzAvMjAxOC5DT04uRi5VU0QuSAEAAACX2gsYAgAAAAEwAQ4AAAAFAAAAAjExAQAAAAEwAgAAAAcxNjM4OTU4AwAAAAYxMDAxODAEAAAAATIGAAAAATAHAAAAAzE2MAgAAAABMAkAAAABMQoAAAABMAsAAAALMTA5MjQwOTMzMTgMAAAAATcNAAAACDcvMS8yMDE4EAAAAAk2LzMwLzIwMThiknSFFAnWCJSrX4cUCdYIJUNJUS5JUVRSMjQ5OTgxNTY0LklRX1RSX01BSl9NSU5fU1RBS0UBAAAAfGrmDgMAAAAITWFqb3JpdHkA5jtFghQJ1gh70maHFAnWCDhDSVEuTkFTREFRR1M6SUNQVC5JUV9FQklUREEuQ1kyMDE2LjYvMzAvMjAxOC5MRlIuRi5VU0QuSAEAAACCr60AAgAAAAgtMzUzLjcwNwEIAAAABQAAAAExAQAAAAoxODc3MDExNDYwAwAAAAMxNjACAAAABDQwNTEEAAAAATAHAAAACTYvMzAvMjAxOAgAAAAKMTIvMzEvMjAxNgkAAAABMOltWYYUCdYIL3BkhxQJ1gg8Q0lRLk5BU0RBUUdTOkxYUlguSVFfVE9UQUxfRVFVSVRZLjE5OTYuNi8zMC8yMDE4LkxGUi5GLlVTRC5IAQAAAD14AAACAAAABzEzNC42MDMBCAAAAAUAAAABMQEAAAAKMTg4NjU0MzgyMAMAAAADMTYwAgAAAAQxMjc1BAAAAAEwBwAAAAk2LzMwLzIwMTgIAAAACTMvMzEvMjAxNwkAAAABMGKSdIUUCdYIRUldhxQJ1ggjQ0lRLklRVFI0MDIxMDM5MTkuSVFfVFJfVE9UQUxfU1RPQ0sBAAAAb573FwIAAAAAAOY7RYIU</t>
  </si>
  <si>
    <t>CdYIe9JmhxQJ1gg8Q0lRLk5BU0RBUUdNOlJZVE0uSVFfVE9UQUxfRVFVSVRZLjE5OTIuNi8zMC8yMDE4LkxGUi5GLlVTRC5IAQAAABjJbRICAAAABjMyLjAwMQEIAAAABQAAAAExAQAAAAoxODU5MjYwNTc1AwAAAAMxNjACAAAABDEyNzUEAAAAATAHAAAACTYvMzAvMjAxOAgAAAAJMy8zMS8yMDE2CQAAAAEwYpJ0hRQJ1ghFSV2HFAnWCDBDSVEuTkFTREFRR1M6WEVSUy5JUV9MQVNUU0FMRVBSSUNFLjYvMzAvMjAxOC5VU0QBAAAA4O5PBgIAAAAFMTguOTgAxiXjhBQJ1ghn51qHFAnWCCRDSVEuTkFTREFRR1M6TFhSWC5JUV9FRkZFQ1RfVEFYX1JBVEUBAAAAPXgAAAMAAAACTk0BCAAAAAUAAAABMQEAAAAKMTg5NzczNzQ0MAMAAAADMTYwAgAAAAQ0Mzc2BAAAAAEwBwAAAAk4LzIzLzIwMTgIAAAACTYvMzAvMjAxOAkAAAABMGKSdIUUCdYIRUldhxQJ1gg6Q0lRLk5BU0RBUUdTOkFQVFguSVFfRUFSTklOR19DTy4xOTk2LjYvMzAvMjAxOC5MRlIuRi5VU0QuSAEAAAAvKQwUAwAAAAAAYpJ0hRQJ1ghFSV2HFAnWCClDSVEuVFNYVjpDT0IuVS5JUV9MQVNUU0FMRVBSSUNFLjMvMzEvMjAxOAEAAAC/+wAIAgAAAAQ1LjM1AMYl44QUCdYIhsBThxQJ1gg3Q0lRLk5BU0RBUUNNOkNVUi5JUV9FQklUREEuQ1kyMDE3LjYvMzAvMjAxOC5MRlIuRi5VU0QuSAEAAADx7nUAAgAAAAotMTMuMDE3ODk3AQgAAAAFAAAAATEB</t>
  </si>
  <si>
    <t>AAAACjE4ODEwNjU3MTMDAAAAAzE2MAIAAAAENDA1MQQAAAABMAcAAAAJNi8zMC8yMDE4CAAAAAoxMi8zMS8yMDE3CQAAAAEw5Q/vhBQJ1ggxXlGHFAnWCDhDSVEuTkFTREFRR006TU5PVi5JUV9FQklUREEuQ1kyMDE2LjYvMzAvMjAxOC5MRlIuRi5VU0QuSAEAAAC4VI0AAgAAAAotMTAuODY3NzA3AQgAAAAFAAAAATEBAAAACjE4NzQwMjUwNzMDAAAAAzE2MAIAAAAENDA1MQQAAAABMAcAAAAJNi8zMC8yMDE4CAAAAAoxMi8zMS8yMDE2CQAAAAEwxiXjhBQJ1ginhFiHFAnWCCdDSVEuTkFTREFRR1M6QVBUWC5JUV9CRVRBXzVZUi42LzMwLzIwMTgBAAAALykMFAMAAAAAAGKSdIUUCdYIRUldhxQJ1gg0Q0lRLkVOWFRQQTpFUllQLklRX0VCSVREQS4xOTk2LjYvMzAvMjAxOC5MRlIuRi5VU0QuSAEAAADYingBAgAAAAotMjMuMTg2OTUyAQgAAAAFAAAAATEBAAAACjE4ODUyMDQzNjkDAAAAAzE2MAIAAAAENDA1MQQAAAABMAcAAAAJNi8zMC8yMDE4CAAAAAoxMi8zMS8yMDE2CQAAAAEw5Q/vhBQJ1ggxXlGHFAnWCD9DSVEuKElOVkFMSUQgSURFTlRJRklFUikuSVFfRUJJVERBLkNZMjAxNy42LzMwLzIwMTguTEZSLkYuVVNELkgFAAAAAAAAAAgAAAAUKEludmFsaWQgSWRlbnRpZmllcinlD++EFAnWCDFeUYcUCdYIPENJUS5OQVNEQVFHTTpNTktELklRX1RPVEFMX0VRVUlUWS4yMDAwLjYvMzAvMjAxOC5MRlIu</t>
  </si>
  <si>
    <t>Ri5VU0QuSAEAAABmpY0AAgAAAAgtMjIzLjIwOAEIAAAABQAAAAExAQAAAAoxODg5Nzc1OTkzAwAAAAMxNjACAAAABDEyNzUEAAAAATAHAAAACTYvMzAvMjAxOAgAAAAJMy8zMS8yMDE4CQAAAAEw6W1ZhhQJ1gjgDWKHFAnWCClDSVEuTkFTREFRQ006QVZFTy5JUV9CVVNJTkVTU19ERVNDUklQVElPTgEAAAD0Fh0AAwAAAMANQVZFTyBQaGFybWFjZXV0aWNhbHMsIEluYy4sIGEgYmlvcGhhcm1hY2V1dGljYWwgY29tcGFueSwgZGV2ZWxvcHMgYW5kIGNvbW1lcmNpYWxpemVzIGEgcG9ydGZvbGlvIG9mIHRhcmdldGVkIG1lZGljaW5lcyBmb3Igb25jb2xvZ3kgYW5kIG90aGVyIGFyZWFzIG9mIHVubWV0IG1lZGljYWwgbmVlZC4gSXQgbWFya2V0cyBpdHMgbGVhZCBjYW5kaWRhdGUsIHRpdm96YW5pYiwgYW4gb3JhbCwgb25jZS1kYWlseSwgdmFzY3VsYXIgZW5kb3RoZWxpYWwgZ3Jvd3RoIGZhY3RvciByZWNlcHRvciB0eXJvc2luZSBraW5hc2UgaW5oaWJpdG9yLCB3aGljaCBpcyB1c2VkIGZvciB0aGUgdHJlYXRtZW50IG9mIHJlbmFsIGNlbGwgY2FyY2lub21hIChSQ0MpLiBUaGUgY29tcGFueSBoYXMgYWxzbyBjb21wbGV0ZWQgYSBQaGFzZSAzIFRJVk8tMyB0cmlhbCBvZiB0aXZvemFuaWIgZm9yIHRoZSB0cmVhdG1lbnQgb2YgYWR2YW5jZWQgUkNDOyBhbmQgaW5pdGlhdGVkIGVucm9sbG1lbnQgaW4g</t>
  </si>
  <si>
    <t>YSBwaGFzZSBJYi9JSSBjbGluaWNhbCB0cmlhbCBvZiB0aXZvemFuaWIgaW4gY29tYmluYXRpb24gd2l0aCBPcGRpdm8gKG5pdm9sdW1hYiksIGFuIGltbXVuZSBjaGVja3BvaW50IChQRC0xKSBpbmhpYml0b3IsIGZvciB0aGUgdHJlYXRtZW50IG9mIGFkdmFuY2VkIFJDQy4gSW4gYWRkaXRpb24sIGl0IGlzIGRldmVsb3BpbmcgRmljbGF0dXp1bWFiLCBhIHBvdGVudCBoZXBhdG9jeXRlIGdyb3d0aCBmYWN0b3IgaW5oaWJpdG9yeSBhbnRpYm9keSwgaW4gUGhhc2UgSSBhbmQgUGhhc2UgSUkgY2xpbmljYWwgdHJpYWxzIGluIHNxdWFtb3VzIGNlbGwgY2FyY2lub21hIG9mIHRoZSBoZWFkIGFuZCBuZWNrLCBtZXRhc3RhdGljIHBhbmNyZWF0aWMgZHVjdGFsIGNhbmNlciwgYW5kIGFjdXRlIG15ZWxvaWQgbGV1a2VtaWE7IGFuZCBBVi0yMDMsIGEgcG90ZW50IGFudGktRXJiQjMgc3BlY2lmaWMgbW9ub2Nsb25hbCBhbnRpYm9keSwgd2hpY2ggaGFzIGNvbXBsZXRlZCBQaGFzZSBJIGNsaW5pY2FsIHRyaWFsIGZvciB0cmVhdGluZyBlc29waGFnZWFsIGNhbmNlci4gVGhlIGNvbXBhbnnigJlzIHByZWNsaW5pY2FsIHN0YWdlIHByb2R1Y3RzIGluY2x1ZGUgQVYtMzgwLCBhIHBvdGVudCBodW1hbml6ZWQgSWdHMSBpbmhpYml0b3J5IG1vbm9jbG9uYWwgYW50aWJvZHkgZm9yIHRoZSB0cmVhdG1lbnQgb3Ig</t>
  </si>
  <si>
    <t>cHJldmVudGlvbiBvZiBjYWNoZXhpYTsgYW5kIEFWLTM1MyBmb3IgdGhlIHRyZWF0bWVudCBvZiBwdWxtb25hcnkgYXJ0ZXJpYWwgaHlwZXJ0ZW5zaW9uLiBJdCBoYXMgc3RyYXRlZ2ljIHBhcnRuZXJzaGlwcyB3aXRoIENBTmJyaWRnZSBMaWZlIFNjaWVuY2VzIEx0ZC47IEVVU0EgUGhhcm1hIChVSykgTGltaXRlZDsgTm92YXJ0aXMgSW50ZXJuYXRpb25hbCBQaGFybWFjZXV0aWNhbCBMdGQuOyBCaW9kZXNpeCwgSW5jLjsgU3QuIFZpbmNlbnTigJlzIEhvc3BpdGFsIFN5ZG5leSBMaW1pdGVkOyBCaW9nZW4gSWRlYzsgYW5kIEt5b3dhIEhha2tvIEtpcmluIENvLiwgTHRkLiBUaGUgY29tcGFueSB3YXMgZm9ybWVybHkga25vd24gYXMgR2VuUGF0aCBQaGFybWFjZXV0aWNhbHMsIEluYy4gYW5kIGNoYW5nZWQgaXRzIG5hbWUgdG8gQVZFTyBQaGFybWFjZXV0aWNhbHMsIEluYy4gaW4gTWFyY2ggMjAwNS4gQVZFTyBQaGFybWFjZXV0aWNhbHMsIEluYy4gd2FzIGluY29ycG9yYXRlZCBpbiAyMDAxIGFuZCBpcyBiYXNlZCBpbiBDYW1icmlkZ2UsIE1hc3NhY2h1c2V0dHMuAMYl44QUCdYIZSJWhxQJ1ggzQ0lRLlRTWFY6Q09CLlUuSVFfRUJJVERBLjE5OTYuNi8zMC8yMDE4LkxGUi5GLlVTRC5IAQAAAL/7AAgCAAAACC03LjAzMDcyAQgAAAAFAAAAATEBAAAACjE4ODkwNjIwNjkDAAAAAzE2MAIAAAAENDA1</t>
  </si>
  <si>
    <t>MQQAAAABMAcAAAAJNi8zMC8yMDE4CAAAAAkzLzMxLzIwMTcJAAAAATCvhuWEFAnWCIbAU4cUCdYIOENJUS5DUFNFOlpFQUwuSVFfVE9UQUxfRVFVSVRZLjE5OTIuNi8zMC8yMDE4LkxGUi5GLlVTRC5IAQAAACJbEwACAAAACTI3LjMwNTE4OAEIAAAABQAAAAExAQAAAAoxODQyNzMxNDMzAwAAAAMxNjACAAAABDEyNzUEAAAAATAHAAAACTYvMzAvMjAxOAgAAAAJMy8zMS8yMDE2CQAAAAEwYpJ0hRQJ1gjgDWKHFAnWCD1DSVEuTkFTREFRR006Rk9MRC5JUV9SRVZFTlVFX0VTVC5DWTIwMjEuNi8zMC8yMDE4LkNPTi5GLlVTRC5IAQAAAFb2agACAAAABTM3Mi44AQ4AAAAFAAAAAjExAQAAAAEwAgAAAAoxMDAxMDI1ODU2AwAAAAYxMDAxODAEAAAAATIGAAAAATAHAAAAAzE2MAgAAAABMAkAAAABMQoAAAABMAsAAAALMTA4NzE3NjI3MDEMAAAAATcNAAAACDcvMS8yMDE4EAAAAAk2LzMwLzIwMThiknSFFAnWCJSrX4cUCdYIOUNJUS5OQVNEQVFHTTpGT0xELklRX1RPVEFMX1JFVi4xOTk2LjYvMzAvMjAxOC5MRlIuRi5VU0QuSAEAAABW9moAAgAAAAU5LjEyNwEIAAAABQAAAAExAQAAAAoxODg4NDg0NjE5AwAAAAMxNjACAAAAAjI4BAAAAAEwBwAAAAk2LzMwLzIwMTgIAAAACTMvMzEvMjAxNwkAAAABMGKSdIUUCdYIlKtfhxQJ1gg5Q0lRLkFNRVg6QlRYLklRX0NBU0hfU1RfSU5WRVNULjIwMDAuMy8zMS8yMDE4</t>
  </si>
  <si>
    <t>LkxGUi5GLlVTRC5IAQAAABZkAAACAAAABjM4LjE3NQEIAAAABQAAAAExAQAAAAoxODc4NTEzNjUzAwAAAAMxNjACAAAABDEwMDIEAAAAATAHAAAACTMvMzEvMjAxOAgAAAAKMTIvMzEvMjAxNwkAAAABMMYl44QUCdYIZSJWhxQJ1gg8Q0lRLk5BU0RBUUdNOk1OT1YuSVFfRUJJVERBX0VTVC5DWTIwMTkuNi8zMC8yMDE4LkNPTi5GLlVTRC5IAQAAALhUjQACAAAABi0yOS40NgEOAAAABQAAAAIxMQEAAAABMAIAAAAKMTAwMDU5MzYxNQMAAAAGMTAwMTg3BAAAAAEyBgAAAAEwBwAAAAMxNjAIAAAAATAJAAAAATEKAAAAATALAAAACzEwOTUwMDU0Mjk4DAAAAAE3DQAAAAg3LzEvMjAxOBAAAAAJNi8zMC8yMDE4r4blhBQJ1ginhFiHFAnWCDpDSVEuTkFTREFRR1M6TFhSWC5JUV9FQVJOSU5HX0NPLjE5OTIuNi8zMC8yMDE4LkxGUi5GLlVTRC5IAQAAAD14AAACAAAABy0xMS40ODkBCAAAAAUAAAABMQEAAAAKMTg0MDUxNzkwNQMAAAADMTYwAgAAAAE3BAAAAAEwBwAAAAk2LzMwLzIwMTgIAAAACTMvMzEvMjAxNgkAAAABMGKSdIUUCdYIRUldhxQJ1ggpQ0lRLk5BU0RBUUdTOklUQ0kuSVFfQlVTSU5FU1NfREVTQ1JJUFRJT04BAAAAd9GPAAMAAADGBkludHJhLUNlbGx1bGFyIFRoZXJhcGllcywgSW5jLiwgYSBiaW9waGFybWFjZXV0aWNhbCBjb21wYW55LCBlbmdhZ2VzIGluIGRldmVsb3Bpbmcgbm92ZWwgZHJ1</t>
  </si>
  <si>
    <t>Z3MgZm9yIHRoZSB0cmVhdG1lbnQgb2YgbmV1cm9wc3ljaGlhdHJpYyBhbmQgbmV1cm9kZWdlbmVyYXRpdmUgZGlzZWFzZXMuIFRoZSBjb21wYW55IGlzIGRldmVsb3BpbmcgaXRzIGxlYWQgZHJ1ZyBjYW5kaWRhdGUsIGx1bWF0ZXBlcm9uZSwga25vd24gYXMgSVRJLTAwNywgZm9yIHRoZSB0cmVhdG1lbnQgb2Ygc2NoaXpvcGhyZW5pYSwgYmlwb2xhciBkaXNvcmRlciwgYmVoYXZpb3JhbCBkaXN0dXJiYW5jZXMgaW4gcGF0aWVudHMgd2l0aCBkZW1lbnRpYSwgYW5kIG90aGVyIG5ldXJvcHN5Y2hpYXRyaWMgYW5kIG5ldXJvbG9naWNhbCBkaXNvcmRlcnMuIEx1bWF0ZXBlcm9uZSwgYSBtb2xlY3VsZSwgaXMgaW4gUGhhc2UgSUlJIGNsaW5pY2FsIGRldmVsb3BtZW50IGZvciB0aGUgdHJlYXRtZW50IG9mIHNjaGl6b3BocmVuaWEsIGJpcG9sYXIgZGVwcmVzc2lvbiwgYW5kIGFnaXRhdGlvbiBhc3NvY2lhdGVkIHdpdGggZGVtZW50aWEsIGluY2x1ZGluZyBBbHpoZWltZXIncyBkaXNlYXNlLiBJdCBpcyBhbHNvIGRldmVsb3BpbmcgSVRJLTIxNCBmb3IgUGFya2luc29u4oCZcyBkaXNlYXNlOyBhbmQgSVRJLTMzMywgZm9yIHN1YnN0YW5jZSB1c2UgZGlzb3JkZXJzLCBwYWluLCBhbmQgcHN5Y2hpYXRyaWMgY29tb3JiaWRpdGllcywgaW5jbHVkaW5nIGRlcHJlc3Npb24gYW5kIGFueGlldHkuIEludHJh</t>
  </si>
  <si>
    <t>LUNlbGx1bGFyIFRoZXJhcGllcywgSW5jLiBpcyBoZWFkcXVhcnRlcmVkIGluIE5ldyBZb3JrLCBOZXcgWW9yay4AYpJ0hRQJ1ghn51qHFAnWCERDSVEuKElOVkFMSUQgSURFTlRJRklFUikuSVFfUkVWRU5VRV9FU1QuQ1kyMDE4LjYvMzAvMjAxOC5DT04uRi5VU0QuSAUAAAAAAAAACAAAABQoSW52YWxpZCBJZGVudGlmaWVyKeUP74QUCdYIMV5RhxQJ1gg4Q0lRLk5BU0RBUUdTOkxYUlguSVFfVE9UQUxfQ0EuMjAwMC42LzMwLzIwMTguTEZSLkYuVVNELkgBAAAAPXgAAAIAAAAGMjczLjE1AQgAAAAFAAAAATEBAAAACjE4ODY1NDM4NzUDAAAAAzE2MAIAAAAEMTAwOAQAAAABMAcAAAAJNi8zMC8yMDE4CAAAAAkzLzMxLzIwMTgJAAAAATBiknSFFAnWCJSrX4cUCdYIRkNJUS5OQVNEQVFHUzpDQkFZLklRX1RPVEFMX1JFVl8zWVJfQU5OX0NBR1IuMjAwMC42LzMwLzIwMTguTEZSLkYuVVNELkgBAAAAwHoAAAMAAAAAAGKSdIUUCdYIZ+dahxQJ1ggcQ0lRLk5BU0RBUUNNOkNVUi5JUV9FWENIQU5HRQEAAADx7nUAAwAAAAhOYXNkYXFDTQDlD++EFAnWCDFeUYcUCdYIKENJUS5OQVNEQVFHTTpNTk9WLklRX1RFVi42LzMwLzIwMTguVVNELkgBAAAAuFSNAAIAAAAKMjY0LjQ0ODIyMQEGAAAABQAAAAExAQAAAAoxODg0NjQzNjk0AwAAAAMxNjACAAAABjEwMDA2MAQAAAABMAcAAAAJNi8zMC8yMDE4xiXjhBQJ1gin</t>
  </si>
  <si>
    <t>hFiHFAnWCBhDSVEuLklRX0ZJUlNUUFJJQ0lOR0RBVEUFAAAAAQAAAAgAAAAUKEludmFsaWQgSWRlbnRpZmllcimUC1eGFAnWCJQLV4YUCdYIN0NJUS5TRUhLOjIxODYuSVFfVE9UQUxfUkVWLkNZMjAxNy42LzMwLzIwMTguTEZSLkYuVVNELkgBAAAAwoGYAAIAAAAKNTg2LjI5NDQzNAEIAAAABQAAAAExAQAAAAoxODg1NDk1MDA2AwAAAAMxNjACAAAAAjI4BAAAAAEwBwAAAAk2LzMwLzIwMTgIAAAACjEyLzMxLzIwMTcJAAAAATCUC1eGFAnWCC9wZIcUCdYIIUNJUS5JUTU0MTM5OTU3OC5JUV9DT01QQU5ZX1RJQ0tFUgEAAAAaGkUgAwAAAAxOYXNkYXFHUzpPRFQA5jtFghQJ1ghNhLCCFAnWCDhDSVEuT1RDUEs6QlRIRS5JUV9FQklUX01BUkdJTi4yMDAwLjYvMzAvMjAxOC5MRlIuRi5VU0QuSAEAAABvnbkFAwAAAAJOTQEIAAAABQAAAAExAQAAAAoxODg4NjYzNzQyAwAAAAMxNjACAAAABDQwNTMEAAAAATAHAAAACTYvMzAvMjAxOAgAAAAJMy8zMS8yMDE4CQAAAAEw5Q/vhBQJ1giGwFOHFAnWCDxDSVEuTkFTREFRQ006QVZFTy5JUV9FQklUREFfRVNULkNZMjAxOS42LzMwLzIwMTguQ09OLkYuVVNELkgBAAAA9BYdAAIAAAAFLTU1LjUBDgAAAAUAAAACMTEBAAAAATACAAAACjEwMDA3NDgwNzgDAAAABjEwMDE4NwQAAAABMgYAAAABMAcAAAADMTYwCAAAAAEwCQAAAAExCgAAAAEwCwAAAAsxMDQ4MTA5NDI5</t>
  </si>
  <si>
    <t>MgwAAAABNw0AAAAINy8xLzIwMTgQAAAACTYvMzAvMjAxOK+G5YQUCdYIZSJWhxQJ1gg6Q0lRLk5BU0RBUUdNOk1OS0QuSVFfVE9UQUxfREVCVC4yMDAwLjYvMzAvMjAxOC5MRlIuRi5VU0QuSAEAAABmpY0AAgAAAAcxNDAuMjY5AQgAAAAFAAAAATEBAAAACjE4ODk3NzU5OTMDAAAAAzE2MAIAAAAENDE3MwQAAAABMAcAAAAJNi8zMC8yMDE4CAAAAAkzLzMxLzIwMTgJAAAAATDpbVmGFAnWCOANYocUCdYIPENJUS5OQVNEQVFHTTpNTktELklRX0dST1NTX01BUkdJTi4yMDAwLjYvMzAvMjAxOC5MRlIuRi5VU0QuSAEAAABmpY0AAgAAAAgtNjEuMDg5NQEIAAAABQAAAAExAQAAAAoxODg5Nzc1OTkzAwAAAAMxNjACAAAABDQwNzQEAAAAATAHAAAACTYvMzAvMjAxOAgAAAAJMy8zMS8yMDE4CQAAAAEw6W1ZhhQJ1gjgDWKHFAnWCEFDSVEuQU1FWDpCVFguSVFfVE9UQUxfUkVWXzNZUl9BTk5fQ0FHUi4yMDAwLjYvMzAvMjAxOC5MRlIuRi5VU0QuSAEAAAAWZAAAAgAAAAgtMTEuNTIxMgEIAAAABQAAAAExAQAAAAoxODg3OTgwMTY1AwAAAAMxNjACAAAABDQyMjAEAAAAATAHAAAACTYvMzAvMjAxOAgAAAAJMy8zMS8yMDE4CQAAAAEwxiXjhBQJ1ghlIlaHFAnWCD1DSVEuTkFTREFRR1M6WEVSUy5JUV9SRVZFTlVFX0VTVC5DWTIwMTguNi8zMC8yMDE4LkNPTi5GLlVTRC5IAQAAAODuTwYDAAAAAACvhuWEFAnWCGfn</t>
  </si>
  <si>
    <t>WocUCdYII0NJUS5JUVRSMTcxOTMwNTM0LklRX1RSX0NMT1NFRF9EQVRFAQAAAKZzPwoFAAAACTMvMTQvMjAxMgDmO0WCFAnWCL9ayIIUCdYIN0NJUS5BTUVYOkJUWC5JUV9HUk9TU19NQVJHSU4uMjAwMC42LzMwLzIwMTguTEZSLkYuVVNELkgBAAAAFmQAAAIAAAAHOTQuMTYyOQEIAAAABQAAAAExAQAAAAoxODg3OTgwMTY1AwAAAAMxNjACAAAABDQwNzQEAAAAATAHAAAACTYvMzAvMjAxOAgAAAAJMy8zMS8yMDE4CQAAAAEwxiXjhBQJ1ghlIlaHFAnWCD5DSVEuTkFTREFRR1M6Q1lUSy5JUV9DQVNIX1NUX0lOVkVTVC4yMDAwLjYvMzAvMjAxOC5MRlIuRi5VU0QuSAEAAACzagAAAgAAAAcyNTEuNDU0AQgAAAAFAAAAATEBAAAACjE4ODg0NzA2NjYDAAAAAzE2MAIAAAAEMTAwMgQAAAABMAcAAAAJNi8zMC8yMDE4CAAAAAkzLzMxLzIwMTgJAAAAATDGJeOEFAnWCGUiVocUCdYIOENJUS5OQVNEQVFHUzpBUFRYLklRX1RPVEFMX0NBLjIwMDAuNi8zMC8yMDE4LkxGUi5GLlVTRC5IAQAAAC8pDBQCAAAABjg2LjUwNAEIAAAABQAAAAExAQAAAAoxODkwODUxMzkxAwAAAAMxNjACAAAABDEwMDgEAAAAATAHAAAACTYvMzAvMjAxOAgAAAAJMy8zMS8yMDE4CQAAAAEwYpJ0hRQJ1ghFSV2HFAnWCDpDSVEuT1RDUEs6UlpMVC5JUV9SRVZFTlVFX0VTVC5DWTIwMTkuNi8zMC8yMDE4LkNPTi5GLlVTRC5IAQAAACEJmwoD</t>
  </si>
  <si>
    <t>AAAAAADlD++EFAnWCIbAU4cUCdYIOENJUS5OQVNEQVFHTTpSWVRNLklRX1RPVEFMX0NBLjE5OTYuNi8zMC8yMDE4LkxGUi5GLlVTRC5IAQAAABjJbRICAAAABjI0Ljg0MQEIAAAABQAAAAExAQAAAAoxODg4OTExNDUzAwAAAAMxNjACAAAABDEwMDgEAAAAATAHAAAACTYvMzAvMjAxOAgAAAAJMy8zMS8yMDE3CQAAAAEwYpJ0hRQJ1ghFSV2HFAnWCD1DSVEuTkFTREFRQ006VktUWC5JUV9SRVZFTlVFX0VTVC5DWTIwMTkuNi8zMC8yMDE4LkNPTi5GLlVTRC5IAQAAAPK8tQ4CAAAAATABDgAAAAUAAAACMTEBAAAAATACAAAACjEwMDMwOTczNTkDAAAABjEwMDE4MAQAAAABMgYAAAABMAcAAAADMTYwCAAAAAEwCQAAAAExCgAAAAEwCwAAAAsxMDk0NTU2NzI0OAwAAAABNw0AAAAINy8xLzIwMTgQAAAACTYvMzAvMjAxOK+G5YQUCdYIZ+dahxQJ1gg1Q0lRLk5BU0RBUUNNOkJZU0kuSVFfQ0FQRVguMTk5Mi42LzMwLzIwMTguTEZSLkYuVVNELkgBAAAAR89sGAIAAAAFLTAuMDQBCAAAAAUAAAABMQEAAAAKMTg0NTAwNzM4NAMAAAADMTYwAgAAAAQyMDIxBAAAAAEwBwAAAAk2LzMwLzIwMTgIAAAACTMvMzEvMjAxNgkAAAABMGKSdIUUCdYIRUldhxQJ1gg0Q0lRLlNFSEs6MjE4Ni5JUV9UT1RBTF9DTC4xOTk2LjYvMzAvMjAxOC5MRlIuRi5VU0QuSAEAAADCgZgAAgAAAAozNDIuMDE5MTg0AQgAAAAFAAAAATEBAAAA</t>
  </si>
  <si>
    <t>CjE4ODU0OTQ4MzQDAAAAAzE2MAIAAAAEMTAwOQQAAAABMAcAAAAJNi8zMC8yMDE4CAAAAAoxMi8zMS8yMDE2CQAAAAEwlAtXhhQJ1ggvcGSHFAnWCDVDSVEuT1RDUEs6TkVYUy5JUV9UT1RBTF9DQS4yMDAwLjYvMzAvMjAxOC5MRlIuRi5VU0QuSAEAAAAdvU4UAgAAAAgwLjAwOTkyNwEIAAAABQAAAAExAQAAAAoxODYyODYzMDkzAwAAAAMxNjACAAAABDEwMDgEAAAAATAHAAAACTYvMzAvMjAxOAgAAAAJNS8zMS8yMDE3CQAAAAEw5Q/vhBQJ1ggxXlGHFAnWCDdDSVEuTkFTREFRR006VlRWVC5JUV9QRVJJT0REQVRFX0lTLjIwMDAuNi8zMC8yMDE4LkxGUi5GAQAAAB2jHxIFAAAACTMvMzEvMjAxOACvhuWEFAnWCIbAU4cUCdYIOUNJUS5OQVNEQVFHTTpNTk9WLklRX05JX01BUkdJTi4yMDAwLjYvMzAvMjAxOC5MRlIuRi5VU0QuSAEAAAC4VI0AAwAAAAAAxiXjhBQJ1ginhFiHFAnWCDhDSVEuTkFTREFRR006UllUTS5JUV9UT1RBTF9DTC4xOTkyLjYvMzAvMjAxOC5MRlIuRi5VU0QuSAEAAAAYyW0SAwAAAAAAYpJ0hRQJ1ghFSV2HFAnWCDNDSVEuT1RDUEs6QlRIRS5JUV9FQklUREEuMjAwMC42LzMwLzIwMTguTEZSLkYuVVNELkgBAAAAb525BQIAAAAJLTEuNjAyMjAyAQgAAAAFAAAAATEBAAAACjE4ODg2NjM3NDIDAAAAAzE2MAIAAAAENDA1MQQAAAABMAcAAAAJNi8zMC8yMDE4CAAAAAkzLzMxLzIwMTgJ</t>
  </si>
  <si>
    <t>AAAAATDlD++EFAnWCIbAU4cUCdYIJ0NJUS5OQVNEQVFHUzpYRVJTLklRX0JFVEFfMllSLjYvMzAvMjAxOAEAAADg7k8GAwAAAAAAr4blhBQJ1ghn51qHFAnWCD1DSVEuTkFTREFRR006VlRWVC5JUV9SRVZFTlVFX0VTVC5DWTIwMTguNi8zMC8yMDE4LkNPTi5GLlVTRC5IAQAAAB2jHxICAAAABTUuNDEzAQ4AAAAFAAAAAjExAQAAAAEwAgAAAAoxMDAzMTY0OTU2AwAAAAYxMDAxODAEAAAAATIGAAAAATAHAAAAAzE2MAgAAAABMAkAAAABMQoAAAABMAsAAAALMTA5MjQ3NzQzODAMAAAAATcNAAAACDcvMS8yMDE4EAAAAAk2LzMwLzIwMTjlD++EFAnWCIbAU4cUCdYINUNJUS5OQVNEQVFHUzpOSVRFLklRX0NBUEVYLjE5OTYuNi8zMC8yMDE4LkxGUi5GLlVTRC5IAQAAAAzTGBACAAAABi0wLjIyMwEIAAAABQAAAAExAQAAAAoxODkzNDk2NzM4AwAAAAMxNjACAAAABDIwMjEEAAAAATAHAAAACTYvMzAvMjAxOAgAAAAJMy8zMS8yMDE3CQAAAAEwxiXjhBQJ1ginhFiHFAnWCDRDSVEuVFNYVjpDT0IuVS5JUV9QRVJJT0REQVRFX0lTLjIwMDAuNi8zMC8yMDE4LkxGUi5GAQAAAL/7AAgFAAAACTMvMzEvMjAxOACvhuWEFAnWCIbAU4cUCdYIQ0NJUS5OQVNEQVFHTTpGT0xELklRX0VCSVREQV8zWVJfQU5OX0NBR1IuMjAwMC42LzMwLzIwMTguTEZSLkYuVVNELkgBAAAAVvZqAAMAAAACTk0BCAAAAAUAAAABMQEAAAAK</t>
  </si>
  <si>
    <t>MTg4ODQ4NDY1MQMAAAADMTYwAgAAAAQ0MjIyBAAAAAEwBwAAAAk2LzMwLzIwMTgIAAAACTMvMzEvMjAxOAkAAAABMGKSdIUUCdYIlKtfhxQJ1gg8Q0lRLk5BU0RBUUdTOlhFUlMuSVFfRUFSTklOR19DTy5DWTIwMTYuNi8zMC8yMDE4LkxGUi5GLlVTRC5IAQAAAODuTwYCAAAABy0xMy4yMDkBCAAAAAUAAAABMQEAAAAKMTg5MDk2MTYzMgMAAAADMTYwAgAAAAE3BAAAAAEwBwAAAAk2LzMwLzIwMTgIAAAACjEyLzMxLzIwMTYJAAAAATDGJeOEFAnWCGfnWocUCdYIOUNJUS5PVENQSzpORVhTLklRX0VCSVREQV9FU1QuQ1kyMDIwLjYvMzAvMjAxOC5DT04uRi5VU0QuSAEAAAAdvU4UAwAAAAAA5Q/vhBQJ1ggxXlGHFAnWCCxDSVEuRU5YVFBBOkVSWVAuSVFfTUFSS0VUQ0FQLjMvMzEvMjAxOC5VU0QuSAEAAADYingBAgAAAAozNzUuNjc4MzIzAQYAAAAFAAAAATEBAAAACjE4NzgwMTgyNzIDAAAAAzE2MAIAAAAGMTAwMDU0BAAAAAEwBwAAAAkzLzMxLzIwMTjlD++EFAnWCDFeUYcUCdYIK0NJUS5JUVRSMTE3ODAzOTIwLklRX1RSX1RPVEFMX0dST1NTX1RWLi5VU0QBAAAAkIsFBwIAAAADNTAwAQYAAAAFAAAAAjU0AQAAAAYxMDIwODgCAAAACTExNzgwMzkyMAMAAAAJMTE3ODA0MDIzBAAAAAMxNjAGAAAABUZhbHNl5jtFghQJ1gh70maHFAnWCC5DSVEuSVFUUjE3MjYyMTQ3MS5JUV9UUl9UQVJHRVRfU1RPQ0tQ</t>
  </si>
  <si>
    <t>UkVNSVVNXzFXAQAAAJ/+SQoCAAAAAADmO0WCFAnWCHvSZocUCdYIO0NJUS5OQVNEQVFHTTpSWVRNLklRX1RPVEFMX1JFVi5DWTIwMTYuNi8zMC8yMDE4LkxGUi5GLlVTRC5IAQAAABjJbRIDAAAAAABiknSFFAnWCEVJXYcUCdYIOUNJUS5OQVNEQVFHUzpBUFRYLklRX05JX01BUkdJTi4yMDAwLjYvMzAvMjAxOC5MRlIuRi5VU0QuSAEAAAAvKQwUAwAAAAJOTQEIAAAABQAAAAExAQAAAAoxODkwODUxMzkxAwAAAAMxNjACAAAABDQwOTQEAAAAATAHAAAACTYvMzAvMjAxOAgAAAAJMy8zMS8yMDE4CQAAAAEwYpJ0hRQJ1ghFSV2HFAnWCDlDSVEuT1RDUEs6QlRIRS5JUV9HUk9TU19NQVJHSU4uMjAwMC42LzMwLzIwMTguTEZSLkYuVVNELkgBAAAAb525BQIAAAAILTQ1LjU1NzQBCAAAAAUAAAABMQEAAAAKMTg4ODY2Mzc0MgMAAAADMTYwAgAAAAQ0MDc0BAAAAAEwBwAAAAk2LzMwLzIwMTgIAAAACTMvMzEvMjAxOAkAAAABMOUP74QUCdYIhsBThxQJ1gg2Q0lRLk5BU0RBUUdNOk1OS0QuSVFfRUJJVERBLjE5OTYuNi8zMC8yMDE4LkxGUi5GLlVTRC5IAQAAAGaljQACAAAABjY0LjQyNgEIAAAABQAAAAExAQAAAAoxODg5Nzc1OTY1AwAAAAMxNjACAAAABDQwNTEEAAAAATAHAAAACTYvMzAvMjAxOAgAAAAJMy8zMS8yMDE3CQAAAAEw6W1ZhhQJ1gjgDWKHFAnWCDtDSVEuTkFTREFRQ006VktUWC5JUV9QUkVGX0VR</t>
  </si>
  <si>
    <t>VUlUWS4yMDAwLjMvMzEvMjAxOC5MRlIuRi5VU0QuSAEAAADyvLUOAwAAAAAAxiXjhBQJ1ghn51qHFAnWCDpDSVEuT1RDUEs6RU1JUy5JUV9SRVZFTlVFX0VTVC5DWTIwMTguNi8zMC8yMDE4LkNPTi5GLlVTRC5IAQAAAD79AwADAAAAAACvhuWEFAnWCGUiVocUCdYIN0NJUS5BTUVYOkJUWC5JUV9FQVJOSU5HX0NPLkNZMjAxNi42LzMwLzIwMTguTEZSLkYuVVNELkgBAAAAFmQAAAIAAAAGMTguNjIxAQgAAAAFAAAAATEBAAAACjE4Nzg1MTM2MTMDAAAAAzE2MAIAAAABNwQAAAABMAcAAAAJNi8zMC8yMDE4CAAAAAoxMi8zMS8yMDE2CQAAAAEwxiXjhBQJ1ghlIlaHFAnWCDdDSVEuTkFTREFRR1M6TFhSWC5JUV9QRVJJT0REQVRFX0lTLjIwMDAuNi8zMC8yMDE4LkxGUi5GAQAAAD14AAAFAAAACTMvMzEvMjAxOABiknSFFAnWCJSrX4cUCdYIJENJUS5TRUhLOjIxODYuSVFfVEVWLjYvMzAvMjAxOC5VU0QuSAEAAADCgZgAAgAAAAszMzk5LjcyMDA4OQEGAAAABQAAAAExAQAAAAoxODg1NDk1MDA0AwAAAAMxNjACAAAABjEwMDA2MAQAAAABMAcAAAAJNi8zMC8yMDE4lAtXhhQJ1ggvcGSHFAnWCCJDSVEuSVFUUjE3MTkzMDUzNC5JUV9UUl9UT1RBTF9DQVNIAQAAAKZzPwoCAAAAAADmO0WCFAnWCHvSZocUCdYIJENJUS5OWVNFOk1ZT1YuSVFfVEVWLjYvMzAvMjAxOC5VU0QuSAEAAACX2gsYAgAAAAoxNDE4LjY5</t>
  </si>
  <si>
    <t>MTI1AQYAAAAFAAAAATEBAAAACjE4OTI4MzQ3MjYDAAAAAzE2MAIAAAAGMTAwMDYwBAAAAAEwBwAAAAk2LzMwLzIwMThiknSFFAnWCJSrX4cUCdYII0NJUS4wLklRX1RSX1RBUkdFVF9UT1RBTF9SRVYuLlVTRC5IBQAAAAAAAAAIAAAAGChJbnZhbGlkIFRyYW5zYWN0aW9uIElkKeY7RYIUCdYIxDRphxQJ1ghDQ0lRLk5BU0RBUUdTOklDUFQuSVFfRUJJVERBXzNZUl9BTk5fQ0FHUi4yMDAwLjYvMzAvMjAxOC5MRlIuRi5VU0QuSAEAAACCr60AAwAAAAJOTQEIAAAABQAAAAExAQAAAAoxODg4NjE1NTQwAwAAAAMxNjACAAAABDQyMjIEAAAAATAHAAAACTYvMzAvMjAxOAgAAAAJMy8zMS8yMDE4CQAAAAEw6W1ZhhQJ1ggvcGSHFAnWCDRDSVEuQ1BTRTpOT1ZPIEIuSVFfRUJJVERBLjIwMDAuNi8zMC8yMDE4LkxGUi5GLlVTRC5IAQAAAHzvBAACAAAACzg0MTEuNTI1NDM3AQgAAAAFAAAAATEBAAAACjE4OTI2MjM5NTMDAAAAAzE2MAIAAAAENDA1MQQAAAABMAcAAAAJNi8zMC8yMDE4CAAAAAkzLzMxLzIwMTgJAAAAATCUC1eGFAnWCHvSZocUCdYIKENJUS5OQVNEQVFHUzpJQ1BULklRX1RFVi42LzMwLzIwMTguVVNELkgBAAAAgq+tAAIAAAALMjUxNS42NjI3NTQBBgAAAAUAAAABMQEAAAAKMTg4ODYxNTExNQMAAAADMTYwAgAAAAYxMDAwNjAEAAAAATAHAAAACTYvMzAvMjAxOJQLV4YUCdYIL3BkhxQJ1gg+Q0lR</t>
  </si>
  <si>
    <t>Lk5BU0RBUUNNOkFWRU8uSVFfQ0FTSF9TVF9JTlZFU1QuMjAwMC4zLzMxLzIwMTguTEZSLkYuVVNELkgBAAAA9BYdAAIAAAAGMzMuNTI1AQgAAAAFAAAAATEBAAAACjE4NzgwODI2NTMDAAAAAzE2MAIAAAAEMTAwMgQAAAABMAcAAAAJMy8zMS8yMDE4CAAAAAoxMi8zMS8yMDE3CQAAAAEwxiXjhBQJ1ghlIlaHFAnWCEBDSVEuT1RDUEs6RU1JUy5JUV9FQklUREFfM1lSX0FOTl9DQUdSLjIwMDAuNi8zMC8yMDE4LkxGUi5GLlVTRC5IAQAAAD79AwADAAAAAk5NAQgAAAAFAAAAATEBAAAACjE4NDE4OTg1MzUDAAAAAzE2MAIAAAAENDIyMgQAAAABMAcAAAAJNi8zMC8yMDE4CAAAAAkzLzMxLzIwMTcJAAAAATCvhuWEFAnWCIbAU4cUCdYIJUNJUS5UU1hWOkNPQi5VLklRX1RFVi42LzMwLzIwMTguVVNELkgBAAAAv/sACAIAAAAJMjA0Ljc2Mjk2AQYAAAAFAAAAATEBAAAACjE4ODkwNjE4NDEDAAAAAzE2MAIAAAAGMTAwMDYwBAAAAAEwBwAAAAk2LzMwLzIwMTjGJeOEFAnWCIbAU4cUCdYIOUNJUS5PVENQSzpORVhTLklRX1RPVEFMX0VRVUlUWS4yMDAwLjYvMzAvMjAxOC5MRlIuRi5VU0QuSAEAAAAdvU4UAgAAAAktMS44NDkxOTUBCAAAAAUAAAABMQEAAAAKMTg2Mjg2MzA5MwMAAAADMTYwAgAAAAQxMjc1BAAAAAEwBwAAAAk2LzMwLzIwMTgIAAAACTUvMzEvMjAxNwkAAAABMOUP74QUCdYIMV5RhxQJ1ggiQ0lR</t>
  </si>
  <si>
    <t>LklRVFIzNzAwNzIzNTMuSVFfVFJfVE9UQUxfQ0FTSAEAAAAh2w4WAgAAAAAA5jtFghQJ1gh70maHFAnWCDVDSVEuTkFTREFRR1M6TklURS5JUV9DQVBFWC4yMDAwLjYvMzAvMjAxOC5MRlIuRi5VU0QuSAEAAAAM0xgQAgAAAAYtMC4xOTkBCAAAAAUAAAABMQEAAAAKMTg5MzQ5Njc0NQMAAAADMTYwAgAAAAQyMDIxBAAAAAEwBwAAAAk2LzMwLzIwMTgIAAAACTMvMzEvMjAxOAkAAAABMMYl44QUCdYIp4RYhxQJ1ggnQ0lRLk5BU0RBUUdTOkxYUlguSVFfQkVUQV8yWVIuNi8zMC8yMDE4AQAAAD14AAACAAAAEDAuODYwNjcxNjExNzYxNTYAYpJ0hRQJ1giUq1+HFAnWCDNDSVEuRU5YVFBBOkVSWVAuSVFfQ0FQRVguMTk5Mi42LzMwLzIwMTguTEZSLkYuVVNELkgBAAAA2Ip4AQIAAAAJLTAuMzQ1MzcxAQgAAAAFAAAAATEBAAAACjE4ODUyMDQ0MDcDAAAAAzE2MAIAAAAEMjAyMQQAAAABMAcAAAAJNi8zMC8yMDE4CAAAAAoxMi8zMS8yMDE1CQAAAAEw5Q/vhBQJ1ggxXlGHFAnWCDdDSVEuU0VISzozOTMzLklRX1RPVEFMX1JFVi5DWTIwMTcuNi8zMC8yMDE4LkxGUi5GLlVTRC5IAQAAAE3aEQICAAAACzEwNDkuMTcxNjIxAQgAAAAFAAAAATEBAAAACjE4ODU3MzkyMDIDAAAAAzE2MAIAAAACMjgEAAAAATAHAAAACTYvMzAvMjAxOAgAAAAKMTIvMzEvMjAxNwkAAAABMOltWYYUCdYIL3BkhxQJ1gg5Q0lRLk9UQ1BL</t>
  </si>
  <si>
    <t>Ok5FWFMuSVFfVE9UQUxfRVFVSVRZLjE5OTYuNi8zMC8yMDE4LkxGUi5GLlVTRC5IAQAAAB29ThQCAAAACC0wLjkzNDY1AQgAAAAFAAAAATEBAAAACjE4NjI4NjMwODYDAAAAAzE2MAIAAAAEMTI3NQQAAAABMAcAAAAJNi8zMC8yMDE4CAAAAAk1LzMxLzIwMTYJAAAAATDlD++EFAnWCDFeUYcUCdYIN0NJUS5PVENQSzpORVhTLklRX0VBUk5JTkdfQ08uMTk5Ni42LzMwLzIwMTguTEZSLkYuVVNELkgBAAAAHb1OFAIAAAAJLTEuMjY3MTExAQgAAAAFAAAAATEBAAAACjE4NjI4NjMwODYDAAAAAzE2MAIAAAABNwQAAAABMAcAAAAJNi8zMC8yMDE4CAAAAAk1LzMxLzIwMTYJAAAAATDlD++EFAnWCDFeUYcUCdYIJENJUS5PVENQSzpFTUlTLklRX1BFUklPRERBVEVfSVMuMTAwMAEAAAA+/QMABQAAAAoxMi8zMS8yMDE2AK+G5YQUCdYIZSJWhxQJ1ggeQ0lRLklRMzYxODM4MTYuSVFfQ09NUEFOWV9OQU1FAQAAAAgfKAIDAAAAMlVuaXRlZCBTdGF0ZXMgVHJlYXN1cnkgQ29uc3RhbnQgTWF0dXJpdHkgLSAzIE1vbnRoAOY7RYIUCdYIpKyYghQJ1gg6Q0lRLk5BU0RBUUdNOk1OT1YuSVFfRUFSTklOR19DTy4yMDAwLjYvMzAvMjAxOC5MRlIuRi5VU0QuSAEAAAC4VI0AAgAAAAotMTIuNjg5NjYzAQgAAAAFAAAAATEBAAAACjE4ODQ2NDQyMjgDAAAAAzE2MAIAAAABNwQAAAABMAcAAAAJNi8zMC8yMDE4CAAAAAkzLzMx</t>
  </si>
  <si>
    <t>LzIwMTgJAAAAATDGJeOEFAnWCKeEWIcUCdYIRUNJUS5OQVNEQVFDTTpDVVIuSVFfVE9UQUxfUkVWXzNZUl9BTk5fQ0FHUi4yMDAwLjYvMzAvMjAxOC5MRlIuRi5VU0QuSAEAAADx7nUAAgAAAAgxNDUuNDQ4NAEIAAAABQAAAAExAQAAAAoxODg4ODczMjE5AwAAAAMxNjACAAAABDQyMjAEAAAAATAHAAAACTYvMzAvMjAxOAgAAAAJMy8zMS8yMDE4CQAAAAEw5Q/vhBQJ1ggxXlGHFAnWCDVDSVEuTkFTREFRR1M6SUNQVC5JUV9EQV9DRi4yMDAwLjYvMzAvMjAxOC5MRlIuRi5VU0QuSAEAAACCr60AAgAAAAU1LjA4OQEIAAAABQAAAAExAQAAAAoxODg4NjE1NTQwAwAAAAMxNjACAAAABDIxNjAEAAAAATAHAAAACTYvMzAvMjAxOAgAAAAJMy8zMS8yMDE4CQAAAAEw6W1ZhhQJ1ggvcGSHFAnWCDpDSVEuTkFTREFRQ006QVZFTy5JUV9FQVJOSU5HX0NPLjE5OTIuNi8zMC8yMDE4LkxGUi5GLlVTRC5IAQAAAPQWHQACAAAABy0xMS44MzcBCAAAAAUAAAABMQEAAAAKMTg0MDA0NjExMQMAAAADMTYwAgAAAAE3BAAAAAEwBwAAAAk2LzMwLzIwMTgIAAAACTMvMzEvMjAxNgkAAAABMMYl44QUCdYIZSJWhxQJ1gg6Q0lRLk5BU0RBUUdTOklDUFQuSVFfRUFSTklOR19DTy4xOTk2LjYvMzAvMjAxOC5MRlIuRi5VU0QuSAEAAACCr60AAgAAAAgtMzc2LjA4NgEIAAAABQAAAAExAQAAAAoxODg4NjE1NTE5AwAAAAMxNjACAAAA</t>
  </si>
  <si>
    <t>ATcEAAAAATAHAAAACTYvMzAvMjAxOAgAAAAJMy8zMS8yMDE3CQAAAAEw6W1ZhhQJ1ggvcGSHFAnWCDVDSVEuTkFTREFRQ006VktUWC5JUV9EQV9DRi4yMDAwLjYvMzAvMjAxOC5MRlIuRi5VU0QuSAEAAADyvLUOAwAAAAAAxiXjhBQJ1gjENGmHFAnWCClDSVEuTkFTREFRQ006QllTSS5JUV9CVVNJTkVTU19ERVNDUklQVElPTgEAAABHz2wYAwAAAJUFQmV5b25kU3ByaW5nIEluYy4sIGEgY2xpbmljYWwgc3RhZ2UgYmlvcGhhcm1hY2V1dGljYWwgY29tcGFueSwgZm9jdXNlcyBvbiB0aGUgZGV2ZWxvcG1lbnQgb2YgY2FuY2VyIHRoZXJhcGllcy4gVGhlIGNvbXBhbnkgaXMgYWR2YW5jaW5nIGl0cyBsZWFkIGFzc2V0LCBQbGluYWJ1bGluLCBpbnRvIGEgUGhhc2UgMi8zIGNsaW5pY2FsIHRyaWFsIGZvciB0aGUgcmVkdWN0aW9uIG9mIGRvY2V0YXhlbCBjaGVtb3RoZXJhcHktaW5kdWNlZCBzZXZlcmUsIGdyYWRlIDQgbmV1dHJvcGVuaWE7IGEgUGhhc2UgMi8zIGNsaW5pY2FsIHRyaWFsIGZvciB0aGUgcHJldmVudGlvbiBvZiBub24tZG9jZXRheGVsIGNoZW1vdGhlcmFweS1pbmR1Y2VkIHNldmVyZSwgZ3JhZGUgNCBuZXV0cm9wZW5pYTsgYSBQaGFzZSAzIGNsaW5pY2FsIHRyaWFsIGFzIGFuIGFudGljYW5jZXIgYWdlbnQgaW4gY29tYmluYXRpb24gd2l0aCBkb2NldGF4ZWwgaW4gYWR2YW5jZWQgbm9u</t>
  </si>
  <si>
    <t>LXNtYWxsIGNlbGwgbHVuZyBjYW5jZXI7IGFuZCBQaGFzZSAxLzIgY2xpbmljYWwgdHJpYWxzIHdpdGggdGhlIGltbXVuby1vbmNvbG9neSBhZ2VudCBuaXZvbHVtYWIuIEJleW9uZFNwcmluZyBJbmMuIHdhcyBmb3VuZGVkIGluIDIwMTAgYW5kIGlzIGhlYWRxdWFydGVyZWQgaW4gTmV3IFlvcmssIE5ldyBZb3JrLgBiknSFFAnWCEVJXYcUCdYILUNJUS5OQVNEQVFHTTpGT0xELklRX0RJVklERU5EX1lJRUxELjYvMzAvMjAxOAEAAABW9moAAwAAAAAAYpJ0hRQJ1giUq1+HFAnWCDpDSVEuTllTRTpNWU9WLklRX1RPVEFMX0VRVUlUWS5DWTIwMTcuNi8zMC8yMDE4LkxGUi5GLlVTRC5IAQAAAJfaCxgCAAAABjgyLjE5OAEIAAAABQAAAAExAQAAAAoxODc0MDQzNjQxAwAAAAMxNjACAAAABDEyNzUEAAAAATAHAAAACTYvMzAvMjAxOAgAAAAKMTIvMzEvMjAxNwkAAAABMGKSdIUUCdYIlKtfhxQJ1ghDQ0lRLk5BU0RBUUNNOlZLVFguSVFfRUJJVERBXzVZUl9BTk5fQ0FHUi4yMDAwLjYvMzAvMjAxOC5MRlIuRi5VU0QuSAEAAADyvLUOAwAAAAAAxiXjhBQJ1ghn51qHFAnWCCBDSVEuSVEzNDcyNDQyOS5JUV9DT01QQU5ZX1RJQ0tFUgEAAABN2hECAwAAAAlTRUhLOjM5MzMA5jtFghQJ1gitmKSCFAnWCDpDSVEuRU5YVFBBOkVSWVAuSVFfRUJJVERBX0VTVC5DWTIwMTkuNi8zMC8yMDE4LkNPTi5GLlVTRC5IAQAA</t>
  </si>
  <si>
    <t>ANiKeAECAAAAES01OS44NDk3NDkxNTgzOTE3AQ4AAAAFAAAAAjExAQAAAAEwAgAAAAoxMDAyODM1OTI2AwAAAAYxMDAxODcEAAAAATMGAAAAATAHAAAAAzE2MAgAAAABMAkAAAABMQoAAAABMAsAAAALMTA5NDMxNTU3MjQMAAAAATcNAAAACDcvMS8yMDE4EAAAAAk2LzMwLzIwMTjlD++EFAnWCDFeUYcUCdYIQUNJUS5TSFNFOjYwMDg2Ny5JUV9FQklUREFfNVlSX0FOTl9DQUdSLjIwMDAuNi8zMC8yMDE4LkxGUi5GLlVTRC5IAQAAANg+rgACAAAABjQ0LjkzMQEIAAAABQAAAAExAQAAAAoxODg1MTQ2MjczAwAAAAIzMgIAAAAENDIzNQQAAAABMAcAAAAJNi8zMC8yMDE4CAAAAAkzLzMxLzIwMTgJAAAAATBiknSFFAnWCJSrX4cUCdYIN0NJUS5PVENQSzpFTUlTLklRX1RPVEFMX0RFQlQuMjAwMC4zLzMxLzIwMTguTEZSLkYuVVNELkgBAAAAPv0DAAIAAAAGNjguMDg5AQgAAAAFAAAAATEBAAAACjE4NDE4OTg1MzUDAAAAAzE2MAIAAAAENDE3MwQAAAABMAcAAAAJMy8zMS8yMDE4CAAAAAkzLzMxLzIwMTcJAAAAATCvhuWEFAnWCGUiVocUCdYINkNJUS5OQVNEQVFDTTpBVkVPLklRX0VCSVREQS4xOTk2LjYvMzAvMjAxOC5MRlIuRi5VU0QuSAEAAAD0Fh0AAgAAAAgtMjkuODgzNQEIAAAABQAAAAExAQAAAAoxODg3MjM0MjkxAwAAAAMxNjACAAAABDQwNTEEAAAAATAHAAAACTYvMzAvMjAxOAgAAAAJMy8zMS8y</t>
  </si>
  <si>
    <t>MDE3CQAAAAEwxiXjhBQJ1ghlIlaHFAnWCDtDSVEuTkFTREFRR006UllUTS5JUV9FQklUX01BUkdJTi4yMDAwLjYvMzAvMjAxOC5MRlIuRi5VU0QuSAEAAAAYyW0SAwAAAAAAYpJ0hRQJ1ghFSV2HFAnWCB1DSVEuTkFTREFRR006UllUTS5JUV9FWENIQU5HRQEAAAAYyW0SAwAAAAhOYXNkYXFHTQBiknSFFAnWCEVJXYcUCdYII0NJUS5DUFNFOlpFQUwuSVFfQkVUQV8yWVIuNi8zMC8yMDE4AQAAACJbEwACAAAAETAuNDQyMzk0Nzc0MDA5MDY5AGKSdIUUCdYI4A1ihxQJ1gg3Q0lRLk5ZU0U6TVlPVi5JUV9FQklUX01BUkdJTi4yMDAwLjYvMzAvMjAxOC5MRlIuRi5VU0QuSAEAAACX2gsYAwAAAAAAYpJ0hRQJ1giUq1+HFAnWCCNDSVEuQ1BTRTpaRUFMLklRX0JFVEFfNVlSLjYvMzAvMjAxOAEAAAAiWxMAAgAAABEwLjE4OTI2ODY3ODA5MzYxMwBiknSFFAnWCOANYocUCdYINUNJUS5DUFNFOlpFQUwuSVFfVE9UQUxfUkVWLjE5OTIuNi8zMC8yMDE4LkxGUi5GLlVTRC5IAQAAACJbEwACAAAACTI4Ljc5MzgzMQEIAAAABQAAAAExAQAAAAoxODQyNzMxNDMzAwAAAAMxNjACAAAAAjI4BAAAAAEwBwAAAAk2LzMwLzIwMTgIAAAACTMvMzEvMjAxNgkAAAABMGKSdIUUCdYI4A1ihxQJ1gg7Q0lRLk9UQ1BLOkVNSVMuSVFfQ0FTSF9TVF9JTlZFU1QuMjAwMC4zLzMxLzIwMTguTEZSLkYuVVNELkgBAAAAPv0DAAIAAAAF</t>
  </si>
  <si>
    <t>NC42MzkBCAAAAAUAAAABMQEAAAAKMTg0MTg5ODUzNQMAAAADMTYwAgAAAAQxMDAyBAAAAAEwBwAAAAkzLzMxLzIwMTgIAAAACTMvMzEvMjAxNwkAAAABMK+G5YQUCdYIZSJWhxQJ1gg4Q0lRLk5BU0RBUUNNOkNPUlQuSVFfVE9UQUxfQ0wuMTk5Mi42LzMwLzIwMTguTEZSLkYuVVNELkgBAAAA0rkVAAIAAAAGMjQuMDI1AQgAAAAFAAAAATEBAAAACjE4NDAxNzA5NjgDAAAAAzE2MAIAAAAEMTAwOQQAAAABMAcAAAAJNi8zMC8yMDE4CAAAAAkzLzMxLzIwMTYJAAAAATBiknSFFAnWCJSrX4cUCdYIOkNJUS5PVENQSzpORVhTLklRX1JFVkVOVUVfRVNULkNZMjAyMS42LzMwLzIwMTguQ09OLkYuVVNELkgBAAAAHb1OFAMAAAAAAOUP74QUCdYIMV5RhxQJ1gggQ0lRLjAuSVFfVFJfVEFSR0VUX0VCSVREQS4uVVNELkgFAAAAAAAAAAgAAAAYKEludmFsaWQgVHJhbnNhY3Rpb24gSWQp5jtFghQJ1gjENGmHFAnWCCVDSVEuT1RDUEs6TkVYUy5JUV9URVYuNi8zMC8yMDE4LlVTRC5IAQAAAB29ThQCAAAABzQuMjEwNjYBBgAAAAUAAAABMQEAAAAKMTg2Mjg2MzA0OAMAAAADMTYwAgAAAAYxMDAwNjAEAAAAATAHAAAACTYvMzAvMjAxOOUP74QUCdYIMV5RhxQJ1gg+Q0lRLk5BU0RBUUdTOkNZVEsuSVFfVE9UQUxfRVFVSVRZLkNZMjAxNi42LzMwLzIwMTguTEZSLkYuVVNELkgBAAAAs2oAAAIAAAAGOTQuMzYxAQgAAAAF</t>
  </si>
  <si>
    <t>AAAAATEBAAAACjE4Nzc2NjgzMDUDAAAAAzE2MAIAAAAEMTI3NQQAAAABMAcAAAAJNi8zMC8yMDE4CAAAAAoxMi8zMS8yMDE2CQAAAAEwxiXjhBQJ1ghlIlaHFAnWCDtDSVEuTkFTREFRR006TU5LRC5JUV9UT1RBTF9SRVYuQ1kyMDE2LjYvMzAvMjAxOC5MRlIuRi5VU0QuSAEAAABmpY0AAgAAAAcxNzQuNzU4AQgAAAAFAAAAATEBAAAACjE4NzYyMzg5MzYDAAAAAzE2MAIAAAACMjgEAAAAATAHAAAACTYvMzAvMjAxOAgAAAAKMTIvMzEvMjAxNgkAAAABMOltWYYUCdYI4A1ihxQJ1gg4Q0lRLk5BU0RBUUNNOkJZU0kuSVFfVE9UQUxfQ0EuMTk5Ni42LzMwLzIwMTguTEZSLkYuVVNELkgBAAAAR89sGAIAAAAGNTUuNjY1AQgAAAAFAAAAATEBAAAACjE4OTM5NzMzODIDAAAAAzE2MAIAAAAEMTAwOAQAAAABMAcAAAAJNi8zMC8yMDE4CAAAAAkzLzMxLzIwMTcJAAAAATBiknSFFAnWCEVJXYcUCdYII0NJUS5TRUhLOjIxODYuSVFfQkVUQV8xWVIuNi8zMC8yMDE4AQAAAMKBmAACAAAAEDEuMDg1OTg4NjQ0MjEzODIA6W1ZhhQJ1ggvcGSHFAnWCDdDSVEuVFNYVjpDT0IuVS5JUV9FQVJOSU5HX0NPLjE5OTYuNi8zMC8yMDE4LkxGUi5GLlVTRC5IAQAAAL/7AAgCAAAACS03LjA5MDgwOQEIAAAABQAAAAExAQAAAAoxODg5MDYyMDY5AwAAAAMxNjACAAAAATcEAAAAATAHAAAACTYvMzAvMjAxOAgAAAAJMy8zMS8yMDE3</t>
  </si>
  <si>
    <t>CQAAAAEwr4blhBQJ1giGwFOHFAnWCCVDSVEuTkFTREFRR1M6Q0JBWS5JUV9GSVJTVFBSSUNJTkdEQVRFAQAAAMB6AAAFAAAACTEvMjQvMjAxNABiknSFFAnWCEVJXYcUCdYIFENJUS4wLklRX1RSX0VBUk5PVVRTBQAAAAAAAAAIAAAAGChJbnZhbGlkIFRyYW5zYWN0aW9uIElkKeY7RYIUCdYIxDRphxQJ1gg5Q0lRLk5BU0RBUUNNOlZLVFguSVFfVE9UQUxfUkVWLjE5OTYuNi8zMC8yMDE4LkxGUi5GLlVTRC5IAQAAAPK8tQ4DAAAAAADGJeOEFAnWCGfnWocUCdYIK0NJUS5JUVRSMzQwNzA0ODY1LklRX1RSX0lNUExJRURfRVZfRUJJVF9GV0QBAAAAYb5OFAIAAAAAAOY7RYIUCdYIe9JmhxQJ1ggxQ0lRLkFNRVg6QlRYLklRX0VCSVREQS4yMDAwLjYvMzAvMjAxOC5MRlIuRi5VU0QuSAEAAAAWZAAAAgAAAAYtMzYuNjQBCAAAAAUAAAABMQEAAAAKMTg4Nzk4MDE2NQMAAAADMTYwAgAAAAQ0MDUxBAAAAAEwBwAAAAk2LzMwLzIwMTgIAAAACTMvMzEvMjAxOAkAAAABMMYl44QUCdYIZSJWhxQJ1gguQ0lRLklRVFIzMDY3NTEwOTYuSVFfVFJfVEFSR0VUX1NUT0NLUFJFTUlVTV8xTQEAAAB4pkgSAgAAAAczMC4xMTA1AQYAAAAFAAAAAjU0AQAAAAYxMDEwNTUCAAAACTMwNjc1MTA5NgMAAAAJMzA2NzUxMjU4BAAAAAMxNjAGAAAABUZhbHNl5jtFghQJ1gh70maHFAnWCCdDSVEuTkFTREFRR1M6WEVSUy5JUV9CRVRB</t>
  </si>
  <si>
    <t>XzFZUi42LzMwLzIwMTgBAAAA4O5PBgMAAAAAAK+G5YQUCdYIZ+dahxQJ1gg4Q0lRLk5BU0RBUUdTOkFQVFguSVFfVE9UQUxfQ0wuMjAwMC42LzMwLzIwMTguTEZSLkYuVVNELkgBAAAALykMFAIAAAAFNy4wMjcBCAAAAAUAAAABMQEAAAAKMTg5MDg1MTM5MQMAAAADMTYwAgAAAAQxMDA5BAAAAAEwBwAAAAk2LzMwLzIwMTgIAAAACTMvMzEvMjAxOAkAAAABMGKSdIUUCdYIRUldhxQJ1gg8Q0lRLk5BU0RBUUNNOkFWRU8uSVFfRUFSTklOR19DTy5DWTIwMTYuNi8zMC8yMDE4LkxGUi5GLlVTRC5IAQAAAPQWHQACAAAABy0yNi44ODcBCAAAAAUAAAABMQEAAAAKMTg3ODA4MjY1MAMAAAADMTYwAgAAAAE3BAAAAAEwBwAAAAk2LzMwLzIwMTgIAAAACjEyLzMxLzIwMTYJAAAAATDGJeOEFAnWCGUiVocUCdYIOENJUS5OQVNEQVFHUzpMWFJYLklRX0VCSVREQS5DWTIwMTYuNi8zMC8yMDE4LkxGUi5GLlVTRC5IAQAAAD14AAACAAAACC0xMzUuODAyAQgAAAAFAAAAATEBAAAACjE4NzcxMzM5NjUDAAAAAzE2MAIAAAAENDA1MQQAAAABMAcAAAAJNi8zMC8yMDE4CAAAAAoxMi8zMS8yMDE2CQAAAAEwYpJ0hRQJ1giUq1+HFAnWCD5DSVEuTkFTREFRR006VlRWVC5JUV9DQVNIX1NUX0lOVkVTVC4yMDAwLjYvMzAvMjAxOC5MRlIuRi5VU0QuSAEAAAAdox8SAgAAAAU4Ljc5MQEIAAAABQAAAAExAQAAAAoxODg5MDU2NTM3</t>
  </si>
  <si>
    <t>AwAAAAMxNjACAAAABDEwMDIEAAAAATAHAAAACTYvMzAvMjAxOAgAAAAJMy8zMS8yMDE4CQAAAAEwr4blhBQJ1giGwFOHFAnWCBpDSVEuVFNYVjpDT0IuVS5JUV9FWENIQU5HRQEAAAC/+wAIAwAAAARUU1hWAMYl44QUCdYIhsBThxQJ1gg0Q0lRLkNQU0U6WkVBTC5JUV9UT1RBTF9DQS4xOTk2LjYvMzAvMjAxOC5MRlIuRi5VU0QuSAEAAAAiWxMAAgAAAAk2NS43NDk5MDUBCAAAAAUAAAABMQEAAAAKMTg4OTkxMzA5NwMAAAADMTYwAgAAAAQxMDA4BAAAAAEwBwAAAAk2LzMwLzIwMTgIAAAACTMvMzEvMjAxNwkAAAABMGKSdIUUCdYI4A1ihxQJ1gg2Q0lRLlNFSEs6MzkzMy5JUV9FQVJOSU5HX0NPLjE5OTIuNi8zMC8yMDE4LkxGUi5GLlVTRC5IAQAAAE3aEQICAAAACTE0LjIzOTU3NwEIAAAABQAAAAExAQAAAAoxODM4ODA3NjkwAwAAAAMxNjACAAAAATcEAAAAATAHAAAACTYvMzAvMjAxOAgAAAAKMTIvMzEvMjAxNQkAAAABMOltWYYUCdYI4A1ihxQJ1gg4Q0lRLk5BU0RBUUdNOlJZVE0uSVFfRUJJVERBLkNZMjAxNy42LzMwLzIwMTguTEZSLkYuVVNELkgBAAAAGMltEgIAAAAHLTMyLjE4OQEIAAAABQAAAAExAQAAAAoxODkzOTA1OTYxAwAAAAMxNjACAAAABDQwNTEEAAAAATAHAAAACTYvMzAvMjAxOAgAAAAKMTIvMzEvMjAxNwkAAAABMGKSdIUUCdYIRUldhxQJ1gggQ0lRLklRVFIxNzI2MjE0NzEuSVFf</t>
  </si>
  <si>
    <t>VFJfRUFSTk9VVFMBAAAAn/5JCgIAAAAAAOY7RYIUCdYIe9JmhxQJ1gguQ0lRLk5BU0RBUUdTOlpGR04uSVFfTUFSS0VUQ0FQLjMvMzEvMjAxOC5VU0QuSAEAAACXwLoBAgAAAAoyMDUuMzEzNjc4AQYAAAAFAAAAATEBAAAACjE4Nzg3ODk0MTIDAAAAAzE2MAIAAAAGMTAwMDU0BAAAAAEwBwAAAAkzLzMxLzIwMTjGJeOEFAnWCKeEWIcUCdYIKENJUS5JUTI2Njg2NDIuSVFfTEFTVFNBTEVQUklDRS42LzMwLzIwMTgBAAAAYrgoAAIAAAAENC44NADmO0WCFAnWCMQ0aYcUCdYIIENJUS5JUTExMzgyNjU4LklRX0NPTVBBTllfVElDS0VSAQAAAIKvrQADAAAADU5hc2RhcUdTOklDUFQA5jtFghQJ1gjXNaKCFAnWCEBDSVEuT1RDUEs6QlRIRS5JUV9FQklUREFfM1lSX0FOTl9DQUdSLjIwMDAuNi8zMC8yMDE4LkxGUi5GLlVTRC5IAQAAAG+duQUDAAAAAk5NAQgAAAAFAAAAATEBAAAACjE4ODg2NjM3NDIDAAAAAzE2MAIAAAAENDIyMgQAAAABMAcAAAAJNi8zMC8yMDE4CAAAAAkzLzMxLzIwMTgJAAAAATDlD++EFAnWCDFeUYcUCdYIIUNJUS5OQVNEQVFHTTpSWVRNLklRX0NPTVBBTllfTkFNRQEAAAAYyW0SAwAAABxSaHl0aG0gUGhhcm1hY2V1dGljYWxzLCBJbmMuAGKSdIUUCdYIRUldhxQJ1gguQ0lRLk5BU0RBUUdTOkxYUlguSVFfTUFSS0VUQ0FQLjMvMzEvMjAxOC5VU0QuSAEAAAA9eAAAAgAAAAo5MDQuOTIx</t>
  </si>
  <si>
    <t>OTY2AQYAAAAFAAAAATEBAAAACjE4NzcxMzM5NzIDAAAAAzE2MAIAAAAGMTAwMDU0BAAAAAEwBwAAAAkzLzMxLzIwMThiknSFFAnWCEVJXYcUCdYIH0NJUS5JUTI2Njg2NDIuSVFfTEFTVFNBTEVQUklDRS4BAAAAYrgoAAIAAAAENC4zMQDpbVmGFAnWCOltWYYUCdYIPENJUS5OQVNEQVFHUzpDWVRLLklRX0VCSVREQV9FU1QuQ1kyMDIwLjYvMzAvMjAxOC5DT04uRi5VU0QuSAEAAACzagAAAgAAAAkxMjcuODk5NTMBDgAAAAUAAAACMTEBAAAAATACAAAACjEwMDE1ODgxMzEDAAAABjEwMDE4NwQAAAABMgYAAAABMAcAAAADMTYwCAAAAAEwCQAAAAExCgAAAAEwCwAAAAsxMDkzMDcyMDgyMAwAAAABNw0AAAAINy8xLzIwMTgQAAAACTYvMzAvMjAxOK+G5YQUCdYIZSJWhxQJ1ggvQ0lRLklRVFIzODQwMjg0OTYuSVFfVFJfVEFSR0VUX1RPVEFMX1JFVi4uVVNELkgBAAAAUM/jFgIAAAAIMC4zMjI0NzQBBgAAAAUAAAACMzcBAAAACjE4MDE5MzA0NzUCAAAAAjI4AwAAAAMxNjAEAAAAATAHAAAACDEvMS8xOTAw5jtFghQJ1gh70maHFAnWCB1DSVEuTkFTREFRR1M6WkZHTi5JUV9FWENIQU5HRQEAAACXwLoBAwAAAAhOYXNkYXFHUwDGJeOEFAnWCKeEWIcUCdYIKUNJUS5JUVRSNTUyNzIwMjA3LklRX1RSX0lNUExJRURfRVFfTklfTFRNAQAAAE/X8SADAAAAAk5NAOY7RYIUCdYIe9JmhxQJ1ghGQ0lRLk5BU0RBUUdT</t>
  </si>
  <si>
    <t>OklDUFQuSVFfVE9UQUxfUkVWXzVZUl9BTk5fQ0FHUi4yMDAwLjYvMzAvMjAxOC5MRlIuRi5VU0QuSAEAAACCr60AAgAAAAgxMzMuNjk1NAEIAAAABQAAAAExAQAAAAoxODg4NjE1NTQwAwAAAAMxNjACAAAABDQyMzMEAAAAATAHAAAACTYvMzAvMjAxOAgAAAAJMy8zMS8yMDE4CQAAAAEw6W1ZhhQJ1ggvcGSHFAnWCDVDSVEuTkFTREFRR006TU5LRC5JUV9DQVBFWC4xOTk2LjYvMzAvMjAxOC5MRlIuRi5VU0QuSAEAAABmpY0AAgAAAAEwAQgAAAAFAAAAATEBAAAACjE4ODk3NzU5NjUDAAAAAzE2MAIAAAAEMjAyMQQAAAABMAcAAAAJNi8zMC8yMDE4CAAAAAkzLzMxLzIwMTcJAAAAATDpbVmGFAnWCOANYocUCdYIQkNJUS4oSU5WQUxJRCBJREVOVElGSUVSKS5JUV9FQklUX01BUkdJTi4yMDAwLjYvMzAvMjAxOC5MRlIuRi5VU0QuSAUAAAAAAAAACAAAABQoSW52YWxpZCBJZGVudGlmaWVyKeUP74QUCdYIMV5RhxQJ1ggxQ0lRLkFNRVg6QlRYLklRX0VCSVREQS4xOTk2LjYvMzAvMjAxOC5MRlIuRi5VU0QuSAEAAAAWZAAAAgAAAActNDIuNjM5AQgAAAAFAAAAATEBAAAACjE4ODc5ODAxNTcDAAAAAzE2MAIAAAAENDA1MQQAAAABMAcAAAAJNi8zMC8yMDE4CAAAAAkzLzMxLzIwMTcJAAAAATDGJeOEFAnWCGUiVocUCdYIPUNJUS5OQVNEQVFHTTpNTktELklRX1JFVkVOVUVfRVNULkNZMjAxOC42LzMwLzIwMTgu</t>
  </si>
  <si>
    <t>Q09OLkYuVVNELkgBAAAAZqWNAAIAAAAGMjAuODM0AQ4AAAAFAAAAAjExAQAAAAEwAgAAAAoxMDAwNTk0MzQ3AwAAAAYxMDAxODAEAAAAATIGAAAAATAHAAAAAzE2MAgAAAABMAkAAAABMQoAAAABMAsAAAALMTA5NDE2NTQ1MzQMAAAAATcNAAAACDcvMS8yMDE4EAAAAAk2LzMwLzIwMTjpbVmGFAnWCOANYocUCdYIPENJUS5OQVNEQVFHTTpNTktELklRX0VBUk5JTkdfQ08uQ1kyMDE2LjYvMzAvMjAxOC5MRlIuRi5VU0QuSAEAAABmpY0AAgAAAAcxMjUuNjY0AQgAAAAFAAAAATEBAAAACjE4NzYyMzg5MzYDAAAAAzE2MAIAAAABNwQAAAABMAcAAAAJNi8zMC8yMDE4CAAAAAoxMi8zMS8yMDE2CQAAAAEw6W1ZhhQJ1gjgDWKHFAnWCDtDSVEuTkFTREFRQ006QVZFTy5JUV9FQklUX01BUkdJTi4yMDAwLjYvMzAvMjAxOC5MRlIuRi5VU0QuSAEAAAD0Fh0AAwAAAAJOTQEIAAAABQAAAAExAQAAAAoxODg3MjM0Mjk1AwAAAAMxNjACAAAABDQwNTMEAAAAATAHAAAACTYvMzAvMjAxOAgAAAAJMy8zMS8yMDE4CQAAAAEwxiXjhBQJ1ghlIlaHFAnWCEJDSVEuQ1BTRTpaRUFMLklRX1RPVEFMX1JFVl8yWVJfQU5OX0NBR1IuMjAwMC42LzMwLzIwMTguTEZSLkYuVVNELkgBAAAAIlsTAAIAAAAILTM3Ljc1NDkBCAAAAAUAAAABMQEAAAAKMTg4OTkxMzEwMAMAAAACNDICAAAABDQyMDcEAAAAATAHAAAACTYvMzAvMjAxOAgA</t>
  </si>
  <si>
    <t>AAAJMy8zMS8yMDE4CQAAAAEwYpJ0hRQJ1gjgDWKHFAnWCC5DSVEuTkFTREFRR1M6WkZHTi5JUV9NQVJLRVRDQVAuNi8zMC8yMDE4LlVTRC5IAQAAAJfAugECAAAACjM2My43NjczNzMBBgAAAAUAAAABMQEAAAAKMTg4OTg5NDcwOQMAAAADMTYwAgAAAAYxMDAwNTQEAAAAATAHAAAACTYvMzAvMjAxOMYl44QUCdYIp4RYhxQJ1ggjQ0lRLlNIU0U6NjAwODY3LklRX0ZJUlNUUFJJQ0lOR0RBVEUBAAAA2D6uAAUAAAAJNi8yOC8xOTk2AGKSdIUUCdYI4A1ihxQJ1gg4Q0lRLlNIU0U6NjAwODY3LklRX0VBUk5JTkdfQ08uMTk5Ni42LzMwLzIwMTguTEZSLkYuVVNELkgBAAAA2D6uAAIAAAAJOTkuOTY5ODE4AQgAAAAFAAAAATEBAAAACjE4ODUxNDYyNjkDAAAAAzE2MAIAAAABNwQAAAABMAcAAAAJNi8zMC8yMDE4CAAAAAkzLzMxLzIwMTcJAAAAATBiknSFFAnWCOANYocUCdYINkNJUS5OQVNEQVFHUzpBUFRYLklRX0VCSVREQS4xOTkyLjYvMzAvMjAxOC5MRlIuRi5VU0QuSAEAAAAvKQwUAwAAAAAAYpJ0hRQJ1ghFSV2HFAnWCDtDSVEuTkFTREFRR006VlRWVC5JUV9UT1RBTF9SRVYuQ1kyMDE2LjYvMzAvMjAxOC5MRlIuRi5VU0QuSAEAAAAdox8SAgAAAAUwLjYzNAEIAAAABQAAAAExAQAAAAoxODc2MTM3MzAwAwAAAAMxNjACAAAAAjI4BAAAAAEwBwAAAAk2LzMwLzIwMTgIAAAACjEyLzMxLzIwMTYJAAAAATDl</t>
  </si>
  <si>
    <t>D++EFAnWCIbAU4cUCdYIRENJUS5PVENQSzpCVEhFLklRX01JTk9SSVRZX0lOVEVSRVNUX1RPVEFMLjIwMDAuNi8zMC8yMDE4LkxGUi5GLlVTRC5IAQAAAG+duQUDAAAAAADlD++EFAnWCIbAU4cUCdYIJkNJUS5OQVNEQVFDTTpDVVIuSVFfQkVUQV8xWVIuNi8zMC8yMDE4AQAAAPHudQACAAAAEDIuMzAxNDAyMjE5NzMzMDQA5Q/vhBQJ1ggxXlGHFAnWCCFDSVEuTkFTREFRQ006QVZFTy5JUV9DT01QQU5ZX05BTUUBAAAA9BYdAAMAAAAaQVZFTyBQaGFybWFjZXV0aWNhbHMsIEluYy4AxiXjhBQJ1ghlIlaHFAnWCDpDSVEuTkFTREFRQ006Q1VSLklRX1RPVEFMX1JFVi5DWTIwMTcuNi8zMC8yMDE4LkxGUi5GLlVTRC5IAQAAAPHudQACAAAABDAuMjYBCAAAAAUAAAABMQEAAAAKMTg4MTA2NTcxMwMAAAADMTYwAgAAAAIyOAQAAAABMAcAAAAJNi8zMC8yMDE4CAAAAAoxMi8zMS8yMDE3CQAAAAEw5Q/vhBQJ1ggxXlGHFAnWCCJDSVEuSVFUUjU1MjcyMDIwNy5JUV9UUl9QQ1RfU09VR0hUAQAAAE/X8SACAAAAAzEwMAEGAAAABQAAAAI1NAEAAAAGMTAxMDI0AgAAAAk1NTI3MjAyMDcDAAAACTU1MjcyNjE5NgQAAAADMTYwBgAAAARUcnVl5jtFghQJ1gh70maHFAnWCDpDSVEuU0hTRTo2MDA4NjcuSVFfRUFSTklOR19DTy5DWTIwMTYuNi8zMC8yMDE4LkxGUi5GLlVTRC5IAQAAANg+rgACAAAACTkyLjA1OTUwNwEI</t>
  </si>
  <si>
    <t>AAAABQAAAAExAQAAAAoxODgzMTE4NDczAwAAAAMxNjACAAAAATcEAAAAATAHAAAACTYvMzAvMjAxOAgAAAAKMTIvMzEvMjAxNgkAAAABMGKSdIUUCdYI4A1ihxQJ1gg8Q0lRLk5BU0RBUUdNOlJZVE0uSVFfVE9UQUxfRVFVSVRZLjE5OTYuNi8zMC8yMDE4LkxGUi5GLlVTRC5IAQAAABjJbRICAAAABjIxLjU3NQEIAAAABQAAAAExAQAAAAoxODg4OTExNDUzAwAAAAMxNjACAAAABDEyNzUEAAAAATAHAAAACTYvMzAvMjAxOAgAAAAJMy8zMS8yMDE3CQAAAAEwYpJ0hRQJ1ghFSV2HFAnWCC9DSVEuSVFUUjEwODkwNjI3Ni5JUV9UUl9UQVJHRVRfVE9UQUxfUkVWLi5VU0QuSAEAAAAkx30GAgAAAAAA5jtFghQJ1gjENGmHFAnWCDtDSVEuTkFTREFRQ006Q1VSLklRX1RPVEFMX0VRVUlUWS4xOTk2LjYvMzAvMjAxOC5MRlIuRi5VU0QuSAEAAADx7nUAAgAAAAg5Ljc3OTc2NwEIAAAABQAAAAExAQAAAAoxODg4ODczMTk5AwAAAAMxNjACAAAABDEyNzUEAAAAATAHAAAACTYvMzAvMjAxOAgAAAAJMy8zMS8yMDE3CQAAAAEw5Q/vhBQJ1ggxXlGHFAnWCDpDSVEuQ1BTRTpOT1ZPIEIuSVFfVE9UQUxfRVFVSVRZLjIwMDAuNi8zMC8yMDE4LkxGUi5GLlVTRC5IAQAAAHzvBAACAAAACzczMTEuNzM5ODA3AQgAAAAFAAAAATEBAAAACjE4OTI2MjM5NTMDAAAAAzE2MAIAAAAEMTI3NQQAAAABMAcAAAAJNi8zMC8yMDE4CAAA</t>
  </si>
  <si>
    <t>AAkzLzMxLzIwMTgJAAAAATCUC1eGFAnWCC9wZIcUCdYIMENJUS5OQVNEQVFHUzpOSVRFLklRX0xBU1RTQUxFUFJJQ0UuNi8zMC8yMDE4LlVTRAEAAAAM0xgQAgAAAAIxNgDGJeOEFAnWCKeEWIcUCdYIH0NJUS4uSVFfVFJfVEFSR0VUX0VCSVREQS4uVVNELkgFAAAAAQAAAAgAAAAUKEludmFsaWQgSWRlbnRpZmllcimUC1eGFAnWCJQLV4YUCdYIMkNJUS5DUFNFOlpFQUwuSVFfRUJJVERBLjE5OTYuNi8zMC8yMDE4LkxGUi5GLlVTRC5IAQAAACJbEwACAAAACS03LjA3Mjg1MgEIAAAABQAAAAExAQAAAAoxODg5OTEzMDk3AwAAAAMxNjACAAAABDQwNTEEAAAAATAHAAAACTYvMzAvMjAxOAgAAAAJMy8zMS8yMDE3CQAAAAEwYpJ0hRQJ1gjgDWKHFAnWCDhDSVEuTkFTREFRR1M6TklURS5JUV9UT1RBTF9DQS4xOTk2LjYvMzAvMjAxOC5MRlIuRi5VU0QuSAEAAAAM0xgQAwAAAAAAxiXjhBQJ1ginhFiHFAnWCCNDSVEuSVFUUjU1MjcyMDIwNy5JUV9UUl9DTE9TRURfREFURQEAAABP1/EgBQAAAAkyLzEyLzIwMTgA5jtFghQJ1ghw+MWCFAnWCCVDSVEuTkFTREFRR1M6TklURS5JUV9GSVJTVFBSSUNJTkdEQVRFAQAAAAzTGBAFAAAACTkvMjgvMjAxNwDGJeOEFAnWCKeEWIcUCdYIPkNJUS5OQVNEQVFHUzpBUFRYLklRX1RPVEFMX0VRVUlUWS5DWTIwMTcuNi8zMC8yMDE4LkxGUi5GLlVTRC5IAQAAAC8pDBQCAAAA</t>
  </si>
  <si>
    <t>BjkyLjY2OAEIAAAABQAAAAExAQAAAAoxODkwODUxMzgxAwAAAAMxNjACAAAABDEyNzUEAAAAATAHAAAACTYvMzAvMjAxOAgAAAAKMTIvMzEvMjAxNwkAAAABMGKSdIUUCdYIRUldhxQJ1ggjQ0lRLlNFSEs6MTUzMC5JUV9CRVRBXzFZUi42LzMwLzIwMTgBAAAA77hwAQIAAAAQMC45OTM5MDUyODE3MjcyMQDpbVmGFAnWCC9wZIcUCdYIQENJUS5PVENQSzpORVhTLklRX0VCSVREQV8yWVJfQU5OX0NBR1IuMjAwMC42LzMwLzIwMTguTEZSLkYuVVNELkgBAAAAHb1OFAMAAAAAAOUP74QUCdYIMV5RhxQJ1gg6Q0lRLk9UQ1BLOlJaTFQuSVFfUkVWRU5VRV9FU1QuQ1kyMDE4LjYvMzAvMjAxOC5DT04uRi5VU0QuSAEAAAAhCZsKAwAAAAAA5Q/vhBQJ1giGwFOHFAnWCDBDSVEuTkFTREFRR1M6WkZHTi5JUV9MQVNUU0FMRVBSSUNFLjYvMzAvMjAxOC5VU0QBAAAAl8C6AQIAAAAFMTAuMjMAxiXjhBQJ1ginhFiHFAnWCDhDSVEuTkFTREFRQ006Q09SVC5JUV9UT1RBTF9DQS4xOTkyLjYvMzAvMjAxOC5MRlIuRi5VU0QuSAEAAADSuRUAAgAAAAY1MC41MTQBCAAAAAUAAAABMQEAAAAKMTg0MDE3MDk2OAMAAAADMTYwAgAAAAQxMDA4BAAAAAEwBwAAAAk2LzMwLzIwMTgIAAAACTMvMzEvMjAxNgkAAAABMGKSdIUUCdYIlKtfhxQJ1ggpQ0lRLklRVFIzMDY3NTEwOTYuSVFfVFJfSU1QTElFRF9FUV9OSV9MVE0BAAAAeKZI</t>
  </si>
  <si>
    <t>EgMAAAACTk0A5jtFghQJ1gh70maHFAnWCCRDSVEuT1RDUEs6UlpMVC5JUV9CRVRBXzVZUi42LzMwLzIwMTgBAAAAIQmbCgIAAAATLTAuMDMyMTI4MTUxNDA1OTI3NgDlD++EFAnWCIbAU4cUCdYIJkNJUS5OQVNEQVFHUzpPRFQuSVFfQkVUQV81WVIuNi8zMC8yMDE4AQAAABoaRSADAAAAAACvhuWEFAnWCKeEWIcUCdYIIENJUS5BTUVYOkJUWC5JUV9GSVJTVFBSSUNJTkdEQVRFAQAAABZkAAAFAAAACDMvNS8xOTkyAMYl44QUCdYIZSJWhxQJ1gg6Q0lRLk9UQ1BLOk5FWFMuSVFfUkVWRU5VRV9FU1QuQ1kyMDE5LjYvMzAvMjAxOC5DT04uRi5VU0QuSAEAAAAdvU4UAwAAAAAA5Q/vhBQJ1ggxXlGHFAnWCDRDSVEuU0VISzoxNTMwLklRX0VCSVREQS5DWTIwMTYuNi8zMC8yMDE4LkxGUi5GLlVTRC5IAQAAAO+4cAECAAAACjE0MS4yOTc0OTEBCAAAAAUAAAABMQEAAAAKMTg4NjA5OTgyMgMAAAADMTYwAgAAAAQ0MDUxBAAAAAEwBwAAAAk2LzMwLzIwMTgIAAAACjEyLzMxLzIwMTYJAAAAATCUC1eGFAnWCC9wZIcUCdYIQENJUS5PVENQSzpORVhTLklRX0VCSVREQV81WVJfQU5OX0NBR1IuMjAwMC42LzMwLzIwMTguTEZSLkYuVVNELkgBAAAAHb1OFAMAAAAAAOUP74QUCdYIMV5RhxQJ1gg4Q0lRLkNQU0U6Tk9WTyBCLklRX0VBUk5JTkdfQ08uMjAwMC42LzMwLzIwMTguTEZSLkYuVVNELkgBAAAAfO8EAAIAAAAL</t>
  </si>
  <si>
    <t>NjQwMC41NDA4MDMBCAAAAAUAAAABMQEAAAAKMTg5MjYyMzk1MwMAAAADMTYwAgAAAAE3BAAAAAEwBwAAAAk2LzMwLzIwMTgIAAAACTMvMzEvMjAxOAkAAAABMJQLV4YUCdYIe9JmhxQJ1gglQ0lRLklRVFIxMDg5MDYyNzYuSVFfVFJfSU1QTElFRF9FUV9CVgEAAAAkx30GAgAAAAAA5jtFghQJ1gjENGmHFAnWCDZDSVEuTkFTREFRR1M6WkZHTi5JUV9FQklUREEuMjAwMC42LzMwLzIwMTguTEZSLkYuVVNELkgBAAAAl8C6AQIAAAAHLTU1LjIzOQEIAAAABQAAAAExAQAAAAoxODg5ODk1MzgxAwAAAAMxNjACAAAABDQwNTEEAAAAATAHAAAACTYvMzAvMjAxOAgAAAAJMy8zMS8yMDE4CQAAAAEwxiXjhBQJ1ginhFiHFAnWCD1DSVEuTkFTREFRR1M6TFhSWC5JUV9SRVZFTlVFX0VTVC5DWTIwMjAuNi8zMC8yMDE4LkNPTi5GLlVTRC5IAQAAAD14AAACAAAACDI3My42MjEyAQ4AAAAFAAAAAjExAQAAAAEwAgAAAAoxMDAxODMxMjkwAwAAAAYxMDAxODAEAAAAATIGAAAAATAHAAAAAzE2MAgAAAABMAkAAAABMQoAAAABMAsAAAALMTA4NjcxMTY3MjQMAAAAATcNAAAACDcvMS8yMDE4EAAAAAk2LzMwLzIwMThiknSFFAnWCJSrX4cUCdYIQ0NJUS5TRUhLOjM5MzMuSVFfTUlOT1JJVFlfSU5URVJFU1RfVE9UQUwuMjAwMC4zLzMxLzIwMTguTEZSLkYuVVNELkgBAAAATdoRAgMAAAAAAOltWYYUCdYI4A1ihxQJ1ggiQ0lR</t>
  </si>
  <si>
    <t>LkFNRVg6QlRYLklRX0JFVEFfMVlSLjYvMzAvMjAxOAEAAAAWZAAAAgAAABAxLjM5NzE3NDY2MTAxMTQ4AK+G5YQUCdYIZSJWhxQJ1gg8Q0lRLk5BU0RBUUdTOkxYUlguSVFfRUJJVERBX0VTVC5DWTIwMTkuNi8zMC8yMDE4LkNPTi5GLlVTRC5IAQAAAD14AAACAAAAAy0yNAEOAAAABQAAAAIxMQEAAAABMAIAAAAKMTAwMTgzMTI4NQMAAAAGMTAwMTg3BAAAAAEyBgAAAAEwBwAAAAMxNjAIAAAAATAJAAAAATEKAAAAATALAAAACzEwNzYyMzU1MjA0DAAAAAE3DQAAAAg3LzEvMjAxOBAAAAAJNi8zMC8yMDE4YpJ0hRQJ1giUq1+HFAnWCBlDSVEuU0VISzozOTMzLklRX0VYQ0hBTkdFAQAAAE3aEQIDAAAABFNFSEsAlAtXhhQJ1ggvcGSHFAnWCDZDSVEuQ1BTRTpOT1ZPIEIuSVFfVE9UQUxfQ0wuMTk5Mi42LzMwLzIwMTguTEZSLkYuVVNELkgBAAAAfO8EAAIAAAAKNjI3OC4zMTYxNgEIAAAABQAAAAExAQAAAAoxODQwMDY5NjU3AwAAAAMxNjACAAAABDEwMDkEAAAAATAHAAAACTYvMzAvMjAxOAgAAAAJMy8zMS8yMDE2CQAAAAEwlAtXhhQJ1gh70maHFAnWCDhDSVEuTkFTREFRQ006Q09SVC5JUV9FQklUREEuQ1kyMDE2LjYvMzAvMjAxOC5MRlIuRi5VU0QuSAEAAADSuRUAAgAAAAYxMC4yNjYBCAAAAAUAAAABMQEAAAAKMTg3NzExMTI1MwMAAAADMTYwAgAAAAQ0MDUxBAAAAAEwBwAAAAk2LzMwLzIwMTgIAAAA</t>
  </si>
  <si>
    <t>CjEyLzMxLzIwMTYJAAAAATBiknSFFAnWCJSrX4cUCdYIPENJUS5OQVNEQVFHUzpYRVJTLklRX1RPVEFMX0VRVUlUWS4xOTkyLjYvMzAvMjAxOC5MRlIuRi5VU0QuSAEAAADg7k8GAwAAAAAAxiXjhBQJ1ghn51qHFAnWCDxDSVEuTkFTREFRR1M6QVBUWC5JUV9FQVJOSU5HX0NPLkNZMjAxNi42LzMwLzIwMTguTEZSLkYuVVNELkgBAAAALykMFAIAAAAHLTE1LjQ3OAEIAAAABQAAAAExAQAAAAoxODkwODUxMzY3AwAAAAMxNjACAAAAATcEAAAAATAHAAAACTYvMzAvMjAxOAgAAAAKMTIvMzEvMjAxNgkAAAABMGKSdIUUCdYIRUldhxQJ1gg4Q0lRLkNQU0U6Tk9WTyBCLklRX1RPVEFMX0RFQlQuMjAwMC42LzMwLzIwMTguTEZSLkYuVVNELkgBAAAAfO8EAAIAAAAJMzcuNjg0MjY5AQgAAAAFAAAAATEBAAAACjE4OTI2MjM5NTMDAAAAAzE2MAIAAAAENDE3MwQAAAABMAcAAAAJNi8zMC8yMDE4CAAAAAkzLzMxLzIwMTgJAAAAATCUC1eGFAnWCHvSZocUCdYIN0NJUS5FTlhUUEE6RVJZUC5JUV9OSV9NQVJHSU4uMjAwMC42LzMwLzIwMTguTEZSLkYuVVNELkgBAAAA2Ip4AQMAAAACTk0BCAAAAAUAAAABMQEAAAAKMTg4NTIwNDIxOQMAAAACNTACAAAABDQwOTQEAAAAATAHAAAACTYvMzAvMjAxOAgAAAAKMTIvMzEvMjAxNwkAAAABMOUP74QUCdYIMV5RhxQJ1gg6Q0lRLk5BU0RBUUNNOkFWRU8uSVFfRUFSTklOR19D</t>
  </si>
  <si>
    <t>Ty4yMDAwLjYvMzAvMjAxOC5MRlIuRi5VU0QuSAEAAAD0Fh0AAgAAAActNjUuMTczAQgAAAAFAAAAATEBAAAACjE4ODcyMzQyOTUDAAAAAzE2MAIAAAABNwQAAAABMAcAAAAJNi8zMC8yMDE4CAAAAAkzLzMxLzIwMTgJAAAAATDGJeOEFAnWCGUiVocUCdYIPENJUS5OQVNEQVFHTTpWVFZULklRX0VBUk5JTkdfQ08uQ1kyMDE3LjYvMzAvMjAxOC5MRlIuRi5VU0QuSAEAAAAdox8SAgAAAActNTQuNjQ3AQgAAAAFAAAAATEBAAAACjE4NzYxMzczMDkDAAAAAzE2MAIAAAABNwQAAAABMAcAAAAJNi8zMC8yMDE4CAAAAAoxMi8zMS8yMDE3CQAAAAEw5Q/vhBQJ1giGwFOHFAnWCDlDSVEuTkFTREFRR006Rk9MRC5JUV9UT1RBTF9SRVYuMjAwMC42LzMwLzIwMTguTEZSLkYuVVNELkgBAAAAVvZqAAIAAAAGNDkuNDU3AQgAAAAFAAAAATEBAAAACjE4ODg0ODQ2NTEDAAAAAzE2MAIAAAACMjgEAAAAATAHAAAACTYvMzAvMjAxOAgAAAAJMy8zMS8yMDE4CQAAAAEwYpJ0hRQJ1giUq1+HFAnWCDtDSVEuTkFTREFRQ006Q1VSLklRX1RPVEFMX0VRVUlUWS4xOTkyLjYvMzAvMjAxOC5MRlIuRi5VU0QuSAEAAADx7nUAAgAAAAktMC4xNjkzODkBCAAAAAUAAAABMQEAAAAKMTg0MTA3MjY4NQMAAAADMTYwAgAAAAQxMjc1BAAAAAEwBwAAAAk2LzMwLzIwMTgIAAAACTMvMzEvMjAxNgkAAAABMOUP74QUCdYIMV5RhxQJ1gg8Q0lR</t>
  </si>
  <si>
    <t>Lk5BU0RBUUdTOk5JVEUuSVFfRUFSTklOR19DTy5DWTIwMTYuNi8zMC8yMDE4LkxGUi5GLlVTRC5IAQAAAAzTGBACAAAABy0xMi4xOTgBCAAAAAUAAAABMQEAAAAKMTg4MTUxMDA3NgMAAAADMTYwAgAAAAE3BAAAAAEwBwAAAAk2LzMwLzIwMTgIAAAACjEyLzMxLzIwMTYJAAAAATDGJeOEFAnWCKeEWIcUCdYIOENJUS5TRUhLOjE1MzAuSVFfRUJJVERBX0VTVC5DWTIwMTkuNi8zMC8yMDE4LkNPTi5GLlVTRC5IAQAAAO+4cAECAAAAEDMyOS43NDMyNDU0ODcyNjkBDgAAAAUAAAACMTEBAAAAATACAAAACjEwMDA5NTEwMjgDAAAABjEwMDE4NwQAAAABMwYAAAABMAcAAAADMTYwCAAAAAEwCQAAAAExCgAAAAEwCwAAAAsxMDkyODYwMDcyNAwAAAABNw0AAAAINy8xLzIwMTgQAAAACTYvMzAvMjAxOOltWYYUCdYIL3BkhxQJ1gg4Q0lRLk5BU0RBUUdTOklUQ0kuSVFfVE9UQUxfQ0EuMTk5Ni42LzMwLzIwMTguTEZSLkYuVVNELkgBAAAAd9GPAAIAAAAKMzcxLjYxMDg1OAEIAAAABQAAAAExAQAAAAoxODg2NjE3MzYyAwAAAAMxNjACAAAABDEwMDgEAAAAATAHAAAACTYvMzAvMjAxOAgAAAAJMy8zMS8yMDE3CQAAAAEwYpJ0hRQJ1ghn51qHFAnWCCFDSVEuSVEzNDA3MDQ1NDEuSVFfQ09NUEFOWV9USUNLRVIBAAAAHb1OFAMAAAAKT1RDUEs6TkVYUwDmO0WCFAnWCHzRvoIUCdYIQ0NJUS4oSU5WQUxJRCBJREVOVElG</t>
  </si>
  <si>
    <t>SUVSKS5JUV9FQklUREFfRVNULkNZMjAyMC42LzMwLzIwMTguQ09OLkYuVVNELkgFAAAAAAAAAAgAAAAUKEludmFsaWQgSWRlbnRpZmllcinlD++EFAnWCDFeUYcUCdYIN0NJUS5OQVNEQVFHUzpPRFQuSVFfVE9UQUxfQ0wuMTk5Ni42LzMwLzIwMTguTEZSLkYuVVNELkgBAAAAGhpFIAMAAAAAAMYl44QUCdYIp4RYhxQJ1ghGQ0lRLk5BU0RBUUdTOlhFUlMuSVFfVE9UQUxfUkVWXzVZUl9BTk5fQ0FHUi4yMDAwLjYvMzAvMjAxOC5MRlIuRi5VU0QuSAEAAADg7k8GAwAAAAAAxiXjhBQJ1ghn51qHFAnWCClDSVEuSVFUUjI0OTk4MTU2NC5JUV9CVVNJTkVTU19ERVNDUklQVElPTgEAAAB5vQEAAwAAAJsLU2FudGFydXMsIEluYy4sIGEgc3BlY2lhbHR5IGJpb3BoYXJtYWNldXRpY2FsIGNvbXBhbnksIGZvY3VzZXMgb24gYWNxdWlyaW5nLCBkZXZlbG9waW5nLCBhbmQgY29tbWVyY2lhbGl6aW5nIHByb3ByaWV0YXJ5IHByb2R1Y3RzIHRoYXQgYWRkcmVzcyB0aGUgbmVlZHMgb2YgcGF0aWVudHMgdHJlYXRlZCBieSBwaHlzaWNpYW4gc3BlY2lhbGlzdHMuIFRoZSBjb21wYW55IG9mZmVycyBVQ0VSSVMgKGJ1ZGVzb25pZGUpIGV4dGVuZGVkIHJlbGVhc2UgdGFibGV0cyBmb3IgdGhlIGluZHVjdGlvbiBvZiByZW1pc3Npb24gaW4gcGF0aWVudHMgd2l0aCBhY3RpdmUsIG1pbGQgdG8gbW9kZXJhdGUgdWxjZXJh</t>
  </si>
  <si>
    <t>dGl2ZSBjb2xpdGlzOyBhbmQgWkVHRVJJRCAob21lcHJhem9sZS9zb2RpdW0gYmljYXJib25hdGUpIGZvciB0aGUgdHJlYXRtZW50IG9mIGNlcnRhaW4gdXBwZXIgZ2FzdHJvaW50ZXN0aW5hbCBkaXNvcmRlcnMuIEl0IGFsc28gcHJvdmlkZXMgR0xVTUVUWkEgKG1ldGZvcm1pbiBoeWRyb2NobG9yaWRlIGV4dGVuZGVkIHJlbGVhc2UgdGFibGV0cykgYW5kIENZQ0xPU0VUIChicm9tb2NyaXB0aW5lIG1lc3lsYXRlKSB0YWJsZXRzLCB3aGljaCBhcmUgaW5kaWNhdGVkIGFzIGFkanVuY3RzIHRvIGRpZXQgYW5kIGV4ZXJjaXNlIHRvIGltcHJvdmUgZ2x5Y2VtaWMgY29udHJvbCBpbiBhZHVsdHMgd2l0aCB0eXBlIDIgZGlhYmV0ZXM7IGFuZCBGRU5PR0xJREUgKGZlbm9maWJyYXRlKSB0YWJsZXRzLCB3aGljaCBhcmUgaW5kaWNhdGVkIGFzIGFuIGFkanVuY3QgdG8gZGlldCB0byByZWR1Y2UgaGlnaCBjaG9sZXN0ZXJvbC4gU2FudGFydXMnIHByb2R1Y3QgZGV2ZWxvcG1lbnQgcGlwZWxpbmUgaW5jbHVkZXMgdGhlIGludmVzdGlnYXRpb25hbCBkcnVnIFJVQ09ORVNUIChyZWNvbWJpbmFudCBodW1hbiBDMSBlc3RlcmFzZSBpbmhpYml0b3IpIGZvciB0aGUgdHJlYXRtZW50IG9mIGFjdXRlIGFuZ2lvZWRlbWEgYXR0YWNrcyBpbiBwYXRpZW50cyB3aXRoIGhlcmVkaXRhcnkgYW5naW9lZGVtYS4gSXQgaXMg</t>
  </si>
  <si>
    <t>YWxzbyBkZXZlbG9waW5nIFJpZmFteWNpbiBTViBNTVgsIHdoaWNoIGlzIGluIFBoYXNlIElJSSBjbGluaWNhbCB0ZXN0aW5nIGZvciB0aGUgdHJlYXRtZW50IG9mIHRyYXZlbGVycycgZGlhcnJoZWEuIEluIGFkZGl0aW9uLCB0aGUgY29tcGFueSBoYXMgY29tcGxldGVkIGEgUGhhc2UgSSBjbGluaWNhbCBwcm9ncmFtIHdpdGggU0FOLTMwMCwgYW4gaW52ZXN0aWdhdGlvbmFsIG1vbm9jbG9uYWwgYW50aWJvZHkuIFNhbnRhcnVzLCBJbmMuIHdhcyBmb3VuZGVkIGluIDE5OTYgYW5kIGlzIGhlYWRxdWFydGVyZWQgaW4gU2FuIERpZWdvLCBDYWxpZm9ybmlhLiBBcyBvZiBEZWNlbWJlciAzMSwgMjAxMywgU2FudGFydXMsIEluYy4gb3BlcmF0ZXMgYXMgYSBzdWJzaWRpYXJ5IG9mIFNhbGl4IFBoYXJtYWNldXRpY2FscywgSW5jLgDmO0WCFAnWCHvSZocUCdYIN0NJUS5PVENQSzpSWkxULklRX0VBUk5JTkdfQ08uMTk5Ni42LzMwLzIwMTguTEZSLkYuVVNELkgBAAAAIQmbCgIAAAAKLTE3Ljk1OTI1NgEIAAAABQAAAAExAQAAAAoxODg5MTA1MTIwAwAAAAMxNjACAAAAATcEAAAAATAHAAAACTYvMzAvMjAxOAgAAAAJMy8zMS8yMDE3CQAAAAEw5Q/vhBQJ1giGwFOHFAnWCDxDSVEuTkFTREFRR006UllUTS5JUV9FQklUREFfRVNULkNZMjAxOS42LzMwLzIwMTguQ09OLkYuVVNELkgBAAAAGMltEgIAAAAJLTYz</t>
  </si>
  <si>
    <t>LjgwODQ4AQ4AAAAFAAAAAjExAQAAAAEwAgAAAAoxMDAzODk5MzQ2AwAAAAYxMDAxODcEAAAAATIGAAAAATAHAAAAAzE2MAgAAAABMAkAAAABMQoAAAABMAsAAAALMTA5MzYxNjA3NTQMAAAAATcNAAAACDcvMS8yMDE4EAAAAAk2LzMwLzIwMThiknSFFAnWCEVJXYcUCdYIJENJUS5PVENQSzpFTUlTLklRX0JFVEFfNVlSLjYvMzAvMjAxOAEAAAA+/QMAAgAAABAyLjE5NzQ1ODc5MDkxNjQ1AK+G5YQUCdYIZSJWhxQJ1gg2Q0lRLk9UQ1BLOkJUSEUuSVFfVE9UQUxfUkVWLjE5OTYuNi8zMC8yMDE4LkxGUi5GLlVTRC5IAQAAAG+duQUCAAAABzAuMDkxMDUBCAAAAAUAAAABMQEAAAAKMTg4ODY2MzczOQMAAAADMTYwAgAAAAIyOAQAAAABMAcAAAAJNi8zMC8yMDE4CAAAAAkzLzMxLzIwMTcJAAAAATDlD++EFAnWCIbAU4cUCdYINENJUS5TRUhLOjM5MzMuSVFfVE9UQUxfQ0wuMjAwMC42LzMwLzIwMTguTEZSLkYuVVNELkgBAAAATdoRAgIAAAAKNzM2LjA1OTU5OQEIAAAABQAAAAExAQAAAAoxODg1NzM5MjAyAwAAAAMxNjACAAAABDEwMDkEAAAAATAHAAAACTYvMzAvMjAxOAgAAAAKMTIvMzEvMjAxNwkAAAABMOltWYYUCdYI4A1ihxQJ1ggjQ0lRLklRVFIzODQwMjg0OTYuSVFfVFJfVE9UQUxfU1RPQ0sBAAAAUM/jFgIAAAAAAOY7RYIUCdYIe9JmhxQJ1ggkQ0lRLk5BU0RBUUNNOkFWRU8uSVFfRUZGRUNUX1RB</t>
  </si>
  <si>
    <t>WF9SQVRFAQAAAPQWHQADAAAAAk5NAQgAAAAFAAAAATEBAAAACjE4OTkwNTEyNTYDAAAAAzE2MAIAAAAENDM3NgQAAAABMAcAAAAJOC8yMy8yMDE4CAAAAAk2LzMwLzIwMTgJAAAAATDGJeOEFAnWCGUiVocUCdYIIUNJUS5JUVRSMTA4OTA2Mjc2LklRX1RSX0JVWUVSTkFNRQEAAAAkx30GAwAAABtTYW5vZmktQXZlbnRpcyAobmthOlNhbm9maSkA5jtFghQJ1gh70maHFAnWCCBDSVEuSVEzNjE4MzgzNC5JUV9MQVNUU0FMRVBSSUNFLgEAAAAaHygCAgAAAAQyLjc3AOltWYYUCdYI6W1ZhhQJ1gg1Q0lRLkFNRVg6QlRYLklRX0VBUk5JTkdfQ08uMjAwMC42LzMwLzIwMTguTEZSLkYuVVNELkgBAAAAFmQAAAIAAAAILTEzNC4wMTEBCAAAAAUAAAABMQEAAAAKMTg4Nzk4MDE2NQMAAAADMTYwAgAAAAE3BAAAAAEwBwAAAAk2LzMwLzIwMTgIAAAACTMvMzEvMjAxOAkAAAABMMYl44QUCdYIZSJWhxQJ1gg6Q0lRLkVOWFRQQTpFUllQLklRX0VCSVREQV9FU1QuQ1kyMDE4LjYvMzAvMjAxOC5DT04uRi5VU0QuSAEAAADYingBAgAAABEtNDkuMDAxNDAwMDczNDk3MwEOAAAABQAAAAIxMQEAAAABMAIAAAAKMTAwMjgzNTkyNQMAAAAGMTAwMTg3BAAAAAEzBgAAAAEwBwAAAAMxNjAIAAAAATAJAAAAATEKAAAAATALAAAACzEwOTQzMTU0NDA1DAAAAAE3DQAAAAg3LzEvMjAxOBAAAAAJNi8zMC8yMDE45Q/vhBQJ1ggxXlGH</t>
  </si>
  <si>
    <t>FAnWCDhDSVEuU0VISzoxNTMwLklRX0VCSVREQV9FU1QuQ1kyMDE4LjYvMzAvMjAxOC5DT04uRi5VU0QuSAEAAADvuHABAgAAABAyNjkuNzA2MDAwNDQyMzM5AQ4AAAAFAAAAAjExAQAAAAEwAgAAAAoxMDAwOTUxMDIzAwAAAAYxMDAxODcEAAAAATMGAAAAATAHAAAAAzE2MAgAAAABMAkAAAABMQoAAAABMAsAAAALMTEwNDk3Mzg3NTcMAAAAATcNAAAACDcvMS8yMDE4EAAAAAk2LzMwLzIwMTjpbVmGFAnWCC9wZIcUCdYIO0NJUS5OQVNEQVFHUzpDQkFZLklRX1BSRUZfRVFVSVRZLjIwMDAuNi8zMC8yMDE4LkxGUi5GLlVTRC5IAQAAAMB6AAADAAAAAABiknSFFAnWCEVJXYcUCdYIOkNJUS5OQVNEQVFHUzpPRFQuSVFfRUJJVF9NQVJHSU4uMjAwMC42LzMwLzIwMTguTEZSLkYuVVNELkgBAAAAGhpFIAMAAAAAAMYl44QUCdYIp4RYhxQJ1gg4Q0lRLlNFSEs6MjE4Ni5JUV9UT1RBTF9FUVVJVFkuMjAwMC42LzMwLzIwMTguTEZSLkYuVVNELkgBAAAAwoGYAAIAAAALMTA1OS44MTc3MjUBCAAAAAUAAAABMQEAAAAKMTg4NTQ5NTAwNgMAAAADMTYwAgAAAAQxMjc1BAAAAAEwBwAAAAk2LzMwLzIwMTgIAAAACjEyLzMxLzIwMTcJAAAAATDpbVmGFAnWCC9wZIcUCdYIIENJUS5JUVRSMzA2NzUxMDk2LklRX1RSX0VBUk5PVVRTAQAAAHimSBICAAAAAADmO0WCFAnWCHvSZocUCdYIJ0NJUS5OQVNEQVFHUzpDQkFZLklR</t>
  </si>
  <si>
    <t>X1BFUklPRERBVEVfSVMuMTAwMAEAAADAegAABQAAAAoxMi8zMS8yMDE3AGKSdIUUCdYIRUldhxQJ1gg9Q0lRLk5BU0RBUUdTOkxYUlguSVFfUkVWRU5VRV9FU1QuQ1kyMDIxLjYvMzAvMjAxOC5DT04uRi5VU0QuSAEAAAA9eAAAAgAAAAg0MjcuNDk3OAEOAAAABQAAAAIxMQEAAAABMAIAAAAKMTAwMTgzMTI5NQMAAAAGMTAwMTgwBAAAAAEyBgAAAAEwBwAAAAMxNjAIAAAAATAJAAAAATEKAAAAATALAAAACzEwODY3MTE2NzA2DAAAAAE3DQAAAAg3LzEvMjAxOBAAAAAJNi8zMC8yMDE4YpJ0hRQJ1giUq1+HFAnWCDJDSVEuTllTRTpNWU9WLklRX0VCSVREQS4xOTk2LjYvMzAvMjAxOC5MRlIuRi5VU0QuSAEAAACX2gsYAgAAAActNTUuNzk2AQgAAAAFAAAAATEBAAAACjE4OTI4MzQ3MjQDAAAAAzE2MAIAAAAENDA1MQQAAAABMAcAAAAJNi8zMC8yMDE4CAAAAAkzLzMxLzIwMTcJAAAAATBiknSFFAnWCJSrX4cUCdYIJUNJUS5TRUhLOjE1MzAuSVFfQlVTSU5FU1NfREVTQ1JJUFRJT04BAAAA77hwAQMAAAC5DzNTQmlvIEluYy4gZGV2ZWxvcHMsIG1hbnVmYWN0dXJlcywgbWFya2V0cywgYW5kIHNlbGxzIGJpb3BoYXJtYWNldXRpY2Fscy4gVGhlIGNvbXBhbnnigJlzIHByaW1hcnkgcHJvZHVjdHMgaW5jbHVkZSBUUElBTywgYSByZWNvbWJpbmFudCBodW1hbiB0aHJvbWJvcG9pZXRpbiBmb3IgdGhyb21ib2N5</t>
  </si>
  <si>
    <t>dG9wZW5pYTsgWWlzYWlwdSwgYSB0dW1vdXIgbmVjcm9zaXMgZmFjdG9yIGZvciB0cmVhdGluZyByaGV1bWF0b2lkIGFydGhyaXRpcywgYW5reWxvc2luZyBzcG9uZHlsaXRpcywgYW5kIHBzb3JpYXNpczsgYW5kIEVQSUFPLCBhIHJlY29tYmluYW50IGh1bWFuIGVyeXRocm9wb2lldGluIGZvciB0aGUgdHJlYXRtZW50IG9mIGFuZW1pYSBhc3NvY2lhdGVkIHdpdGggY2hyb25pYyBraWRuZXkgZGlzZWFzZSAoQ0tEKSwgY2hlbW90aGVyYXB5LWluZHVjZWQgYW5lbWlhLCBhbmQgcmVkdWN0aW9uIG9mIGFsbG9nZW5laWMgYmxvb2QgdHJhbnNmdXNpb24gaW4gc3VyZ2VyeSBwYXRpZW50cy4gSXRzIHByaW1hcnkgcHJvZHVjdHMgYWxzbyBjb21wcmlzZSBTRVBPLCBhIHJlY29tYmluYW50IGh1bWFuIGVyeXRocm9wb2lldGluIGZvciBhbmVtaWEgYXNzb2NpYXRlZCB3aXRoIENLRCBhbmQgY2hlbW90aGVyYXB5OyBCeWV0dGEvQnlkdXJlb24sIGFuIGV4ZW5hdGlkZSBpbmplY3Rpb24gdG8gaW1wcm92ZSBnbHljZW1pYyBjb250cm9sIGluIGFkdWx0cyB3aXRoIHR5cGUtMiBkaWFiZXRlcyBtZWxsaXR1czsgYW5kIFFpbWluZyBLZWxpIGZvciByZXRpbm9wYXRoeSBjYXVzZWQgYnkgdHlwZS0yIGRpYWJldGVzLiBJbiBhZGRpdGlvbiwgdGhlIGNvbXBhbnkgb2ZmZXJzIFJ1aXNpeWkgdG8gdHJlYXQgYWR2YW5j</t>
  </si>
  <si>
    <t>ZWQgYnJlYXN0IGNhbmNlcjsgV2Fud2VpIGZvciB0cmVhdGluZyB2b21pdGluZyBjYXVzZWQgYnkgY3l0b3RveGljIGNoZW1vdGhlcmFweTsgYW5kIEludGVmZW4gdG8gdHJlYXQgbHltcGhhdGljIG9yIGhlbWF0b3BvaWV0aWMgbWFsaWduYW5jaWVzIGFuZCB2aXJhbCBpbmZlY3Rpb25zLiBGdXJ0aGVyLCBpdCBwcm92aWRlcyBJbmxldXNpbiBmb3IgcmVuYWwgY2VsbCBjYXJjaW5vbWEsIG1lbGFub21hLCB0aG9yYWNpYyBmbHVpZCBidWlsZC11cCBjYXVzZWQgYnkgY2FuY2VyLCBhbmQgdHViZXJjdWxvc2lzOyBFdGFuZXJjZXB0IGZvciBtb2RlcmF0ZSB0byBzZXZlcmUgcmhldW1hdG9pZCBhcnRocml0aXMgYW5kIHBsYXF1ZSBwc29yaWFzaXMsIGFuZCBhY3RpdmUgYW5reWxvc2luZyBzcG9uZHlsaXRpczsgYW5kIFNwYXJpbiBmb3IgcHJvcGh5bGF4aXMgYW5kIHZlaW4gdGhyb21ib3NpcywgYW5kIHRvIHByZXZlbnQgY2xvdHRpbmcgZHVyaW5nIGhlbW9kaWFseXNpcy4gQWRkaXRpb25hbGx5LCB0aGUgY29tcGFueSBvZmZlcnMgTWFuZGkgZm9yIG1hbGUtcGF0dGVybiBhbG9wZWNpYSBhbmQgYWxvcGVjaWEgYXJlYXRhOyBBaXlpc2h1IGZvciBpcm9uLWRlZmljaWVuY3kgYW5lbWlhOyBEaXN1IHRvIHByZXZlbnQgYW5kIHRyZWF0IGNocm9uaWMgYnJvbmNoaXRpcywgY29sZHMsIGFuZCBhc3RobWE7</t>
  </si>
  <si>
    <t>IEppYW5uaXBhaSB0byBwcmV2ZW50IGFjdXRlIHJlamVjdGlvbiBhZnRlciByZW5hbCB0cmFuc3BsYW50YXRpb247IGFuZCBIdW11bGluIGZvciBkaWFiZXRlcywgYXMgd2VsbCBhcyBjb250cmFjdCBkZXZlbG9wbWVudCBhbmQgbWFudWZhY3R1cmluZywgdHJhZGluZywgcHJvamVjdCBtYW5hZ2VtZW50IGFuZCBjb25zdWx0YXRpb24sIGFuZCB0ZWNobm9sb2d5IHNlcnZpY2VzLiBUaGUgY29tcGFueSBtYXJrZXRzIGl0cyBwcm9kdWN0cyB0aHJvdWdoIGluLWhvdXNlIHNhbGVzIGFuZCBtYXJrZXRpbmcgdGVhbSwgYXMgd2VsbCBhcyBkaXN0cmlidXRvcnMgYW5kIHRoaXJkLXBhcnR5IHByb21vdGVycy4gM1NCaW8gSW5jLiB3YXMgaW5jb3Jwb3JhdGVkIGluIDIwMDYgYW5kIGlzIGhlYWRxdWFydGVyZWQgaW4gU2hlbnlhbmcsIHRoZSBQZW9wbGXigJlzIFJlcHVibGljIG9mIENoaW5hLgCUC1eGFAnWCC9wZIcUCdYINUNJUS5PVENQSzpORVhTLklRX1RPVEFMX0NMLjE5OTYuNi8zMC8yMDE4LkxGUi5GLlVTRC5IAQAAAB29ThQCAAAACDEuMDI1Nzk0AQgAAAAFAAAAATEBAAAACjE4NjI4NjMwODYDAAAAAzE2MAIAAAAEMTAwOQQAAAABMAcAAAAJNi8zMC8yMDE4CAAAAAk1LzMxLzIwMTYJAAAAATDlD++EFAnWCDFeUYcUCdYIIUNJUS5OQVNEQVFHUzpOSVRFLklRX0NPTVBBTllfTkFNRQEAAAAM0xgQAwAA</t>
  </si>
  <si>
    <t>ABpOaWdodHN0YXIgVGhlcmFwZXV0aWNzIHBsYwDGJeOEFAnWCKeEWIcUCdYIMUNJUS5JUVRSMjEyNzMxODc3LklRX1RSX1RBUkdFVF9SRVZFTlVFX0VTVC4uVVNELkgBAAAA5QeuDAIAAAAINzE4LjY3ODMA5jtFghQJ1gh70maHFAnWCDtDSVEuT1RDUEs6UlpMVC5JUV9DQVNIX1NUX0lOVkVTVC4yMDAwLjMvMzEvMjAxOC5MRlIuRi5VU0QuSAEAAAAhCZsKAgAAAAgwLjg2ODA3MQEIAAAABQAAAAExAQAAAAoxODc0MTk0MDQzAwAAAAMxNjACAAAABDEwMDIEAAAAATAHAAAACTMvMzEvMjAxOAgAAAAKMTIvMzEvMjAxNwkAAAABMOUP74QUCdYIhsBThxQJ1gg1Q0lRLk5ZU0U6TVlPVi5JUV9UT1RBTF9SRVYuMTk5Mi42LzMwLzIwMTguTEZSLkYuVVNELkgBAAAAl9oLGAMAAAAAAGKSdIUUCdYIlKtfhxQJ1ghHQ0lRLk5BU0RBUUNNOlZLVFguSVFfTUlOT1JJVFlfSU5URVJFU1RfVE9UQUwuMjAwMC42LzMwLzIwMTguTEZSLkYuVVNELkgBAAAA8ry1DgMAAAAAAGKSdIUUCdYIZ+dahxQJ1gg6Q0lRLlNFSEs6MjE4Ni5JUV9DQVNIX1NUX0lOVkVTVC4yMDAwLjMvMzEvMjAxOC5MRlIuRi5VU0QuSAEAAADCgZgAAgAAAAozNDEuNTMzNjk2AQgAAAAFAAAAATEBAAAACjE4NjA1ODkxODMDAAAAAzE2MAIAAAAEMTAwMgQAAAABMAcAAAAJMy8zMS8yMDE4CAAAAAk2LzMwLzIwMTcJAAAAATDpbVmGFAnWCC9wZIcUCdYI</t>
  </si>
  <si>
    <t>HUNJUS5OQVNEQVFHUzpJQ1BULklRX0VYQ0hBTkdFAQAAAIKvrQADAAAACE5hc2RhcUdTAJQLV4YUCdYIL3BkhxQJ1gg9Q0lRLk5BU0RBUUdNOlZUVlQuSVFfRUJJVERBX01BUkdJTi4yMDAwLjYvMzAvMjAxOC5MRlIuRi5VU0QuSAEAAAAdox8SAwAAAAJOTQEIAAAABQAAAAExAQAAAAoxODg5MDU2NTM3AwAAAAMxNjACAAAABDQwNDcEAAAAATAHAAAACTYvMzAvMjAxOAgAAAAJMy8zMS8yMDE4CQAAAAEw5Q/vhBQJ1giGwFOHFAnWCD1DSVEuTkFTREFRR1M6WkZHTi5JUV9SRVZFTlVFX0VTVC5DWTIwMjAuNi8zMC8yMDE4LkNPTi5GLlVTRC5IAQAAAJfAugECAAAAATABDgAAAAUAAAACMTEBAAAAATACAAAACjEwMDI4MTM0NDIDAAAABjEwMDE4MAQAAAABMgYAAAABMAcAAAADMTYwCAAAAAEwCQAAAAExCgAAAAEwCwAAAAsxMDg3MzY0MjcwNQwAAAABNw0AAAAINy8xLzIwMTgQAAAACTYvMzAvMjAxOK+G5YQUCdYIp4RYhxQJ1ggnQ0lRLk5BU0RBUUdTOkFQVFguSVFfQkVUQV8yWVIuNi8zMC8yMDE4AQAAAC8pDBQDAAAAAABiknSFFAnWCEVJXYcUCdYIQ0NJUS5OQVNEQVFHTTpGT0xELklRX0VCSVREQV81WVJfQU5OX0NBR1IuMjAwMC42LzMwLzIwMTguTEZSLkYuVVNELkgBAAAAVvZqAAMAAAACTk0BCAAAAAUAAAABMQEAAAAKMTg4ODQ4NDY1MQMAAAADMTYwAgAAAAQ0MjM1BAAAAAEwBwAAAAk2LzMwLzIw</t>
  </si>
  <si>
    <t>MTgIAAAACTMvMzEvMjAxOAkAAAABMGKSdIUUCdYIlKtfhxQJ1ggnQ0lRLk5BU0RBUUNNOkFWRU8uSVFfQkVUQV81WVIuNi8zMC8yMDE4AQAAAPQWHQACAAAAEDEuNjE3MDM2MzUwOTg5NTcAr4blhBQJ1ghlIlaHFAnWCB9DSVEuSVE3MDA5ODc4LklRX0NPTVBBTllfVElDS0VSAQAAAFb2agADAAAADU5hc2RhcUdNOkZPTEQA5jtFghQJ1ghIXamCFAnWCDlDSVEuTkFTREFRQ006QVZFTy5JUV9UT1RBTF9SRVYuMTk5Ni42LzMwLzIwMTguTEZSLkYuVVNELkgBAAAA9BYdAAIAAAAFMy44NDQBCAAAAAUAAAABMQEAAAAKMTg4NzIzNDI5MQMAAAADMTYwAgAAAAIyOAQAAAABMAcAAAAJNi8zMC8yMDE4CAAAAAkzLzMxLzIwMTcJAAAAATDGJeOEFAnWCGUiVocUCdYIPUNJUS5OQVNEQVFHTTpNTktELklRX1JFVkVOVUVfRVNULkNZMjAxOS42LzMwLzIwMTguQ09OLkYuVVNELkgBAAAAZqWNAAIAAAAGNDUuNDI5AQ4AAAAFAAAAAjExAQAAAAEwAgAAAAoxMDAwNTk0MzQ4AwAAAAYxMDAxODAEAAAAATIGAAAAATAHAAAAAzE2MAgAAAABMAkAAAABMQoAAAABMAsAAAALMTA5NDE2NTQ1MTYMAAAAATcNAAAACDcvMS8yMDE4EAAAAAk2LzMwLzIwMTjpbVmGFAnWCOANYocUCdYIO0NJUS5OQVNEQVFDTTpCWVNJLklRX0VCSVRfTUFSR0lOLjIwMDAuNi8zMC8yMDE4LkxGUi5GLlVTRC5IAQAAAEfPbBgDAAAAAABiknSFFAnW</t>
  </si>
  <si>
    <t>CEVJXYcUCdYILENJUS5JUVRSMTA4OTA2Mjc2LklRX1RSX1RBUkdFVF9FQklUREEuLlVTRC5IAQAAACTHfQYCAAAAAADmO0WCFAnWCMQ0aYcUCdYIKUNJUS5DUFNFOlpFQUwuSVFfRElWSURFTkRfWUlFTEQuNi8zMC8yMDE4AQAAACJbEwADAAAAAABiknSFFAnWCOANYocUCdYINENJUS5TRUhLOjIxODYuSVFfVE9UQUxfQ0EuMjAwMC42LzMwLzIwMTguTEZSLkYuVVNELkgBAAAAwoGYAAIAAAAKOTY3LjYwNzU0MQEIAAAABQAAAAExAQAAAAoxODg1NDk1MDA2AwAAAAMxNjACAAAABDEwMDgEAAAAATAHAAAACTYvMzAvMjAxOAgAAAAKMTIvMzEvMjAxNwkAAAABMJQLV4YUCdYIL3BkhxQJ1ghHQ0lRLk5BU0RBUUNNOkNPUlQuSVFfTUlOT1JJVFlfSU5URVJFU1RfVE9UQUwuMjAwMC4zLzMxLzIwMTguTEZSLkYuVVNELkgBAAAA0rkVAAMAAAAAAGKSdIUUCdYIlKtfhxQJ1gg+Q0lRLk5BU0RBUUdTOlhFUlMuSVFfQ0FTSF9TVF9JTlZFU1QuMjAwMC42LzMwLzIwMTguTEZSLkYuVVNELkgBAAAA4O5PBgIAAAAFNTguMTEBCAAAAAUAAAABMQEAAAAKMTg5MDk2MTY1NQMAAAADMTYwAgAAAAQxMDAyBAAAAAEwBwAAAAk2LzMwLzIwMTgIAAAACTMvMzEvMjAxOAkAAAABMMYl44QUCdYIZ+dahxQJ1gg5Q0lRLlNIU0U6NjAwODY3LklRX1BSRUZfRVFVSVRZLjIwMDAuNi8zMC8yMDE4LkxGUi5GLlVTRC5IAQAAANg+rgAD</t>
  </si>
  <si>
    <t>AAAAAABiknSFFAnWCOANYocUCdYIOUNJUS5DUFNFOlpFQUwuSVFfUkVWRU5VRV9FU1QuQ1kyMDIxLjYvMzAvMjAxOC5DT04uRi5VU0QuSAEAAAAiWxMAAgAAABA1MS4zNzkxMzAyNjQ4NjY1AQ4AAAAFAAAAAjExAQAAAAEwAgAAAAoxMDAxMjk0MDc4AwAAAAYxMDAxODAEAAAAATMGAAAAATAHAAAAAzE2MAgAAAABMAkAAAABMQoAAAABMAsAAAALMTA5MDgyNDAyNTUMAAAAATcNAAAACDcvMS8yMDE4EAAAAAk2LzMwLzIwMThiknSFFAnWCOANYocUCdYIOENJUS5OQVNEQVFHTTpNTktELklRX1RPVEFMX0NMLjE5OTYuNi8zMC8yMDE4LkxGUi5GLlVTRC5IAQAAAGaljQACAAAABjkzLjA0OQEIAAAABQAAAAExAQAAAAoxODg5Nzc1OTY1AwAAAAMxNjACAAAABDEwMDkEAAAAATAHAAAACTYvMzAvMjAxOAgAAAAJMy8zMS8yMDE3CQAAAAEw6W1ZhhQJ1gjgDWKHFAnWCChDSVEuTkFTREFRR006VlRWVC5JUV9URVYuNi8zMC8yMDE4LlVTRC5IAQAAAB2jHxICAAAACjE0OC4yMTAxMDYBBgAAAAUAAAABMQEAAAAKMTg4OTA1NDc0OAMAAAADMTYwAgAAAAYxMDAwNjAEAAAAATAHAAAACTYvMzAvMjAxOMYl44QUCdYIhsBThxQJ1ggqQ0lRLklRMzQwNzA0NTQxLklRX0dQLjIwMDAuNi8zMC8yMDE4Li4uVVNEAQAAAB29ThQDAAAAAADmO0WCFAnWCHvSZocUCdYIJENJUS5UU1hWOkNPQi5VLklRX0JFVEFfNVlSLjYvMzAv</t>
  </si>
  <si>
    <t>MjAxOAEAAAC/+wAIAgAAABAyLjgzMzkxNzc3ODA2MDI4AK+G5YQUCdYIhsBThxQJ1gg1Q0lRLk5BU0RBUUdTOlhFUlMuSVFfREFfQ0YuMjAwMC42LzMwLzIwMTguTEZSLkYuVVNELkgBAAAA4O5PBgIAAAAFMC4yMDIBCAAAAAUAAAABMQEAAAAKMTg5MDk2MTY1NQMAAAADMTYwAgAAAAQyMTYwBAAAAAEwBwAAAAk2LzMwLzIwMTgIAAAACTMvMzEvMjAxOAkAAAABMMYl44QUCdYIZ+dahxQJ1ggoQ0lRLk5BU0RBUUNNOkJZU0kuSVFfVEVWLjYvMzAvMjAxOC5VU0QuSAEAAABHz2wYAgAAAAo1OTMuMzkzODY4AQYAAAAFAAAAATEBAAAACjE4OTM5NzMzMTgDAAAAAzE2MAIAAAAGMTAwMDYwBAAAAAEwBwAAAAk2LzMwLzIwMThiknSFFAnWCEVJXYcUCdYIIkNJUS5JUVRSMzg0MDI4NDk2LklRX1RSX1BDVF9TT1VHSFQBAAAAUM/jFgIAAAAJOTAuOTYxOTY4AOY7RYIUCdYIe9JmhxQJ1gg+Q0lRLk5BU0RBUUdTOkFQVFguSVFfQ0FTSF9TVF9JTlZFU1QuMjAwMC4zLzMxLzIwMTguTEZSLkYuVVNELkgBAAAALykMFAMAAAAAAGKSdIUUCdYIRUldhxQJ1gguQ0lRLklRVFI0MDIxMDM5MTkuSVFfVFJfVEFSR0VUX1NUT0NLUFJFTUlVTV8xVwEAAABvnvcXAgAAAAAA5jtFghQJ1gh70maHFAnWCDlDSVEuTkFTREFRR1M6TFhSWC5JUV9UT1RBTF9SRVYuMTk5Mi42LzMwLzIwMTguTEZSLkYuVVNELkgBAAAAPXgAAAIAAAAH</t>
  </si>
  <si>
    <t>MTQwLjcxNgEIAAAABQAAAAExAQAAAAoxODQwNTE3OTA1AwAAAAMxNjACAAAAAjI4BAAAAAEwBwAAAAk2LzMwLzIwMTgIAAAACTMvMzEvMjAxNgkAAAABMGKSdIUUCdYIlKtfhxQJ1gg1Q0lRLk9UQ1BLOlJaTFQuSVFfRUJJVERBLkNZMjAxNy42LzMwLzIwMTguTEZSLkYuVVNELkgBAAAAIQmbCgIAAAAKLTIyLjYxMjQ3NwEIAAAABQAAAAExAQAAAAoxODc0MTk0MDQzAwAAAAMxNjACAAAABDQwNTEEAAAAATAHAAAACTYvMzAvMjAxOAgAAAAKMTIvMzEvMjAxNwkAAAABMOUP74QUCdYIhsBThxQJ1gg9Q0lRLk5BU0RBUUNNOkJZU0kuSVFfUkVWRU5VRV9FU1QuQ1kyMDIxLjYvMzAvMjAxOC5DT04uRi5VU0QuSAEAAABHz2wYAgAAAAgyODkuNjQ5NQEOAAAABQAAAAIxMQEAAAABMAIAAAAKMTAwMzY3OTQ5NAMAAAAGMTAwMTgwBAAAAAEyBgAAAAEwBwAAAAMxNjAIAAAAATAJAAAAATEKAAAAATALAAAACzEwOTM3MTU1MTY5DAAAAAE3DQAAAAg3LzEvMjAxOBAAAAAJNi8zMC8yMDE4YpJ0hRQJ1ghFSV2HFAnWCBVDSVEuLklRX1RSX1RBUkdFVE5BTUUFAAAAAQAAAAgAAAAUKEludmFsaWQgSWRlbnRpZmllcimUC1eGFAnWCJQLV4YUCdYINENJUS5TRUhLOjM5MzMuSVFfVE9UQUxfQ0EuMjAwMC42LzMwLzIwMTguTEZSLkYuVVNELkgBAAAATdoRAgIAAAAKODg1Ljk5ODQzMQEIAAAABQAAAAExAQAAAAoxODg1NzM5</t>
  </si>
  <si>
    <t>MjAyAwAAAAMxNjACAAAABDEwMDgEAAAAATAHAAAACTYvMzAvMjAxOAgAAAAKMTIvMzEvMjAxNwkAAAABMOltWYYUCdYI4A1ihxQJ1gg+Q0lRLk5BU0RBUUNNOkJZU0kuSVFfQ0FTSF9TVF9JTlZFU1QuMjAwMC42LzMwLzIwMTguTEZSLkYuVVNELkgBAAAAR89sGAIAAAAGMjEuNTM4AQgAAAAFAAAAATEBAAAACjE4OTM5NzMzODkDAAAAAzE2MAIAAAAEMTAwMgQAAAABMAcAAAAJNi8zMC8yMDE4CAAAAAkzLzMxLzIwMTgJAAAAATBiknSFFAnWCEVJXYcUCdYIMkNJUS5UU1hWOkNPQi5VLklRX0NBUEVYLjE5OTIuNi8zMC8yMDE4LkxGUi5GLlVTRC5IAQAAAL/7AAgCAAAACS0wLjIyMTgxNQEIAAAABQAAAAExAQAAAAoxODQyNzU4ODEwAwAAAAMxNjACAAAABDIwMjEEAAAAATAHAAAACTYvMzAvMjAxOAgAAAAJMy8zMS8yMDE2CQAAAAEwr4blhBQJ1giGwFOHFAnWCCdDSVEuTkFTREFRR006TU5PVi5JUV9QRVJJT0REQVRFX0lTLjEwMDABAAAAuFSNAAUAAAAKMTIvMzEvMjAxNwDGJeOEFAnWCKeEWIcUCdYIJUNJUS5JUVRSMzA2NzUxMDk2LklRX1RSX0lNUExJRURfRVFfQlYBAAAAeKZIEgIAAAAJMTMuMTM5MDIxAQYAAAAFAAAAAjU0AQAAAAYxMDIwOTcCAAAACTMwNjc1MTA5NgMAAAAJMzA2NzUxMjU4BAAAAAMxNjAGAAAABUZhbHNl5jtFghQJ1gh70maHFAnWCCRDSVEuT1RDUEs6RU1JUy5JUV9CRVRBXzJZ</t>
  </si>
  <si>
    <t>Ui42LzMwLzIwMTgBAAAAPv0DAAIAAAAQMS4wOTQ4NzExODYzNzc1NQCvhuWEFAnWCGUiVocUCdYIJ0NJUS5OQVNEQVFHUzpJVENJLklRX0JFVEFfMVlSLjYvMzAvMjAxOAEAAAB30Y8AAgAAABAxLjk5MDU0NzI2NDMxMjMxAGKSdIUUCdYIZ+dahxQJ1gg8Q0lRLk5BU0RBUUdTOkxYUlguSVFfRUJJVERBX0VTVC5DWTIwMTguNi8zMC8yMDE4LkNPTi5GLlVTRC5IAQAAAD14AAACAAAABi0xNTEuNQEOAAAABQAAAAIxMQEAAAABMAIAAAAKMTAwMTE3NzQ4MgMAAAAGMTAwMTg3BAAAAAEyBgAAAAEwBwAAAAMxNjAIAAAAATAJAAAAATEKAAAAATALAAAACzEwNzg5MzAxMjk4DAAAAAE3DQAAAAg3LzEvMjAxOBAAAAAJNi8zMC8yMDE4YpJ0hRQJ1giUq1+HFAnWCDdDSVEuU0VISzozOTMzLklRX1BSRUZfRVFVSVRZLjIwMDAuNi8zMC8yMDE4LkxGUi5GLlVTRC5IAQAAAE3aEQIDAAAAAADpbVmGFAnWCC9wZIcUCdYIPUNJUS5OQVNEQVFHUzpBUFRYLklRX1JFVkVOVUVfRVNULkNZMjAxOC42LzMwLzIwMTguQ09OLkYuVVNELkgBAAAALykMFAMAAAAAAGKSdIUUCdYIRUldhxQJ1ghHQ0lRLk5BU0RBUUdNOlZUVlQuSVFfTUlOT1JJVFlfSU5URVJFU1RfVE9UQUwuMjAwMC4zLzMxLzIwMTguTEZSLkYuVVNELkgBAAAAHaMfEgIAAAAGMTMxLjQ0AQgAAAAFAAAAATEBAAAACjE4NzYxMzczMDkDAAAAAzE2MAIAAAAEMTMx</t>
  </si>
  <si>
    <t>MgQAAAABMAcAAAAJMy8zMS8yMDE4CAAAAAoxMi8zMS8yMDE3CQAAAAEw5Q/vhBQJ1giGwFOHFAnWCDVDSVEuTkFTREFRR006UllUTS5JUV9DQVBFWC4xOTk2LjYvMzAvMjAxOC5MRlIuRi5VU0QuSAEAAAAYyW0SAgAAAAYtMC40OTYBCAAAAAUAAAABMQEAAAAKMTg4ODkxMTQ1MwMAAAADMTYwAgAAAAQyMDIxBAAAAAEwBwAAAAk2LzMwLzIwMTgIAAAACTMvMzEvMjAxNwkAAAABMGKSdIUUCdYIRUldhxQJ1ggpQ0lRLk5BU0RBUUdNOkZPTEQuSVFfQlVTSU5FU1NfREVTQ1JJUFRJT04BAAAAVvZqAAMAAACXBUFtaWN1cyBUaGVyYXBldXRpY3MsIEluYy4sIGEgYmlvdGVjaG5vbG9neSBjb21wYW55LCBlbmdhZ2VzIGluIHRoZSBkaXNjb3ZlcnksIGRldmVsb3BtZW50LCBhbmQgY29tbWVyY2lhbGl6YXRpb24gb2YgbWVkaWNpbmVzIGZvciB2YXJpb3VzIHJhcmUgYW5kIG9ycGhhbiBkaXNlYXNlcy4gVGhlIGNvbXBhbnkgb2ZmZXJzIG1pZ2FsYXN0YXQgSENsLCBhbiBvcmFsbHkgYWRtaW5pc3RlcmVkIHNtYWxsIG1vbGVjdWxlIHBoYXJtYWNvbG9naWNhbCBjaGFwZXJvbmUgZm9yIHRoZSB0cmVhdG1lbnQgb2YgRmFicnkgZGlzZWFzZS4gSXQgaXMgYWxzbyBjb25kdWN0aW5nIGEgUGhhc2UgMS8yIGNsaW5pY2FsIHN0dWR5IG9mIEFUQjIwMC0wMiB0byBpbnZlc3RpZ2F0ZSBpbiBwYXRpZW50cyB3aXRoIHBv</t>
  </si>
  <si>
    <t>bXBlIGRpc2Vhc2UuIFRoZSBjb21wYW55IGhhcyBzdHJhdGVnaWMgYWxsaWFuY2Ugd2l0aCBHbGF4b1NtaXRoS2xpbmUgcGxjIHRvIGRldmVsb3AgYW5kIGNvbW1lcmNpYWxpemUgbWlnYWxhc3RhdCBhcyBhIG1vbm90aGVyYXB5IGFuZCBpbiBjb21iaW5hdGlvbiB3aXRoIEVSVCBmb3IgRmFicnkgZGlzZWFzZS4gQW1pY3VzIFRoZXJhcGV1dGljcywgSW5jLiB3YXMgZm91bmRlZCBpbiAyMDAyIGFuZCBpcyBoZWFkcXVhcnRlcmVkIGluIENyYW5idXJ5LCBOZXcgSmVyc2V5LgBiknSFFAnWCJSrX4cUCdYIMUNJUS5TRUhLOjIxODYuSVFfQ0FQRVguMTk5Mi42LzMwLzIwMTguTEZSLkYuVVNELkgBAAAAwoGYAAIAAAAKLTMxLjQzNzM1MQEIAAAABQAAAAExAQAAAAoxODM4ODU1Mjg5AwAAAAMxNjACAAAABDIwMjEEAAAAATAHAAAACTYvMzAvMjAxOAgAAAAKMTIvMzEvMjAxNQkAAAABMJQLV4YUCdYIL3BkhxQJ1ggrQ0lRLk5BU0RBUUNNOkNVUi5JUV9MQVNUU0FMRVBSSUNFLjMvMzEvMjAxOAEAAADx7nUAAgAAAAQxLjY1AOUP74QUCdYIMV5RhxQJ1gg1Q0lRLlRTWFY6Q09CLlUuSVFfRUJJVERBLkNZMjAxNy42LzMwLzIwMTguTEZSLkYuVVNELkgBAAAAv/sACAIAAAAILTkuODAxNzIBCAAAAAUAAAABMQEAAAAKMTg4MTE3MjU4MAMAAAADMTYwAgAAAAQ0MDUxBAAAAAEwBwAAAAk2LzMwLzIwMTgIAAAACjEy</t>
  </si>
  <si>
    <t>LzMxLzIwMTcJAAAAATCvhuWEFAnWCIbAU4cUCdYIOENJUS5FTlhUUEE6RVJZUC5JUV9FQVJOSU5HX0NPLjIwMDAuNi8zMC8yMDE4LkxGUi5GLlVTRC5IAQAAANiKeAECAAAACi00MC4yNjE3NjgBCAAAAAUAAAABMQEAAAAKMTg4NTIwNDIxOQMAAAADMTYwAgAAAAE3BAAAAAEwBwAAAAk2LzMwLzIwMTgIAAAACjEyLzMxLzIwMTcJAAAAATDlD++EFAnWCDFeUYcUCdYIIUNJUS5JUVRSMzA2NzUxMDk2LklRX1RSX0JVWUVSTkFNRQEAAAB4pkgSAwAAABNDZWxnZW5lIENvcnBvcmF0aW9uAOY7RYIUCdYIe9JmhxQJ1gg3Q0lRLk9UQ1BLOk5FWFMuSVFfVE9UQUxfREVCVC4yMDAwLjYvMzAvMjAxOC5MRlIuRi5VU0QuSAEAAAAdvU4UAgAAAAgwLjM2NzUxNwEIAAAABQAAAAExAQAAAAoxODYyODYzMDkzAwAAAAMxNjACAAAABDQxNzMEAAAAATAHAAAACTYvMzAvMjAxOAgAAAAJNS8zMS8yMDE3CQAAAAEw5Q/vhBQJ1ggxXlGHFAnWCDhDSVEuTkFTREFRR1M6Q0JBWS5JUV9FQklUREEuQ1kyMDE2LjYvMzAvMjAxOC5MRlIuRi5VU0QuSAEAAADAegAAAgAAAActMjUuNTU3AQgAAAAFAAAAATEBAAAACjE4Nzg1MjQwODUDAAAAAzE2MAIAAAAENDA1MQQAAAABMAcAAAAJNi8zMC8yMDE4CAAAAAoxMi8zMS8yMDE2CQAAAAEwYpJ0hRQJ1ghFSV2HFAnWCCJDSVEuSVFUUjM4NDAyODQ5Ni5JUV9UUl9UT1RBTF9DQVNIAQAA</t>
  </si>
  <si>
    <t>AFDP4xYCAAAACTU1MC45Mzk0MQEGAAAABQAAAAI1NAEAAAAGMTAxMDU2AgAAAAkzODQwMjg0OTYDAAAACTQwNzI3NTc3NgQAAAADMTYwBgAAAAVGYWxzZeY7RYIUCdYIe9JmhxQJ1gg8Q0lRLk5BU0RBUUdTOkNCQVkuSVFfRUFSTklOR19DTy5DWTIwMTcuNi8zMC8yMDE4LkxGUi5GLlVTRC5IAQAAAMB6AAACAAAABy0yNy41NTcBCAAAAAUAAAABMQEAAAAKMTg3ODUyNDA4OAMAAAADMTYwAgAAAAE3BAAAAAEwBwAAAAk2LzMwLzIwMTgIAAAACjEyLzMxLzIwMTcJAAAAATBiknSFFAnWCGfnWocUCdYIPENJUS5OQVNEQVFHUzpJVENJLklRX0VCSVREQV9FU1QuQ1kyMDE4LjYvMzAvMjAxOC5DT04uRi5VU0QuSAEAAAB30Y8AAgAAAAotMTk5LjU2MTQxAQ4AAAAFAAAAAjExAQAAAAEwAgAAAAoxMDAyMDIxMTk5AwAAAAYxMDAxODcEAAAAATIGAAAAATAHAAAAAzE2MAgAAAABMAkAAAABMQoAAAABMAsAAAALMTEwMTIzMDQ5ODMMAAAAATcNAAAACDcvMS8yMDE4EAAAAAk2LzMwLzIwMThiknSFFAnWCGfnWocUCdYIPENJUS4oSU5WQUxJRCBJREVOVElGSUVSKS5JUV9DQVBFWC4xOTk2LjYvMzAvMjAxOC5MRlIuRi5VU0QuSAUAAAAAAAAACAAAABQoSW52YWxpZCBJZGVudGlmaWVyKeUP74QUCdYIMV5RhxQJ1gglQ0lRLklRVFI1NTI3MjAyMDcuSVFfUFJJTUFSWV9JTkRVU1RSWQEAAAC0DPIgAwAAAA1CaW90ZWNo</t>
  </si>
  <si>
    <t>bm9sb2d5AOY7RYIUCdYIe9JmhxQJ1gg+Q0lRLk5BU0RBUUNNOlZLVFguSVFfQ0FTSF9TVF9JTlZFU1QuMjAwMC4zLzMxLzIwMTguTEZSLkYuVVNELkgBAAAA8ry1DgIAAAAJMjAuNTc1OTU2AQgAAAAFAAAAATEBAAAACjE4NzczMjM5NjADAAAAAzE2MAIAAAAEMTAwMgQAAAABMAcAAAAJMy8zMS8yMDE4CAAAAAoxMi8zMS8yMDE3CQAAAAEwxiXjhBQJ1ghn51qHFAnWCD1DSVEuTkFTREFRR1M6TFhSWC5JUV9SRVZFTlVFX0VTVC5DWTIwMTkuNi8zMC8yMDE4LkNPTi5GLlVTRC5IAQAAAD14AAACAAAACTIwNi42MjAwOAEOAAAABQAAAAIxMQEAAAABMAIAAAAKMTAwMTgzMTI4NQMAAAAGMTAwMTgwBAAAAAEyBgAAAAEwBwAAAAMxNjAIAAAAATAJAAAAATEKAAAAATALAAAACzEwODY3MTE2NzM2DAAAAAE3DQAAAAg3LzEvMjAxOBAAAAAJNi8zMC8yMDE4YpJ0hRQJ1giUq1+HFAnWCEdDSVEuTkFTREFRR006TU5PVi5JUV9NSU5PUklUWV9JTlRFUkVTVF9UT1RBTC4yMDAwLjYvMzAvMjAxOC5MRlIuRi5VU0QuSAEAAAC4VI0AAwAAAAAAxiXjhBQJ1ginhFiHFAnWCD5DSVEuTkFTREFRQ006QllTSS5JUV9DQVNIX1NUX0lOVkVTVC4yMDAwLjMvMzEvMjAxOC5MRlIuRi5VU0QuSAEAAABHz2wYAgAAAAY0MC43MjQBCAAAAAUAAAABMQEAAAAKMTg2NTQ5Njg5NQMAAAADMTYwAgAAAAQxMDAyBAAAAAEwBwAAAAkzLzMx</t>
  </si>
  <si>
    <t>LzIwMTgIAAAACTkvMzAvMjAxNwkAAAABMGKSdIUUCdYIRUldhxQJ1ggeQ0lRLklRMzYxODM4MjUuSVFfQ09NUEFOWV9OQU1FAQAAABEfKAIDAAAAMVVuaXRlZCBTdGF0ZXMgVHJlYXN1cnkgQ29uc3RhbnQgTWF0dXJpdHkgLSAyIFllYXIA5jtFghQJ1gikrJiCFAnWCCJDSVEuSVFUUjExNzgwMzkyMC5JUV9UUl9UQVJHRVROQU1FAQAAAJCLBQcDAAAAFk1hcmNhZGlhIEJpb3RlY2gsIEluYy4A5jtFghQJ1gh70maHFAnWCEpDSVEuKElOVkFMSUQgSURFTlRJRklFUikuSVFfRUJJVERBXzNZUl9BTk5fQ0FHUi4yMDAwLjYvMzAvMjAxOC5MRlIuRi5VU0QuSAUAAAAAAAAACAAAABQoSW52YWxpZCBJZGVudGlmaWVyKeUP74QUCdYIYPtOhxQJ1gg0Q0lRLk5BU0RBUUdTOk9EVC5JUV9EQV9DRi4yMDAwLjYvMzAvMjAxOC5MRlIuRi5VU0QuSAEAAAAaGkUgAgAAAAUwLjAzNAEIAAAABQAAAAExAQAAAAoxODg2MzAxNDk4AwAAAAMxNjACAAAABDIxNjAEAAAAATAHAAAACTYvMzAvMjAxOAgAAAAJMy8zMS8yMDE4CQAAAAEwxiXjhBQJ1gjENGmHFAnWCD1DSVEuTkFTREFRR1M6SVRDSS5JUV9SRVZFTlVFX0VTVC5DWTIwMjAuNi8zMC8yMDE4LkNPTi5GLlVTRC5IAQAAAHfRjwACAAAACDE0NC40Njg0AQ4AAAAFAAAAAjExAQAAAAEwAgAAAAoxMDAyMDIxMjA5AwAAAAYxMDAxODAEAAAAATIGAAAAATAHAAAAAzE2MAgA</t>
  </si>
  <si>
    <t>AAABMAkAAAABMQoAAAABMAsAAAALMTA4Njc0NTg5OTgMAAAAATcNAAAACDcvMS8yMDE4EAAAAAk2LzMwLzIwMThiknSFFAnWCGfnWocUCdYIRkNJUS5OQVNEQVFDTTpWS1RYLklRX1RPVEFMX1JFVl8zWVJfQU5OX0NBR1IuMjAwMC42LzMwLzIwMTguTEZSLkYuVVNELkgBAAAA8ry1DgMAAAAAAMYl44QUCdYIZ+dahxQJ1ggrQ0lRLihJTlZBTElEIElERU5USUZJRVIpLklRX0VGRkVDVF9UQVhfUkFURQUAAAAAAAAACAAAABQoSW52YWxpZCBJZGVudGlmaWVyKeUP74QUCdYIYPtOhxQJ1gg4Q0lRLk5BU0RBUUdTOkNCQVkuSVFfVE9UQUxfQ0wuMTk5Ni42LzMwLzIwMTguTEZSLkYuVVNELkgBAAAAwHoAAAIAAAAFMTAuNzgBCAAAAAUAAAABMQEAAAAKMTg4NzQ0NTA4MgMAAAADMTYwAgAAAAQxMDA5BAAAAAEwBwAAAAk2LzMwLzIwMTgIAAAACTMvMzEvMjAxNwkAAAABMGKSdIUUCdYIZ+dahxQJ1gg2Q0lRLlNFSEs6MTUzMC5JUV9FQVJOSU5HX0NPLjE5OTIuNi8zMC8yMDE4LkxGUi5GLlVTRC5IAQAAAO+4cAECAAAACTgxLjA1MTk4MwEIAAAABQAAAAExAQAAAAoxODM4MTk3NjE0AwAAAAMxNjACAAAAATcEAAAAATAHAAAACTYvMzAvMjAxOAgAAAAKMTIvMzEvMjAxNQkAAAABMJQLV4YUCdYIL3BkhxQJ1gg5Q0lRLlRTWFY6Q09CLlUuSVFfVE9UQUxfRVFVSVRZLjIwMDAuNi8zMC8yMDE4LkxGUi5GLlVTRC5I</t>
  </si>
  <si>
    <t>AQAAAL/7AAgCAAAACDYuNDU3MjgzAQgAAAAFAAAAATEBAAAACjE4ODkwNjIwNzQDAAAAAzE2MAIAAAAEMTI3NQQAAAABMAcAAAAJNi8zMC8yMDE4CAAAAAkzLzMxLzIwMTgJAAAAATCvhuWEFAnWCIbAU4cUCdYIIENJUS5JUVRSMzcwMDcyMzUzLklRX1RSX0VBUk5PVVRTAQAAACHbDhYCAAAAAADmO0WCFAnWCHvSZocUCdYIH0NJUS5FTlhUUEE6RVJZUC5JUV9DT01QQU5ZX05BTUUBAAAA2Ip4AQMAAAATRVJZVEVDSCBQaGFybWEgUy5BLgDlD++EFAnWCDFeUYcUCdYIPUNJUS5OQVNEQVFDTTpCWVNJLklRX1JFVkVOVUVfRVNULkNZMjAyMC42LzMwLzIwMTguQ09OLkYuVVNELkgBAAAAR89sGAIAAAAIMTE1LjkxNzUBDgAAAAUAAAACMTEBAAAAATACAAAACjEwMDM2Nzk0ODkDAAAABjEwMDE4MAQAAAABMgYAAAABMAcAAAADMTYwCAAAAAEwCQAAAAExCgAAAAEwCwAAAAsxMDkzNzE1NTMwMgwAAAABNw0AAAAINy8xLzIwMTgQAAAACTYvMzAvMjAxOGKSdIUUCdYIRUldhxQJ1ggwQ0lRLklRVFIxMTc4MDM5MjAuSVFfVFJfVEFSR0VUX0VCSVREQV9FU1QuLlVTRC5IAQAAAJCLBQcCAAAAAADmO0WCFAnWCHvSZocUCdYIOUNJUS5PVENQSzpCVEhFLklRX0VBUk5JTkdfQ08uQ1kyMDE3LjYvMzAvMjAxOC5MRlIuRi5VU0QuSAEAAABvnbkFAgAAAAktMS41ODQ4NzMBCAAAAAUAAAABMQEAAAAKMTg4MDEwNTYyOAMA</t>
  </si>
  <si>
    <t>AAADMTYwAgAAAAE3BAAAAAEwBwAAAAk2LzMwLzIwMTgIAAAACjEyLzMxLzIwMTcJAAAAATDlD++EFAnWCIbAU4cUCdYIPENJUS5OQVNEQVFDTTpCWVNJLklRX0dST1NTX01BUkdJTi4yMDAwLjYvMzAvMjAxOC5MRlIuRi5VU0QuSAEAAABHz2wYAwAAAAAAYpJ0hRQJ1ghFSV2HFAnWCDxDSVEuTkFTREFRQ006VktUWC5JUV9UT1RBTF9FUVVJVFkuMTk5Mi42LzMwLzIwMTguTEZSLkYuVVNELkgBAAAA8ry1DgIAAAAINS43Njk3MzkBCAAAAAUAAAABMQEAAAAKMTg0MTIxMTM1MAMAAAADMTYwAgAAAAQxMjc1BAAAAAEwBwAAAAk2LzMwLzIwMTgIAAAACTMvMzEvMjAxNgkAAAABMMYl44QUCdYIZ+dahxQJ1gg6Q0lRLk5BU0RBUUdTOkFQVFguSVFfRUFSTklOR19DTy4yMDAwLjYvMzAvMjAxOC5MRlIuRi5VU0QuSAEAAAAvKQwUAgAAAActMzUuMDQzAQgAAAAFAAAAATEBAAAACjE4OTA4NTEzOTEDAAAAAzE2MAIAAAABNwQAAAABMAcAAAAJNi8zMC8yMDE4CAAAAAkzLzMxLzIwMTgJAAAAATBiknSFFAnWCEVJXYcUCdYIOkNJUS5OQVNEQVFHTTpGT0xELklRX1RPVEFMX0RFQlQuMjAwMC4zLzMxLzIwMTguTEZSLkYuVVNELkgBAAAAVvZqAAIAAAAHMTY0LjQ3NAEIAAAABQAAAAExAQAAAAoxODc3MjcxNzgwAwAAAAMxNjACAAAABDQxNzMEAAAAATAHAAAACTMvMzEvMjAxOAgAAAAKMTIvMzEvMjAxNwkAAAABMGKS</t>
  </si>
  <si>
    <t>dIUUCdYIlKtfhxQJ1gg4Q0lRLk5ZU0U6TVlPVi5JUV9FQklUREFfRVNULkNZMjAyMC42LzMwLzIwMTguQ09OLkYuVVNELkgBAAAAl9oLGAMAAAAAAGKSdIUUCdYIlKtfhxQJ1gg6Q0lRLk5BU0RBUUNNOkNPUlQuSVFfVE9UQUxfREVCVC4yMDAwLjYvMzAvMjAxOC5MRlIuRi5VU0QuSAEAAADSuRUAAgAAAAEwAQgAAAAFAAAAATEBAAAACjE4ODgwOTk1NDQDAAAAAzE2MAIAAAAENDE3MwQAAAABMAcAAAAJNi8zMC8yMDE4CAAAAAkzLzMxLzIwMTgJAAAAATBiknSFFAnWCJSrX4cUCdYII0NJUS5OQVNEQVFDTTpDVVIuSVFfRUZGRUNUX1RBWF9SQVRFAQAAAPHudQADAAAAAADlD++EFAnWCDFeUYcUCdYIJENJUS5UU1hWOkNPQi5VLklRX0JFVEFfMllSLjYvMzAvMjAxOAEAAAC/+wAIAgAAABAyLjEyNDAyMjU0NzIzMjcyAK+G5YQUCdYIhsBThxQJ1gg6Q0lRLlNIU0U6NjAwODY3LklRX0VCSVREQV9FU1QuQ1kyMDE5LjYvMzAvMjAxOC5DT04uRi5VU0QuSAEAAADYPq4AAgAAABAyNzMuMDY1NDAwMDg0NTQ2AQ4AAAAFAAAAAjExAQAAAAEwAgAAAAoxMDAyMDA3NTg1AwAAAAYxMDAxODcEAAAAAjI3BgAAAAEwBwAAAAMxNjAIAAAAATAJAAAAATEKAAAAATALAAAACzEwOTQ1ODU2ODYyDAAAAAE3DQAAAAg3LzEvMjAxOBAAAAAJNi8zMC8yMDE4YpJ0hRQJ1gjgDWKHFAnWCDdDSVEuQU1FWDpCVFguSVFfRUFSTklO</t>
  </si>
  <si>
    <t>R19DTy5DWTIwMTcuNi8zMC8yMDE4LkxGUi5GLlVTRC5IAQAAABZkAAACAAAABy0yMy4yODkBCAAAAAUAAAABMQEAAAAKMTg3ODUxMzY1MwMAAAADMTYwAgAAAAE3BAAAAAEwBwAAAAk2LzMwLzIwMTgIAAAACjEyLzMxLzIwMTcJAAAAATDGJeOEFAnWCGUiVocUCdYILENJUS5OQVNEQVFHUzpJVENJLklRX0xBU1RTQUxFUFJJQ0UuMy8zMS8yMDE4AQAAAHfRjwACAAAABTIxLjA1AGKSdIUUCdYIZ+dahxQJ1ggsQ0lRLklRVFIxMTc4MDM5MjAuSVFfVFJfVEFSR0VUX0VCSVREQS4uVVNELkgBAAAAkIsFBwIAAAAAAOY7RYIUCdYIe9JmhxQJ1ggpQ0lRLk5BU0RBUUdTOklDUFQuSVFfQlVTSU5FU1NfREVTQ1JJUFRJT04BAAAAgq+tAAMAAADICkludGVyY2VwdCBQaGFybWFjZXV0aWNhbHMsIEluYy4sIGEgYmlvcGhhcm1hY2V1dGljYWwgY29tcGFueSwgZm9jdXNlcyBvbiB0aGUgZGV2ZWxvcG1lbnQgYW5kIGNvbW1lcmNpYWxpemF0aW9uIG9mIHRoZXJhcGV1dGljcyBpbiB0aGUgVW5pdGVkIFN0YXRlcywgRXVyb3BlLCBhbmQgQ2FuYWRhLiBJdHMgbGVhZCBwcm9kdWN0IGNhbmRpZGF0ZSBpcyBvYmV0aWNob2xpYyBhY2lkIChPQ0EpLCBhIGJpbGUgYWNpZCBhbmFsb2csIHdoaWNoIGhhcyBhIHN0cnVjdHVyZSBiYXNlZCBvbiBhIG5hdHVyYWxseSBvY2N1cnJpbmcgaHVtYW4gYmlsZSBhY2lkIHRoYXQgc2Vs</t>
  </si>
  <si>
    <t>ZWN0aXZlbHkgYmluZHMgdG8gYW5kIGFjdGl2YXRlcyB0aGUgZmFybmVzb2lkIFggcmVjZXB0b3IgKEZYUikuIFRoZSBjb21wYW55IGlzIGRldmVsb3BpbmcgT0NBIHRvIHRyZWF0IHZhcmlvdXMgbm9uLXZpcmFsIHByb2dyZXNzaXZlIGxpdmVyIGRpc2Vhc2VzLCBzdWNoIGFzIG5vbmFsY29ob2xpYyBzdGVhdG9oZXBhdGl0aXMgKE5BU0gpLCBwcmltYXJ5IHNjbGVyb3NpbmcgY2hvbGFuZ2l0aXMsIGFuZCBiaWxpYXJ5IGF0cmVzaWEuIEl0IGFsc28gcHJvdmlkZXMgT0NBIHVuZGVyIHRoZSBPY2FsaXZhIGJyYW5kIG5hbWUgZm9yIHRoZSB0cmVhdG1lbnQgb2YgcHJpbWFyeSBiaWxpYXJ5IGNob2xhbmdpdGlzIChQQkMpLiBJbiBhZGRpdGlvbiwgdGhlIGNvbXBhbnkgaXMgZGV2ZWxvcGluZyBJTlQtNzY3LCBhbiBvcmFsbHkgYWRtaW5pc3RlcmVkIGR1YWwgRlhSIGFuZCBUR1I1IGFnb25pc3QsIGEgc2Vjb25kIGRlZGljYXRlZCBiaWxlIGFjaWQgcmVjZXB0b3IgdGhhdCBoYXMgY29tcGxldGVkIGEgUGhhc2UgMSBjbGluaWNhbCB0cmlhbDsgYW5kIElOVC03NzcsIGFuIG9yYWxseSBhZG1pbmlzdGVyZWQgVEdSNSBhZ29uaXN0LCB3aGljaCBjb21wbGV0ZWQgcHJlY2xpbmljYWwgc3R1ZGllcyBmb3IgdGhlIHRyZWF0bWVudCBvZiB0eXBlIDIgZGlhYmV0ZXMsIGFzc29jaWF0ZWQgbWV0YWJvbGljIGRp</t>
  </si>
  <si>
    <t>c29yZGVycywgYW5kIG90aGVyIGdhc3Ryb2ludGVzdGluYWwgaW5kaWNhdGlvbnMuIEludGVyY2VwdCBQaGFybWFjZXV0aWNhbHMsIEluYy4gaGFzIGEgbGljZW5zZSBhZ3JlZW1lbnQgd2l0aCBTdW1pdG9tbyBEYWluaXBwb24gUGhhcm1hIENvLiBMdGQuIGZvciB0aGUgcmVzZWFyY2gsIGRldmVsb3BtZW50LCBhbmQgY29tbWVyY2lhbGl6YXRpb24gb2YgT0NBIGFzIGEgdGhlcmFwZXV0aWMgZm9yIHRoZSB0cmVhdG1lbnQgb2YgUEJDIGFuZCBOQVNIIGluIEphcGFuIGFuZCBDaGluYS4gVGhlIGNvbXBhbnkgd2FzIGZvdW5kZWQgaW4gMjAwMiBhbmQgaXMgaGVhZHF1YXJ0ZXJlZCBpbiBOZXcgWW9yaywgTmV3IFlvcmsuAJQLV4YUCdYIL3BkhxQJ1gg6Q0lRLk5BU0RBUUdNOk1OS0QuSVFfRUFSTklOR19DTy4yMDAwLjYvMzAvMjAxOC5MRlIuRi5VU0QuSAEAAABmpY0AAgAAAAgtMTMxLjM5NAEIAAAABQAAAAExAQAAAAoxODg5Nzc1OTkzAwAAAAMxNjACAAAAATcEAAAAATAHAAAACTYvMzAvMjAxOAgAAAAJMy8zMS8yMDE4CQAAAAEw6W1ZhhQJ1gjgDWKHFAnWCDVDSVEuT1RDUEs6UlpMVC5JUV9UT1RBTF9DQS4xOTkyLjYvMzAvMjAxOC5MRlIuRi5VU0QuSAEAAAAhCZsKAgAAAAYyLjA0MDMBCAAAAAUAAAABMQEAAAAKMTg0MjMyOTA1MwMAAAADMTYwAgAAAAQxMDA4BAAAAAEwBwAAAAk2LzMwLzIwMTgI</t>
  </si>
  <si>
    <t>AAAACTMvMzEvMjAxNgkAAAABMOUP74QUCdYIhsBThxQJ1gg7Q0lRLk5BU0RBUUdTOklUQ0kuSVFfVE9UQUxfUkVWLkNZMjAxNi42LzMwLzIwMTguTEZSLkYuVVNELkgBAAAAd9GPAAIAAAAIMC4zMzA3MDIBCAAAAAUAAAABMQEAAAAKMTg3NzIwNzc5OQMAAAADMTYwAgAAAAIyOAQAAAABMAcAAAAJNi8zMC8yMDE4CAAAAAoxMi8zMS8yMDE2CQAAAAEwYpJ0hRQJ1ghn51qHFAnWCDxDSVEuTkFTREFRR1M6T0RULklRX1JFVkVOVUVfRVNULkNZMjAxOS42LzMwLzIwMTguQ09OLkYuVVNELkgBAAAAGhpFIAIAAAABMAEOAAAABQAAAAIxMQEAAAABMAIAAAAKMTAwMzk1MTYxOAMAAAAGMTAwMTgwBAAAAAEyBgAAAAEwBwAAAAMxNjAIAAAAATAJAAAAATEKAAAAATALAAAACzEwNzQ0NTA2MDQ4DAAAAAE3DQAAAAg3LzEvMjAxOBAAAAAJNi8zMC8yMDE4r4blhBQJ1ghn51qHFAnWCCFDSVEuTkFTREFRR006VlRWVC5JUV9DT01QQU5ZX05BTUUBAAAAHaMfEgMAAAAVdlR2IFRoZXJhcGV1dGljcyBJbmMuAMYl44QUCdYIhsBThxQJ1ggsQ0lRLk5BU0RBUUdTOkxYUlguSVFfTEFTVFNBTEVQUklDRS4zLzMxLzIwMTgBAAAAPXgAAAIAAAAEOC41NwBiknSFFAnWCEVJXYcUCdYIFkNJUS4uSVFfR1AuMjAwMC4uLi5VU0QFAAAAAQAAAAgAAAAUKEludmFsaWQgSWRlbnRpZmllcimUC1eGFAnWCJQLV4YUCdYIOkNJUS5PVENQ</t>
  </si>
  <si>
    <t>SzpCVEhFLklRX0VCSVREQV9NQVJHSU4uMjAwMC42LzMwLzIwMTguTEZSLkYuVVNELkgBAAAAb525BQMAAAACTk0BCAAAAAUAAAABMQEAAAAKMTg4ODY2Mzc0MgMAAAADMTYwAgAAAAQ0MDQ3BAAAAAEwBwAAAAk2LzMwLzIwMTgIAAAACTMvMzEvMjAxOAkAAAABMOUP74QUCdYIhsBThxQJ1gguQ0lRLklRVFIxMDg5MDYyNzYuSVFfVFJfVEFSR0VUX1NUT0NLUFJFTUlVTV8xVwEAAAAkx30GAgAAAAAA5jtFghQJ1gjENGmHFAnWCDVDSVEuTkFTREFRQ006QVZFTy5JUV9DQVBFWC4xOTkyLjYvMzAvMjAxOC5MRlIuRi5VU0QuSAEAAAD0Fh0AAgAAAAYtMC4wMjIBCAAAAAUAAAABMQEAAAAKMTg0MDA0NjExMQMAAAADMTYwAgAAAAQyMDIxBAAAAAEwBwAAAAk2LzMwLzIwMTgIAAAACTMvMzEvMjAxNgkAAAABMMYl44QUCdYIZSJWhxQJ1gg2Q0lRLkVOWFRQQTpFUllQLklRX1RPVEFMX0NMLjE5OTYuNi8zMC8yMDE4LkxGUi5GLlVTRC5IAQAAANiKeAECAAAACDYuNzAwMDk1AQgAAAAFAAAAATEBAAAACjE4ODUyMDQzNjkDAAAAAzE2MAIAAAAEMTAwOQQAAAABMAcAAAAJNi8zMC8yMDE4CAAAAAoxMi8zMS8yMDE2CQAAAAEw5Q/vhBQJ1ggxXlGHFAnWCB9DSVEuSVE5NDI1MjcxLklRX0NPTVBBTllfVElDS0VSAQAAAHfRjwADAAAADU5hc2RhcUdTOklUQ0kA5jtFghQJ1gjgIa6CFAnWCDhDSVEuTkFTREFRR1M6SVRD</t>
  </si>
  <si>
    <t>SS5JUV9UT1RBTF9DQS4xOTkyLjYvMzAvMjAxOC5MRlIuRi5VU0QuSAEAAAB30Y8AAgAAAAo0NjIuODU4NTM2AQgAAAAFAAAAATEBAAAACjE4NDE3OTI2OTIDAAAAAzE2MAIAAAAEMTAwOAQAAAABMAcAAAAJNi8zMC8yMDE4CAAAAAkzLzMxLzIwMTYJAAAAATBiknSFFAnWCGfnWocUCdYIJUNJUS5TRUhLOjIxODYuSVFfQlVTSU5FU1NfREVTQ1JJUFRJT04BAAAAwoGYAAMAAAC/D0x1eWUgUGhhcm1hIEdyb3VwIEx0ZC4sIGFuIGludmVzdG1lbnQgaG9sZGluZyBjb21wYW55LCBkZXZlbG9wcywgcHJvZHVjZXMsIG1hcmtldHMsIGFuZCBzZWxscyBwaGFybWFjZXV0aWNhbCBwcm9kdWN0cy4gVGhlIGNvbXBhbnkgb2ZmZXJzIE1haXRvbmduYSBmb3IgY2VyZWJyYWwgZWRlbWEgYW5kIGVkZW1hIGNhdXNlZCBieSB0cmF1bWE7IFh1ZXpoaWthbmcsIGEgYmxvb2QgbGlwaWQgcmVndWxhdG9yIGNhcHN1bGU7IFRpYW5kaWRhIGZvciBvdmFyaWFuIG9yIG5vbi1zbWFsbCBjZWxsIGx1bmcgY2FuY2VyOyBZaXRhaWRhIGZvciBhY3V0ZSBwcm9teWVsb2N5dGljIGxldWtlbWlhIGFuZCBsaXZlciBjYW5jZXI7IENNTmEgZm9yIHR1bW9yIHJhZGlvdGhlcmFweTsgTElQVVNVIGZvciBvdmFyaWFuLCBtZXRhc3RhdGljIG92YXJpYW4sIGJyZWFzdCwgYW5kIG5vbi1zbWFsbC1jZWxsIGx1bmcgY2FuY2VyIHBhdGllbnQ7</t>
  </si>
  <si>
    <t>IE51b3NlbiBmb3IgYWN1dGUgdXBwZXIgZGlnZXN0aXZlIHRyYWN0IGhlbW9ycmhhZ2U7IEJlaSBUYW5nIE5pbmcsIGEgY2Fwc3VsZSB0byBjb250cm9sIGJsb29kIGdsdWNvc2UgaW4gcGF0aWVudHMgd2l0aCB0eXBlIDIgZGlhYmV0ZXM7IEJlaSBYaSwgYW4gYWNhcmJvc2UgY2Fwc3VsZSBmb3IgZGlhYmV0ZXM7IGFuZCBMVVRJTkdOVU8sIHJlZHVjZWQgZ2x1dGF0aGlvbmUgaW5qZWN0aW9uIGZvciB0b3hpY2l0eSwgYW5kIGluanVyaWVzIGNhdXNlZCBieSBpb25pemluZyByYWRpYXRpb24sIGFzIHdlbGwgYXMgZm9yIGh5cG94ZW1pYS4gSXQgYWxzbyBwcm92aWRlcyBHbHVjb3NhbWluZSBIeWRyb2NobG9yaWRlIHRhYmxldHMgZm9yIG9zdGVvYXJ0aHJpdGlzOyBYaSBNaW5nIFRpbmcgbGFyZ2V0cmlmb2xpb2xpb3VzIGJ1Z2JhbmUgcmhpem9tZSB0b3RhbCBzYXBvbmluIHRhYmxldHMgZm9yIGludmlnb3JhdGluZyBzcGxlbmljIHlhbmcgYW5kIHJlbGlldmluZyBkZXByZXNzaW9uLCBhbmQgdHJlYXRpbmcgcGVyaW1lbm9wYXVzYWwgc3luZHJvbWUgaW4gZmVtYWxlcywgYXMgd2VsbCBhcyBpbXByb3ZpbmcgdGhlIHN5bXB0b21zIG9mIGhvdCBmbGFzaGVzLCBzd2VhdGluZywgaXJyaXRhYmlsaXR5LCBpbnNvbW5pYSwgaHlwb2Nob25kcmlhYyBwYWluLCBkaXp6aW5lc3MgYW5kIHRpbm5pdHVzLCBh</t>
  </si>
  <si>
    <t>Y2hpbmcgcGFpbiBvZiB3YWlzdCBhbmQga25lZSwgbWVsYW5jaG9seSwgdW5oYXBweSwgZXRjLiBJbiBhZGRpdGlvbiwgdGhlIGNvbXBhbnkgcHJvdmlkZXMgT3VrYWkgc29kaXVtIGFlc2NpbmF0ZSB0YWJsZXRzIGZvciBzb2Z0IHRpc3N1ZSBzd2VsbGluZyBhbmQgdmVub3VzIGVkZW1hOyBPdWxhaSwgYSBjb21wb3VuZCBzb2RpdW0gYWVzY2luYXRlIGdlbCBmb3IgbG9jYWwgc3dlbGxpbmcgaW5kdWNlZCBieSBpbmZsYW1tYXRpb24sIGRlZ2VuZXJhdGl2ZSBsZXNpb24sIGFuZCB0cmF1bWE7IFNpZGludW8gZm9yIG9zdGVvcG9yb3NpcyBhbmQgcmVsaWV2aW5nIHBhaW4gaW5kdWNlZCBieSBvc3Rlb3Bvcm9zaXM7IE91dG9uZywgYSBjYXBzYWljaW4gZ2VsOyBhbmQgSmluc2lwaW5nIHNlbGVnaWxpbmUgaHlkcm9jaGxvcmlkZSB0YWJsZXRzIGZvciBQYXJraW5zb27igJlzIGRpc2Vhc2UuIEZ1cnRoZXIsIGl0IGRpc3RyaWJ1dGVzLCBzZWxscywgYW5kIHJldGFpbHMgcGhhcm1hY2V1dGljYWwgZHJ1Z3M7IG1hbnVmYWN0dXJlcyBhbmQgc2VsbHMgZWdnczsgYW5kIHByb3ZpZGVzIGJ1c2luZXNzIGFuZCBpbnZlc3RtZW50IGNvbnN1bHRhdGlvbiwgYXMgd2VsbCBhcyBjb250cmFjdCByZXNlYXJjaCwgcHJvY2VzcyBkZXZlbG9wbWVudCwgYW5kIG1hbnVmYWN0dXJpbmcgc2VydmljZXMuIFRoZSBjb21w</t>
  </si>
  <si>
    <t>YW55IGhhcyBzdHJhdGVnaWMgY29sbGFib3JhdGlvbiB3aXRoIEV4Y2VsIEJpb1BoYXJtIExMQy4gVGhlIGNvbXBhbnkgd2FzIGZvdW5kZWQgaW4gMTk5NCBhbmQgaXMgaGVhZHF1YXJ0ZXJlZCBpbiBZYW50YWksIHRoZSBQZW9wbGXigJlzIFJlcHVibGljIG9mIENoaW5hLgCUC1eGFAnWCC9wZIcUCdYIQ0NJUS5OQVNEQVFDTTpDT1JULklRX0VCSVREQV8yWVJfQU5OX0NBR1IuMjAwMC42LzMwLzIwMTguTEZSLkYuVVNELkgBAAAA0rkVAAIAAAAINjI0LjAzODQBCAAAAAUAAAABMQEAAAAKMTg4ODA5OTU0NAMAAAADMTYwAgAAAAQ0MjA5BAAAAAEwBwAAAAk2LzMwLzIwMTgIAAAACTMvMzEvMjAxOAkAAAABMGKSdIUUCdYIlKtfhxQJ1gg8Q0lRLk5BU0RBUUdTOk5JVEUuSVFfRUJJVERBX0VTVC5DWTIwMTkuNi8zMC8yMDE4LkNPTi5GLlVTRC5IAQAAAAzTGBADAAAAAACvhuWEFAnWCKeEWIcUCdYIRkNJUS5OQVNEQVFHUzpDWVRLLklRX1RPVEFMX1JFVl8zWVJfQU5OX0NBR1IuMjAwMC42LzMwLzIwMTguTEZSLkYuVVNELkgBAAAAs2oAAAIAAAAILTMwLjYyNDUBCAAAAAUAAAABMQEAAAAKMTg4ODQ3MDY2NgMAAAADMTYwAgAAAAQ0MjIwBAAAAAEwBwAAAAk2LzMwLzIwMTgIAAAACTMvMzEvMjAxOAkAAAABMK+G5YQUCdYIZSJWhxQJ1gg7Q0lRLk5BU0RBUUdTOkNZVEsuSVFfVE9UQUxfUkVWLkNZMjAxNy42</t>
  </si>
  <si>
    <t>LzMwLzIwMTguTEZSLkYuVVNELkgBAAAAs2oAAAIAAAAGMTMuMzY4AQgAAAAFAAAAATEBAAAACjE4Nzc2NjgyOTkDAAAAAzE2MAIAAAACMjgEAAAAATAHAAAACTYvMzAvMjAxOAgAAAAKMTIvMzEvMjAxNwkAAAABMMYl44QUCdYIZSJWhxQJ1gg1Q0lRLk5BU0RBUUdNOlJZVE0uSVFfQ0FQRVguMTk5Mi42LzMwLzIwMTguTEZSLkYuVVNELkgBAAAAGMltEgIAAAAGLTAuNTc4AQgAAAAFAAAAATEBAAAACjE4NTkyNjA1NzUDAAAAAzE2MAIAAAAEMjAyMQQAAAABMAcAAAAJNi8zMC8yMDE4CAAAAAkzLzMxLzIwMTYJAAAAATBiknSFFAnWCEVJXYcUCdYIOUNJUS5OQVNEQVFHTTpNTk9WLklRX1RPVEFMX1JFVi4xOTk2LjYvMzAvMjAxOC5MRlIuRi5VU0QuSAEAAAC4VI0AAwAAAAAAxiXjhBQJ1ginhFiHFAnWCDhDSVEuTkFTREFRQ006Q09SVC5JUV9UT1RBTF9DTC4yMDAwLjYvMzAvMjAxOC5MRlIuRi5VU0QuSAEAAADSuRUAAgAAAAYyNy43NDkBCAAAAAUAAAABMQEAAAAKMTg4ODA5OTU0NAMAAAADMTYwAgAAAAQxMDA5BAAAAAEwBwAAAAk2LzMwLzIwMTgIAAAACTMvMzEvMjAxOAkAAAABMGKSdIUUCdYIlKtfhxQJ1gg6Q0lRLlNIU0U6NjAwODY3LklRX0VCSVREQV9FU1QuQ1kyMDE4LjYvMzAvMjAxOC5DT04uRi5VU0QuSAEAAADYPq4AAgAAABAyMTMuNTEzOTQ2ODAzMDM3AQ4AAAAFAAAAAjExAQAAAAEwAgAA</t>
  </si>
  <si>
    <t>AAoxMDAyMDA3NTgwAwAAAAYxMDAxODcEAAAAAjI3BgAAAAEwBwAAAAMxNjAIAAAAATAJAAAAATEKAAAAATALAAAACzEwOTI4NTk2MjAyDAAAAAE3DQAAAAg3LzEvMjAxOBAAAAAJNi8zMC8yMDE4YpJ0hRQJ1gjgDWKHFAnWCDBDSVEuKElOVkFMSUQgSURFTlRJRklFUikuSVFfQlVTSU5FU1NfREVTQ1JJUFRJT04FAAAAAAAAAAgAAAAUKEludmFsaWQgSWRlbnRpZmllcinlD++EFAnWCDFeUYcUCdYIJUNJUS5TSFNFOjYwMDg2Ny5JUV9QRVJJT0REQVRFX0lTLjEwMDABAAAA2D6uAAUAAAAKMTIvMzEvMjAxNwBiknSFFAnWCOANYocUCdYIOkNJUS5DUFNFOlpFQUwuSVFfQ0FTSF9TVF9JTlZFU1QuMjAwMC4zLzMxLzIwMTguTEZSLkYuVVNELkgBAAAAIlsTAAIAAAAKMTA3LjA1ODMxNQEIAAAABQAAAAExAQAAAAoxODc4MDU5NzIxAwAAAAMxNjACAAAABDEwMDIEAAAAATAHAAAACTMvMzEvMjAxOAgAAAAKMTIvMzEvMjAxNwkAAAABMGKSdIUUCdYI4A1ihxQJ1ggsQ0lRLklRVFIzMDY3NTEwOTYuSVFfVFJfVE9UQUxfR1JPU1NfVFYuVVNELkgFAAAAAAAAAAgAAAAaKEludmFsaWQgQ3VycmVuY3kgUmVxdWVzdCnmO0WCFAnWCHvSZocUCdYIJkNJUS5OQVNEQVFDTTpDVVIuSVFfQkVUQV8yWVIuNi8zMC8yMDE4AQAAAPHudQACAAAAEDIuMTM2MTI1NzExMzM1NDEA5Q/vhBQJ1ggxXlGHFAnWCD5DSVEuTkFTREFR</t>
  </si>
  <si>
    <t>R1M6Q0JBWS5JUV9DQVNIX1NUX0lOVkVTVC4yMDAwLjYvMzAvMjAxOC5MRlIuRi5VU0QuSAEAAADAegAAAgAAAAcyMjkuNTM2AQgAAAAFAAAAATEBAAAACjE4ODc0NDUwODQDAAAAAzE2MAIAAAAEMTAwMgQAAAABMAcAAAAJNi8zMC8yMDE4CAAAAAkzLzMxLzIwMTgJAAAAATBiknSFFAnWCEVJXYcUCdYIPENJUS5OQVNEQVFHUzpBUFRYLklRX0VCSVREQV9FU1QuQ1kyMDE4LjYvMzAvMjAxOC5DT04uRi5VU0QuSAEAAAAvKQwUAwAAAAAAYpJ0hRQJ1ghFSV2HFAnWCD9DSVEuU0VISzoyMTg2LklRX0VCSVREQV81WVJfQU5OX0NBR1IuMjAwMC42LzMwLzIwMTguTEZSLkYuVVNELkgBAAAAwoGYAAIAAAAHMjcuNTE3NQEIAAAABQAAAAExAQAAAAoxODg1NDk1MDA2AwAAAAIzMgIAAAAENDIzNQQAAAABMAcAAAAJNi8zMC8yMDE4CAAAAAoxMi8zMS8yMDE3CQAAAAEw6W1ZhhQJ1ggvcGSHFAnWCEdDSVEuTkFTREFRR1M6TFhSWC5JUV9NSU5PUklUWV9JTlRFUkVTVF9UT1RBTC4yMDAwLjMvMzEvMjAxOC5MRlIuRi5VU0QuSAEAAAA9eAAAAwAAAAAAYpJ0hRQJ1ghFSV2HFAnWCDxDSVEuTkFTREFRR1M6TklURS5JUV9FQklUREFfRVNULkNZMjAyMC42LzMwLzIwMTguQ09OLkYuVVNELkgBAAAADNMYEAMAAAAAAK+G5YQUCdYIp4RYhxQJ1ggzQ0lRLkNQU0U6Tk9WTyBCLklRX0NBUEVYLjIwMDAuNi8zMC8yMDE4LkxG</t>
  </si>
  <si>
    <t>Ui5GLlVTRC5IAQAAAHzvBAACAAAADC0xMzM3Ljk1NjgxOQEIAAAABQAAAAExAQAAAAoxODkyNjIzOTUzAwAAAAMxNjACAAAABDIwMjEEAAAAATAHAAAACTYvMzAvMjAxOAgAAAAJMy8zMS8yMDE4CQAAAAEwlAtXhhQJ1gh70maHFAnWCDpDSVEuTkFTREFRR1M6Q0JBWS5JUV9UT1RBTF9ERUJULjIwMDAuNi8zMC8yMDE4LkxGUi5GLlVTRC5IAQAAAMB6AAACAAAABTUuMzYxAQgAAAAFAAAAATEBAAAACjE4ODc0NDUwODQDAAAAAzE2MAIAAAAENDE3MwQAAAABMAcAAAAJNi8zMC8yMDE4CAAAAAkzLzMxLzIwMTgJAAAAATBiknSFFAnWCEVJXYcUCdYIRENJUS5PVENQSzpSWkxULklRX01JTk9SSVRZX0lOVEVSRVNUX1RPVEFMLjIwMDAuNi8zMC8yMDE4LkxGUi5GLlVTRC5IAQAAACEJmwoDAAAAAADlD++EFAnWCIbAU4cUCdYIOENJUS5OQVNEQVFHUzpJVENJLklRX0VCSVREQS5DWTIwMTYuNi8zMC8yMDE4LkxGUi5GLlVTRC5IAQAAAHfRjwACAAAACy0xMTguMDYyMDE5AQgAAAAFAAAAATEBAAAACjE4NzcyMDc3OTkDAAAAAzE2MAIAAAAENDA1MQQAAAABMAcAAAAJNi8zMC8yMDE4CAAAAAoxMi8zMS8yMDE2CQAAAAEwYpJ0hRQJ1ghn51qHFAnWCDVDSVEuT1RDUEs6QlRIRS5JUV9UT1RBTF9DTC4xOTkyLjYvMzAvMjAxOC5MRlIuRi5VU0QuSAEAAABvnbkFAgAAAAgwLjkxMjE1NAEIAAAABQAAAAExAQAAAAox</t>
  </si>
  <si>
    <t>ODQxMzQ3NjcwAwAAAAMxNjACAAAABDEwMDkEAAAAATAHAAAACTYvMzAvMjAxOAgAAAAJMy8zMS8yMDE2CQAAAAEw5Q/vhBQJ1giGwFOHFAnWCDlDSVEuT1RDUEs6QlRIRS5JUV9FQklUREFfRVNULkNZMjAyMC42LzMwLzIwMTguQ09OLkYuVVNELkgBAAAAb525BQMAAAAAAOUP74QUCdYIhsBThxQJ1ghDQ0lRLk5BU0RBUUdTOkNZVEsuSVFfRUJJVERBXzJZUl9BTk5fQ0FHUi4yMDAwLjYvMzAvMjAxOC5MRlIuRi5VU0QuSAEAAACzagAAAwAAAAJOTQEIAAAABQAAAAExAQAAAAoxODg4NDcwNjY2AwAAAAMxNjACAAAABDQyMDkEAAAAATAHAAAACTYvMzAvMjAxOAgAAAAJMy8zMS8yMDE4CQAAAAEwr4blhBQJ1ghlIlaHFAnWCD1DSVEuTkFTREFRR006TU5LRC5JUV9SRVZFTlVFX0VTVC5DWTIwMjAuNi8zMC8yMDE4LkNPTi5GLlVTRC5IAQAAAGaljQACAAAABjk3LjQ3NAEOAAAABQAAAAIxMQEAAAABMAIAAAAKMTAwMTAwNDU3MwMAAAAGMTAwMTgwBAAAAAEyBgAAAAEwBwAAAAMxNjAIAAAAATAJAAAAATEKAAAAATALAAAACzEwOTQxNjU0NDA2DAAAAAE3DQAAAAg3LzEvMjAxOBAAAAAJNi8zMC8yMDE46W1ZhhQJ1gjgDWKHFAnWCClDSVEuSVFUUjIxMjczMTg3Ny5JUV9CVVNJTkVTU19ERVNDUklQVElPTgEAAAAOYQAAAwAAANoKQW15bGluIFBoYXJtYWNldXRpY2FscywgTExDLCBhIGJpb3BoYXJtYWNldXRp</t>
  </si>
  <si>
    <t>Y2FsIGNvbXBhbnksIGVuZ2FnZXMgaW4gdGhlIGRpc2NvdmVyeSwgZGV2ZWxvcG1lbnQsIGFuZCBjb21tZXJjaWFsaXphdGlvbiBvZiBkcnVnIGNhbmRpZGF0ZXMgZm9yIHRoZSB0cmVhdG1lbnQgb2YgZGlhYmV0ZXMsIG9iZXNpdHksIGFuZCBvdGhlciBkaXNlYXNlcy4gVGhlIGNvbXBhbnkgb2ZmZXJzIEJZRFVSRU9OIChleGVuYXRpZGUgZXh0ZW5kZWQtcmVsZWFzZSBmb3IgaW5qZWN0YWJsZSBzdXNwZW5zaW9uKSwgYSBvbmNlLXdlZWtseSBkaWFiZXRlcyB0cmVhdG1lbnQgYXMgYW4gYWRqdW5jdCB0byBkaWV0IGFuZCBleGVyY2lzZSB0byBpbXByb3ZlIGdseWNlbWljIGNvbnRyb2wgaW4gYWR1bHQgcGF0aWVudHMgd2l0aCB0eXBlIDIgZGlhYmV0ZXMuIEl0cyBwcm9kdWN0cyBpbmNsdWRlIEJZRVRUQSAoZXhlbmF0aWRlKSBpbmplY3Rpb24gZm9yIHRoZSB0cmVhdG1lbnQgb2YgdHlwZSAyIGRpYWJldGVzOyBhbmQgU1lNTElOIChwcmFtbGludGlkZSBhY2V0YXRlKSBpbmplY3Rpb24gZm9yIHRoZSB0cmVhdG1lbnQgb2YgdHlwZSAxIGFuZCB0eXBlIDIgZGlhYmV0ZXMuIFRoZSBjb21wYW55IGRldmVsb3BzIGEgZHVhbCBjaGFtYmVyIGNhcnRyaWRnZSBwZW4gY29uZmlndXJhdGlvbiBvZiBCWURVUkVPTiB0aGF0IGFsbG93IHBhdGllbnRzIHRvIG1peCBhbmQgYWRtaW5pc3RlciBCWURVUkVPTiBm</t>
  </si>
  <si>
    <t>cm9tIGEgcHJlLWZpbGxlZCBwZW4gZGV2aWNlLiBUaGUgY29tcGFueSBtYXJrZXRzIGl0cyBwcm9kdWN0cyB0byBoZWFsdGhjYXJlIHByb3ZpZGVycywgbWFuYWdlZCBoZWFsdGhjYXJlIG9yZ2FuaXphdGlvbnMsIGhvc3BpdGFscywgd2hvbGVzYWxlcnMgYW5kIHBoYXJtYWNpZXMsIGdvdmVybm1lbnQgcHVyY2hhc2VycywgYW5kIG90aGVyIHRoaXJkLXBhcnR5IHBheWVycyBwcmltYXJpbHkgaW4gdGhlIFVuaXRlZCBTdGF0ZXMuIEl0IGhhcyBhIGNvbGxhYm9yYXRpb24gYWdyZWVtZW50IHdpdGggQWxrZXJtZXMgQ29udHJvbGxlZCBUaGVyYXBldXRpY3MsIEluYy4gSUkgZm9yIHRoZSBkZXZlbG9wbWVudCwgbWFudWZhY3R1cmUsIGFuZCBjb21tZXJjaWFsaXphdGlvbiBvZiBCWURVUkVPTjsgYW5kIGEgc3RyYXRlZ2ljIHJlbGF0aW9uc2hpcCB3aXRoIEJpb2NvbiwgTGltaXRlZCwgdG8gZGV2ZWxvcCBwaGFybWFjZXV0aWNhbCBwcm9kdWN0cyBmb3IgZGlhYmV0ZXMuIFRoZSBjb21wYW55IHdhcyBmb3VuZGVkIGluIDE5ODcgYW5kIGlzIGhlYWRxdWFydGVyZWQgaW4gU2FuIERpZWdvLCBDYWxpZm9ybmlhLiBBbXlsaW4gUGhhcm1hY2V1dGljYWxzLCBMTEMgb3BlcmF0ZXMgYXMgYSBzdWJzaWRpYXJ5IG9mIEFzdHJhWmVuZWNhIFBMQy4A5jtFghQJ1gh70maHFAnWCEZDSVEuTkFTREFRR1M6SUNQVC5J</t>
  </si>
  <si>
    <t>UV9UT1RBTF9SRVZfMllSX0FOTl9DQUdSLjIwMDAuNi8zMC8yMDE4LkxGUi5GLlVTRC5IAQAAAIKvrQACAAAACDgwNC43NTQyAQgAAAAFAAAAATEBAAAACjE4ODg2MTU1NDADAAAAAzE2MAIAAAAENDIwNwQAAAABMAcAAAAJNi8zMC8yMDE4CAAAAAkzLzMxLzIwMTgJAAAAATDpbVmGFAnWCC9wZIcUCdYIOENJUS5OQVNEQVFHUzpMWFJYLklRX0VCSVREQS5DWTIwMTcuNi8zMC8yMDE4LkxGUi5GLlVTRC5IAQAAAD14AAACAAAACC0xMzEuMTgxAQgAAAAFAAAAATEBAAAACjE4NzcxMzM5NzQDAAAAAzE2MAIAAAAENDA1MQQAAAABMAcAAAAJNi8zMC8yMDE4CAAAAAoxMi8zMS8yMDE3CQAAAAEwYpJ0hRQJ1giUq1+HFAnWCEFDSVEuU0hTRTo2MDA4NjcuSVFfRUJJVERBXzJZUl9BTk5fQ0FHUi4yMDAwLjYvMzAvMjAxOC5MRlIuRi5VU0QuSAEAAADYPq4AAgAAAAcyNi45NDM1AQgAAAAFAAAAATEBAAAACjE4ODUxNDYyNzMDAAAAAjMyAgAAAAQ0MjA5BAAAAAEwBwAAAAk2LzMwLzIwMTgIAAAACTMvMzEvMjAxOAkAAAABMGKSdIUUCdYI4A1ihxQJ1gg3Q0lRLk5BU0RBUUNNOkNVUi5JUV9UT1RBTF9DTC4xOTkyLjYvMzAvMjAxOC5MRlIuRi5VU0QuSAEAAADx7nUAAgAAAAg3LjYyMTI3MgEIAAAABQAAAAExAQAAAAoxODQxMDcyNjg1AwAAAAMxNjACAAAABDEwMDkEAAAAATAHAAAACTYvMzAvMjAxOAgAAAAJMy8z</t>
  </si>
  <si>
    <t>MS8yMDE2CQAAAAEw5Q/vhBQJ1ggxXlGHFAnWCDVDSVEuT1RDUEs6RU1JUy5JUV9FQklUREEuQ1kyMDE3LjYvMzAvMjAxOC5MRlIuRi5VU0QuSAEAAAA+/QMAAwAAAAAAr4blhBQJ1ghlIlaHFAnWCDpDSVEuTkFTREFRR1M6WkZHTi5JUV9UT1RBTF9ERUJULjIwMDAuNi8zMC8yMDE4LkxGUi5GLlVTRC5IAQAAAJfAugECAAAABTIwLjE2AQgAAAAFAAAAATEBAAAACjE4ODk4OTUzODEDAAAAAzE2MAIAAAAENDE3MwQAAAABMAcAAAAJNi8zMC8yMDE4CAAAAAkzLzMxLzIwMTgJAAAAATDGJeOEFAnWCKeEWIcUCdYIRkNJUS5OQVNEQVFHUzpJVENJLklRX1RPVEFMX1JFVl8yWVJfQU5OX0NBR1IuMjAwMC42LzMwLzIwMTguTEZSLkYuVVNELkgBAAAAd9GPAAIAAAAGMzAuNzYxAQgAAAAFAAAAATEBAAAACjE4ODY2MTczMjIDAAAAAzE2MAIAAAAENDIwNwQAAAABMAcAAAAJNi8zMC8yMDE4CAAAAAkzLzMxLzIwMTgJAAAAATBiknSFFAnWCGfnWocUCdYIOkNJUS5OQVNEQVFHUzpBUFRYLklRX1RPVEFMX0RFQlQuMjAwMC42LzMwLzIwMTguTEZSLkYuVVNELkgBAAAALykMFAIAAAABMAEIAAAABQAAAAExAQAAAAoxODkwODUxMzkxAwAAAAMxNjACAAAABDQxNzMEAAAAATAHAAAACTYvMzAvMjAxOAgAAAAJMy8zMS8yMDE4CQAAAAEwYpJ0hRQJ1ghFSV2HFAnWCENDSVEuTkFTREFRQ006QVZFTy5JUV9FQklUREFfMllS</t>
  </si>
  <si>
    <t>X0FOTl9DQUdSLjIwMDAuNi8zMC8yMDE4LkxGUi5GLlVTRC5IAQAAAPQWHQADAAAAAADGJeOEFAnWCGUiVocUCdYII0NJUS5TRUhLOjIxODYuSVFfQkVUQV8yWVIuNi8zMC8yMDE4AQAAAMKBmAACAAAAETAuOTM4MzkwMDkzNzM0NjM2AOltWYYUCdYIL3BkhxQJ1gg4Q0lRLk5BU0RBUUdTOlpGR04uSVFfVE9UQUxfQ0wuMjAwMC42LzMwLzIwMTguTEZSLkYuVVNELkgBAAAAl8C6AQIAAAAFNy40NTcBCAAAAAUAAAABMQEAAAAKMTg4OTg5NTM4MQMAAAADMTYwAgAAAAQxMDA5BAAAAAEwBwAAAAk2LzMwLzIwMTgIAAAACTMvMzEvMjAxOAkAAAABMMYl44QUCdYIp4RYhxQJ1gg8Q0lRLk5BU0RBUUdNOk1OT1YuSVFfVE9UQUxfRVFVSVRZLjIwMDAuNi8zMC8yMDE4LkxGUi5GLlVTRC5IAQAAALhUjQACAAAACTc1LjU2OTgwNwEIAAAABQAAAAExAQAAAAoxODg0NjQ0MjI4AwAAAAMxNjACAAAABDEyNzUEAAAAATAHAAAACTYvMzAvMjAxOAgAAAAJMy8zMS8yMDE4CQAAAAEwxiXjhBQJ1ginhFiHFAnWCCJDSVEuQ1BTRTpOT1ZPIEIuSVFfRUZGRUNUX1RBWF9SQVRFAQAAAHzvBAACAAAABzIwLjM5NjgBCAAAAAUAAAABMQEAAAAKMTg5OTIyNDQ2MQMAAAACNDICAAAABDQzNzYEAAAAATAHAAAACTgvMjMvMjAxOAgAAAAJNi8zMC8yMDE4CQAAAAEwlAtXhhQJ1ggvcGSHFAnWCC5DSVEuSVFUUjIxMjczMTg3Ny5JUV9U</t>
  </si>
  <si>
    <t>Ul9UQVJHRVRfU1RPQ0tQUkVNSVVNXzFNAQAAAOUHrgwCAAAABzEyLjk3MzgBBgAAAAUAAAACNTQBAAAABjEwMTA1NQIAAAAJMjEyNzMxODc3AwAAAAkyMTI3MzIzNjgEAAAAAzE2MAYAAAAFRmFsc2XmO0WCFAnWCHvSZocUCdYIRENJUS5DUFNFOk5PVk8gQi5JUV9UT1RBTF9SRVZfM1lSX0FOTl9DQUdSLjIwMDAuNi8zMC8yMDE4LkxGUi5GLlVTRC5IAQAAAHzvBAACAAAABTUuNTYxAQgAAAAFAAAAATEBAAAACjE4OTI2MjM5NTMDAAAAAjQyAgAAAAQ0MjIwBAAAAAEwBwAAAAk2LzMwLzIwMTgIAAAACTMvMzEvMjAxOAkAAAABMJQLV4YUCdYIL3BkhxQJ1ggkQ0lRLk5BU0RBUUdNOk1OS0QuSVFfRUZGRUNUX1RBWF9SQVRFAQAAAGaljQADAAAAAk5NAQgAAAAFAAAAATEBAAAACjE4OTg0Njg1ODgDAAAAAzE2MAIAAAAENDM3NgQAAAABMAcAAAAJOC8yMy8yMDE4CAAAAAk2LzMwLzIwMTgJAAAAATDpbVmGFAnWCOANYocUCdYII0NJUS5OWVNFOk1ZT1YuSVFfQkVUQV81WVIuNi8zMC8yMDE4AQAAAJfaCxgDAAAAAABiknSFFAnWCJSrX4cUCdYIG0NJUS5FTlhUUEE6RVJZUC5JUV9FWENIQU5HRQEAAADYingBAwAAAAZFTlhUUEEA5Q/vhBQJ1ggxXlGHFAnWCDxDSVEuTkFTREFRR1M6Q1lUSy5JUV9FQVJOSU5HX0NPLkNZMjAxNy42LzMwLzIwMTguTEZSLkYuVVNELkgBAAAAs2oAAAIAAAAHLTEyNy43OQEIAAAA</t>
  </si>
  <si>
    <t>BQAAAAExAQAAAAoxODc3NjY4Mjk5AwAAAAMxNjACAAAAATcEAAAAATAHAAAACTYvMzAvMjAxOAgAAAAKMTIvMzEvMjAxNwkAAAABMMYl44QUCdYIZSJWhxQJ1gg5Q0lRLkNQU0U6Tk9WTyBCLklRX1BSRUZfRVFVSVRZLjIwMDAuMy8zMS8yMDE4LkxGUi5GLlVTRC5IAQAAAHzvBAADAAAAAACUC1eGFAnWCC9wZIcUCdYIM0NJUS5FTlhUUEE6RVJZUC5JUV9DQVBFWC4yMDAwLjYvMzAvMjAxOC5MRlIuRi5VU0QuSAEAAADYingBAgAAAAktMS45OTgwNzkBCAAAAAUAAAABMQEAAAAKMTg4NTIwNDIxOQMAAAADMTYwAgAAAAQyMDIxBAAAAAEwBwAAAAk2LzMwLzIwMTgIAAAACjEyLzMxLzIwMTcJAAAAATDlD++EFAnWCDFeUYcUCdYIO0NJUS5OQVNEQVFHTTpWVFZULklRX1BSRUZfRVFVSVRZLjIwMDAuNi8zMC8yMDE4LkxGUi5GLlVTRC5IAQAAAB2jHxIDAAAAAACvhuWEFAnWCIbAU4cUCdYIOkNJUS5TSFNFOjYwMDg2Ny5JUV9FQVJOSU5HX0NPLkNZMjAxNy42LzMwLzIwMTguTEZSLkYuVVNELkgBAAAA2D6uAAIAAAAKMTI5LjExMjc1NQEIAAAABQAAAAExAQAAAAoxODgzMTE4NTM1AwAAAAMxNjACAAAAATcEAAAAATAHAAAACTYvMzAvMjAxOAgAAAAKMTIvMzEvMjAxNwkAAAABMGKSdIUUCdYI4A1ihxQJ1gg3Q0lRLk5BU0RBUUdTOk9EVC5JUV9FQklUREEuQ1kyMDE3LjYvMzAvMjAxOC5MRlIuRi5VU0QuSAEA</t>
  </si>
  <si>
    <t>AAAaGkUgAgAAAActMzIuNzI0AQgAAAAFAAAAATEBAAAACjE4NzQxNjcyMzkDAAAAAzE2MAIAAAAENDA1MQQAAAABMAcAAAAJNi8zMC8yMDE4CAAAAAoxMi8zMS8yMDE3CQAAAAEwxiXjhBQJ1ginhFiHFAnWCD1DSVEuKElOVkFMSUQgSURFTlRJRklFUikuSVFfRUJJVERBLjE5OTIuNi8zMC8yMDE4LkxGUi5GLlVTRC5IBQAAAAAAAAAIAAAAFChJbnZhbGlkIElkZW50aWZpZXIp5Q/vhBQJ1ggxXlGHFAnWCDhDSVEuTkFTREFRQ006Q09SVC5JUV9UT1RBTF9DQS4yMDAwLjYvMzAvMjAxOC5MRlIuRi5VU0QuSAEAAADSuRUAAgAAAAcxNTAuODIzAQgAAAAFAAAAATEBAAAACjE4ODgwOTk1NDQDAAAAAzE2MAIAAAAEMTAwOAQAAAABMAcAAAAJNi8zMC8yMDE4CAAAAAkzLzMxLzIwMTgJAAAAATBiknSFFAnWCJSrX4cUCdYINkNJUS5OQVNEQVFHUzpJVENJLklRX0VCSVREQS4xOTkyLjYvMzAvMjAxOC5MRlIuRi5VU0QuSAEAAAB30Y8AAgAAAAstMTExLjczODc1NgEIAAAABQAAAAExAQAAAAoxODQxNzkyNjkyAwAAAAMxNjACAAAABDQwNTEEAAAAATAHAAAACTYvMzAvMjAxOAgAAAAJMy8zMS8yMDE2CQAAAAEwYpJ0hRQJ1ghn51qHFAnWCEJDSVEuQU1FWDpCVFguSVFfTUlOT1JJVFlfSU5URVJFU1RfVE9UQUwuMjAwMC42LzMwLzIwMTguTEZSLkYuVVNELkgBAAAAFmQAAAIAAAAFMi40ODcBCAAAAAUAAAABMQEA</t>
  </si>
  <si>
    <t>AAAKMTg4Nzk4MDE2NQMAAAADMTYwAgAAAAQxMzEyBAAAAAEwBwAAAAk2LzMwLzIwMTgIAAAACTMvMzEvMjAxOAkAAAABMMYl44QUCdYIZSJWhxQJ1gg4Q0lRLk5BU0RBUUdTOklUQ0kuSVFfVE9UQUxfQ0wuMjAwMC42LzMwLzIwMTguTEZSLkYuVVNELkgBAAAAd9GPAAIAAAAJMTkuNjUyNzY4AQgAAAAFAAAAATEBAAAACjE4ODY2MTczMjIDAAAAAzE2MAIAAAAEMTAwOQQAAAABMAcAAAAJNi8zMC8yMDE4CAAAAAkzLzMxLzIwMTgJAAAAATBiknSFFAnWCGfnWocUCdYIRENJUS5PVENQSzpSWkxULklRX01JTk9SSVRZX0lOVEVSRVNUX1RPVEFMLjIwMDAuMy8zMS8yMDE4LkxGUi5GLlVTRC5IAQAAACEJmwoDAAAAAADlD++EFAnWCIbAU4cUCdYIO0NJUS5OQVNEQVFHTTpNTktELklRX1RPVEFMX1JFVi5DWTIwMTcuNi8zMC8yMDE4LkxGUi5GLlVTRC5IAQAAAGaljQACAAAABjExLjE0NQEIAAAABQAAAAExAQAAAAoxODc2MjM4OTc0AwAAAAMxNjACAAAAAjI4BAAAAAEwBwAAAAk2LzMwLzIwMTgIAAAACjEyLzMxLzIwMTcJAAAAATDpbVmGFAnWCOANYocUCdYIOENJUS5OQVNEQVFHUzpJVENJLklRX1RPVEFMX0NMLjE5OTYuNi8zMC8yMDE4LkxGUi5GLlVTRC5IAQAAAHfRjwACAAAACTE2LjMxODY1NgEIAAAABQAAAAExAQAAAAoxODg2NjE3MzYyAwAAAAMxNjACAAAABDEwMDkEAAAAATAHAAAACTYvMzAvMjAx</t>
  </si>
  <si>
    <t>OAgAAAAJMy8zMS8yMDE3CQAAAAEwYpJ0hRQJ1ghn51qHFAnWCDNDSVEuQ1BTRTpOT1ZPIEIuSVFfREFfQ0YuMjAwMC42LzMwLzIwMTguTEZSLkYuVVNELkgBAAAAfO8EAAIAAAAKNDc4LjMyNTc2MQEIAAAABQAAAAExAQAAAAoxODkyNjIzOTUzAwAAAAMxNjACAAAABDIxNjAEAAAAATAHAAAACTYvMzAvMjAxOAgAAAAJMy8zMS8yMDE4CQAAAAEwlAtXhhQJ1gh70maHFAnWCDhDSVEuTkFTREFRR1M6WEVSUy5JUV9UT1RBTF9DQS4xOTkyLjYvMzAvMjAxOC5MRlIuRi5VU0QuSAEAAADg7k8GAwAAAAAAxiXjhBQJ1ghn51qHFAnWCDhDSVEuTkFTREFRQ006QllTSS5JUV9UT1RBTF9DQS4yMDAwLjYvMzAvMjAxOC5MRlIuRi5VU0QuSAEAAABHz2wYAgAAAAYyMy4yODYBCAAAAAUAAAABMQEAAAAKMTg5Mzk3MzM4OQMAAAADMTYwAgAAAAQxMDA4BAAAAAEwBwAAAAk2LzMwLzIwMTgIAAAACTMvMzEvMjAxOAkAAAABMGKSdIUUCdYIRUldhxQJ1gg8Q0lRLlNIU0U6NjAwODY3LklRX1RPVEFMX0VRVUlUWS5DWTIwMTcuNi8zMC8yMDE4LkxGUi5GLlVTRC5IAQAAANg+rgACAAAACjY5Ny4zNDU5MDIBCAAAAAUAAAABMQEAAAAKMTg4MzExODUzNQMAAAADMTYwAgAAAAQxMjc1BAAAAAEwBwAAAAk2LzMwLzIwMTgIAAAACjEyLzMxLzIwMTcJAAAAATBiknSFFAnWCOANYocUCdYIOENJUS5OQVNEQVFHUzpDWVRLLklRX1RP</t>
  </si>
  <si>
    <t>VEFMX0NMLjIwMDAuNi8zMC8yMDE4LkxGUi5GLlVTRC5IAQAAALNqAAACAAAABjM4LjU0NgEIAAAABQAAAAExAQAAAAoxODg4NDcwNjY2AwAAAAMxNjACAAAABDEwMDkEAAAAATAHAAAACTYvMzAvMjAxOAgAAAAJMy8zMS8yMDE4CQAAAAEwxiXjhBQJ1ghlIlaHFAnWCD5DSVEuTkFTREFRR1M6TFhSWC5JUV9DQVNIX1NUX0lOVkVTVC4yMDAwLjYvMzAvMjAxOC5MRlIuRi5VU0QuSAEAAAA9eAAAAgAAAAcyNjIuMjcyAQgAAAAFAAAAATEBAAAACjE4ODY1NDM4NzUDAAAAAzE2MAIAAAAEMTAwMgQAAAABMAcAAAAJNi8zMC8yMDE4CAAAAAkzLzMxLzIwMTgJAAAAATBiknSFFAnWCJSrX4cUCdYINENJUS5FTlhUUEE6RVJZUC5JUV9FQklUREEuMTk5Mi42LzMwLzIwMTguTEZSLkYuVVNELkgBAAAA2Ip4AQIAAAAKLTE2LjYxMTQ1OAEIAAAABQAAAAExAQAAAAoxODg1MjA0NDA3AwAAAAMxNjACAAAABDQwNTEEAAAAATAHAAAACTYvMzAvMjAxOAgAAAAKMTIvMzEvMjAxNQkAAAABMOUP74QUCdYIMV5RhxQJ1gg3Q0lRLkNQU0U6WkVBTC5JUV9FQklUX01BUkdJTi4yMDAwLjYvMzAvMjAxOC5MRlIuRi5VU0QuSAEAAAAiWxMAAwAAAAJOTQEIAAAABQAAAAExAQAAAAoxODg5OTEzMTAwAwAAAAI0MgIAAAAENDA1MwQAAAABMAcAAAAJNi8zMC8yMDE4CAAAAAkzLzMxLzIwMTgJAAAAATBiknSFFAnWCOANYocUCdYIIUNJ</t>
  </si>
  <si>
    <t>US4uSVFfVFJfVEFSR0VUX1NUT0NLUFJFTUlVTV8xTQUAAAABAAAACAAAABQoSW52YWxpZCBJZGVudGlmaWVyKZQLV4YUCdYIlAtXhhQJ1gg0Q0lRLlNFSEs6MzkzMy5JUV9FQklUREEuQ1kyMDE2LjYvMzAvMjAxOC5MRlIuRi5VU0QuSAEAAABN2hECAgAAAAkxNTAuMjM3NzgBCAAAAAUAAAABMQEAAAAKMTg4NTczOTE5OQMAAAADMTYwAgAAAAQ0MDUxBAAAAAEwBwAAAAk2LzMwLzIwMTgIAAAACjEyLzMxLzIwMTYJAAAAATDpbVmGFAnWCOANYocUCdYIN0NJUS5TRUhLOjE1MzAuSVFfVE9UQUxfUkVWLkNZMjAxNi42LzMwLzIwMTguTEZSLkYuVVNELkgBAAAA77hwAQIAAAAKNDAyLjg3MDIwOAEIAAAABQAAAAExAQAAAAoxODg2MDk5ODIyAwAAAAMxNjACAAAAAjI4BAAAAAEwBwAAAAk2LzMwLzIwMTgIAAAACjEyLzMxLzIwMTYJAAAAATCUC1eGFAnWCC9wZIcUCdYII0NJUS5JUVRSMjQ5OTgxNTY0LklRX1RSX0NMT1NFRF9EQVRFAQAAAHxq5g4FAAAACjEyLzMxLzIwMTMA5jtFghQJ1ghw+MWCFAnWCC5DSVEuTkFTREFRQ006QVZFTy5JUV9NQVJLRVRDQVAuMy8zMS8yMDE4LlVTRC5IAQAAAPQWHQACAAAACjM0NC43MTU2NjYBBgAAAAUAAAABMQEAAAAKMTg3ODA4MjY1MQMAAAADMTYwAgAAAAYxMDAwNTQEAAAAATAHAAAACTMvMzEvMjAxOMYl44QUCdYIZSJWhxQJ1gg6Q0lRLkVOWFRQQTpFUllQLklRX1RP</t>
  </si>
  <si>
    <t>VEFMX0VRVUlUWS4xOTkyLjYvMzAvMjAxOC5MRlIuRi5VU0QuSAEAAADYingBAgAAAAk1MS4xODg3MDUBCAAAAAUAAAABMQEAAAAKMTg4NTIwNDQwNwMAAAADMTYwAgAAAAQxMjc1BAAAAAEwBwAAAAk2LzMwLzIwMTgIAAAACjEyLzMxLzIwMTUJAAAAATDlD++EFAnWCDFeUYcUCdYIOUNJUS5OQVNEQVFDTTpDVVIuSVFfRUFSTklOR19DTy4xOTk2LjYvMzAvMjAxOC5MRlIuRi5VU0QuSAEAAADx7nUAAgAAAAotMjIuMDM2MDgyAQgAAAAFAAAAATEBAAAACjE4ODg4NzMxOTkDAAAAAzE2MAIAAAABNwQAAAABMAcAAAAJNi8zMC8yMDE4CAAAAAkzLzMxLzIwMTcJAAAAATDlD++EFAnWCDFeUYcUCdYIOkNJUS5OQVNEQVFHTTpNTktELklRX0VBUk5JTkdfQ08uMTk5Ni42LzMwLzIwMTguTEZSLkYuVVNELkgBAAAAZqWNAAIAAAAHMTM0LjIxMwEIAAAABQAAAAExAQAAAAoxODg5Nzc1OTY1AwAAAAMxNjACAAAAATcEAAAAATAHAAAACTYvMzAvMjAxOAgAAAAJMy8zMS8yMDE3CQAAAAEw6W1ZhhQJ1gjgDWKHFAnWCDhDSVEuTkFTREFRR006VlRWVC5JUV9UT1RBTF9DQS4xOTkyLjYvMzAvMjAxOC5MRlIuRi5VU0QuSAEAAAAdox8SAgAAAAY3Ny4wNTMBCAAAAAUAAAABMQEAAAAKMTgzOTg4MDQ0OAMAAAADMTYwAgAAAAQxMDA4BAAAAAEwBwAAAAk2LzMwLzIwMTgIAAAACTMvMzEvMjAxNgkAAAABMOUP74QUCdYIhsBT</t>
  </si>
  <si>
    <t>hxQJ1ggzQ0lRLk9UQ1BLOlJaTFQuSVFfRUJJVERBLjIwMDAuNi8zMC8yMDE4LkxGUi5GLlVTRC5IAQAAACEJmwoCAAAACi0yMi4yMzA2MjIBCAAAAAUAAAABMQEAAAAKMTg4OTEwNTEyNAMAAAADMTYwAgAAAAQ0MDUxBAAAAAEwBwAAAAk2LzMwLzIwMTgIAAAACTMvMzEvMjAxOAkAAAABMOUP74QUCdYIhsBThxQJ1gg4Q0lRLkNQU0U6WkVBTC5JUV9HUk9TU19NQVJHSU4uMjAwMC42LzMwLzIwMTguTEZSLkYuVVNELkgBAAAAIlsTAAIAAAAHOTIuMzEwNwEIAAAABQAAAAExAQAAAAoxODg5OTEzMTAwAwAAAAI0MgIAAAAENDA3NAQAAAABMAcAAAAJNi8zMC8yMDE4CAAAAAkzLzMxLzIwMTgJAAAAATBiknSFFAnWCOANYocUCdYIN0NJUS5FTlhUUEE6RVJZUC5JUV9UT1RBTF9SRVYuMjAwMC42LzMwLzIwMTguTEZSLkYuVVNELkgBAAAA2Ip4AQIAAAAINC4wMzkzODUBCAAAAAUAAAABMQEAAAAKMTg4NTIwNDIxOQMAAAADMTYwAgAAAAIyOAQAAAABMAcAAAAJNi8zMC8yMDE4CAAAAAoxMi8zMS8yMDE3CQAAAAEw5Q/vhBQJ1ggxXlGHFAnWCDZDSVEuTkFTREFRQ006Q1VSLklRX1BFUklPRERBVEVfSVMuMjAwMC42LzMwLzIwMTguTEZSLkYBAAAA8e51AAUAAAAJMy8zMS8yMDE4AOUP74QUCdYIMV5RhxQJ1gg4Q0lRLk5ZU0U6TVlPVi5JUV9HUk9TU19NQVJHSU4uMjAwMC42LzMwLzIwMTguTEZSLkYuVVNELkgB</t>
  </si>
  <si>
    <t>AAAAl9oLGAMAAAAAAGKSdIUUCdYIlKtfhxQJ1ggvQ0lRLklRVFIzNzAwNzIzNTMuSVFfVFJfSU1QTElFRF9FVl9GSU5BTC4uVVNELkgBAAAAIdsOFgIAAAAINDEuMTMwOTkBBgAAAAUAAAACNTQBAAAABjEwMjA0NQIAAAAJMzcwMDcyMzUzAwAAAAkzNzAwNzM0NTcEAAAAAzE2MAYAAAAFRmFsc2XmO0WCFAnWCHvSZocUCdYIR0NJUS5OQVNEQVFHTTpGT0xELklRX01JTk9SSVRZX0lOVEVSRVNUX1RPVEFMLjIwMDAuNi8zMC8yMDE4LkxGUi5GLlVTRC5IAQAAAFb2agADAAAAAABiknSFFAnWCJSrX4cUCdYIR0NJUS5OQVNEQVFHUzpJQ1BULklRX01JTk9SSVRZX0lOVEVSRVNUX1RPVEFMLjIwMDAuMy8zMS8yMDE4LkxGUi5GLlVTRC5IAQAAAIKvrQADAAAAAADpbVmGFAnWCC9wZIcUCdYIPENJUS5OQVNEQVFHUzpDQkFZLklRX0VCSVREQV9FU1QuQ1kyMDE5LjYvMzAvMjAxOC5DT04uRi5VU0QuSAEAAADAegAAAgAAAActNTguOTY1AQ4AAAAFAAAAAjExAQAAAAEwAgAAAAoxMDAyODI2MDY1AwAAAAYxMDAxODcEAAAAATIGAAAAATAHAAAAAzE2MAgAAAABMAkAAAABMQoAAAABMAsAAAALMTA5NDI4MjE2NTgMAAAAATcNAAAACDcvMS8yMDE4EAAAAAk2LzMwLzIwMThiknSFFAnWCEVJXYcUCdYIIENJUS5JUTI0Njc3MDgwLklRX0NPTVBBTllfVElDS0VSAQAAANiKeAEDAAAAC0VOWFRQQTpFUllQAOY7RYIUCdYI</t>
  </si>
  <si>
    <t>fNG+ghQJ1gg0Q0lRLk5ZU0U6TVlPVi5JUV9UT1RBTF9DTC4xOTk2LjYvMzAvMjAxOC5MRlIuRi5VU0QuSAEAAACX2gsYAgAAAAYxOC4zMzcBCAAAAAUAAAABMQEAAAAKMTg5MjgzNDcyNAMAAAADMTYwAgAAAAQxMDA5BAAAAAEwBwAAAAk2LzMwLzIwMTgIAAAACTMvMzEvMjAxNwkAAAABMGKSdIUUCdYIlKtfhxQJ1gg8Q0lRLk5BU0RBUUNNOkNPUlQuSVFfVE9UQUxfRVFVSVRZLjE5OTIuNi8zMC8yMDE4LkxGUi5GLlVTRC5IAQAAANK5FQACAAAABjIwLjE2OAEIAAAABQAAAAExAQAAAAoxODQwMTcwOTY4AwAAAAMxNjACAAAABDEyNzUEAAAAATAHAAAACTYvMzAvMjAxOAgAAAAJMy8zMS8yMDE2CQAAAAEwYpJ0hRQJ1giUq1+HFAnWCCxDSVEuSVFUUjM4NDAyODQ5Ni5JUV9UUl9UQVJHRVRfRUJJVERBLi5VU0QuSAEAAABQz+MWAgAAAAotNDUuMzQ0MjI1AQYAAAAFAAAAAjM3AQAAAAoxODAxOTMwNDc1AgAAAAUyMTY3NwMAAAADMTYwBAAAAAEwBwAAAAgxLzEvMTkwMOY7RYIUCdYIe9JmhxQJ1ggsQ0lRLk5BU0RBUUdTOklDUFQuSVFfTEFTVFNBTEVQUklDRS4zLzMxLzIwMTgBAAAAgq+tAAIAAAAFNjEuNTIA6W1ZhhQJ1ggvcGSHFAnWCDlDSVEuTkFTREFRR1M6SVRDSS5JUV9UT1RBTF9SRVYuMTk5Ni42LzMwLzIwMTguTEZSLkYuVVNELkgBAAAAd9GPAAIAAAAIMC40MjU5ODkBCAAAAAUAAAABMQEAAAAK</t>
  </si>
  <si>
    <t>MTg4NjYxNzM2MgMAAAADMTYwAgAAAAIyOAQAAAABMAcAAAAJNi8zMC8yMDE4CAAAAAkzLzMxLzIwMTcJAAAAATBiknSFFAnWCGfnWocUCdYILkNJUS5JUVRSMzA2NzUxMDk2LklRX1RSX1RBUkdFVF9TVE9DS1BSRU1JVU1fMVcBAAAAeKZIEgIAAAAHMTcuMzMxNwEGAAAABQAAAAI1NAEAAAAGMTAxMDU0AgAAAAkzMDY3NTEwOTYDAAAACTMwNjc1MTI1OAQAAAADMTYwBgAAAAVGYWxzZeY7RYIUCdYIe9JmhxQJ1gg6Q0lRLk5BU0RBUUdTOkNZVEsuSVFfRUFSTklOR19DTy4xOTkyLjYvMzAvMjAxOC5MRlIuRi5VU0QuSAEAAACzagAAAgAAAActNDEuMDg0AQgAAAAFAAAAATEBAAAACjE4NDA0OTE2MDUDAAAAAzE2MAIAAAABNwQAAAABMAcAAAAJNi8zMC8yMDE4CAAAAAkzLzMxLzIwMTYJAAAAATDGJeOEFAnWCGUiVocUCdYIMENJUS5JUVRSNDAyMTAzOTE5LklRX1RSX1RBUkdFVF9FQklUREFfRVNULi5VU0QuSAEAAABvnvcXAgAAAAAA5jtFghQJ1gh70maHFAnWCDhDSVEuU0VISzozOTMzLklRX0VBUk5JTkdfQ08uQ1kyMDE3LjYvMzAvMjAxOC5MRlIuRi5VU0QuSAEAAABN2hECAgAAAAkxMi41NjUyMDIBCAAAAAUAAAABMQEAAAAKMTg4NTczOTIwMgMAAAADMTYwAgAAAAE3BAAAAAEwBwAAAAk2LzMwLzIwMTgIAAAACjEyLzMxLzIwMTcJAAAAATDpbVmGFAnWCOANYocUCdYIOkNJUS5OQVNEQVFDTTpBVkVP</t>
  </si>
  <si>
    <t>LklRX1RPVEFMX0RFQlQuMjAwMC42LzMwLzIwMTguTEZSLkYuVVNELkgBAAAA9BYdAAIAAAAGMTguNTg4AQgAAAAFAAAAATEBAAAACjE4ODcyMzQyOTUDAAAAAzE2MAIAAAAENDE3MwQAAAABMAcAAAAJNi8zMC8yMDE4CAAAAAkzLzMxLzIwMTgJAAAAATDGJeOEFAnWCGUiVocUCdYIPENJUS5OQVNEQVFHUzpPRFQuSVFfUkVWRU5VRV9FU1QuQ1kyMDE4LjYvMzAvMjAxOC5DT04uRi5VU0QuSAEAAAAaGkUgAgAAAAEwAQ4AAAAFAAAAAjExAQAAAAEwAgAAAAoxMDAzOTUxNjEzAwAAAAYxMDAxODAEAAAAATIGAAAAATAHAAAAAzE2MAgAAAABMAkAAAABMQoAAAABMAsAAAALMTA3NDQ1MDU5OTMMAAAAATcNAAAACDcvMS8yMDE4EAAAAAk2LzMwLzIwMTivhuWEFAnWCGfnWocUCdYIM0NJUS5PVENQSzpSWkxULklRX0VCSVREQS4xOTkyLjYvMzAvMjAxOC5MRlIuRi5VU0QuSAEAAAAhCZsKAgAAAAktMTMuMzk1MzEBCAAAAAUAAAABMQEAAAAKMTg0MjMyOTA1MwMAAAADMTYwAgAAAAQ0MDUxBAAAAAEwBwAAAAk2LzMwLzIwMTgIAAAACTMvMzEvMjAxNgkAAAABMOUP74QUCdYIhsBThxQJ1gg4Q0lRLk5BU0RBUUdNOlZUVlQuSVFfRUJJVERBLkNZMjAxNy42LzMwLzIwMTguTEZSLkYuVVNELkgBAAAAHaMfEgIAAAAHLTUwLjQ4NQEIAAAABQAAAAExAQAAAAoxODc2MTM3MzA5AwAAAAMxNjACAAAABDQwNTEEAAAAATAH</t>
  </si>
  <si>
    <t>AAAACTYvMzAvMjAxOAgAAAAKMTIvMzEvMjAxNwkAAAABMOUP74QUCdYIhsBThxQJ1gg8Q0lRLk5BU0RBUUdTOk5JVEUuSVFfRUJJVERBX0VTVC5DWTIwMTguNi8zMC8yMDE4LkNPTi5GLlVTRC5IAQAAAAzTGBADAAAAAACvhuWEFAnWCKeEWIcUCdYIMUNJUS5OWVNFOk1ZT1YuSVFfQ0FQRVguMTk5Ni42LzMwLzIwMTguTEZSLkYuVVNELkgBAAAAl9oLGAIAAAAGLTAuOTY3AQgAAAAFAAAAATEBAAAACjE4OTI4MzQ3MjQDAAAAAzE2MAIAAAAEMjAyMQQAAAABMAcAAAAJNi8zMC8yMDE4CAAAAAkzLzMxLzIwMTcJAAAAATBiknSFFAnWCJSrX4cUCdYIIkNJUS5UU1hWOkNPQi5VLklRX0ZJUlNUUFJJQ0lOR0RBVEUBAAAAv/sACAUAAAAIMS84LzIwMTUAxiXjhBQJ1giGwFOHFAnWCCFDSVEuTkFTREFRR1M6TFhSWC5JUV9DT01QQU5ZX05BTUUBAAAAPXgAAAMAAAAdTGV4aWNvbiBQaGFybWFjZXV0aWNhbHMsIEluYy4AYpJ0hRQJ1giUq1+HFAnWCCFDSVEuTkFTREFRR1M6QVBUWC5JUV9DT01QQU5ZX05BTUUBAAAALykMFAMAAAAMQXB0aW55eCBJbmMuAGKSdIUUCdYIRUldhxQJ1ggyQ0lRLk9UQ1BLOk5FWFMuSVFfQ0FQRVguMjAwMC42LzMwLzIwMTguTEZSLkYuVVNELkgBAAAAHb1OFAIAAAAJLTAuMDAxNjg5AQgAAAAFAAAAATEBAAAACjE4NjI4NjMwOTMDAAAAAzE2MAIAAAAEMjAyMQQAAAABMAcAAAAJNi8z</t>
  </si>
  <si>
    <t>MC8yMDE4CAAAAAk1LzMxLzIwMTcJAAAAATDlD++EFAnWCDFeUYcUCdYIOENJUS5OQVNEQVFHUzpOSVRFLklRX1RPVEFMX0NBLjE5OTIuNi8zMC8yMDE4LkxGUi5GLlVTRC5IAQAAAAzTGBACAAAABjEzLjgxOQEIAAAABQAAAAExAQAAAAoxODgxNTEwMDc1AwAAAAMxNjACAAAABDEwMDgEAAAAATAHAAAACTYvMzAvMjAxOAgAAAAKMTIvMzEvMjAxNQkAAAABMMYl44QUCdYIp4RYhxQJ1ggtQ0lRLk5BU0RBUUdTOkxYUlguSVFfRElWSURFTkRfWUlFTEQuNi8zMC8yMDE4AQAAAD14AAADAAAAAABiknSFFAnWCJSrX4cUCdYIIkNJUS5JUVRSNDAyMTAzOTE5LklRX1RSX1RBUkdFVE5BTUUBAAAAb573FwMAAABlVmFsZXJpdGFzIEhvbGRpbmdzLCBJbmMuIChua2E6VmFsZXJpdGFzIEhvbGRpbmdzLCBJbmMuLCBQcmlvciB0byBSZXZlcnNlIE1lcmdlciB3aXRoIFZhbGVyaXRhcywgSW5jLikA5jtFghQJ1gh70maHFAnWCCNDSVEuSVFUUjM0MDcwNDg2NS5JUV9UUl9UT1RBTF9TVE9DSwEAAABhvk4UAgAAAAAA5jtFghQJ1gh70maHFAnWCB1DSVEuTkFTREFRQ006QVZFTy5JUV9FWENIQU5HRQEAAAD0Fh0AAwAAAAhOYXNkYXFDTQDGJeOEFAnWCGUiVocUCdYIPENJUS5OQVNEQVFHUzpDQkFZLklRX0VCSVREQV9FU1QuQ1kyMDIwLjYvMzAvMjAxOC5DT04uRi5VU0QuSAEAAADAegAAAgAAAActNjguMzEyAQ4AAAAF</t>
  </si>
  <si>
    <t>AAAAAjExAQAAAAEwAgAAAAoxMDAyODI2MDcwAwAAAAYxMDAxODcEAAAAATIGAAAAATAHAAAAAzE2MAgAAAABMAkAAAABMQoAAAABMAsAAAALMTA5NDI4MjEyOTcMAAAAATcNAAAACDcvMS8yMDE4EAAAAAk2LzMwLzIwMThiknSFFAnWCGfnWocUCdYIOkNJUS5PVENQSzpORVhTLklRX1JFVkVOVUVfRVNULkNZMjAxOC42LzMwLzIwMTguQ09OLkYuVVNELkgBAAAAHb1OFAMAAAAAAOUP74QUCdYIMV5RhxQJ1ghEQ0lRLlRTWFY6Q09CLlUuSVFfTUlOT1JJVFlfSU5URVJFU1RfVE9UQUwuMjAwMC4zLzMxLzIwMTguTEZSLkYuVVNELkgBAAAAv/sACAMAAAAAAK+G5YQUCdYIhsBThxQJ1gg8Q0lRLk5BU0RBUUdTOklUQ0kuSVFfRUFSTklOR19DTy5DWTIwMTYuNi8zMC8yMDE4LkxGUi5GLlVTRC5IAQAAAHfRjwACAAAACy0xMTYuNDI2MjY4AQgAAAAFAAAAATEBAAAACjE4NzcyMDc3OTkDAAAAAzE2MAIAAAABNwQAAAABMAcAAAAJNi8zMC8yMDE4CAAAAAoxMi8zMS8yMDE2CQAAAAEwYpJ0hRQJ1ghn51qHFAnWCDxDSVEuTkFTREFRR006Rk9MRC5JUV9FQklUREFfRVNULkNZMjAyMC42LzMwLzIwMTguQ09OLkYuVVNELkgBAAAAVvZqAAIAAAAKLTEzNy43NjY4NAEOAAAABQAAAAIxMQEAAAABMAIAAAAKMTAwMTAyNTg1MQMAAAAGMTAwMTg3BAAAAAEyBgAAAAEwBwAAAAMxNjAIAAAAATAJAAAAATEKAAAAATALAAAA</t>
  </si>
  <si>
    <t>CzEwODc5MDk1MTU0DAAAAAE3DQAAAAg3LzEvMjAxOBAAAAAJNi8zMC8yMDE4YpJ0hRQJ1giUq1+HFAnWCEZDSVEuTkFTREFRR006TU5PVi5JUV9UT1RBTF9SRVZfM1lSX0FOTl9DQUdSLjIwMDAuNi8zMC8yMDE4LkxGUi5GLlVTRC5IAQAAALhUjQADAAAAAADGJeOEFAnWCKeEWIcUCdYIIUNJUS5JUTMzNjM0MTI5NS5JUV9DT01QQU5ZX1RJQ0tFUgEAAAAvKQwUAwAAAA1OYXNkYXFHUzpBUFRYAOY7RYIUCdYIir+rghQJ1ggqQ0lRLklRVFIzMDY3NTEwOTYuSVFfVFJfVEFSR0VUX0VCSVQuLlVTRC5IAQAAAHimSBICAAAACC0xNzUuODQzAQYAAAAFAAAAAjM3AQAAAAoxNzQ3NzUyNjA1AgAAAAUyMTY3NQMAAAADMTYwBAAAAAEwBwAAAAgxLzEvMTkwMOY7RYIUCdYIe9JmhxQJ1ggoQ0lRLk5BU0RBUUNNOlZLVFguSVFfVEVWLjYvMzAvMjAxOC5VU0QuSAEAAADyvLUOAgAAAAk0OTEuNDYwMjcBBgAAAAUAAAABMQEAAAAKMTg4NzcwNDgzNgMAAAADMTYwAgAAAAYxMDAwNjAEAAAAATAHAAAACTYvMzAvMjAxOGKSdIUUCdYIZ+dahxQJ1gg5Q0lRLk9UQ1BLOlJaTFQuSVFfRUJJVERBX0VTVC5DWTIwMTguNi8zMC8yMDE4LkNPTi5GLlVTRC5IAQAAACEJmwoDAAAAAADlD++EFAnWCIbAU4cUCdYII0NJUS5DUFNFOlpFQUwuSVFfUEVSSU9EREFURV9JUy4xMDAwAQAAACJbEwAFAAAACjEyLzMxLzIwMTcA6W1ZhhQJ</t>
  </si>
  <si>
    <t>1gjgDWKHFAnWCDBDSVEuSVFUUjE3MTkzMDUzNC5JUV9UUl9UQVJHRVRfRUJJVERBX0VTVC4uVVNELkgBAAAApnM/CgIAAAAAAOY7RYIUCdYIe9JmhxQJ1gg8Q0lRLk5BU0RBUUdTOkFQVFguSVFfVE9UQUxfRVFVSVRZLjE5OTYuNi8zMC8yMDE4LkxGUi5GLlVTRC5IAQAAAC8pDBQDAAAAAABiknSFFAnWCEVJXYcUCdYIR0NJUS5OQVNEQVFHUzpDWVRLLklRX01JTk9SSVRZX0lOVEVSRVNUX1RPVEFMLjIwMDAuMy8zMS8yMDE4LkxGUi5GLlVTRC5IAQAAALNqAAADAAAAAACvhuWEFAnWCGUiVocUCdYIOkNJUS5PVENQSzpORVhTLklRX0VCSVREQV9NQVJHSU4uMjAwMC42LzMwLzIwMTguTEZSLkYuVVNELkgBAAAAHb1OFAMAAAAAAOUP74QUCdYIMV5RhxQJ1gg4Q0lRLlNFSEs6MTUzMC5JUV9FQVJOSU5HX0NPLkNZMjAxNi42LzMwLzIwMTguTEZSLkYuVVNELkgBAAAA77hwAQIAAAAKMTAyLjg2ODA0NwEIAAAABQAAAAExAQAAAAoxODg2MDk5ODIyAwAAAAMxNjACAAAAATcEAAAAATAHAAAACTYvMzAvMjAxOAgAAAAKMTIvMzEvMjAxNgkAAAABMJQLV4YUCdYIL3BkhxQJ1ggvQ0lRLklRVFIyNDk5ODE1NjQuSVFfVFJfSU1QTElFRF9FVl9GSU5BTC4uVVNELkgBAAAAfGrmDgIAAAALMTk0Ni40Mjk2NzIBBgAAAAUAAAACNTQBAAAABjEwMjA0NQIAAAAJMjQ5OTgxNTY0AwAAAAkyNDk5ODM0MzcEAAAAAzE2MAYA</t>
  </si>
  <si>
    <t>AAAFRmFsc2XmO0WCFAnWCHvSZocUCdYIPENJUS5OQVNEQVFHTTpWVFZULklRX0VCSVREQV9FU1QuQ1kyMDIwLjYvMzAvMjAxOC5DT04uRi5VU0QuSAEAAAAdox8SAwAAAAAA5Q/vhBQJ1giGwFOHFAnWCENDSVEuT1RDUEs6TkVYUy5JUV9UT1RBTF9SRVZfMllSX0FOTl9DQUdSLjIwMDAuNi8zMC8yMDE4LkxGUi5GLlVTRC5IAQAAAB29ThQDAAAAAADlD++EFAnWCDFeUYcUCdYINENJUS5OWVNFOk1ZT1YuSVFfVE9UQUxfQ0wuMTk5Mi42LzMwLzIwMTguTEZSLkYuVVNELkgBAAAAl9oLGAMAAAAAAGKSdIUUCdYIlKtfhxQJ1gg8Q0lRLk5BU0RBUUNNOkNPUlQuSVFfVE9UQUxfRVFVSVRZLjE5OTYuNi8zMC8yMDE4LkxGUi5GLlVTRC5IAQAAANK5FQACAAAABTQ5LjU4AQgAAAAFAAAAATEBAAAACjE4ODgwOTk1MzIDAAAAAzE2MAIAAAAEMTI3NQQAAAABMAcAAAAJNi8zMC8yMDE4CAAAAAkzLzMxLzIwMTcJAAAAATBiknSFFAnWCJSrX4cUCdYIJ0NJUS5OQVNEQVFHTTpGT0xELklRX1BFUklPRERBVEVfSVMuMTAwMAEAAABW9moABQAAAAoxMi8zMS8yMDE3AGKSdIUUCdYIlKtfhxQJ1ggiQ0lRLjAuSVFfVFJfVEFSR0VUX1NUT0NLUFJFTUlVTV8xVwUAAAAAAAAACAAAABgoSW52YWxpZCBUcmFuc2FjdGlvbiBJZCnmO0WCFAnWCMQ0aYcUCdYIOENJUS5BTUVYOkJUWC5JUV9SRVZFTlVFX0VTVC5DWTIwMjEuNi8z</t>
  </si>
  <si>
    <t>MC8yMDE4LkNPTi5GLlVTRC5IAQAAABZkAAACAAAABjE1LjIzNQEOAAAABQAAAAIxMQEAAAABMAIAAAAKMTAwMzUwOTg1MAMAAAAGMTAwMTgwBAAAAAEyBgAAAAEwBwAAAAMxNjAIAAAAATAJAAAAATEKAAAAATALAAAACzEwODc4NTE0MTg5DAAAAAE3DQAAAAg3LzEvMjAxOBAAAAAJNi8zMC8yMDE4r4blhBQJ1ghlIlaHFAnWCCRDSVEuT1RDUEs6QlRIRS5JUV9QRVJJT0REQVRFX0lTLjEwMDABAAAAb525BQUAAAAKMTIvMzEvMjAxNwDlD++EFAnWCIbAU4cUCdYIKUNJUS5OQVNEQVFHUzpaRkdOLklRX0JVU0lORVNTX0RFU0NSSVBUSU9OAQAAAJfAugEDAAAAnAVaYWZnZW4sIEluYy4sIGEgY2xpbmljYWwtc3RhZ2UgYmlvcGhhcm1hY2V1dGljYWwgY29tcGFueSwgZGV2ZWxvcHMgdGhlcmFwaWVzIGZvciBwYXRpZW50cyBzdWZmZXJpbmcgZnJvbSBtZXRhYm9saWMgZGlzZWFzZXMgY29tcHJpc2luZyB0eXBlIDIgZGlhYmV0ZXMsIFByYWRlci1XaWxsaSBzeW5kcm9tZSAoUFdTKSwgYW5kIG90aGVyIG1ldGFib2xpY2FsbHkgcmVsYXRlZCBkaXNvcmRlcnMuIFRoZSBjb21wYW554oCZcyBsZWFkIHByb2R1Y3QgY2FuZGlkYXRlIGlzIFpHTi0xMDYxLCBhIGZ1bWFnaWxsaW4tY2xhc3MgbWV0aGlvbmluZSBhbWlub3BlcHRpZGFzZSAyIChNZXRBUDIpIGluaGliaXRvciBhZG1pbmlzdGVyZWQgYnkgc3ViY3V0</t>
  </si>
  <si>
    <t>YW5lb3VzIGluamVjdGlvbiwgd2hpY2ggaXMgaW4gUGhhc2UgMiBjbGluaWNhbCB0cmlhbCBhbmQgcHJvZmlsZWQgZm9yIGl0cyB1dGlsaXR5IGluIHRoZSB0cmVhdG1lbnQgb2YgdHlwZSAyIGRpYWJldGVzIGFuZCBvdGhlciByZWxhdGVkIG1ldGFib2xpYyBkaXNvcmRlcnMuIEl0IGFsc28gZGV2ZWxvcHMgWkdOLTEyNTgsIGEgTWV0QVAyIGluaGliaXRvciBmb3IgdHJlYXRtZW50IG9mIFBXUy4gWmFmZ2VuLCBJbmMuIHdhcyBmb3VuZGVkIGluIDIwMDUgYW5kIGlzIGhlYWRxdWFydGVyZWQgaW4gQm9zdG9uLCBNYXNzYWNodXNldHRzLgDGJeOEFAnWCKeEWIcUCdYINkNJUS5TSFNFOjYwMDg2Ny5JUV9UT1RBTF9DQS4xOTk2LjYvMzAvMjAxOC5MRlIuRi5VU0QuSAEAAADYPq4AAgAAAAgzMzcuNTQ4MwEIAAAABQAAAAExAQAAAAoxODg1MTQ2MjY5AwAAAAMxNjACAAAABDEwMDgEAAAAATAHAAAACTYvMzAvMjAxOAgAAAAJMy8zMS8yMDE3CQAAAAEwYpJ0hRQJ1gjgDWKHFAnWCD5DSVEuTkFTREFRR006TU5LRC5JUV9UT1RBTF9FUVVJVFkuQ1kyMDE2LjYvMzAvMjAxOC5MRlIuRi5VU0QuSAEAAABmpY0AAgAAAAgtMTgzLjU5MwEIAAAABQAAAAExAQAAAAoxODc2MjM4OTM2AwAAAAMxNjACAAAABDEyNzUEAAAAATAHAAAACTYvMzAvMjAxOAgAAAAKMTIvMzEvMjAxNgkAAAABMOltWYYUCdYI4A1ihxQJ1gg0</t>
  </si>
  <si>
    <t>Q0lRLkNQU0U6Tk9WTyBCLklRX0VCSVREQS4xOTk2LjYvMzAvMjAxOC5MRlIuRi5VU0QuSAEAAAB87wQAAgAAAAo3NTg2Ljk3NTQ1AQgAAAAFAAAAATEBAAAACjE4OTI2MjM5MzADAAAAAzE2MAIAAAAENDA1MQQAAAABMAcAAAAJNi8zMC8yMDE4CAAAAAkzLzMxLzIwMTcJAAAAATCUC1eGFAnWCHvSZocUCdYIOENJUS5TRUhLOjE1MzAuSVFfRUFSTklOR19DTy5DWTIwMTcuNi8zMC8yMDE4LkxGUi5GLlVTRC5IAQAAAO+4cAECAAAACjE0Mi4wNjk1NTkBCAAAAAUAAAABMQEAAAAKMTg4NjA5OTg2MgMAAAADMTYwAgAAAAE3BAAAAAEwBwAAAAk2LzMwLzIwMTgIAAAACjEyLzMxLzIwMTcJAAAAATCUC1eGFAnWCC9wZIcUCdYIIUNJUS5JUVRSMjcwMDc0NzU0LklRX1RSX0JVWUVSTkFNRQEAAACCAxkQAwAAAB9TYW5vZmktQXZlbnRpcyBEZXV0c2NobGFuZCBHbWJIAOY7RYIUCdYIe9JmhxQJ1gg5Q0lRLk5BU0RBUUdTOlhFUlMuSVFfVE9UQUxfUkVWLjE5OTIuNi8zMC8yMDE4LkxGUi5GLlVTRC5IAQAAAODuTwYDAAAAAADGJeOEFAnWCGfnWocUCdYIOUNJUS5DUFNFOlpFQUwuSVFfUkVWRU5VRV9FU1QuQ1kyMDE5LjYvMzAvMjAxOC5DT04uRi5VU0QuSAEAAAAiWxMAAgAAABA2MC4yMzQ4NzMwNTE5MTU0AQ4AAAAFAAAAAjExAQAAAAEwAgAAAAoxMDAxMjk0MDY4AwAAAAYxMDAxODAEAAAAATMGAAAAATAHAAAA</t>
  </si>
  <si>
    <t>AzE2MAgAAAABMAkAAAABMQoAAAABMAsAAAALMTA5MDgyNDA0MzAMAAAAATcNAAAACDcvMS8yMDE4EAAAAAk2LzMwLzIwMThiknSFFAnWCOANYocUCdYIO0NJUS5OQVNEQVFDTTpWS1RYLklRX1RPVEFMX1JFVi5DWTIwMTYuNi8zMC8yMDE4LkxGUi5GLlVTRC5IAQAAAPK8tQ4DAAAAAADGJeOEFAnWCGfnWocUCdYIMkNJUS5UU1hWOkNPQi5VLklRX0NBUEVYLjIwMDAuNi8zMC8yMDE4LkxGUi5GLlVTRC5IAQAAAL/7AAgCAAAACS0wLjAwMzI1MwEIAAAABQAAAAExAQAAAAoxODg5MDYyMDc0AwAAAAMxNjACAAAABDIwMjEEAAAAATAHAAAACTYvMzAvMjAxOAgAAAAJMy8zMS8yMDE4CQAAAAEwr4blhBQJ1giGwFOHFAnWCDdDSVEuT1RDUEs6RU1JUy5JUV9FQVJOSU5HX0NPLjE5OTYuNi8zMC8yMDE4LkxGUi5GLlVTRC5IAQAAAD79AwACAAAABi05LjI0MgEIAAAABQAAAAExAQAAAAoxODQxODk4NTI2AwAAAAMxNjACAAAAATcEAAAAATAHAAAACTYvMzAvMjAxOAgAAAAJMy8zMS8yMDE2CQAAAAEwr4blhBQJ1ghlIlaHFAnWCDNDSVEuVFNYVjpDT0IuVS5JUV9FQklUREEuMjAwMC42LzMwLzIwMTguTEZSLkYuVVNELkgBAAAAv/sACAIAAAAKLTExLjE2MTY3MgEIAAAABQAAAAExAQAAAAoxODg5MDYyMDc0AwAAAAMxNjACAAAABDQwNTEEAAAAATAHAAAACTYvMzAvMjAxOAgAAAAJMy8zMS8yMDE4CQAAAAEwr4bl</t>
  </si>
  <si>
    <t>hBQJ1giGwFOHFAnWCC1DSVEuTkFTREFRR1M6SUNQVC5JUV9ESVZJREVORF9ZSUVMRC42LzMwLzIwMTgBAAAAgq+tAAMAAAAAAJQLV4YUCdYIL3BkhxQJ1ggpQ0lRLklRVFIzNDA3MDQ4NjUuSVFfQlVTSU5FU1NfREVTQ1JJUFRJT04BAAAAQIlqAgMAAADFA0FzIG9mIEp1bmUgOSwgMjAxNiwgTmV4dXMgQmlvUGhhcm1hLCBJbmMuIHdhcyBhY3F1aXJlZCBieSBOZXh1cyBCaW9QaGFybWEgQ29ycG9yYXRpb24sIGluIGEgcmV2ZXJzZSBtZXJnZXIgdHJhbnNhY3Rpb24uIE5leHVzIEJpb1BoYXJtYSwgSW5jLiwgYSBsaWZlIHNjaWVuY2UgY29tcGFueSwgZGV2ZWxvcHMgYW5kIGNvbW1lcmNpYWxpemVzIGRydWdzIGZvciB0cmFuc2Zvcm1hdGl2ZSBvYmVzaXR5IGFuZCBkaWFiZXRlcyB0cmVhdG1lbnRzLiBUaGUgY29tcGFueSB3YXMgZm9ybWVybHkga25vd24gYXMgUGxhdGEgUmVzb3VyY2VzLCBJbmMuIGFuZCBjaGFuZ2VkIGl0cyBuYW1lIHRvIE5leHVzIEJpb1BoYXJtYSwgSW5jLiBpbiBNYXkgMjAxNi4gTmV4dXMgQmlvUGhhcm1hLCBJbmMuIHdhcyBpbmNvcnBvcmF0ZWQgaW4gMjAwNyBhbmQgaXMgYmFzZWQgaW4gTW9udGNsYWlyLCBOZXcgSmVyc2V5LgDmO0WCFAnWCHvSZocUCdYILkNJUS5OQVNEQVFDTTpCWVNJLklRX01BUktFVENBUC4zLzMxLzIwMTguVVNELkgBAAAAR89sGAIAAAAKNTg1LjI4</t>
  </si>
  <si>
    <t>NzkyNgEGAAAABQAAAAExAQAAAAoxODY1NDk2NDUyAwAAAAMxNjACAAAABjEwMDA1NAQAAAABMAcAAAAJMy8zMS8yMDE4YpJ0hRQJ1ghFSV2HFAnWCDlDSVEuTkFTREFRR006VlRWVC5JUV9UT1RBTF9SRVYuMTk5Mi42LzMwLzIwMTguTEZSLkYuVVNELkgBAAAAHaMfEgIAAAAFMC44NDUBCAAAAAUAAAABMQEAAAAKMTgzOTg4MDQ0OAMAAAADMTYwAgAAAAIyOAQAAAABMAcAAAAJNi8zMC8yMDE4CAAAAAkzLzMxLzIwMTYJAAAAATDlD++EFAnWCIbAU4cUCdYIQ0NJUS5OQVNEQVFHTTpWVFZULklRX0VCSVREQV8yWVJfQU5OX0NBR1IuMjAwMC42LzMwLzIwMTguTEZSLkYuVVNELkgBAAAAHaMfEgMAAAACTk0BCAAAAAUAAAABMQEAAAAKMTg4OTA1NjUzNwMAAAADMTYwAgAAAAQ0MjA5BAAAAAEwBwAAAAk2LzMwLzIwMTgIAAAACTMvMzEvMjAxOAkAAAABMOUP74QUCdYIhsBThxQJ1gg4Q0lRLk5BU0RBUUdTOkNZVEsuSVFfRUJJVERBLkNZMjAxNi42LzMwLzIwMTguTEZSLkYuVVNELkgBAAAAs2oAAAIAAAAGMTQuOTI4AQgAAAAFAAAAATEBAAAACjE4Nzc2NjgzMDUDAAAAAzE2MAIAAAAENDA1MQQAAAABMAcAAAAJNi8zMC8yMDE4CAAAAAoxMi8zMS8yMDE2CQAAAAEwxiXjhBQJ1ghlIlaHFAnWCD1DSVEuTkFTREFRR1M6Q0JBWS5JUV9SRVZFTlVFX0VTVC5DWTIwMjEuNi8zMC8yMDE4LkNPTi5GLlVTRC5IAQAA</t>
  </si>
  <si>
    <t>AMB6AAACAAAACDIzLjk2OTI1AQ4AAAAFAAAAAjExAQAAAAEwAgAAAAoxMDAyODI2MDc1AwAAAAYxMDAxODAEAAAAATIGAAAAATAHAAAAAzE2MAgAAAABMAkAAAABMQoAAAABMAsAAAALMTA5NDU1NzMxODgMAAAAATcNAAAACDcvMS8yMDE4EAAAAAk2LzMwLzIwMThiknSFFAnWCEVJXYcUCdYIK0NJUS5JUVRSMzg0MDI4NDk2LklRX1RSX1RPVEFMX0dST1NTX1RWLi5VU0QBAAAAUM/jFgIAAAAJNTUwLjkzOTQxAQYAAAAFAAAAAjU0AQAAAAYxMDIwODgCAAAACTM4NDAyODQ5NgMAAAAJNDA3Mjc1Nzc2BAAAAAMxNjAGAAAABUZhbHNl5jtFghQJ1gh70maHFAnWCDhDSVEuU0VISzozOTMzLklRX0VCSVREQV9FU1QuQ1kyMDIwLjYvMzAvMjAxOC5DT04uRi5VU0QuSAEAAABN2hECAgAAABAyNzcuMTYzODA1MTIwMTYzAQ4AAAAFAAAAAjExAQAAAAEwAgAAAAoxMDAxMzE1MDQ2AwAAAAYxMDAxODcEAAAAATMGAAAAATAHAAAAAzE2MAgAAAABMAkAAAABMQoAAAABMAsAAAALMTA5MTMxMDE1MzEMAAAAATcNAAAACDcvMS8yMDE4EAAAAAk2LzMwLzIwMTjpbVmGFAnWCOANYocUCdYIJ0NJUS5OQVNEQVFHTTpWVFZULklRX0JFVEFfNVlSLjYvMzAvMjAxOAEAAAAdox8SAgAAAA8xLjg2ODgyNDMxNTk4MDEA5Q/vhBQJ1giGwFOHFAnWCDdDSVEuTllTRTpNWU9WLklRX1RPVEFMX1JFVi5DWTIwMTcuNi8zMC8yMDE4LkxG</t>
  </si>
  <si>
    <t>Ui5GLlVTRC5IAQAAAJfaCxgDAAAAAABiknSFFAnWCMQ0aYcUCdYIPENJUS5OQVNEQVFHUzpMWFJYLklRX0VBUk5JTkdfQ08uQ1kyMDE3LjYvMzAvMjAxOC5MRlIuRi5VU0QuSAEAAAA9eAAAAgAAAActMTI5LjA1AQgAAAAFAAAAATEBAAAACjE4NzcxMzM5NzQDAAAAAzE2MAIAAAABNwQAAAABMAcAAAAJNi8zMC8yMDE4CAAAAAoxMi8zMS8yMDE3CQAAAAEwYpJ0hRQJ1ghFSV2HFAnWCDdDSVEuVFNYVjpDT0IuVS5JUV9UT1RBTF9ERUJULjIwMDAuMy8zMS8yMDE4LkxGUi5GLlVTRC5IAQAAAL/7AAgCAAAAATABCAAAAAUAAAABMQEAAAAKMTg2NjM5MDAwNgMAAAADMTYwAgAAAAQ0MTczBAAAAAEwBwAAAAkzLzMxLzIwMTgIAAAACTkvMzAvMjAxNwkAAAABMK+G5YQUCdYIhsBThxQJ1gg9Q0lRLk5BU0RBUUNNOlZLVFguSVFfUkVWRU5VRV9FU1QuQ1kyMDE4LjYvMzAvMjAxOC5DT04uRi5VU0QuSAEAAADyvLUOAgAAAAEwAQ4AAAAFAAAAAjExAQAAAAEwAgAAAAoxMDAzMDk3MzU0AwAAAAYxMDAxODAEAAAAATIGAAAAATAHAAAAAzE2MAgAAAABMAkAAAABMQoAAAABMAsAAAALMTA5NDU1Njc0MTQMAAAAATcNAAAACDcvMS8yMDE4EAAAAAk2LzMwLzIwMTivhuWEFAnWCGfnWocUCdYIQ0NJUS4oSU5WQUxJRCBJREVOVElGSUVSKS5JUV9FQVJOSU5HX0NPLkNZMjAxNy42LzMwLzIwMTguTEZSLkYuVVNELkgFAAAA</t>
  </si>
  <si>
    <t>AAAAAAgAAAAUKEludmFsaWQgSWRlbnRpZmllcinlD++EFAnWCDFeUYcUCdYIOENJUS5PVENQSzpFTUlTLklRX1BSRUZfRVFVSVRZLjIwMDAuMy8zMS8yMDE4LkxGUi5GLlVTRC5IAQAAAD79AwADAAAAAACvhuWEFAnWCGUiVocUCdYIO0NJUS5FTlhUUEE6RVJZUC5JUV9SRVZFTlVFX0VTVC5DWTIwMTguNi8zMC8yMDE4LkNPTi5GLlVTRC5IAQAAANiKeAECAAAADjYuNDkwNDkxMTkxNjg5AQ4AAAAFAAAAAjExAQAAAAEwAgAAAAoxMDAyODM1OTI1AwAAAAYxMDAxODAEAAAAATMGAAAAATAHAAAAAzE2MAgAAAABMAkAAAABMQoAAAABMAsAAAALMTA5NTEyNDU2OTQMAAAAATcNAAAACDcvMS8yMDE4EAAAAAk2LzMwLzIwMTjlD++EFAnWCDFeUYcUCdYIFkNJUS4wLklRX1RSX1RPVEFMX0NBU0gFAAAAAAAAAAgAAAAYKEludmFsaWQgVHJhbnNhY3Rpb24gSWQp5jtFghQJ1gjENGmHFAnWCENDSVEuKElOVkFMSUQgSURFTlRJRklFUikuSVFfR1JPU1NfTUFSR0lOLjIwMDAuNi8zMC8yMDE4LkxGUi5GLlVTRC5IBQAAAAAAAAAIAAAAFChJbnZhbGlkIElkZW50aWZpZXIp5Q/vhBQJ1ggxXlGHFAnWCDdDSVEuTllTRTpNWU9WLklRX1RPVEFMX1JFVi5DWTIwMTYuNi8zMC8yMDE4LkxGUi5GLlVTRC5IAQAAAJfaCxgDAAAAAABiknSFFAnWCJSrX4cUCdYIKUNJUS5OWVNFOk1ZT1YuSVFfRElWSURFTkRfWUlFTEQuNi8z</t>
  </si>
  <si>
    <t>MC8yMDE4AQAAAJfaCxgDAAAAAABiknSFFAnWCJSrX4cUCdYIOENJUS5OQVNEQVFHUzpMWFJYLklRX1RPVEFMX0NMLjIwMDAuNi8zMC8yMDE4LkxGUi5GLlVTRC5IAQAAAD14AAACAAAABjEwMC4zNwEIAAAABQAAAAExAQAAAAoxODg2NTQzODc1AwAAAAMxNjACAAAABDEwMDkEAAAAATAHAAAACTYvMzAvMjAxOAgAAAAJMy8zMS8yMDE4CQAAAAEwYpJ0hRQJ1giUq1+HFAnWCDFDSVEuSVFUUjE3MjYyMTQ3MS5JUV9UUl9UQVJHRVRfUkVWRU5VRV9FU1QuLlVTRC5IAQAAAJ/+SQoCAAAAAADmO0WCFAnWCHvSZocUCdYINkNJUS5DUFNFOlpFQUwuSVFfVE9UQUxfREVCVC4yMDAwLjYvMzAvMjAxOC5MRlIuRi5VU0QuSAEAAAAiWxMAAgAAAAkyMi4xNzE5MDMBCAAAAAUAAAABMQEAAAAKMTg4OTkxMzEwMAMAAAADMTYwAgAAAAQ0MTczBAAAAAEwBwAAAAk2LzMwLzIwMTgIAAAACTMvMzEvMjAxOAkAAAABMOltWYYUCdYI4A1ihxQJ1gg5Q0lRLkNQU0U6WkVBTC5JUV9SRVZFTlVFX0VTVC5DWTIwMTguNi8zMC8yMDE4LkNPTi5GLlVTRC5IAQAAACJbEwACAAAADjEwLjY4NjU4Nzc5ODI1AQ4AAAAFAAAAAjExAQAAAAEwAgAAAAoxMDAxMjk0MDYzAwAAAAYxMDAxODAEAAAAATMGAAAAATAHAAAAAzE2MAgAAAABMAkAAAABMQoAAAABMAsAAAALMTA4OTAzMjAyMjkMAAAAATcNAAAACDcvMS8yMDE4EAAAAAk2LzMwLzIw</t>
  </si>
  <si>
    <t>MThiknSFFAnWCOANYocUCdYIOUNJUS5OWVNFOk1ZT1YuSVFfRUJJVERBX01BUkdJTi4yMDAwLjYvMzAvMjAxOC5MRlIuRi5VU0QuSAEAAACX2gsYAwAAAAAAYpJ0hRQJ1giUq1+HFAnWCDZDSVEuU0VISzoxNTMwLklRX1RPVEFMX0RFQlQuMjAwMC42LzMwLzIwMTguTEZSLkYuVVNELkgBAAAA77hwAQIAAAAKNjc3LjE2ODMwMgEIAAAABQAAAAExAQAAAAoxODg2MDk5ODYyAwAAAAMxNjACAAAABDQxNzMEAAAAATAHAAAACTYvMzAvMjAxOAgAAAAKMTIvMzEvMjAxNwkAAAABMJQLV4YUCdYIL3BkhxQJ1gg5Q0lRLk9UQ1BLOlJaTFQuSVFfRUJJVERBX0VTVC5DWTIwMjAuNi8zMC8yMDE4LkNPTi5GLlVTRC5IAQAAACEJmwoDAAAAAADlD++EFAnWCIbAU4cUCdYIOUNJUS5OQVNEQVFDTTpDT1JULklRX1RPVEFMX1JFVi4yMDAwLjYvMzAvMjAxOC5MRlIuRi5VU0QuSAEAAADSuRUAAgAAAAcxODkuMjYxAQgAAAAFAAAAATEBAAAACjE4ODgwOTk1NDQDAAAAAzE2MAIAAAACMjgEAAAAATAHAAAACTYvMzAvMjAxOAgAAAAJMy8zMS8yMDE4CQAAAAEwYpJ0hRQJ1giUq1+HFAnWCDlDSVEuTkFTREFRR006TU5LRC5JUV9UT1RBTF9SRVYuMTk5Ni42LzMwLzIwMTguTEZSLkYuVVNELkgBAAAAZqWNAAIAAAAHMTc3Ljc2NwEIAAAABQAAAAExAQAAAAoxODg5Nzc1OTY1AwAAAAMxNjACAAAAAjI4BAAAAAEwBwAAAAk2LzMw</t>
  </si>
  <si>
    <t>LzIwMTgIAAAACTMvMzEvMjAxNwkAAAABMOltWYYUCdYI4A1ihxQJ1gg5Q0lRLk5BU0RBUUNNOlZLVFguSVFfVE9UQUxfUkVWLjE5OTIuNi8zMC8yMDE4LkxGUi5GLlVTRC5IAQAAAPK8tQ4DAAAAAADGJeOEFAnWCGfnWocUCdYIOkNJUS5OQVNEQVFHUzpJVENJLklRX1RPVEFMX0RFQlQuMjAwMC42LzMwLzIwMTguTEZSLkYuVVNELkgBAAAAd9GPAAIAAAABMAEIAAAABQAAAAExAQAAAAoxODg2NjE3MzIyAwAAAAMxNjACAAAABDQxNzMEAAAAATAHAAAACTYvMzAvMjAxOAgAAAAJMy8zMS8yMDE4CQAAAAEwYpJ0hRQJ1ghn51qHFAnWCDdDSVEuT1RDUEs6QlRIRS5JUV9FQVJOSU5HX0NPLjE5OTIuNi8zMC8yMDE4LkxGUi5GLlVTRC5IAQAAAG+duQUCAAAACS0yLjIzMjg3MgEIAAAABQAAAAExAQAAAAoxODQxMzQ3NjcwAwAAAAMxNjACAAAAATcEAAAAATAHAAAACTYvMzAvMjAxOAgAAAAJMy8zMS8yMDE2CQAAAAEw5Q/vhBQJ1giGwFOHFAnWCD1DSVEuTkFTREFRR006UllUTS5JUV9SRVZFTlVFX0VTVC5DWTIwMjAuNi8zMC8yMDE4LkNPTi5GLlVTRC5IAQAAABjJbRICAAAAAjQ0AQ4AAAAFAAAAAjExAQAAAAEwAgAAAAoxMDAzODk5MzUxAwAAAAYxMDAxODAEAAAAATIGAAAAATAHAAAAAzE2MAgAAAABMAkAAAABMQoAAAABMAsAAAALMTA5NDAwNjgzNDgMAAAAATcNAAAACDcvMS8yMDE4EAAAAAk2LzMwLzIw</t>
  </si>
  <si>
    <t>MThiknSFFAnWCEVJXYcUCdYINkNJUS5UU1hWOkNPQi5VLklRX1RPVEFMX1JFVi4xOTk2LjYvMzAvMjAxOC5MRlIuRi5VU0QuSAEAAAC/+wAIAwAAAAAAr4blhBQJ1giGwFOHFAnWCDxDSVEuTkFTREFRQ006Q1VSLklRX1JFVkVOVUVfRVNULkNZMjAxOS42LzMwLzIwMTguQ09OLkYuVVNELkgBAAAA8e51AAMAAAAAAOUP74QUCdYIMV5RhxQJ1gg6Q0lRLk9UQ1BLOkVNSVMuSVFfUkVWRU5VRV9FU1QuQ1kyMDE5LjYvMzAvMjAxOC5DT04uRi5VU0QuSAEAAAA+/QMAAwAAAAAAr4blhBQJ1ghlIlaHFAnWCDlDSVEuU0hTRTo2MDA4NjcuSVFfUFJFRl9FUVVJVFkuMjAwMC4zLzMxLzIwMTguTEZSLkYuVVNELkgBAAAA2D6uAAMAAAAAAGKSdIUUCdYI4A1ihxQJ1gg4Q0lRLk5BU0RBUUNNOkJZU0kuSVFfVE9UQUxfQ0wuMTk5Mi42LzMwLzIwMTguTEZSLkYuVVNELkgBAAAAR89sGAMAAAAAAGKSdIUUCdYIRUldhxQJ1gguQ0lRLk5BU0RBUUdTOk5JVEUuSVFfTUFSS0VUQ0FQLjYvMzAvMjAxOC5VU0QuSAEAAAAM0xgQAgAAAAo0NjIuNDc1NDI0AQYAAAAFAAAAATEBAAAACjE4OTM0OTYxODkDAAAAAzE2MAIAAAAGMTAwMDU0BAAAAAEwBwAAAAk2LzMwLzIwMTjGJeOEFAnWCKeEWIcUCdYIOUNJUS5OQVNEQVFHUzpaRkdOLklRX05JX01BUkdJTi4yMDAwLjYvMzAvMjAxOC5MRlIuRi5VU0QuSAEAAACXwLoBAwAAAAAA</t>
  </si>
  <si>
    <t>xiXjhBQJ1ginhFiHFAnWCDhDSVEuT1RDUEs6UlpMVC5JUV9FQklUX01BUkdJTi4yMDAwLjYvMzAvMjAxOC5MRlIuRi5VU0QuSAEAAAAhCZsKAwAAAAAA5Q/vhBQJ1giGwFOHFAnWCCJDSVEuSVFUUjE3MjYyMTQ3MS5JUV9UUl9UT1RBTF9DQVNIAQAAAJ/+SQoCAAAAAADmO0WCFAnWCHvSZocUCdYIQ0NJUS4oSU5WQUxJRCBJREVOVElGSUVSKS5JUV9FQklUREFfRVNULkNZMjAxOS42LzMwLzIwMTguQ09OLkYuVVNELkgFAAAAAAAAAAgAAAAUKEludmFsaWQgSWRlbnRpZmllcinlD++EFAnWCDFeUYcUCdYIN0NJUS5BTUVYOkJUWC5JUV9FQklUREFfRVNULkNZMjAyMC42LzMwLzIwMTguQ09OLkYuVVNELkgBAAAAFmQAAAMAAAAAAK+G5YQUCdYIZSJWhxQJ1gguQ0lRLklRVFIzODQwMjg0OTYuSVFfVFJfVEFSR0VUX1NUT0NLUFJFTUlVTV8xVwEAAABQz+MWAgAAAAgxNjMuNDg4MQEGAAAABQAAAAI1NAEAAAAGMTAxMDU0AgAAAAkzODQwMjg0OTYDAAAACTQwNzI3NTc3NgQAAAADMTYwBgAAAAVGYWxzZeY7RYIUCdYIe9JmhxQJ1gg2Q0lRLk5BU0RBUUdNOkZPTEQuSVFfRUJJVERBLjIwMDAuNi8zMC8yMDE4LkxGUi5GLlVTRC5IAQAAAFb2agACAAAACC0yMDYuMjg2AQgAAAAFAAAAATEBAAAACjE4ODg0ODQ2NTEDAAAAAzE2MAIAAAAENDA1MQQAAAABMAcAAAAJNi8zMC8yMDE4CAAAAAkzLzMxLzIwMTgJAAAA</t>
  </si>
  <si>
    <t>ATBiknSFFAnWCJSrX4cUCdYINUNJUS5OQVNEQVFHUzpBUFRYLklRX0NBUEVYLjE5OTYuNi8zMC8yMDE4LkxGUi5GLlVTRC5IAQAAAC8pDBQDAAAAAABiknSFFAnWCEVJXYcUCdYIKENJUS5OWVNFOk1ZT1YuSVFfTEFTVFNBTEVQUklDRS4zLzMxLzIwMTgBAAAAl9oLGAIAAAAFMjEuMjcAYpJ0hRQJ1giUq1+HFAnWCB9DSVEuSVE5OTk0NjkwLklRX0NPTVBBTllfVElDS0VSAQAAAMKBmAADAAAACVNFSEs6MjE4NgDmO0WCFAnWCNc1ooIUCdYIN0NJUS5OQVNEQVFDTTpDVVIuSVFfVE9UQUxfQ0EuMjAwMC42LzMwLzIwMTguTEZSLkYuVVNELkgBAAAA8e51AAIAAAAJMTAuMjA4NjE1AQgAAAAFAAAAATEBAAAACjE4ODg4NzMyMTkDAAAAAzE2MAIAAAAEMTAwOAQAAAABMAcAAAAJNi8zMC8yMDE4CAAAAAkzLzMxLzIwMTgJAAAAATDlD++EFAnWCDFeUYcUCdYIPENJUS5OQVNEQVFDTTpWS1RYLklRX1RPVEFMX0VRVUlUWS4xOTk2LjYvMzAvMjAxOC5MRlIuRi5VU0QuSAEAAADyvLUOAgAAAAg3LjU0NjA4NwEIAAAABQAAAAExAQAAAAoxODg3NzA0OTEwAwAAAAMxNjACAAAABDEyNzUEAAAAATAHAAAACTYvMzAvMjAxOAgAAAAJMy8zMS8yMDE3CQAAAAEwxiXjhBQJ1ghn51qHFAnWCDZDSVEuTkFTREFRR1M6WEVSUy5JUV9FQklUREEuMTk5Ni42LzMwLzIwMTguTEZSLkYuVVNELkgBAAAA4O5PBgMAAAAAAMYl44QU</t>
  </si>
  <si>
    <t>CdYIZ+dahxQJ1gguQ0lRLklRVFIxMTc4MDM5MjAuSVFfVFJfVEFSR0VUX1NUT0NLUFJFTUlVTV8xTQEAAACQiwUHAgAAAAAA5jtFghQJ1gh70maHFAnWCDhDSVEuQ1BTRTpaRUFMLklRX0VBUk5JTkdfQ08uQ1kyMDE3LjYvMzAvMjAxOC5MRlIuRi5VU0QuSAEAAAAiWxMAAgAAAAotNDMuOTEwMjE2AQgAAAAFAAAAATEBAAAACjE4NzgwNTk3MjEDAAAAAzE2MAIAAAABNwQAAAABMAcAAAAJNi8zMC8yMDE4CAAAAAoxMi8zMS8yMDE3CQAAAAEwYpJ0hRQJ1gjgDWKHFAnWCDxDSVEuRU5YVFBBOkVSWVAuSVFfVE9UQUxfRVFVSVRZLkNZMjAxNy42LzMwLzIwMTguTEZSLkYuVVNELkgBAAAA2Ip4AQIAAAAKMjE3Ljg0MjIxOQEIAAAABQAAAAExAQAAAAoxODg1MjA0MjE5AwAAAAMxNjACAAAABDEyNzUEAAAAATAHAAAACTYvMzAvMjAxOAgAAAAKMTIvMzEvMjAxNwkAAAABMOUP74QUCdYIMV5RhxQJ1gg7Q0lRLk5BU0RBUUdTOk9EVC5JUV9HUk9TU19NQVJHSU4uMjAwMC42LzMwLzIwMTguTEZSLkYuVVNELkgBAAAAGhpFIAMAAAAAAMYl44QUCdYIp4RYhxQJ1ghDQ0lRLk5BU0RBUUdTOklDUFQuSVFfRUJJVERBXzVZUl9BTk5fQ0FHUi4yMDAwLjYvMzAvMjAxOC5MRlIuRi5VU0QuSAEAAACCr60AAwAAAAJOTQEIAAAABQAAAAExAQAAAAoxODg4NjE1NTQwAwAAAAMxNjACAAAABDQyMzUEAAAAATAHAAAACTYvMzAv</t>
  </si>
  <si>
    <t>MjAxOAgAAAAJMy8zMS8yMDE4CQAAAAEw6W1ZhhQJ1ggvcGSHFAnWCCVDSVEuSVFUUjMxMDIyOTE4OC5JUV9QUklNQVJZX0lORFVTVFJZAQAAAFy4fRIDAAAADUJpb3RlY2hub2xvZ3kA5jtFghQJ1gh70maHFAnWCDtDSVEuTkFTREFRR006TU5LRC5JUV9QUkVGX0VRVUlUWS4yMDAwLjYvMzAvMjAxOC5MRlIuRi5VU0QuSAEAAABmpY0AAwAAAAAA6W1ZhhQJ1gjgDWKHFAnWCCtDSVEuSVFUUjMxMDIyOTE4OC5JUV9UUl9UT1RBTF9HUk9TU19UVi4uVVNEAQAAAMS4fRICAAAAAADmO0WCFAnWCHvSZocUCdYIRENJUS5PVENQSzpFTUlTLklRX01JTk9SSVRZX0lOVEVSRVNUX1RPVEFMLjIwMDAuNi8zMC8yMDE4LkxGUi5GLlVTRC5IAQAAAD79AwADAAAAAACvhuWEFAnWCGUiVocUCdYIOENJUS5OQVNEQVFHUzpMWFJYLklRX1RPVEFMX0NBLjE5OTIuNi8zMC8yMDE4LkxGUi5GLlVTRC5IAQAAAD14AAACAAAABzQ5Mi4xNTgBCAAAAAUAAAABMQEAAAAKMTg0MDUxNzkwNQMAAAADMTYwAgAAAAQxMDA4BAAAAAEwBwAAAAk2LzMwLzIwMTgIAAAACTMvMzEvMjAxNgkAAAABMGKSdIUUCdYIlKtfhxQJ1ggmQ0lRLlRTWFY6Q09CLlUuSVFfQlVTSU5FU1NfREVTQ1JJUFRJT04BAAAAv/sACAMAAACDBkNvaEJhciwgSW5jLiwgYSBiaW90ZWNobm9sb2d5IGNvbXBhbnksIGVuZ2FnZXMgaW4gdGhlIHJlc2VhcmNoIGFuZCBk</t>
  </si>
  <si>
    <t>ZXZlbG9wbWVudCBvZiBtaXRvY2hvbmRyaWEgYmFzZWQgdGhlcmFwZXV0aWNzIChNQlRzKSB0byB0cmVhdCB2YXJpb3VzIGRpc2Vhc2VzIGFzc29jaWF0ZWQgd2l0aCBhZ2luZyBhbmQgbWV0YWJvbGljIGR5c2Z1bmN0aW9uLiBJdHMgbGVhZCBNQlQgZHJ1ZyBjYW5kaWRhdGVzIGluY2x1ZGUgQ0I0MjA5IGFuZCBDQjQyMTEsIHdoaWNoIGFyZSBpbiBJTkQtZW5hYmxpbmcgc3R1ZGllcyBmb3IgdGhlIHRyZWF0bWVudCBvZiBmYXR0eSBsaXZlciBkaXNlYXNlLCBub24tYWxjb2hvbGljIHN0ZWF0b2hlcGF0aXRpcywgb2Jlc2l0eSwgYW5kIHR5cGUgMiBkaWFiZXRlcyBtZWxsaXR1cy4gVGhlIGNvbXBhbnkgaXMgYWxzbyBkZXZlbG9waW5nIEh1bWFuaW4sIGEgbWl0b2Nob25kcmlhbC1kZXJpdmVkIHBlcHRpZGUgdG8gdHJlYXQgQWx6aGVpbWVy4oCZcyBkaXNlYXNlLCBhdGhlcm9zY2xlcm9zaXMsIG15b2NhcmRpYWwgYW5kIGNlcmVicmFsIGlzY2hlbWlhLCBhbmQgdHlwZSAyIGRpYWJldGVzIG1lbGxpdHVzOyBTSExQLTYgZm9yIHRoZSB0cmVhdG1lbnQgb2YgY2FuY2VyOyBhbmQgU0hMUC0yIHRvIHRyZWF0IEFsemhlaW1lcuKAmXMgZGlzZWFzZSBhbmQgdHlwZSAyIGRpYWJldGVzIG1lbGxpdHVzLiBDb2hCYXIsIEluYy4gd2FzIGZvdW5kZWQgaW4gMjAwNyBhbmQgaXMgaGVhZHF1YXJ0ZXJlZCBpbiBN</t>
  </si>
  <si>
    <t>ZW5sbyBQYXJrLCBDYWxpZm9ybmlhLgDGJeOEFAnWCIbAU4cUCdYIJUNJUS5FTlhUUEE6RVJZUC5JUV9CRVRBXzFZUi42LzMwLzIwMTgBAAAA2Ip4AQIAAAAQMS42NzE0NzUzMjU4MDM5NADlD++EFAnWCDFeUYcUCdYIL0NJUS5OQVNEQVFHUzpPRFQuSVFfTEFTVFNBTEVQUklDRS42LzMwLzIwMTguVVNEAQAAABoaRSACAAAABTIyLjA4AMYl44QUCdYIZ+dahxQJ1gg2Q0lRLk5BU0RBUUdTOkNCQVkuSVFfRUJJVERBLjE5OTIuNi8zMC8yMDE4LkxGUi5GLlVTRC5IAQAAAMB6AAACAAAABy0yNS45ODkBCAAAAAUAAAABMQEAAAAKMTg0NDU0MzgyNAMAAAADMTYwAgAAAAQ0MDUxBAAAAAEwBwAAAAk2LzMwLzIwMTgIAAAACTMvMzEvMjAxNgkAAAABMGKSdIUUCdYIRUldhxQJ1gg1Q0lRLk5BU0RBUUdTOlpGR04uSVFfQ0FQRVguMTk5Ni42LzMwLzIwMTguTEZSLkYuVVNELkgBAAAAl8C6AQIAAAAFLTAuMjcBCAAAAAUAAAABMQEAAAAKMTg4OTg5NTM1NQMAAAADMTYwAgAAAAQyMDIxBAAAAAEwBwAAAAk2LzMwLzIwMTgIAAAACTMvMzEvMjAxNwkAAAABMMYl44QUCdYIp4RYhxQJ1ggyQ0lRLkNQU0U6WkVBTC5JUV9FQklUREEuMTk5Mi42LzMwLzIwMTguTEZSLkYuVVNELkgBAAAAIlsTAAIAAAAKLTEzLjc0MjkzMQEIAAAABQAAAAExAQAAAAoxODQyNzMxNDMzAwAAAAMxNjACAAAABDQwNTEEAAAAATAHAAAACTYv</t>
  </si>
  <si>
    <t>MzAvMjAxOAgAAAAJMy8zMS8yMDE2CQAAAAEwYpJ0hRQJ1gjgDWKHFAnWCClDSVEuSVFUUjIxMjczMTg3Ny5JUV9UUl9JTVBMSUVEX0VRX05JX0xUTQEAAADlB64MAwAAAAJOTQDmO0WCFAnWCHvSZocUCdYILENJUS5JUVRSMTcyNjIxNDcxLklRX1RSX1RPVEFMX0dST1NTX1RWLlVTRC5IBQAAAAAAAAAIAAAAGihJbnZhbGlkIEN1cnJlbmN5IFJlcXVlc3Qp5jtFghQJ1gh70maHFAnWCD1DSVEuTkFTREFRQ006Q09SVC5JUV9SRVZFTlVFX0VTVC5DWTIwMjEuNi8zMC8yMDE4LkNPTi5GLlVTRC5IAQAAANK5FQACAAAACTYwNy42NjQzMwEOAAAABQAAAAIxMQEAAAABMAIAAAAKMTAwMTU2ODM5MwMAAAAGMTAwMTgwBAAAAAEyBgAAAAEwBwAAAAMxNjAIAAAAATAJAAAAATEKAAAAATALAAAACzEwOTIyMjk3NDAyDAAAAAE3DQAAAAg3LzEvMjAxOBAAAAAJNi8zMC8yMDE4YpJ0hRQJ1giUq1+HFAnWCERDSVEuQ1BTRTpOT1ZPIEIuSVFfVE9UQUxfUkVWXzVZUl9BTk5fQ0FHUi4yMDAwLjYvMzAvMjAxOC5MRlIuRi5VU0QuSAEAAAB87wQAAgAAAAY2LjU0MTMBCAAAAAUAAAABMQEAAAAKMTg5MjYyMzk1MwMAAAACNDICAAAABDQyMzMEAAAAATAHAAAACTYvMzAvMjAxOAgAAAAJMy8zMS8yMDE4CQAAAAEwlAtXhhQJ1ggvcGSHFAnWCCVDSVEuRU5YVFBBOkVSWVAuSVFfQkVUQV81WVIuNi8zMC8yMDE4AQAAANiKeAEC</t>
  </si>
  <si>
    <t>AAAAETAuNTYzOTcyMzM5ODQ2Mzc4AOUP74QUCdYIMV5RhxQJ1ghGQ0lRLk5BU0RBUUdTOkxYUlguSVFfVE9UQUxfUkVWXzVZUl9BTk5fQ0FHUi4yMDAwLjYvMzAvMjAxOC5MRlIuRi5VU0QuSAEAAAA9eAAAAgAAAAgxNDIuOTQ3OAEIAAAABQAAAAExAQAAAAoxODg2NTQzODc1AwAAAAMxNjACAAAABDQyMzMEAAAAATAHAAAACTYvMzAvMjAxOAgAAAAJMy8zMS8yMDE4CQAAAAEwYpJ0hRQJ1ghFSV2HFAnWCEBDSVEuVFNYVjpDT0IuVS5JUV9FQklUREFfMllSX0FOTl9DQUdSLjIwMDAuNi8zMC8yMDE4LkxGUi5GLlVTRC5IAQAAAL/7AAgDAAAAAk5NAQgAAAAFAAAAATEBAAAACjE4ODkwNjIwNzQDAAAAAzE2MAIAAAAENDIwOQQAAAABMAcAAAAJNi8zMC8yMDE4CAAAAAkzLzMxLzIwMTgJAAAAATCvhuWEFAnWCIbAU4cUCdYIO0NJUS5PVENQSzpORVhTLklRX0NBU0hfU1RfSU5WRVNULjIwMDAuNi8zMC8yMDE4LkxGUi5GLlVTRC5IAQAAAB29ThQCAAAACDAuMDA4NDI3AQgAAAAFAAAAATEBAAAACjE4NjI4NjMwOTMDAAAAAzE2MAIAAAAEMTAwMgQAAAABMAcAAAAJNi8zMC8yMDE4CAAAAAk1LzMxLzIwMTcJAAAAATDlD++EFAnWCDFeUYcUCdYIRUNJUS5OQVNEQVFHUzpPRFQuSVFfVE9UQUxfUkVWXzJZUl9BTk5fQ0FHUi4yMDAwLjYvMzAvMjAxOC5MRlIuRi5VU0QuSAEAAAAaGkUgAwAAAAAAxiXjhBQJ1gin</t>
  </si>
  <si>
    <t>hFiHFAnWCEdDSVEuTkFTREFRR1M6TklURS5JUV9NSU5PUklUWV9JTlRFUkVTVF9UT1RBTC4yMDAwLjMvMzEvMjAxOC5MRlIuRi5VU0QuSAEAAAAM0xgQAwAAAAAAxiXjhBQJ1ginhFiHFAnWCCNDSVEuSVFUUjIxMjczMTg3Ny5JUV9UUl9UT1RBTF9TVE9DSwEAAADlB64MAgAAAAAA5jtFghQJ1gh70maHFAnWCDtDSVEuTkFTREFRR006TU5LRC5JUV9FQklUX01BUkdJTi4yMDAwLjYvMzAvMjAxOC5MRlIuRi5VU0QuSAEAAABmpY0AAwAAAAJOTQEIAAAABQAAAAExAQAAAAoxODg5Nzc1OTkzAwAAAAMxNjACAAAABDQwNTMEAAAAATAHAAAACTYvMzAvMjAxOAgAAAAJMy8zMS8yMDE4CQAAAAEw6W1ZhhQJ1gjgDWKHFAnWCDxDSVEuTkFTREFRR1M6T0RULklRX1JFVkVOVUVfRVNULkNZMjAyMS42LzMwLzIwMTguQ09OLkYuVVNELkgBAAAAGhpFIAIAAAACODABDgAAAAUAAAACMTEBAAAAATACAAAACjEwMDM5NTE2MjgDAAAABjEwMDE4MAQAAAABMgYAAAABMAcAAAADMTYwCAAAAAEwCQAAAAExCgAAAAEwCwAAAAsxMDk1MTI0Nzg1NwwAAAABNw0AAAAINy8xLzIwMTgQAAAACTYvMzAvMjAxOK+G5YQUCdYIZ+dahxQJ1gg1Q0lRLk9UQ1BLOkJUSEUuSVFfVE9UQUxfQ0wuMTk5Ni42LzMwLzIwMTguTEZSLkYuVVNELkgBAAAAb525BQIAAAAIMS4xMTI4MzEBCAAAAAUAAAABMQEAAAAKMTg4ODY2MzczOQMAAAADMTYw</t>
  </si>
  <si>
    <t>AgAAAAQxMDA5BAAAAAEwBwAAAAk2LzMwLzIwMTgIAAAACTMvMzEvMjAxNwkAAAABMOUP74QUCdYIhsBThxQJ1ghHQ0lRLk5BU0RBUUdTOkxYUlguSVFfTUlOT1JJVFlfSU5URVJFU1RfVE9UQUwuMjAwMC42LzMwLzIwMTguTEZSLkYuVVNELkgBAAAAPXgAAAMAAAAAAGKSdIUUCdYIlKtfhxQJ1gg8Q0lRLk5BU0RBUUdTOkNZVEsuSVFfVE9UQUxfRVFVSVRZLjE5OTIuNi8zMC8yMDE4LkxGUi5GLlVTRC5IAQAAALNqAAACAAAABjU3LjkwNgEIAAAABQAAAAExAQAAAAoxODQwNDkxNjA1AwAAAAMxNjACAAAABDEyNzUEAAAAATAHAAAACTYvMzAvMjAxOAgAAAAJMy8zMS8yMDE2CQAAAAEwxiXjhBQJ1ghlIlaHFAnWCDhDSVEuTkFTREFRR1M6TklURS5JUV9UT1RBTF9DTC4xOTkyLjYvMzAvMjAxOC5MRlIuRi5VU0QuSAEAAAAM0xgQAgAAAAQyLjk3AQgAAAAFAAAAATEBAAAACjE4ODE1MTAwNzUDAAAAAzE2MAIAAAAEMTAwOQQAAAABMAcAAAAJNi8zMC8yMDE4CAAAAAoxMi8zMS8yMDE1CQAAAAEwxiXjhBQJ1ginhFiHFAnWCCdDSVEuTkFTREFRR1M6QVBUWC5JUV9CRVRBXzFZUi42LzMwLzIwMTgBAAAALykMFAMAAAAAAGKSdIUUCdYIRUldhxQJ1ggeQ0lRLjAuSVFfVFJfVEFSR0VUX0VCSVQuLlVTRC5IBQAAAAAAAAAIAAAAGChJbnZhbGlkIFRyYW5zYWN0aW9uIElkKeY7RYIUCdYIxDRphxQJ1gg8Q0lRLk5B</t>
  </si>
  <si>
    <t>U0RBUUdTOklUQ0kuSVFfVE9UQUxfRVFVSVRZLjE5OTYuNi8zMC8yMDE4LkxGUi5GLlVTRC5IAQAAAHfRjwACAAAACjM1My4wMjcwNzcBCAAAAAUAAAABMQEAAAAKMTg4NjYxNzM2MgMAAAADMTYwAgAAAAQxMjc1BAAAAAEwBwAAAAk2LzMwLzIwMTgIAAAACTMvMzEvMjAxNwkAAAABMGKSdIUUCdYIZ+dahxQJ1gg4Q0lRLk5BU0RBUUNNOkFWRU8uSVFfVE9UQUxfQ0EuMTk5Ni42LzMwLzIwMTguTEZSLkYuVVNELkgBAAAA9BYdAAIAAAAGMzUuODk5AQgAAAAFAAAAATEBAAAACjE4ODcyMzQyOTEDAAAAAzE2MAIAAAAEMTAwOAQAAAABMAcAAAAJNi8zMC8yMDE4CAAAAAkzLzMxLzIwMTcJAAAAATDGJeOEFAnWCGUiVocUCdYIMUNJUS5OWVNFOk1ZT1YuSVFfQ0FQRVguMjAwMC42LzMwLzIwMTguTEZSLkYuVVNELkgBAAAAl9oLGAIAAAAGLTAuNjA0AQgAAAAFAAAAATEBAAAACjE4OTI4MzQ3MzMDAAAAAzE2MAIAAAAEMjAyMQQAAAABMAcAAAAJNi8zMC8yMDE4CAAAAAkzLzMxLzIwMTgJAAAAATBiknSFFAnWCJSrX4cUCdYIJUNJUS5JUVRSMzQwNzA0ODY1LklRX1RSX0lNUExJRURfRVFfQlYBAAAAYb5OFAIAAAAAAOY7RYIUCdYIe9JmhxQJ1ggdQ0lRLklRMzA3ODEuSVFfQ09NUEFOWV9USUNLRVIBAAAAPXgAAAMAAAANTmFzZGFxR1M6TFhSWADmO0WCFAnWCIq/q4IUCdYIOENJUS5TSFNFOjYwMDg2Ny5JUV9F</t>
  </si>
  <si>
    <t>QVJOSU5HX0NPLjIwMDAuNi8zMC8yMDE4LkxGUi5GLlVTRC5IAQAAANg+rgACAAAACTE0My45OTE0OAEIAAAABQAAAAExAQAAAAoxODg1MTQ2MjczAwAAAAMxNjACAAAAATcEAAAAATAHAAAACTYvMzAvMjAxOAgAAAAJMy8zMS8yMDE4CQAAAAEwYpJ0hRQJ1gjgDWKHFAnWCC1DSVEuTkFTREFRQ006Q09SVC5JUV9ESVZJREVORF9ZSUVMRC42LzMwLzIwMTgBAAAA0rkVAAMAAAAAAGKSdIUUCdYIlKtfhxQJ1ghDQ0lRLihJTlZBTElEIElERU5USUZJRVIpLklRX1RPVEFMX0VRVUlUWS4xOTk2LjYvMzAvMjAxOC5MRlIuRi5VU0QuSAUAAAAAAAAACAAAABQoSW52YWxpZCBJZGVudGlmaWVyKeUP74QUCdYIMV5RhxQJ1gg5Q0lRLkNQU0U6Tk9WTyBCLklRX1RPVEFMX1JFVi5DWTIwMTYuNi8zMC8yMDE4LkxGUi5GLlVTRC5IAQAAAHzvBAACAAAACzE1ODcxLjI4MDQ4AQgAAAAFAAAAATEBAAAACjE4NzM2OTQyMTIDAAAAAzE2MAIAAAACMjgEAAAAATAHAAAACTYvMzAvMjAxOAgAAAAKMTIvMzEvMjAxNgkAAAABMJQLV4YUCdYIe9JmhxQJ1gg7Q0lRLk5BU0RBUUNNOkNVUi5JUV9UT1RBTF9FUVVJVFkuMjAwMC42LzMwLzIwMTguTEZSLkYuVVNELkgBAAAA8e51AAIAAAAINi42MDcxMTEBCAAAAAUAAAABMQEAAAAKMTg4ODg3MzIxOQMAAAADMTYwAgAAAAQxMjc1BAAAAAEwBwAAAAk2LzMwLzIwMTgIAAAACTMvMzEv</t>
  </si>
  <si>
    <t>MjAxOAkAAAABMOUP74QUCdYIMV5RhxQJ1gg2Q0lRLk5BU0RBUUdTOklDUFQuSVFfRUJJVERBLjE5OTYuNi8zMC8yMDE4LkxGUi5GLlVTRC5IAQAAAIKvrQACAAAACC0zNTUuMTUyAQgAAAAFAAAAATEBAAAACjE4ODg2MTU1MTkDAAAAAzE2MAIAAAAENDA1MQQAAAABMAcAAAAJNi8zMC8yMDE4CAAAAAkzLzMxLzIwMTcJAAAAATDpbVmGFAnWCC9wZIcUCdYINkNJUS5OQVNEQVFHTTpNTktELklRX0VCSVREQS4xOTkyLjYvMzAvMjAxOC5MRlIuRi5VU0QuSAEAAABmpY0AAgAAAAgtMTE2LjM3NwEIAAAABQAAAAExAQAAAAoxODQxMTcxMjI4AwAAAAMxNjACAAAABDQwNTEEAAAAATAHAAAACTYvMzAvMjAxOAgAAAAJMy8zMS8yMDE2CQAAAAEw6W1ZhhQJ1gjgDWKHFAnWCDxDSVEuTkFTREFRQ006QVZFTy5JUV9FQklUREFfRVNULkNZMjAxOC42LzMwLzIwMTguQ09OLkYuVVNELkgBAAAA9BYdAAMAAAAAAK+G5YQUCdYIZSJWhxQJ1gg9Q0lRLk5BU0RBUUdNOkZPTEQuSVFfRUJJVERBX01BUkdJTi4yMDAwLjYvMzAvMjAxOC5MRlIuRi5VU0QuSAEAAABW9moAAwAAAAJOTQEIAAAABQAAAAExAQAAAAoxODg4NDg0NjUxAwAAAAMxNjACAAAABDQwNDcEAAAAATAHAAAACTYvMzAvMjAxOAgAAAAJMy8zMS8yMDE4CQAAAAEwYpJ0hRQJ1giUq1+HFAnWCDFDSVEuSVFUUjU1MjcyMDIwNy5JUV9UUl9UQVJHRVRfUkVWRU5V</t>
  </si>
  <si>
    <t>RV9FU1QuLlVTRC5IAQAAAE/X8SACAAAAAADmO0WCFAnWCHvSZocUCdYIOENJUS5OQVNEQVFHUzpJQ1BULklRX0VCSVREQS5DWTIwMTcuNi8zMC8yMDE4LkxGUi5GLlVTRC5IAQAAAIKvrQACAAAACC0zMjUuODExAQgAAAAFAAAAATEBAAAACjE4NzcwMTE0ODkDAAAAAzE2MAIAAAAENDA1MQQAAAABMAcAAAAJNi8zMC8yMDE4CAAAAAoxMi8zMS8yMDE3CQAAAAEw6W1ZhhQJ1ggvcGSHFAnWCDdDSVEuQ1BTRTpaRUFMLklRX1RPVEFMX1JFVi5DWTIwMTYuNi8zMC8yMDE4LkxGUi5GLlVTRC5IAQAAACJbEwACAAAACTMzLjMzNTM2OAEIAAAABQAAAAExAQAAAAoxODc4MDU5NjkyAwAAAAMxNjACAAAAAjI4BAAAAAEwBwAAAAk2LzMwLzIwMTgIAAAACjEyLzMxLzIwMTYJAAAAATBiknSFFAnWCOANYocUCdYIIkNJUS5JUTk2MDUwNTQzLklRX0ZJUlNUUFJJQ0lOR0RBVEUBAAAAb525BQUAAAAIMy8xLzIwMTIA5jtFghQJ1gjENGmHFAnWCD5DSVEuTkFTREFRR1M6TFhSWC5JUV9UT1RBTF9FUVVJVFkuQ1kyMDE2LjYvMzAvMjAxOC5MRlIuRi5VU0QuSAEAAAA9eAAAAgAAAAcxNTcuNDAxAQgAAAAFAAAAATEBAAAACjE4NzcxMzM5NjUDAAAAAzE2MAIAAAAEMTI3NQQAAAABMAcAAAAJNi8zMC8yMDE4CAAAAAoxMi8zMS8yMDE2CQAAAAEwYpJ0hRQJ1ghFSV2HFAnWCCVDSVEuSVFUUjI3MDA3NDc1NC5JUV9QUklNQVJZ</t>
  </si>
  <si>
    <t>X0lORFVTVFJZAQAAADQDGRADAAAAD1BoYXJtYWNldXRpY2FscwDmO0WCFAnWCHvSZocUCdYIOUNJUS5OQVNEQVFHUzpOSVRFLklRX1RPVEFMX1JFVi4xOTk2LjYvMzAvMjAxOC5MRlIuRi5VU0QuSAEAAAAM0xgQAwAAAAAAxiXjhBQJ1ginhFiHFAnWCC9DSVEuKElOVkFMSUQgSURFTlRJRklFUikuSVFfVEVWLjYvMzAvMjAxOC5VU0QuSAUAAAAAAAAACAAAABQoSW52YWxpZCBJZGVudGlmaWVyKeUP74QUCdYIMV5RhxQJ1ggnQ0lRLk5BU0RBUUdNOk1OS0QuSVFfQkVUQV81WVIuNi8zMC8yMDE4AQAAAGaljQACAAAAEDIuNzI1Nzg1MzI0NjQ3MjUA6W1ZhhQJ1gjgDWKHFAnWCENDSVEuTkFTREFRQ006Q09SVC5JUV9FQklUREFfNVlSX0FOTl9DQUdSLjIwMDAuNi8zMC8yMDE4LkxGUi5GLlVTRC5IAQAAANK5FQADAAAAAk5NAQgAAAAFAAAAATEBAAAACjE4ODgwOTk1NDQDAAAAAzE2MAIAAAAENDIzNQQAAAABMAcAAAAJNi8zMC8yMDE4CAAAAAkzLzMxLzIwMTgJAAAAATBiknSFFAnWCJSrX4cUCdYIOkNJUS5OQVNEQVFHUzpMWFJYLklRX1RPVEFMX0RFQlQuMjAwMC42LzMwLzIwMTguTEZSLkYuVVNELkgBAAAAPXgAAAIAAAAHMjQ1LjM5NgEIAAAABQAAAAExAQAAAAoxODg2NTQzODc1AwAAAAMxNjACAAAABDQxNzMEAAAAATAHAAAACTYvMzAvMjAxOAgAAAAJMy8zMS8yMDE4CQAAAAEwYpJ0hRQJ1giUq1+H</t>
  </si>
  <si>
    <t>FAnWCDhDSVEuTkFTREFRR006TU5PVi5JUV9FQklUREEuQ1kyMDE3LjYvMzAvMjAxOC5MRlIuRi5VU0QuSAEAAAC4VI0AAgAAAAotMTIuOTk4OTk1AQgAAAAFAAAAATEBAAAACjE4NzQwMjUxMDMDAAAAAzE2MAIAAAAENDA1MQQAAAABMAcAAAAJNi8zMC8yMDE4CAAAAAoxMi8zMS8yMDE3CQAAAAEwxiXjhBQJ1ginhFiHFAnWCDVDSVEuU0VISzozOTMzLklRX1RPVEFMX1JFVi4yMDAwLjYvMzAvMjAxOC5MRlIuRi5VU0QuSAEAAABN2hECAgAAAAsxMDQ5LjE3MTYyMQEIAAAABQAAAAExAQAAAAoxODg1NzM5MjAyAwAAAAMxNjACAAAAAjI4BAAAAAEwBwAAAAk2LzMwLzIwMTgIAAAACjEyLzMxLzIwMTcJAAAAATDpbVmGFAnWCC9wZIcUCdYIQ0NJUS5OQVNEQVFDTTpBVkVPLklRX0VCSVREQV81WVJfQU5OX0NBR1IuMjAwMC42LzMwLzIwMTguTEZSLkYuVVNELkgBAAAA9BYdAAMAAAAAAMYl44QUCdYIZSJWhxQJ1gg7Q0lRLk5BU0RBUUdTOkNCQVkuSVFfVE9UQUxfUkVWLkNZMjAxNy42LzMwLzIwMTguTEZSLkYuVVNELkgBAAAAwHoAAAIAAAACMTABCAAAAAUAAAABMQEAAAAKMTg3ODUyNDA4OAMAAAADMTYwAgAAAAIyOAQAAAABMAcAAAAJNi8zMC8yMDE4CAAAAAoxMi8zMS8yMDE3CQAAAAEwYpJ0hRQJ1ghFSV2HFAnWCDtDSVEuTkFTREFRR1M6SVRDSS5JUV9UT1RBTF9SRVYuQ1kyMDE3LjYvMzAvMjAxOC5M</t>
  </si>
  <si>
    <t>RlIuRi5VU0QuSAEAAAB30Y8AAgAAAAgwLjI0NTgzNwEIAAAABQAAAAExAQAAAAoxODc3MjA3ODQ2AwAAAAMxNjACAAAAAjI4BAAAAAEwBwAAAAk2LzMwLzIwMTgIAAAACjEyLzMxLzIwMTcJAAAAATBiknSFFAnWCGfnWocUCdYIOENJUS5OQVNEQVFHUzpOSVRFLklRX0VCSVREQS5DWTIwMTYuNi8zMC8yMDE4LkxGUi5GLlVTRC5IAQAAAAzTGBACAAAABy0xMi4wODIBCAAAAAUAAAABMQEAAAAKMTg4MTUxMDA3NgMAAAADMTYwAgAAAAQ0MDUxBAAAAAEwBwAAAAk2LzMwLzIwMTgIAAAACjEyLzMxLzIwMTYJAAAAATDGJeOEFAnWCKeEWIcUCdYILENJUS5JUVRSMjEyNzMxODc3LklRX1RSX1RBUkdFVF9FQklUREEuLlVTRC5IAQAAAOUHrgwCAAAACC00NDkuNTU2AQYAAAAFAAAAAjM3AQAAAAoxNTQ1MzYxMDc4AgAAAAUyMTY3NwMAAAADMTYwBAAAAAEwBwAAAAgxLzEvMTkwMOY7RYIUCdYIe9JmhxQJ1ggjQ0lRLklRVFIxNzI2MjE0NzEuSVFfVFJfVE9UQUxfU1RPQ0sBAAAAn/5JCgIAAAAAAOY7RYIUCdYIe9JmhxQJ1ggwQ0lRLklRVFIzODQwMjg0OTYuSVFfVFJfVEFSR0VUX0VCSVREQV9FU1QuLlVTRC5IAQAAAFDP4xYCAAAAAADmO0WCFAnWCHvSZocUCdYIKENJUS4oSU5WQUxJRCBJREVOVElGSUVSKS5JUV9DT01QQU5ZX05BTUUFAAAAAAAAAAgAAAAUKEludmFsaWQgSWRlbnRpZmllcinlD++EFAnWCDFe</t>
  </si>
  <si>
    <t>UYcUCdYIO0NJUS5OQVNEQVFHUzpBUFRYLklRX1RPVEFMX1JFVi5DWTIwMTcuNi8zMC8yMDE4LkxGUi5GLlVTRC5IAQAAAC8pDBQCAAAABTQuOTYyAQgAAAAFAAAAATEBAAAACjE4OTA4NTEzODEDAAAAAzE2MAIAAAACMjgEAAAAATAHAAAACTYvMzAvMjAxOAgAAAAKMTIvMzEvMjAxNwkAAAABMGKSdIUUCdYIRUldhxQJ1gg+Q0lRLk5BU0RBUUNNOlZLVFguSVFfVE9UQUxfRVFVSVRZLkNZMjAxNi42LzMwLzIwMTguTEZSLkYuVVNELkgBAAAA8ry1DgIAAAAIOC4wNDI4NjcBCAAAAAUAAAABMQEAAAAKMTg3NzMyMzkyOAMAAAADMTYwAgAAAAQxMjc1BAAAAAEwBwAAAAk2LzMwLzIwMTgIAAAACjEyLzMxLzIwMTYJAAAAATDGJeOEFAnWCGfnWocUCdYIO0NJUS5DUFNFOk5PVk8gQi5JUV9SRVZFTlVFX0VTVC5DWTIwMTkuNi8zMC8yMDE4LkNPTi5GLlVTRC5IAQAAAHzvBAACAAAAEDE4MjI1LjM2MjM2MTYxOTgBDgAAAAUAAAACMTEBAAAAATACAAAACjEwMDAyMTQ2MTkDAAAABjEwMDE4MAQAAAABMwYAAAABMAcAAAADMTYwCAAAAAEwCQAAAAExCgAAAAEwCwAAAAsxMDk0NzA0OTg5MwwAAAABNw0AAAAINy8xLzIwMTgQAAAACTYvMzAvMjAxOOltWYYUCdYIe9JmhxQJ1gg3Q0lRLk9UQ1BLOlJaTFQuSVFfRUFSTklOR19DTy4xOTkyLjYvMzAvMjAxOC5MRlIuRi5VU0QuSAEAAAAhCZsKAgAAAAotMTQuMTA0MTQ2</t>
  </si>
  <si>
    <t>AQgAAAAFAAAAATEBAAAACjE4NDIzMjkwNTMDAAAAAzE2MAIAAAABNwQAAAABMAcAAAAJNi8zMC8yMDE4CAAAAAkzLzMxLzIwMTYJAAAAATDlD++EFAnWCIbAU4cUCdYIOUNJUS5OQVNEQVFHUzpMWFJYLklRX1RPVEFMX1JFVi4xOTk2LjYvMzAvMjAxOC5MRlIuRi5VU0QuSAEAAAA9eAAAAgAAAAY4OS4xMzYBCAAAAAUAAAABMQEAAAAKMTg4NjU0MzgyMAMAAAADMTYwAgAAAAIyOAQAAAABMAcAAAAJNi8zMC8yMDE4CAAAAAkzLzMxLzIwMTcJAAAAATBiknSFFAnWCJSrX4cUCdYIQkNJUS5OQVNEQVFHUzpPRFQuSVFfRUJJVERBXzNZUl9BTk5fQ0FHUi4yMDAwLjYvMzAvMjAxOC5MRlIuRi5VU0QuSAEAAAAaGkUgAwAAAAAAxiXjhBQJ1ginhFiHFAnWCCVDSVEuTkFTREFRR1M6QVBUWC5JUV9GSVJTVFBSSUNJTkdEQVRFAQAAAC8pDBQFAAAACTYvMjEvMjAxOABiknSFFAnWCEVJXYcUCdYINkNJUS5TRUhLOjIxODYuSVFfVE9UQUxfREVCVC4yMDAwLjYvMzAvMjAxOC5MRlIuRi5VU0QuSAEAAADCgZgAAgAAAAo0MzkuNzU1NDgyAQgAAAAFAAAAATEBAAAACjE4ODU0OTUwMDYDAAAAAzE2MAIAAAAENDE3MwQAAAABMAcAAAAJNi8zMC8yMDE4CAAAAAoxMi8zMS8yMDE3CQAAAAEwlAtXhhQJ1ggvcGSHFAnWCDNDSVEuRU5YVFBBOkVSWVAuSVFfQ0FQRVguMTk5Ni42LzMwLzIwMTguTEZSLkYuVVNELkgBAAAA2Ip4</t>
  </si>
  <si>
    <t>AQIAAAAJLTEuODY4NDY4AQgAAAAFAAAAATEBAAAACjE4ODUyMDQzNjkDAAAAAzE2MAIAAAAEMjAyMQQAAAABMAcAAAAJNi8zMC8yMDE4CAAAAAoxMi8zMS8yMDE2CQAAAAEw5Q/vhBQJ1ggxXlGHFAnWCCxDSVEuSVFUUjM0MDcwNDg2NS5JUV9UUl9UQVJHRVRfRUJJVERBLi5VU0QuSAEAAABhvk4UAgAAAAAA5jtFghQJ1gh70maHFAnWCCdDSVEuTkFTREFRR1M6Q0JBWS5JUV9CRVRBXzFZUi42LzMwLzIwMTgBAAAAwHoAAAIAAAAQMS45ODc1NjMyMTg3NDgzMwBiknSFFAnWCGfnWocUCdYIOENJUS5PVENQSzpORVhTLklRX1RPVEFMX1JFVi5DWTIwMTcuNi8zMC8yMDE4LkxGUi5GLlVTRC5IAQAAAB29ThQDAAAAAADlD++EFAnWCMQ0aYcUCdYIJ0NJUS5OQVNEQVFHUzpOSVRFLklRX0JFVEFfMllSLjYvMzAvMjAxOAEAAAAM0xgQAwAAAAAAr4blhBQJ1ginhFiHFAnWCCVDSVEuTkFTREFRR1M6TFhSWC5JUV9GSVJTVFBSSUNJTkdEQVRFAQAAAD14AAAFAAAACDQvNy8yMDAwAGKSdIUUCdYIlKtfhxQJ1gg9Q0lRLk5BU0RBUUdTOkNZVEsuSVFfUkVWRU5VRV9FU1QuQ1kyMDE5LjYvMzAvMjAxOC5DT04uRi5VU0QuSAEAAACzagAAAgAAAAUyMi45NQEOAAAABQAAAAIxMQEAAAABMAIAAAAKMTAwMTU4ODEyNgMAAAAGMTAwMTgwBAAAAAEyBgAAAAEwBwAAAAMxNjAIAAAAATAJAAAAATEKAAAAATALAAAACzEwOTMw</t>
  </si>
  <si>
    <t>NDYyMDk5DAAAAAE3DQAAAAg3LzEvMjAxOBAAAAAJNi8zMC8yMDE4r4blhBQJ1ghlIlaHFAnWCDxDSVEuTkFTREFRR1M6WkZHTi5JUV9UT1RBTF9FUVVJVFkuMjAwMC42LzMwLzIwMTguTEZSLkYuVVNELkgBAAAAl8C6AQIAAAAGNjQuOTk3AQgAAAAFAAAAATEBAAAACjE4ODk4OTUzODEDAAAAAzE2MAIAAAAEMTI3NQQAAAABMAcAAAAJNi8zMC8yMDE4CAAAAAkzLzMxLzIwMTgJAAAAATDGJeOEFAnWCKeEWIcUCdYIOENJUS5OQVNEQVFDTTpWS1RYLklRX1RPVEFMX0NBLjE5OTYuNi8zMC8yMDE4LkxGUi5GLlVTRC5IAQAAAPK8tQ4CAAAACTE0LjY3MzkxNwEIAAAABQAAAAExAQAAAAoxODg3NzA0OTEwAwAAAAMxNjACAAAABDEwMDgEAAAAATAHAAAACTYvMzAvMjAxOAgAAAAJMy8zMS8yMDE3CQAAAAEwxiXjhBQJ1ghn51qHFAnWCEZDSVEuTkFTREFRR1M6WEVSUy5JUV9UT1RBTF9SRVZfM1lSX0FOTl9DQUdSLjIwMDAuNi8zMC8yMDE4LkxGUi5GLlVTRC5IAQAAAODuTwYDAAAAAADGJeOEFAnWCGfnWocUCdYIOUNJUS5OQVNEQVFHUzpPRFQuSVFfRUFSTklOR19DTy4yMDAwLjYvMzAvMjAxOC5MRlIuRi5VU0QuSAEAAAAaGkUgAgAAAActNDYuODk5AQgAAAAFAAAAATEBAAAACjE4ODYzMDE0OTgDAAAAAzE2MAIAAAABNwQAAAABMAcAAAAJNi8zMC8yMDE4CAAAAAkzLzMxLzIwMTgJAAAAATDGJeOEFAnWCKeE</t>
  </si>
  <si>
    <t>WIcUCdYINkNJUS5DUFNFOk5PVk8gQi5JUV9FQklUREEuQ1kyMDE2LjYvMzAvMjAxOC5MRlIuRi5VU0QuSAEAAAB87wQAAgAAAAs3MzEyLjE3NjM1OQEIAAAABQAAAAExAQAAAAoxODczNjk0MjEyAwAAAAMxNjACAAAABDQwNTEEAAAAATAHAAAACTYvMzAvMjAxOAgAAAAKMTIvMzEvMjAxNgkAAAABMJQLV4YUCdYIe9JmhxQJ1ghCQ0lRLlNFSEs6MzkzMy5JUV9UT1RBTF9SRVZfMllSX0FOTl9DQUdSLjIwMDAuNi8zMC8yMDE4LkxGUi5GLlVTRC5IAQAAAE3aEQICAAAABjMuMjE3MwEIAAAABQAAAAExAQAAAAoxODg1NzM5MjAyAwAAAAIzMgIAAAAENDIwNwQAAAABMAcAAAAJNi8zMC8yMDE4CAAAAAoxMi8zMS8yMDE3CQAAAAEw6W1ZhhQJ1gjgDWKHFAnWCClDSVEuTkFTREFRR006UllUTS5JUV9CVVNJTkVTU19ERVNDUklQVElPTgEAAAAYyW0SAwAAAK0GUmh5dGhtIFBoYXJtYWNldXRpY2FscywgSW5jLiwgYSBiaW9waGFybWFjZXV0aWNhbCBjb21wYW55LCBmb2N1c2VzIG9uIHRoZSBkZXZlbG9wbWVudCBhbmQgY29tbWVyY2lhbGl6YXRpb24gb2YgcGVwdGlkZSB0aGVyYXBldXRpY3MgZm9yIHRoZSB0cmVhdG1lbnQgb2YgcmFyZSBnZW5ldGljIGRpc29yZGVycyBvZiBvYmVzaXR5IGluIHRoZSBVbml0ZWQgU3RhdGVzLiBJdHMgcGVwdGlkZSBjYW5kaWRhdGVzIGluY2x1ZGUgU2V0bWVsYW5vdGlkZSwg</t>
  </si>
  <si>
    <t>YSBtZWxhbm9jb3J0aW4tNCByZWNlcHRvciBhZ29uaXN0LCB3aGljaCBpcyBpbiBQaGFzZSBJSUkgY2xpbmljYWwgdHJpYWwgdG8gdHJlYXQgUE9NQyBhbmQgbGVwdGluIHJlY2VwdG9yIGRlZmljaWVuY3kgb2Jlc2l0eTsgYW5kIFBoYXNlIElJIGNsaW5pY2FsIHRyaWFsIGZvciBCYXJkZXQtQmllZGwgYW5kIEFsc3Ryw7ZtIHN5bmRyb21lLCBQT01DIGhldGVyb3p5Z291cyBkZWZpY2llbmN5IG9iZXNpdHksIGFuZCBQT01DIGVwaWdlbmV0aWMgZGlzb3JkZXJzLiBUaGUgY29tcGFueSB3YXMgZm9ybWVybHkga25vd24gYXMgUmh5dGhtIE1ldGFib2xpYywgSW5jLiBhbmQgY2hhbmdlZCBpdHMgbmFtZSB0byBSaHl0aG0gUGhhcm1hY2V1dGljYWxzLCBJbmMuIGluIE9jdG9iZXIgMjAxNS4gUmh5dGhtIFBoYXJtYWNldXRpY2FscywgSW5jLiB3YXMgZm91bmRlZCBpbiAyMDA4IGFuZCBpcyBoZWFkcXVhcnRlcmVkIGluIEJvc3RvbiwgTWFzc2FjaHVzZXR0cy4gUmh5dGhtIFBoYXJtYWNldXRpY2FscywgSW5jLiBpcyBhIHN1YnNpZGlhcnkgb2YgTW90dXMgVGhlcmFwZXV0aWNzLCBJbmMuAGKSdIUUCdYIRUldhxQJ1gglQ0lRLlNIU0U6NjAwODY3LklRX0JFVEFfMVlSLjYvMzAvMjAxOAEAAADYPq4AAgAAABEwLjM1MzYzMTA1MDE4MTYwNABiknSFFAnWCOANYocUCdYIOUNJUS5OQVNEQVFHUzpaRkdOLklR</t>
  </si>
  <si>
    <t>X1RPVEFMX1JFVi4xOTk2LjYvMzAvMjAxOC5MRlIuRi5VU0QuSAEAAACXwLoBAwAAAAAAxiXjhBQJ1ginhFiHFAnWCC5DSVEuTkFTREFRR006UllUTS5JUV9NQVJLRVRDQVAuMy8zMS8yMDE4LlVTRC5IAQAAABjJbRICAAAACjU0Mi45NTQzODYBBgAAAAUAAAABMQEAAAAKMTg3ODAxNTg2OAMAAAADMTYwAgAAAAYxMDAwNTQEAAAAATAHAAAACTMvMzEvMjAxOGKSdIUUCdYIRUldhxQJ1gg2Q0lRLlNIU0U6NjAwODY3LklRX1RPVEFMX0NMLjE5OTIuNi8zMC8yMDE4LkxGUi5GLlVTRC5IAQAAANg+rgACAAAACjE1OC4xMzg2NDIBCAAAAAUAAAABMQEAAAAKMTgzODkzMDM1OQMAAAADMTYwAgAAAAQxMDA5BAAAAAEwBwAAAAk2LzMwLzIwMTgIAAAACTMvMzEvMjAxNgkAAAABMGKSdIUUCdYI4A1ihxQJ1gg5Q0lRLlNFSEs6MjE4Ni5JUV9FQklUREFfTUFSR0lOLjIwMDAuNi8zMC8yMDE4LkxGUi5GLlVTRC5IAQAAAMKBmAACAAAABzMxLjI0NDUBCAAAAAUAAAABMQEAAAAKMTg4NTQ5NTAwNgMAAAACMzICAAAABDQwNDcEAAAAATAHAAAACTYvMzAvMjAxOAgAAAAKMTIvMzEvMjAxNwkAAAABMJQLV4YUCdYIL3BkhxQJ1gg7Q0lRLkNQU0U6Tk9WTyBCLklRX1JFVkVOVUVfRVNULkNZMjAyMC42LzMwLzIwMTguQ09OLkYuVVNELkgBAAAAfO8EAAIAAAAQMTk0NTEuNjU2NTY3OTM0NgEOAAAABQAAAAIxMQEAAAABMAIA</t>
  </si>
  <si>
    <t>AAAKMTAwMDIxNDYyMAMAAAAGMTAwMTgwBAAAAAEzBgAAAAEwBwAAAAMxNjAIAAAAATAJAAAAATEKAAAAATALAAAACzEwOTQ3MDQ5ODI3DAAAAAE3DQAAAAg3LzEvMjAxOBAAAAAJNi8zMC8yMDE46W1ZhhQJ1gh70maHFAnWCDhDSVEuTkFTREFRR1M6WEVSUy5JUV9UT1RBTF9DTC4yMDAwLjYvMzAvMjAxOC5MRlIuRi5VU0QuSAEAAADg7k8GAgAAAAU5LjE5MQEIAAAABQAAAAExAQAAAAoxODkwOTYxNjU1AwAAAAMxNjACAAAABDEwMDkEAAAAATAHAAAACTYvMzAvMjAxOAgAAAAJMy8zMS8yMDE4CQAAAAEwxiXjhBQJ1ghn51qHFAnWCDhDSVEuTkFTREFRR006TU5LRC5JUV9UT1RBTF9DTC4xOTkyLjYvMzAvMjAxOC5MRlIuRi5VU0QuSAEAAABmpY0AAgAAAAcyNDkuMjExAQgAAAAFAAAAATEBAAAACjE4NDExNzEyMjgDAAAAAzE2MAIAAAAEMTAwOQQAAAABMAcAAAAJNi8zMC8yMDE4CAAAAAkzLzMxLzIwMTYJAAAAATDpbVmGFAnWCOANYocUCdYIJ0NJUS5OQVNEQVFDTTpDT1JULklRX0JFVEFfMVlSLjYvMzAvMjAxOAEAAADSuRUAAgAAABAyLjcwMTM2MzYyMDM3MTE1AGKSdIUUCdYIlKtfhxQJ1ggdQ0lRLiVVU1BNUlQuSVFfTEFTVFNBTEVQUklDRS4BAAAAWe1aAAIAAAABNQDpbVmGFAnWCOltWYYUCdYIPUNJUS5OQVNEQVFHUzpBUFRYLklRX1JFVkVOVUVfRVNULkNZMjAyMC42LzMwLzIwMTguQ09OLkYu</t>
  </si>
  <si>
    <t>VVNELkgBAAAALykMFAMAAAAAAGKSdIUUCdYIRUldhxQJ1gg7Q0lRLk5BU0RBUUdTOk9EVC5JUV9UT1RBTF9FUVVJVFkuMTk5Mi42LzMwLzIwMTguTEZSLkYuVVNELkgBAAAAGhpFIAMAAAAAAMYl44QUCdYIp4RYhxQJ1gg5Q0lRLlNFSEs6MzkzMy5JUV9FQklUREFfTUFSR0lOLjIwMDAuNi8zMC8yMDE4LkxGUi5GLlVTRC5IAQAAAE3aEQICAAAABzIwLjAwNDkBCAAAAAUAAAABMQEAAAAKMTg4NTczOTIwMgMAAAACMzICAAAABDQwNDcEAAAAATAHAAAACTYvMzAvMjAxOAgAAAAKMTIvMzEvMjAxNwkAAAABMOltWYYUCdYI4A1ihxQJ1ggsQ0lRLk5BU0RBUUdTOlhFUlMuSVFfTEFTVFNBTEVQUklDRS4zLzMxLzIwMTgBAAAA4O5PBgMAAAAAAMYl44QUCdYIZ+dahxQJ1gg4Q0lRLk5BU0RBUUdNOlZUVlQuSVFfVE9UQUxfQ0wuMTk5Mi42LzMwLzIwMTguTEZSLkYuVVNELkgBAAAAHaMfEgIAAAAFOC42NzQBCAAAAAUAAAABMQEAAAAKMTgzOTg4MDQ0OAMAAAADMTYwAgAAAAQxMDA5BAAAAAEwBwAAAAk2LzMwLzIwMTgIAAAACTMvMzEvMjAxNgkAAAABMOUP74QUCdYIhsBThxQJ1gg4Q0lRLk5ZU0U6TVlPVi5JUV9UT1RBTF9FUVVJVFkuMTk5Ni42LzMwLzIwMTguTEZSLkYuVVNELkgBAAAAl9oLGAIAAAAHMTY2Ljc3NgEIAAAABQAAAAExAQAAAAoxODkyODM0NzI0AwAAAAMxNjACAAAABDEyNzUEAAAAATAHAAAA</t>
  </si>
  <si>
    <t>CTYvMzAvMjAxOAgAAAAJMy8zMS8yMDE3CQAAAAEwYpJ0hRQJ1giUq1+HFAnWCDBDSVEuTkFTREFRR1M6Q1lUSy5JUV9MQVNUU0FMRVBSSUNFLjYvMzAvMjAxOC5VU0QBAAAAs2oAAAIAAAADOC4zAMYl44QUCdYIZSJWhxQJ1gg0Q0lRLk9UQ1BLOlJaTFQuSVFfUEVSSU9EREFURV9JUy4yMDAwLjYvMzAvMjAxOC5MRlIuRgEAAAAhCZsKBQAAAAkzLzMxLzIwMTgA5Q/vhBQJ1giGwFOHFAnWCDtDSVEuTkFTREFRQ006QVZFTy5JUV9QUkVGX0VRVUlUWS4yMDAwLjYvMzAvMjAxOC5MRlIuRi5VU0QuSAEAAAD0Fh0AAwAAAAAAxiXjhBQJ1ghlIlaHFAnWCEBDSVEuT1RDUEs6TkVYUy5JUV9FQklUREFfM1lSX0FOTl9DQUdSLjIwMDAuNi8zMC8yMDE4LkxGUi5GLlVTRC5IAQAAAB29ThQDAAAAAADlD++EFAnWCDFeUYcUCdYIM0NJUS5PVENQSzpSWkxULklRX0VCSVREQS4xOTk2LjYvMzAvMjAxOC5MRlIuRi5VU0QuSAEAAAAhCZsKAgAAAAotMTYuNTUzNjQ4AQgAAAAFAAAAATEBAAAACjE4ODkxMDUxMjADAAAAAzE2MAIAAAAENDA1MQQAAAABMAcAAAAJNi8zMC8yMDE4CAAAAAkzLzMxLzIwMTcJAAAAATDlD++EFAnWCIbAU4cUCdYIJUNJUS5OQVNEQVFHTTpGT0xELklRX0ZJUlNUUFJJQ0lOR0RBVEUBAAAAVvZqAAUAAAAJNS8zMS8yMDA3AGKSdIUUCdYIlKtfhxQJ1gggQ0lRLklRVFIxMDg5MDYyNzYuSVFfVFJf</t>
  </si>
  <si>
    <t>RUFSTk9VVFMBAAAAJMd9BgIAAAAAAOY7RYIUCdYIe9JmhxQJ1gg7Q0lRLk5BU0RBUUNNOkNPUlQuSVFfVE9UQUxfUkVWLkNZMjAxNi42LzMwLzIwMTguTEZSLkYuVVNELkgBAAAA0rkVAAIAAAAGODEuMzIxAQgAAAAFAAAAATEBAAAACjE4NzcxMTEyNTMDAAAAAzE2MAIAAAACMjgEAAAAATAHAAAACTYvMzAvMjAxOAgAAAAKMTIvMzEvMjAxNgkAAAABMGKSdIUUCdYIlKtfhxQJ1gg3Q0lRLk5BU0RBUUNNOkNVUi5JUV9UT1RBTF9DQS4xOTkyLjYvMzAvMjAxOC5MRlIuRi5VU0QuSAEAAADx7nUAAgAAAAg4LjczNzY3NQEIAAAABQAAAAExAQAAAAoxODQxMDcyNjg1AwAAAAMxNjACAAAABDEwMDgEAAAAATAHAAAACTYvMzAvMjAxOAgAAAAJMy8zMS8yMDE2CQAAAAEw5Q/vhBQJ1ggxXlGHFAnWCEZDSVEuTkFTREFRQ006VktUWC5JUV9UT1RBTF9SRVZfNVlSX0FOTl9DQUdSLjIwMDAuNi8zMC8yMDE4LkxGUi5GLlVTRC5IAQAAAPK8tQ4DAAAAAADGJeOEFAnWCGfnWocUCdYIRkNJUS5OQVNEQVFDTTpCWVNJLklRX1RPVEFMX1JFVl81WVJfQU5OX0NBR1IuMjAwMC42LzMwLzIwMTguTEZSLkYuVVNELkgBAAAAR89sGAMAAAAAAGKSdIUUCdYIRUldhxQJ1gg1Q0lRLk5BU0RBUUdNOk1OT1YuSVFfQ0FQRVguMTk5Ni42LzMwLzIwMTguTEZSLkYuVVNELkgBAAAAuFSNAAIAAAAJLTAuMDYyNDc4AQgAAAAFAAAAATEB</t>
  </si>
  <si>
    <t>AAAACjE4ODQ2NDQyMTQDAAAAAzE2MAIAAAAEMjAyMQQAAAABMAcAAAAJNi8zMC8yMDE4CAAAAAkzLzMxLzIwMTcJAAAAATDGJeOEFAnWCKeEWIcUCdYIJUNJUS5JUVRSNTUyNzIwMjA3LklRX1RSX0lNUExJRURfRVFfQlYBAAAAT9fxIAIAAAAJMTMuODkyNjU0AQYAAAAFAAAAAjU0AQAAAAYxMDIwOTcCAAAACTU1MjcyMDIwNwMAAAAJNTUyNzI2MTk2BAAAAAMxNjAGAAAABUZhbHNl5jtFghQJ1gh70maHFAnWCEJDSVEuTllTRTpNWU9WLklRX1RPVEFMX1JFVl8yWVJfQU5OX0NBR1IuMjAwMC42LzMwLzIwMTguTEZSLkYuVVNELkgBAAAAl9oLGAMAAAAAAGKSdIUUCdYIlKtfhxQJ1gg6Q0lRLlNIU0U6NjAwODY3LklRX1RPVEFMX0VRVUlUWS4yMDAwLjYvMzAvMjAxOC5MRlIuRi5VU0QuSAEAAADYPq4AAgAAAAo3NjYuOTA2NzI4AQgAAAAFAAAAATEBAAAACjE4ODUxNDYyNzMDAAAAAzE2MAIAAAAEMTI3NQQAAAABMAcAAAAJNi8zMC8yMDE4CAAAAAkzLzMxLzIwMTgJAAAAATBiknSFFAnWCOANYocUCdYIQ0NJUS5OQVNEQVFHUzpDQkFZLklRX0VCSVREQV81WVJfQU5OX0NBR1IuMjAwMC42LzMwLzIwMTguTEZSLkYuVVNELkgBAAAAwHoAAAMAAAACTk0BCAAAAAUAAAABMQEAAAAKMTg4NzQ0NTA4NAMAAAADMTYwAgAAAAQ0MjM1BAAAAAEwBwAAAAk2LzMwLzIwMTgIAAAACTMvMzEvMjAxOAkAAAABMGKSdIUU</t>
  </si>
  <si>
    <t>CdYIZ+dahxQJ1gg7Q0lRLk9UQ1BLOk5FWFMuSVFfVE9UQUxfRVFVSVRZLkNZMjAxNy42LzMwLzIwMTguTEZSLkYuVVNELkgBAAAAHb1OFAMAAAAAAOUP74QUCdYIMV5RhxQJ1gghQ0lRLk5BU0RBUUdTOklUQ0kuSVFfQ09NUEFOWV9OQU1FAQAAAHfRjwADAAAAHkludHJhLUNlbGx1bGFyIFRoZXJhcGllcywgSW5jLgBiknSFFAnWCGfnWocUCdYIKUNJUS5JUTM2MTgzODM3LklRX0xBU1RTQUxFUFJJQ0UuNi8zMC8yMDE4AQAAAB0fKAICAAAABDIuODUA5jtFghQJ1gjENGmHFAnWCDxDSVEuTkFTREFRQ006QVZFTy5JUV9UT1RBTF9FUVVJVFkuMjAwMC42LzMwLzIwMTguTEZSLkYuVVNELkgBAAAA9BYdAAIAAAAHLTUwLjI0NQEIAAAABQAAAAExAQAAAAoxODg3MjM0Mjk1AwAAAAMxNjACAAAABDEyNzUEAAAAATAHAAAACTYvMzAvMjAxOAgAAAAJMy8zMS8yMDE4CQAAAAEwxiXjhBQJ1ghlIlaHFAnWCDlDSVEuTkFTREFRR006TU5PVi5JUV9UT1RBTF9SRVYuMTk5Mi42LzMwLzIwMTguTEZSLkYuVVNELkgBAAAAuFSNAAMAAAAAAMYl44QUCdYIp4RYhxQJ1gg3Q0lRLk9UQ1BLOkJUSEUuSVFfRUFSTklOR19DTy4xOTk2LjYvMzAvMjAxOC5MRlIuRi5VU0QuSAEAAABvnbkFAgAAAAktNC4wMjYyNzkBCAAAAAUAAAABMQEAAAAKMTg4ODY2MzczOQMAAAADMTYwAgAAAAE3BAAAAAEwBwAAAAk2LzMwLzIwMTgIAAAA</t>
  </si>
  <si>
    <t>CTMvMzEvMjAxNwkAAAABMOUP74QUCdYIhsBThxQJ1ggpQ0lRLk5BU0RBUUdTOk5JVEUuSVFfQlVTSU5FU1NfREVTQ1JJUFRJT04BAAAADNMYEAMAAACXB05pZ2h0c3RhciBUaGVyYXBldXRpY3MgcGxjLCBhIGNsaW5pY2FsLXN0YWdlIGdlbmUgdGhlcmFweSBjb21wYW55LCBmb2N1c2VzIG9uIGRldmVsb3BpbmcgYW5kIGNvbW1lcmNpYWxpemluZyBub3ZlbCBvbmUtdGltZSB0cmVhdG1lbnRzIGZvciBwYXRpZW50cyBzdWZmZXJpbmcgZnJvbSByYXJlIGluaGVyaXRlZCByZXRpbmFsIGRpc2Vhc2VzIGluIHRoZSBVbml0ZWQgS2luZ2RvbS4gVGhlIGNvbXBhbnnigJlzIGxlYWQgcHJvZHVjdCBjYW5kaWRhdGUgaXMgTlNSLVJFUDEsIGEgY2FuZGlkYXRlIHRoYXQgaXMgaW4gcGhhc2UgMyBjbGluaWNhbCBkZXZlbG9wbWVudCBmb3IgdGhlIHRyZWF0bWVudCBvZiBwYXRpZW50cyB3aXRoIGNob3JvaWRlcmVtaWEuIEl0IGlzIGFsc28gZGV2ZWxvcGluZyBOU1ItUlBHUiwgYSBjYW5kaWRhdGUgdGhhdCBpcyBpbiBQaGFzZSAxLzIgY2xpbmljYWwgdHJpYWxzIGZvciB0aGUgdHJlYXRtZW50IG9mIHBhdGllbnRzIHdpdGggWC1saW5rZWQgcmV0aW5pdGlzIHBpZ21lbnRvc2EsIGFuIGluaGVyaXRlZCBYLWxpbmtlZCByZWNlc3NpdmUgcmV0aW5hbCBkaXNlYXNlOyBhbmQgTlNSLUJFU1QxLCBhIGNhbmRpZGF0</t>
  </si>
  <si>
    <t>ZSB0aGF0IGlzIGluIHByZWNsaW5pY2FsIGRldmVsb3BtZW50IHN0YWdlIGZvciB0aGUgdHJlYXRtZW50IG9mIGJlc3Qgdml0ZWxsaWZvcm0gbWFjdWxhciBkeXN0cm9waHkuIEluIGFkZGl0aW9uLCB0aGUgY29tcGFueSBpcyBkZXZlbG9waW5nIE5TUi1BQkNBNCwgYSBjYW5kaWRhdGUgdGhhdCBpcyBpbiBwcmVjbGluaWNhbCBkZXZlbG9wbWVudCBzdGFnZSBmb3IgdGhlIHRyZWF0bWVudCBvZiBTdGFyZ2FyZHQgZGlzZWFzZS4gVGhlIGNvbXBhbnkgd2FzIGZvdW5kZWQgaW4gMjAxMyBhbmQgaXMgaGVhZHF1YXJ0ZXJlZCBpbiBMb25kb24sIHRoZSBVbml0ZWQgS2luZ2RvbS4AxiXjhBQJ1ginhFiHFAnWCDxDSVEuTkFTREFRR1M6Q1lUSy5JUV9FQVJOSU5HX0NPLkNZMjAxNi42LzMwLzIwMTguTEZSLkYuVVNELkgBAAAAs2oAAAIAAAAGMTYuNDUzAQgAAAAFAAAAATEBAAAACjE4Nzc2NjgzMDUDAAAAAzE2MAIAAAABNwQAAAABMAcAAAAJNi8zMC8yMDE4CAAAAAoxMi8zMS8yMDE2CQAAAAEwxiXjhBQJ1ghlIlaHFAnWCENDSVEuT1RDUEs6QlRIRS5JUV9UT1RBTF9SRVZfMllSX0FOTl9DQUdSLjIwMDAuNi8zMC8yMDE4LkxGUi5GLlVTRC5IAQAAAG+duQUCAAAACC0yNC41NDY4AQgAAAAFAAAAATEBAAAACjE4ODg2NjM3NDIDAAAAAzE2MAIAAAAENDIwNwQAAAABMAcAAAAJNi8zMC8yMDE4CAAAAAkzLzMx</t>
  </si>
  <si>
    <t>LzIwMTgJAAAAATDlD++EFAnWCDFeUYcUCdYINENJUS5TSFNFOjYwMDg2Ny5JUV9FQklUREEuMjAwMC42LzMwLzIwMTguTEZSLkYuVVNELkgBAAAA2D6uAAIAAAAKMTkyLjYwMDU5MgEIAAAABQAAAAExAQAAAAoxODg1MTQ2MjczAwAAAAMxNjACAAAABDQwNTEEAAAAATAHAAAACTYvMzAvMjAxOAgAAAAJMy8zMS8yMDE4CQAAAAEwYpJ0hRQJ1gjgDWKHFAnWCBpDSVEuT1RDUEs6QlRIRS5JUV9FWENIQU5HRQEAAABvnbkFAwAAAAVPVENQSwDlD++EFAnWCIbAU4cUCdYIO0NJUS5OQVNEQVFHUzpJQ1BULklRX1RPVEFMX1JFVi5DWTIwMTcuNi8zMC8yMDE4LkxGUi5GLlVTRC5IAQAAAIKvrQACAAAABzEzMC45NTYBCAAAAAUAAAABMQEAAAAKMTg3NzAxMTQ4OQMAAAADMTYwAgAAAAIyOAQAAAABMAcAAAAJNi8zMC8yMDE4CAAAAAoxMi8zMS8yMDE3CQAAAAEw6W1ZhhQJ1ggvcGSHFAnWCDtDSVEuTkFTREFRR1M6WEVSUy5JUV9FQklUX01BUkdJTi4yMDAwLjYvMzAvMjAxOC5MRlIuRi5VU0QuSAEAAADg7k8GAwAAAAJOTQEIAAAABQAAAAExAQAAAAoxODkwOTYxNjU1AwAAAAMxNjACAAAABDQwNTMEAAAAATAHAAAACTYvMzAvMjAxOAgAAAAJMy8zMS8yMDE4CQAAAAEwxiXjhBQJ1ghn51qHFAnWCDVDSVEuTkFTREFRR006Rk9MRC5JUV9DQVBFWC4xOTkyLjYvMzAvMjAxOC5MRlIuRi5VU0QuSAEAAABW9moAAgAA</t>
  </si>
  <si>
    <t>AAYtNi45NDIBCAAAAAUAAAABMQEAAAAKMTg0MTQ0NzU3MwMAAAADMTYwAgAAAAQyMDIxBAAAAAEwBwAAAAk2LzMwLzIwMTgIAAAACTMvMzEvMjAxNgkAAAABMGKSdIUUCdYIlKtfhxQJ1ghHQ0lRLk5BU0RBUUdNOk1OT1YuSVFfTUlOT1JJVFlfSU5URVJFU1RfVE9UQUwuMjAwMC4zLzMxLzIwMTguTEZSLkYuVVNELkgBAAAAuFSNAAMAAAAAAMYl44QUCdYIp4RYhxQJ1gg6Q0lRLk5BU0RBUUdNOkZPTEQuSVFfVE9UQUxfREVCVC4yMDAwLjYvMzAvMjAxOC5MRlIuRi5VU0QuSAEAAABW9moAAgAAAAcxNjYuNzY4AQgAAAAFAAAAATEBAAAACjE4ODg0ODQ2NTEDAAAAAzE2MAIAAAAENDE3MwQAAAABMAcAAAAJNi8zMC8yMDE4CAAAAAkzLzMxLzIwMTgJAAAAATBiknSFFAnWCJSrX4cUCdYIN0NJUS5TRUhLOjM5MzMuSVFfVE9UQUxfUkVWLkNZMjAxNi42LzMwLzIwMTguTEZSLkYuVVNELkgBAAAATdoRAgIAAAAJODc1LjM1NTU5AQgAAAAFAAAAATEBAAAACjE4ODU3MzkxOTkDAAAAAzE2MAIAAAACMjgEAAAAATAHAAAACTYvMzAvMjAxOAgAAAAKMTIvMzEvMjAxNgkAAAABMOltWYYUCdYIL3BkhxQJ1gg+Q0lRLkFNRVg6QlRYLklRX0VCSVREQV8yWVJfQU5OX0NBR1IuMjAwMC42LzMwLzIwMTguTEZSLkYuVVNELkgBAAAAFmQAAAMAAAACTk0BCAAAAAUAAAABMQEAAAAKMTg4Nzk4MDE2NQMAAAADMTYwAgAAAAQ0</t>
  </si>
  <si>
    <t>MjA5BAAAAAEwBwAAAAk2LzMwLzIwMTgIAAAACTMvMzEvMjAxOAkAAAABMMYl44QUCdYIZSJWhxQJ1gg1Q0lRLk9UQ1BLOk5FWFMuSVFfVE9UQUxfQ0EuMTk5Mi42LzMwLzIwMTguTEZSLkYuVVNELkgBAAAAHb1OFAMAAAAAAOUP74QUCdYIMV5RhxQJ1ghFQ0lRLlNIU0U6NjAwODY3LklRX01JTk9SSVRZX0lOVEVSRVNUX1RPVEFMLjIwMDAuMy8zMS8yMDE4LkxGUi5GLlVTRC5IAQAAANg+rgACAAAACDAuOTA2OTE3AQgAAAAFAAAAATEBAAAACjE4NjI0OTIzMDADAAAAAzE2MAIAAAAEMTMxMgQAAAABMAcAAAAJMy8zMS8yMDE4CAAAAAk5LzMwLzIwMTcJAAAAATBiknSFFAnWCOANYocUCdYIOENJUS5BTUVYOkJUWC5JUV9SRVZFTlVFX0VTVC5DWTIwMTkuNi8zMC8yMDE4LkNPTi5GLlVTRC5IAQAAABZkAAACAAAABzYuMzM1MzMBDgAAAAUAAAACMTEBAAAAATACAAAACjEwMDM1MDk4NDgDAAAABjEwMDE4MAQAAAABMgYAAAABMAcAAAADMTYwCAAAAAEwCQAAAAExCgAAAAEwCwAAAAsxMDkyMTIzMTc0NgwAAAABNw0AAAAINy8xLzIwMTgQAAAACTYvMzAvMjAxOK+G5YQUCdYIZSJWhxQJ1gg4Q0lRLkNQU0U6WkVBTC5JUV9FQklUREFfRVNULkNZMjAxOS42LzMwLzIwMTguQ09OLkYuVVNELkgBAAAAIlsTAAIAAAARLTI3LjE0NjMxMzAyNDE3ODIBDgAAAAUAAAACMTEBAAAAATACAAAACjEwMDEyOTQwNjgDAAAA</t>
  </si>
  <si>
    <t>BjEwMDE4NwQAAAABMwYAAAABMAcAAAADMTYwCAAAAAEwCQAAAAExCgAAAAEwCwAAAAsxMDg5MDMxOTk3NgwAAAABNw0AAAAINy8xLzIwMTgQAAAACTYvMzAvMjAxOGKSdIUUCdYI4A1ihxQJ1ggiQ0lRLklRVFIxMDg5MDYyNzYuSVFfVFJfUENUX1NPVUdIVAEAAAAkx30GAgAAAAMxMDAA5jtFghQJ1gh70maHFAnWCCFDSVEuT1RDUEs6TkVYUy5JUV9FRkZFQ1RfVEFYX1JBVEUBAAAAHb1OFAMAAAAAAOUP74QUCdYIMV5RhxQJ1gg4Q0lRLlNFSEs6MTUzMC5JUV9UT1RBTF9FUVVJVFkuMTk5Mi42LzMwLzIwMTguTEZSLkYuVVNELkgBAAAA77hwAQIAAAAKODY3Ljk5NjE1MQEIAAAABQAAAAExAQAAAAoxODM4MTk3NjE0AwAAAAMxNjACAAAABDEyNzUEAAAAATAHAAAACTYvMzAvMjAxOAgAAAAKMTIvMzEvMjAxNQkAAAABMJQLV4YUCdYIL3BkhxQJ1ggiQ0lRLk9UQ1BLOkJUSEUuSVFfRklSU1RQUklDSU5HREFURQEAAABvnbkFBQAAAAgzLzEvMjAxMgDlD++EFAnWCIbAU4cUCdYIKENJUS5OQVNEQVFHUzpBUFRYLklRX1RFVi42LzMwLzIwMTguVVNELkgBAAAALykMFAIAAAAKODU5LjYzOTczNAEGAAAABQAAAAExAQAAAAoxODkwODQ5ODU2AwAAAAMxNjACAAAABjEwMDA2MAQAAAABMAcAAAAJNi8zMC8yMDE4YpJ0hRQJ1ghFSV2HFAnWCDBDSVEuTkFTREFRQ006QllTSS5JUV9MQVNUU0FMRVBSSUNFLjYvMzAv</t>
  </si>
  <si>
    <t>MjAxOC5VU0QBAAAAR89sGAIAAAAFMjYuNTEAYpJ0hRQJ1ghFSV2HFAnWCCJDSVEuSVFUUjI0OTk4MTU2NC5JUV9UUl9QQ1RfU09VR0hUAQAAAHxq5g4CAAAAAzEwMADmO0WCFAnWCHvSZocUCdYILkNJUS5JUVRSMjQ5OTgxNTY0LklRX1RSX1RBUkdFVF9TVE9DS1BSRU1JVU1fMVcBAAAAfGrmDgIAAAAHMzcuMTYyNQEGAAAABQAAAAI1NAEAAAAGMTAxMDU0AgAAAAkyNDk5ODE1NjQDAAAACTI0OTk4MzQzNwQAAAADMTYwBgAAAAVGYWxzZeY7RYIUCdYIe9JmhxQJ1ggiQ0lRLkFNRVg6QlRYLklRX1BFUklPRERBVEVfSVMuMTAwMAEAAAAWZAAABQAAAAoxMi8zMS8yMDE3AMYl44QUCdYIZSJWhxQJ1ggmQ0lRLk9UQ1BLOkVNSVMuSVFfQlVTSU5FU1NfREVTQ1JJUFRJT04BAAAAPv0DAAMAAACCCUVtaXNwaGVyZSBUZWNobm9sb2dpZXMsIEluYy4gb3BlcmF0ZXMgYXMgYSBjb21tZXJjaWFsIHN0YWdlIHBoYXJtYWNldXRpY2FsIGFuZCBkcnVnIGRlbGl2ZXJ5IGNvbXBhbnkgaW4gdGhlIFVuaXRlZCBTdGF0ZXMuIFRoZSBjb21wYW55IG9mZmVycyBvcmFsIEVsaWdlbiBCMTIgUngsIGFuIG9yYWwgZm9ybXVsYXRpb24gcHJlc2NyaXB0aW9uIG1lZGljYWwgZm9vZCBmb3IgdXNlIGJ5IEIxMiBkZWZpY2llbnQgaW5kaXZpZHVhbHMuIEl0IGlzIGFsc28gZGV2ZWxvcGluZyBHTFAtMSwgd2hpY2ggaXMgaW4gUGhh</t>
  </si>
  <si>
    <t>c2UgSUlJIGNsaW5pY2FsIHRyaWFsIGZvciB0aGUgdHJlYXRtZW50IG9mIHR5cGUgMiBkaWFiZXRlcyBhbmQgcmVsYXRlZCBjb25kaXRpb25zLiBUaGUgY29tcGFueeKAmXMgcHJlY2xpbmljYWwgcHJvZ3JhbXMgZm9jdXMgb24gdGhlIGRldmVsb3BtZW50IG9mIG9yYWwgZm9ybXVsYXRpb25zIGZvciB0aGUgdHJlYXRtZW50IG9mIGRpYWJldGVzOyBhbmQgcHJvZHVjdHMgaW4gdGhlIGFyZWFzIG9mIGNhcmRpb3Zhc2N1bGFyLCBhcHBldGl0ZSBzdXBwcmVzc2lvbiwgYW5kIHBhaW4sIGFzIHdlbGwgYXMgaW4gdGhlIGRldmVsb3BtZW50IGFuZCBleHBhbnNpb24gb2YgbnV0cml0aW9uYWwgc3VwcGxlbWVudCBwcm9kdWN0cy4gSXQgaGFzIGxpY2Vuc2UgYWdyZWVtZW50cyB3aXRoIE5vdm8gTm9yZGlzayBBL1MgdG8gZGV2ZWxvcCBhbmQgY29tbWVyY2lhbGl6ZSBvcmFsIGZvcm11bGF0aW9ucyBvZiBHTFAtMSByZWNlcHRvciBhZ29uaXN0cyBpbiBjb21iaW5hdGlvbiB3aXRoIEVtaXNwaGVyZSBjYXJyaWVycywgYXMgd2VsbCBhcyB0byBkZXZlbG9wIGFuZCBjb21tZXJjaWFsaXplIG9yYWwgZm9ybXVsYXRpb25zIG9mIE5vdm8gTm9yZGlza+KAmXMgaW5zdWxpbiB1c2luZyB0aGUgY29tcGFueeKAmXMgRWxpZ2VuIFRlY2hub2xvZ3kuIFRoZSBjb21wYW55IHdhcyBmb3JtZXJseSBrbm93biBhcyBDbGlu</t>
  </si>
  <si>
    <t>aWNhbCBUZWNobm9sb2dpZXMgQXNzb2NpYXRlcywgSW5jLiBhbmQgY2hhbmdlZCBpdHMgbmFtZSB0byBFbWlzcGhlcmUgVGVjaG5vbG9naWVzLCBJbmMuIGluIDE5OTEuIEVtaXNwaGVyZSBUZWNobm9sb2dpZXMsIEluYy4gd2FzIGZvdW5kZWQgaW4gMTk4NiBhbmQgaXMgYmFzZWQgaW4gUm9zZWxhbmQsIE5ldyBKZXJzZXkuAMYl44QUCdYIZSJWhxQJ1gg1Q0lRLk9UQ1BLOkVNSVMuSVFfVE9UQUxfQ0EuMjAwMC42LzMwLzIwMTguTEZSLkYuVVNELkgBAAAAPv0DAAIAAAAFNS4xNTgBCAAAAAUAAAABMQEAAAAKMTg0MTg5ODUzNQMAAAADMTYwAgAAAAQxMDA4BAAAAAEwBwAAAAk2LzMwLzIwMTgIAAAACTMvMzEvMjAxNwkAAAABMK+G5YQUCdYIZSJWhxQJ1ggmQ0lRLiVVU1BNUlQuSVFfTEFTVFNBTEVQUklDRS42LzMwLzIwMTgBAAAAWe1aAAIAAAABNQDmO0WCFAnWCMQ0aYcUCdYINUNJUS5PVENQSzpFTUlTLklRX0VCSVREQS5DWTIwMTYuNi8zMC8yMDE4LkxGUi5GLlVTRC5IAQAAAD79AwACAAAABi03LjgyOQEIAAAABQAAAAExAQAAAAoxODM0NTAzNDMwAwAAAAMxNjACAAAABDQwNTEEAAAAATAHAAAACTYvMzAvMjAxOAgAAAAKMTIvMzEvMjAxNgkAAAABMK+G5YQUCdYIZSJWhxQJ1ggvQ0lRLklRVFIzMTAyMjkxODguSVFfVFJfVEFSR0VUX1RPVEFMX1JFVi4uVVNELkgBAAAAxLh9EgIAAAAAAOY7RYIU</t>
  </si>
  <si>
    <t>CdYIe9JmhxQJ1gg6Q0lRLk5BU0RBUUdTOkNCQVkuSVFfRUFSTklOR19DTy4xOTk2LjYvMzAvMjAxOC5MRlIuRi5VU0QuSAEAAADAegAAAgAAAActMjUuMTc0AQgAAAAFAAAAATEBAAAACjE4ODc0NDUwODIDAAAAAzE2MAIAAAABNwQAAAABMAcAAAAJNi8zMC8yMDE4CAAAAAkzLzMxLzIwMTcJAAAAATBiknSFFAnWCGfnWocUCdYIOkNJUS5DUFNFOlpFQUwuSVFfQ0FTSF9TVF9JTlZFU1QuMjAwMC42LzMwLzIwMTguTEZSLkYuVVNELkgBAAAAIlsTAAIAAAAJOTIuNzM5MDAyAQgAAAAFAAAAATEBAAAACjE4ODk5MTMxMDADAAAAAzE2MAIAAAAEMTAwMgQAAAABMAcAAAAJNi8zMC8yMDE4CAAAAAkzLzMxLzIwMTgJAAAAATDpbVmGFAnWCOANYocUCdYINkNJUS5FTlhUUEE6RVJZUC5JUV9UT1RBTF9DQS4xOTkyLjYvMzAvMjAxOC5MRlIuRi5VU0QuSAEAAADYingBAgAAAAk1Ni4zOTg1ODgBCAAAAAUAAAABMQEAAAAKMTg4NTIwNDQwNwMAAAADMTYwAgAAAAQxMDA4BAAAAAEwBwAAAAk2LzMwLzIwMTgIAAAACjEyLzMxLzIwMTUJAAAAATDlD++EFAnWCDFeUYcUCdYIPENJUS5OQVNEQVFHUzpOSVRFLklRX1RPVEFMX0VRVUlUWS4xOTkyLjYvMzAvMjAxOC5MRlIuRi5VU0QuSAEAAAAM0xgQAgAAAAYxMS4xMDIBCAAAAAUAAAABMQEAAAAKMTg4MTUxMDA3NQMAAAADMTYwAgAAAAQxMjc1BAAAAAEwBwAAAAk2LzMw</t>
  </si>
  <si>
    <t>LzIwMTgIAAAACjEyLzMxLzIwMTUJAAAAATDGJeOEFAnWCKeEWIcUCdYINkNJUS5OQVNEQVFHUzpDWVRLLklRX0VCSVREQS4xOTkyLjYvMzAvMjAxOC5MRlIuRi5VU0QuSAEAAACzagAAAgAAAActMzkuODM4AQgAAAAFAAAAATEBAAAACjE4NDA0OTE2MDUDAAAAAzE2MAIAAAAENDA1MQQAAAABMAcAAAAJNi8zMC8yMDE4CAAAAAkzLzMxLzIwMTYJAAAAATDGJeOEFAnWCGUiVocUCdYILENJUS5JUVRSMjQ5OTgxNTY0LklRX1RSX1RBUkdFVF9FQklUREEuLlVTRC5IAQAAAHxq5g4CAAAABjgxLjUyOAEGAAAABQAAAAIzNwEAAAAKMTY0MzkwMjU1MgIAAAAFMjE2NzcDAAAAAzE2MAQAAAABMAcAAAAIMS8xLzE5MDDmO0WCFAnWCHvSZocUCdYIOUNJUS5OQVNEQVFHUzpMWFJYLklRX1RPVEFMX1JFVi4yMDAwLjYvMzAvMjAxOC5MRlIuRi5VU0QuSAEAAAA9eAAAAgAAAAY5Ny4yNDkBCAAAAAUAAAABMQEAAAAKMTg4NjU0Mzg3NQMAAAADMTYwAgAAAAIyOAQAAAABMAcAAAAJNi8zMC8yMDE4CAAAAAkzLzMxLzIwMTgJAAAAATBiknSFFAnWCJSrX4cUCdYIG0NJUS5DUFNFOk5PVk8gQi5JUV9FWENIQU5HRQEAAAB87wQAAwAAAARDUFNFAJQLV4YUCdYIe9JmhxQJ1gg4Q0lRLkFNRVg6QlRYLklRX1JFVkVOVUVfRVNULkNZMjAxOC42LzMwLzIwMTguQ09OLkYuVVNELkgBAAAAFmQAAAIAAAAHMi4zNzMzMwEOAAAABQAA</t>
  </si>
  <si>
    <t>AAIxMQEAAAABMAIAAAAKMTAwMzI2MzYwNAMAAAAGMTAwMTgwBAAAAAEyBgAAAAEwBwAAAAMxNjAIAAAAATAJAAAAATEKAAAAATALAAAACzEwOTIxMjMxNzU4DAAAAAE3DQAAAAg3LzEvMjAxOBAAAAAJNi8zMC8yMDE4r4blhBQJ1ghlIlaHFAnWCCdDSVEuTkFTREFRQ006Q09SVC5JUV9CRVRBXzJZUi42LzMwLzIwMTgBAAAA0rkVAAIAAAAQMi40MDUwNzQ2NDQ3MDk0MwBiknSFFAnWCJSrX4cUCdYIKENJUS5OQVNEQVFHUzpPRFQuSVFfQlVTSU5FU1NfREVTQ1JJUFRJT04BAAAAGhpFIAMAAACkA09kb25hdGUgVGhlcmFwZXV0aWNzLCBJbmMuLCBhIHBoYXJtYWNldXRpY2FsIGNvbXBhbnksIGRldmVsb3BzIHRoZXJhcGV1dGljcyBmb3IgdGhlIHRyZWF0bWVudCBvZiBjYW5jZXIuIEl0IGZvY3VzZXMgb24gdGhlIGRldmVsb3BtZW50IG9mIHRlc2V0YXhlbCwgYW4gb3JhbGx5IGFkbWluaXN0ZXJlZCBjaGVtb3RoZXJhcHkgYWdlbnQgZm9yIHBhdGllbnRzIHdpdGggYWR2YW5jZWQgb3IgbWV0YXN0YXRpYyBicmVhc3QgY2FuY2VyIChNQkMpLiBPZG9uYXRlIFRoZXJhcGV1dGljcywgSW5jLiBhbHNvIGNvbmR1Y3RpbmcgYSBQaGFzZSBJSUkgc3R1ZHkgaW4gTUJDLCB3aGljaCBpcyBrbm93biBhcyBDT05URVNTQS4gVGhlIGNvbXBhbnkgd2FzIGZvdW5kZWQgaW4gMjAxMyBhbmQgaXMgYmFzZWQgaW4gU2Fu</t>
  </si>
  <si>
    <t>IERpZWdvLCBDYWxpZm9ybmlhLgDGJeOEFAnWCKeEWIcUCdYIN0NJUS5PVENQSzpSWkxULklRX0VBUk5JTkdfQ08uMjAwMC42LzMwLzIwMTguTEZSLkYuVVNELkgBAAAAIQmbCgIAAAAKLTIzLjU1OTc3MwEIAAAABQAAAAExAQAAAAoxODg5MTA1MTI0AwAAAAMxNjACAAAAATcEAAAAATAHAAAACTYvMzAvMjAxOAgAAAAJMy8zMS8yMDE4CQAAAAEw5Q/vhBQJ1giGwFOHFAnWCDlDSVEuTkFTREFRR1M6SUNQVC5JUV9UT1RBTF9SRVYuMjAwMC42LzMwLzIwMTguTEZSLkYuVVNELkgBAAAAgq+tAAIAAAAHMTQ1Ljg3MQEIAAAABQAAAAExAQAAAAoxODg4NjE1NTQwAwAAAAMxNjACAAAAAjI4BAAAAAEwBwAAAAk2LzMwLzIwMTgIAAAACTMvMzEvMjAxOAkAAAABMOltWYYUCdYIL3BkhxQJ1gg7Q0lRLlRTWFY6Q09CLlUuSVFfVE9UQUxfRVFVSVRZLkNZMjAxNi42LzMwLzIwMTguTEZSLkYuVVNELkgBAAAAv/sACAIAAAAIOC42OTc5NzQBCAAAAAUAAAABMQEAAAAKMTg4MTE3MjU2NQMAAAADMTYwAgAAAAQxMjc1BAAAAAEwBwAAAAk2LzMwLzIwMTgIAAAACjEyLzMxLzIwMTYJAAAAATCvhuWEFAnWCIbAU4cUCdYIPUNJUS5OQVNEQVFDTTpCWVNJLklRX1JFVkVOVUVfRVNULkNZMjAxOS42LzMwLzIwMTguQ09OLkYuVVNELkgBAAAAR89sGAIAAAACMTUBDgAAAAUAAAACMTEBAAAAATACAAAACjEwMDM2Nzk0NzUDAAAA</t>
  </si>
  <si>
    <t>BjEwMDE4MAQAAAABMgYAAAABMAcAAAADMTYwCAAAAAEwCQAAAAExCgAAAAEwCwAAAAsxMDkzNzE1NTQwOAwAAAABNw0AAAAINy8xLzIwMTgQAAAACTYvMzAvMjAxOGKSdIUUCdYIRUldhxQJ1ggqQ0lRLlRTWFY6Q09CLlUuSVFfRElWSURFTkRfWUlFTEQuNi8zMC8yMDE4AQAAAL/7AAgDAAAAAADGJeOEFAnWCIbAU4cUCdYIOUNJUS5UU1hWOkNPQi5VLklRX0VCSVREQV9FU1QuQ1kyMDE4LjYvMzAvMjAxOC5DT04uRi5VU0QuSAEAAAC/+wAIAwAAAAAAr4blhBQJ1giGwFOHFAnWCDhDSVEuTkFTREFRR006VlRWVC5JUV9UT1RBTF9DQS4yMDAwLjYvMzAvMjAxOC5MRlIuRi5VU0QuSAEAAAAdox8SAgAAAAU5LjQ3MgEIAAAABQAAAAExAQAAAAoxODg5MDU2NTM3AwAAAAMxNjACAAAABDEwMDgEAAAAATAHAAAACTYvMzAvMjAxOAgAAAAJMy8zMS8yMDE4CQAAAAEw5Q/vhBQJ1giGwFOHFAnWCDVDSVEuT1RDUEs6RU1JUy5JUV9UT1RBTF9DQS4xOTk2LjYvMzAvMjAxOC5MRlIuRi5VU0QuSAEAAAA+/QMAAgAAAAYxMi43NDkBCAAAAAUAAAABMQEAAAAKMTg0MTg5ODUyNgMAAAADMTYwAgAAAAQxMDA4BAAAAAEwBwAAAAk2LzMwLzIwMTgIAAAACTMvMzEvMjAxNgkAAAABMK+G5YQUCdYIZSJWhxQJ1gg0Q0lRLkFNRVg6QlRYLklRX1RPVEFMX1JFVi4xOTkyLjYvMzAvMjAxOC5MRlIuRi5VU0QuSAEAAAAWZAAAAgAA</t>
  </si>
  <si>
    <t>AAU3Ljg0NQEIAAAABQAAAAExAQAAAAoxODQxMTgwMTYzAwAAAAMxNjACAAAAAjI4BAAAAAEwBwAAAAk2LzMwLzIwMTgIAAAACTMvMzEvMjAxNgkAAAABMMYl44QUCdYIZSJWhxQJ1gg4Q0lRLk5BU0RBUUdNOkZPTEQuSVFfVE9UQUxfQ0wuMjAwMC42LzMwLzIwMTguTEZSLkYuVVNELkgBAAAAVvZqAAIAAAAHMTQwLjcwNQEIAAAABQAAAAExAQAAAAoxODg4NDg0NjUxAwAAAAMxNjACAAAABDEwMDkEAAAAATAHAAAACTYvMzAvMjAxOAgAAAAJMy8zMS8yMDE4CQAAAAEwYpJ0hRQJ1giUq1+HFAnWCDpDSVEuTkFTREFRR006UllUTS5JUV9FQVJOSU5HX0NPLjE5OTYuNi8zMC8yMDE4LkxGUi5GLlVTRC5IAQAAABjJbRICAAAABy0yNi44NDcBCAAAAAUAAAABMQEAAAAKMTg4ODkxMTQ1MwMAAAADMTYwAgAAAAE3BAAAAAEwBwAAAAk2LzMwLzIwMTgIAAAACTMvMzEvMjAxNwkAAAABMGKSdIUUCdYIRUldhxQJ1ggxQ0lRLkNQU0U6WkVBTC5JUV9EQV9DRi4yMDAwLjYvMzAvMjAxOC5MRlIuRi5VU0QuSAEAAAAiWxMAAgAAAAgwLjc4NjI0NgEIAAAABQAAAAExAQAAAAoxODg5OTEzMTAwAwAAAAMxNjACAAAABDIxNjAEAAAAATAHAAAACTYvMzAvMjAxOAgAAAAJMy8zMS8yMDE4CQAAAAEwYpJ0hRQJ1gjgDWKHFAnWCDVDSVEuTkFTREFRR1M6WkZHTi5JUV9DQVBFWC4yMDAwLjYvMzAvMjAxOC5MRlIuRi5VU0QuSAEA</t>
  </si>
  <si>
    <t>AACXwLoBAgAAAAYtMC4wNDYBCAAAAAUAAAABMQEAAAAKMTg4OTg5NTM4MQMAAAADMTYwAgAAAAQyMDIxBAAAAAEwBwAAAAk2LzMwLzIwMTgIAAAACTMvMzEvMjAxOAkAAAABMMYl44QUCdYIp4RYhxQJ1gg4Q0lRLk9UQ1BLOk5FWFMuSVFfUFJFRl9FUVVJVFkuMjAwMC42LzMwLzIwMTguTEZSLkYuVVNELkgBAAAAHb1OFAMAAAAAAOUP74QUCdYIMV5RhxQJ1gg8Q0lRLk5BU0RBUUdNOkZPTEQuSVFfRUFSTklOR19DTy5DWTIwMTcuNi8zMC8yMDE4LkxGUi5GLlVTRC5IAQAAAFb2agACAAAACC0yODQuMDAyAQgAAAAFAAAAATEBAAAACjE4NzcyNzE3ODADAAAAAzE2MAIAAAABNwQAAAABMAcAAAAJNi8zMC8yMDE4CAAAAAoxMi8zMS8yMDE3CQAAAAEwYpJ0hRQJ1giUq1+HFAnWCDlDSVEuTkFTREFRR1M6TklURS5JUV9OSV9NQVJHSU4uMjAwMC42LzMwLzIwMTguTEZSLkYuVVNELkgBAAAADNMYEAMAAAAAAMYl44QUCdYIp4RYhxQJ1gg7Q0lRLkNQU0U6Tk9WTyBCLklRX1JFVkVOVUVfRVNULkNZMjAxOC42LzMwLzIwMTguQ09OLkYuVVNELkgBAAAAfO8EAAIAAAAQMTczMzMuMzQyMzYzNzUwMQEOAAAABQAAAAIxMQEAAAABMAIAAAAKMTAwMDIxNDYxOAMAAAAGMTAwMTgwBAAAAAEzBgAAAAEwBwAAAAMxNjAIAAAAATAJAAAAATEKAAAAATALAAAACzEwOTQ3MDQ5OTQ3DAAAAAE3DQAAAAg3LzEvMjAxOBAAAAAJ</t>
  </si>
  <si>
    <t>Ni8zMC8yMDE46W1ZhhQJ1gh70maHFAnWCB1DSVEuTkFTREFRR1M6QVBUWC5JUV9FWENIQU5HRQEAAAAvKQwUAwAAAAhOYXNkYXFHUwBiknSFFAnWCEVJXYcUCdYIOUNJUS5OQVNEQVFDTTpDVVIuSVFfRUFSTklOR19DTy4yMDAwLjYvMzAvMjAxOC5MRlIuRi5VU0QuSAEAAADx7nUAAgAAAAotMTAuMjQ1Njk3AQgAAAAFAAAAATEBAAAACjE4ODg4NzMyMTkDAAAAAzE2MAIAAAABNwQAAAABMAcAAAAJNi8zMC8yMDE4CAAAAAkzLzMxLzIwMTgJAAAAATDlD++EFAnWCDFeUYcUCdYIPENJUS5OQVNEQVFHUzpBUFRYLklRX0VCSVREQV9FU1QuQ1kyMDIwLjYvMzAvMjAxOC5DT04uRi5VU0QuSAEAAAAvKQwUAwAAAAAAYpJ0hRQJ1ghFSV2HFAnWCDRDSVEuQ1BTRTpaRUFMLklRX1RPVEFMX0NMLjE5OTYuNi8zMC8yMDE4LkxGUi5GLlVTRC5IAQAAACJbEwACAAAACDEzLjY1ODU0AQgAAAAFAAAAATEBAAAACjE4ODk5MTMwOTcDAAAAAzE2MAIAAAAEMTAwOQQAAAABMAcAAAAJNi8zMC8yMDE4CAAAAAkzLzMxLzIwMTcJAAAAATBiknSFFAnWCOANYocUCdYIKkNJUS5DUFNFOlpFQUwuSVFfTUFSS0VUQ0FQLjYvMzAvMjAxOC5VU0QuSAEAAAAiWxMAAgAAAAo0MDMuNjE4OTkyAQYAAAAFAAAAATEBAAAACjE4ODk5MTMwNTEDAAAAAzE2MAIAAAAGMTAwMDU0BAAAAAEwBwAAAAk2LzMwLzIwMTiUC1eGFAnWCOANYocUCdYI</t>
  </si>
  <si>
    <t>FUNJUS4uSVFfVFJfVE9UQUxfQ0FTSAUAAAABAAAACAAAABQoSW52YWxpZCBJZGVudGlmaWVyKZQLV4YUCdYIlAtXhhQJ1gg6Q0lRLk5BU0RBUUNNOkNVUi5JUV9UT1RBTF9SRVYuQ1kyMDE2LjYvMzAvMjAxOC5MRlIuRi5VU0QuSAEAAADx7nUAAgAAAAgwLjAxNjI0NgEIAAAABQAAAAExAQAAAAoxODgxMDY1NjkzAwAAAAMxNjACAAAAAjI4BAAAAAEwBwAAAAk2LzMwLzIwMTgIAAAACjEyLzMxLzIwMTYJAAAAATDlD++EFAnWCDFeUYcUCdYIOkNJUS5OQVNEQVFHTTpNTktELklRX1RPVEFMX0RFQlQuMjAwMC4zLzMxLzIwMTguTEZSLkYuVVNELkgBAAAAZqWNAAIAAAAHMTU2LjgyMgEIAAAABQAAAAExAQAAAAoxODc2MjM4OTc0AwAAAAMxNjACAAAABDQxNzMEAAAAATAHAAAACTMvMzEvMjAxOAgAAAAKMTIvMzEvMjAxNwkAAAABMOltWYYUCdYI4A1ihxQJ1ghGQ0lRLk5BU0RBUUdNOlJZVE0uSVFfVE9UQUxfUkVWXzNZUl9BTk5fQ0FHUi4yMDAwLjYvMzAvMjAxOC5MRlIuRi5VU0QuSAEAAAAYyW0SAwAAAAAAYpJ0hRQJ1ghFSV2HFAnWCENDSVEuTkFTREFRQ006VktUWC5JUV9FQklUREFfM1lSX0FOTl9DQUdSLjIwMDAuNi8zMC8yMDE4LkxGUi5GLlVTRC5IAQAAAPK8tQ4DAAAAAADGJeOEFAnWCGfnWocUCdYIPENJUS5OQVNEQVFHUzpMWFJYLklRX1RPVEFMX0VRVUlUWS4yMDAwLjYvMzAvMjAxOC5MRlIu</t>
  </si>
  <si>
    <t>Ri5VU0QuSAEAAAA9eAAAAgAAAAYyNi4xOTQBCAAAAAUAAAABMQEAAAAKMTg4NjU0Mzg3NQMAAAADMTYwAgAAAAQxMjc1BAAAAAEwBwAAAAk2LzMwLzIwMTgIAAAACTMvMzEvMjAxOAkAAAABMGKSdIUUCdYIRUldhxQJ1ghAQ0lRLihJTlZBTElEIElERU5USUZJRVIpLklRX1RPVEFMX1JFVi4xOTkyLjYvMzAvMjAxOC5MRlIuRi5VU0QuSAUAAAAAAAAACAAAABQoSW52YWxpZCBJZGVudGlmaWVyKeUP74QUCdYIMV5RhxQJ1gg1Q0lRLk9UQ1BLOkJUSEUuSVFfRUJJVERBLkNZMjAxNi42LzMwLzIwMTguTEZSLkYuVVNELkgBAAAAb525BQIAAAAJLTEuMTkzNTc3AQgAAAAFAAAAATEBAAAACjE4ODAxMDU2MjIDAAAAAzE2MAIAAAAENDA1MQQAAAABMAcAAAAJNi8zMC8yMDE4CAAAAAoxMi8zMS8yMDE2CQAAAAEw5Q/vhBQJ1giGwFOHFAnWCD5DSVEuTkFTREFRR1M6QVBUWC5JUV9UT1RBTF9FUVVJVFkuQ1kyMDE2LjYvMzAvMjAxOC5MRlIuRi5VU0QuSAEAAAAvKQwUAgAAAAYxNC4wOTkBCAAAAAUAAAABMQEAAAAKMTg5MDg1MTM2NwMAAAADMTYwAgAAAAQxMjc1BAAAAAEwBwAAAAk2LzMwLzIwMTgIAAAACjEyLzMxLzIwMTYJAAAAATBiknSFFAnWCEVJXYcUCdYIPkNJUS5OQVNEQVFHUzpOSVRFLklRX1RPVEFMX0VRVUlUWS5DWTIwMTcuNi8zMC8yMDE4LkxGUi5GLlVTRC5IAQAAAAzTGBACAAAABzEyNS44MTIB</t>
  </si>
  <si>
    <t>CAAAAAUAAAABMQEAAAAKMTg4MTUxMDExMAMAAAADMTYwAgAAAAQxMjc1BAAAAAEwBwAAAAk2LzMwLzIwMTgIAAAACjEyLzMxLzIwMTcJAAAAATDGJeOEFAnWCKeEWIcUCdYIOkNJUS5OQVNEQVFDTTpDVVIuSVFfRUJJVF9NQVJHSU4uMjAwMC42LzMwLzIwMTguTEZSLkYuVVNELkgBAAAA8e51AAMAAAACTk0BCAAAAAUAAAABMQEAAAAKMTg4ODg3MzIxOQMAAAADMTYwAgAAAAQ0MDUzBAAAAAEwBwAAAAk2LzMwLzIwMTgIAAAACTMvMzEvMjAxOAkAAAABMOUP74QUCdYIMV5RhxQJ1gg8Q0lRLlNIU0U6NjAwODY3LklRX1RPVEFMX0VRVUlUWS5DWTIwMTYuNi8zMC8yMDE4LkxGUi5GLlVTRC5IAQAAANg+rgACAAAACjU2OC4yMDA4MTMBCAAAAAUAAAABMQEAAAAKMTg4MzExODQ3MwMAAAADMTYwAgAAAAQxMjc1BAAAAAEwBwAAAAk2LzMwLzIwMTgIAAAACjEyLzMxLzIwMTYJAAAAATBiknSFFAnWCOANYocUCdYIPUNJUS5OQVNEQVFHUzpMWFJYLklRX1JFVkVOVUVfRVNULkNZMjAxOC42LzMwLzIwMTguQ09OLkYuVVNELkgBAAAAPXgAAAIAAAAGNzEuNjE2AQ4AAAAFAAAAAjExAQAAAAEwAgAAAAoxMDAxMTc3NDgyAwAAAAYxMDAxODAEAAAAATIGAAAAATAHAAAAAzE2MAgAAAABMAkAAAABMQoAAAABMAsAAAALMTA4Njk0NjIwOTUMAAAAATcNAAAACDcvMS8yMDE4EAAAAAk2LzMwLzIwMThiknSFFAnWCJSrX4cU</t>
  </si>
  <si>
    <t>CdYINENJUS5TRUhLOjIxODYuSVFfVE9UQUxfQ0wuMjAwMC42LzMwLzIwMTguTEZSLkYuVVNELkgBAAAAwoGYAAIAAAAJNTYxLjY5NzQ4AQgAAAAFAAAAATEBAAAACjE4ODU0OTUwMDYDAAAAAzE2MAIAAAAEMTAwOQQAAAABMAcAAAAJNi8zMC8yMDE4CAAAAAoxMi8zMS8yMDE3CQAAAAEwlAtXhhQJ1ggvcGSHFAnWCDlDSVEuT1RDUEs6QlRIRS5JUV9FQklUREFfRVNULkNZMjAxOC42LzMwLzIwMTguQ09OLkYuVVNELkgBAAAAb525BQMAAAAAAOUP74QUCdYIhsBThxQJ1ggXQ0lRLjAuSVFfVFJfVE9UQUxfU1RPQ0sFAAAAAAAAAAgAAAAYKEludmFsaWQgVHJhbnNhY3Rpb24gSWQp5jtFghQJ1gjENGmHFAnWCEZDSVEuTkFTREFRR006TU5LRC5JUV9UT1RBTF9SRVZfM1lSX0FOTl9DQUdSLjIwMDAuNi8zMC8yMDE4LkxGUi5GLlVTRC5IAQAAAGaljQADAAAAAADpbVmGFAnWCOANYocUCdYIPkNJUS5OQVNEQVFHUzpJVENJLklRX1RPVEFMX0VRVUlUWS5DWTIwMTcuNi8zMC8yMDE4LkxGUi5GLlVTRC5IAQAAAHfRjwACAAAACjQ1NC40MzY5NjEBCAAAAAUAAAABMQEAAAAKMTg3NzIwNzg0NgMAAAADMTYwAgAAAAQxMjc1BAAAAAEwBwAAAAk2LzMwLzIwMTgIAAAACjEyLzMxLzIwMTcJAAAAATBiknSFFAnWCGfnWocUCdYIPENJUS5OQVNEQVFDTTpCWVNJLklRX1RPVEFMX0VRVUlUWS4xOTk2LjYvMzAvMjAxOC5M</t>
  </si>
  <si>
    <t>RlIuRi5VU0QuSAEAAABHz2wYAgAAAAY1NC4wMjYBCAAAAAUAAAABMQEAAAAKMTg5Mzk3MzM4MgMAAAADMTYwAgAAAAQxMjc1BAAAAAEwBwAAAAk2LzMwLzIwMTgIAAAACTMvMzEvMjAxNwkAAAABMGKSdIUUCdYIRUldhxQJ1gglQ0lRLk5BU0RBUUdNOlZUVlQuSVFfRklSU1RQUklDSU5HREFURQEAAAAdox8SBQAAAAk3LzMwLzIwMTUAxiXjhBQJ1giGwFOHFAnWCDVDSVEuTkFTREFRR1M6WkZHTi5JUV9DQVBFWC4xOTkyLjYvMzAvMjAxOC5MRlIuRi5VU0QuSAEAAACXwLoBAgAAAAYtMC45NjgBCAAAAAUAAAABMQEAAAAKMTg0MDkzNTk2MwMAAAADMTYwAgAAAAQyMDIxBAAAAAEwBwAAAAk2LzMwLzIwMTgIAAAACTMvMzEvMjAxNgkAAAABMMYl44QUCdYIp4RYhxQJ1gg1Q0lRLk9UQ1BLOk5FWFMuSVFfRUJJVERBLkNZMjAxNi42LzMwLzIwMTguTEZSLkYuVVNELkgBAAAAHb1OFAMAAAAAAOUP74QUCdYIMV5RhxQJ1ggyQ0lRLk9UQ1BLOkJUSEUuSVFfQ0FQRVguMTk5Ni42LzMwLzIwMTguTEZSLkYuVVNELkgBAAAAb525BQIAAAAJLTAuMDAzMzE0AQgAAAAFAAAAATEBAAAACjE4ODg2NjM3MzkDAAAAAzE2MAIAAAAEMjAyMQQAAAABMAcAAAAJNi8zMC8yMDE4CAAAAAkzLzMxLzIwMTcJAAAAATDlD++EFAnWCIbAU4cUCdYILUNJUS5OQVNEQVFHTTpWVFZULklRX0RJVklERU5EX1lJRUxELjYvMzAvMjAxOAEA</t>
  </si>
  <si>
    <t>AAAdox8SAwAAAAAA5Q/vhBQJ1giGwFOHFAnWCCtDSVEuQ1BTRTpOT1ZPIEIuSVFfRElWSURFTkRfWUlFTEQuNi8zMC8yMDE4AQAAAHzvBAACAAAABTIuNjUyAJQLV4YUCdYIe9JmhxQJ1ggzQ0lRLk9UQ1BLOkJUSEUuSVFfRUJJVERBLjE5OTIuNi8zMC8yMDE4LkxGUi5GLlVTRC5IAQAAAG+duQUCAAAACS0xLjU1MzQ0NQEIAAAABQAAAAExAQAAAAoxODQxMzQ3NjcwAwAAAAMxNjACAAAABDQwNTEEAAAAATAHAAAACTYvMzAvMjAxOAgAAAAJMy8zMS8yMDE2CQAAAAEw5Q/vhBQJ1giGwFOHFAnWCDxDSVEuTkFTREFRR1M6Q0JBWS5JUV9UT1RBTF9FUVVJVFkuMTk5Mi42LzMwLzIwMTguTEZSLkYuVVNELkgBAAAAwHoAAAIAAAAGMjEuODQ2AQgAAAAFAAAAATEBAAAACjE4NDQ1NDM4MjQDAAAAAzE2MAIAAAAEMTI3NQQAAAABMAcAAAAJNi8zMC8yMDE4CAAAAAkzLzMxLzIwMTYJAAAAATBiknSFFAnWCGfnWocUCdYIOENJUS5OQVNEQVFHUzpJVENJLklRX1RPVEFMX0NMLjE5OTIuNi8zMC8yMDE4LkxGUi5GLlVTRC5IAQAAAHfRjwACAAAACDguOTQ2NjcyAQgAAAAFAAAAATEBAAAACjE4NDE3OTI2OTIDAAAAAzE2MAIAAAAEMTAwOQQAAAABMAcAAAAJNi8zMC8yMDE4CAAAAAkzLzMxLzIwMTYJAAAAATBiknSFFAnWCGfnWocUCdYIO0NJUS5OQVNEQVFHTTpNTk9WLklRX1RPVEFMX1JFVi5DWTIwMTYuNi8zMC8y</t>
  </si>
  <si>
    <t>MDE4LkxGUi5GLlVTRC5IAQAAALhUjQADAAAAAADGJeOEFAnWCKeEWIcUCdYIFkNJUS4wLklRX1RSX1BDVF9TT1VHSFQFAAAAAAAAAAgAAAAYKEludmFsaWQgVHJhbnNhY3Rpb24gSWQp5jtFghQJ1gjENGmHFAnWCCFDSVEuSVFUUjIxMjczMTg3Ny5JUV9UUl9CVVlFUk5BTUUBAAAA5QeuDAMAAAAcQnJpc3RvbC1NeWVycyBTcXVpYmIgQ29tcGFueQDmO0WCFAnWCHvSZocUCdYIJUNJUS5OQVNEQVFHUzpYRVJTLklRX0ZJUlNUUFJJQ0lOR0RBVEUBAAAA4O5PBgUAAAAJNi8yMS8yMDE4AMYl44QUCdYIZ+dahxQJ1ggkQ0lRLk5BU0RBUUNNOkNVUi5JUV9GSVJTVFBSSUNJTkdEQVRFAQAAAPHudQAFAAAACjEyLzIwLzIwMDYA5Q/vhBQJ1ggxXlGHFAnWCDxDSVEuTkFTREFRQ006Q1VSLklRX1JFVkVOVUVfRVNULkNZMjAyMC42LzMwLzIwMTguQ09OLkYuVVNELkgBAAAA8e51AAMAAAAAAOUP74QUCdYIMV5RhxQJ1gg6Q0lRLlNFSEs6MzkzMy5JUV9UT1RBTF9FUVVJVFkuQ1kyMDE2LjYvMzAvMjAxOC5MRlIuRi5VU0QuSAEAAABN2hECAgAAAAo3NzAuMTUzODE2AQgAAAAFAAAAATEBAAAACjE4ODU3MzkxOTkDAAAAAzE2MAIAAAAEMTI3NQQAAAABMAcAAAAJNi8zMC8yMDE4CAAAAAoxMi8zMS8yMDE2CQAAAAEw6W1ZhhQJ1gjgDWKHFAnWCCdDSVEuTkFTREFRR1M6SUNQVC5JUV9CRVRBXzJZUi42LzMwLzIwMTgB</t>
  </si>
  <si>
    <t>AAAAgq+tAAIAAAAQMS44NjQ5MTg2NDg4OTAwMgDpbVmGFAnWCC9wZIcUCdYINkNJUS5TRUhLOjE1MzAuSVFfRUFSTklOR19DTy4yMDAwLjYvMzAvMjAxOC5MRlIuRi5VU0QuSAEAAADvuHABAgAAAAoxNDIuMDY5NTU5AQgAAAAFAAAAATEBAAAACjE4ODYwOTk4NjIDAAAAAzE2MAIAAAABNwQAAAABMAcAAAAJNi8zMC8yMDE4CAAAAAoxMi8zMS8yMDE3CQAAAAEwlAtXhhQJ1ggvcGSHFAnWCDpDSVEuTkFTREFRQ006VktUWC5JUV9UT1RBTF9ERUJULjIwMDAuMy8zMS8yMDE4LkxGUi5GLlVTRC5IAQAAAPK8tQ4CAAAABzMuNDUwNTQBCAAAAAUAAAABMQEAAAAKMTg3NzMyMzk2MAMAAAADMTYwAgAAAAQ0MTczBAAAAAEwBwAAAAkzLzMxLzIwMTgIAAAACjEyLzMxLzIwMTcJAAAAATDGJeOEFAnWCGfnWocUCdYIN0NJUS5OQVNEQVFDTTpCWVNJLklRX1BFUklPRERBVEVfSVMuMjAwMC42LzMwLzIwMTguTEZSLkYBAAAAR89sGAUAAAAJMy8zMS8yMDE4AGKSdIUUCdYIRUldhxQJ1gg4Q0lRLk5BU0RBUUNNOkNPUlQuSVFfRUJJVERBLkNZMjAxNy42LzMwLzIwMTguTEZSLkYuVVNELkgBAAAA0rkVAAIAAAAGNTIuOTYxAQgAAAAFAAAAATEBAAAACjE4NzcxMTEyNzcDAAAAAzE2MAIAAAAENDA1MQQAAAABMAcAAAAJNi8zMC8yMDE4CAAAAAoxMi8zMS8yMDE3CQAAAAEwYpJ0hRQJ1giUq1+HFAnWCEdDSVEuTkFTREFR</t>
  </si>
  <si>
    <t>Q006VktUWC5JUV9NSU5PUklUWV9JTlRFUkVTVF9UT1RBTC4yMDAwLjMvMzEvMjAxOC5MRlIuRi5VU0QuSAEAAADyvLUOAwAAAAAAxiXjhBQJ1ghn51qHFAnWCDdDSVEuT1RDUEs6RU1JUy5JUV9FQVJOSU5HX0NPLjE5OTIuNi8zMC8yMDE4LkxGUi5GLlVTRC5IAQAAAD79AwACAAAABi01NC45OQEIAAAABQAAAAExAQAAAAoxNzkyMTYzNzg5AwAAAAMxNjACAAAAATcEAAAAATAHAAAACTYvMzAvMjAxOAgAAAAJMy8zMS8yMDE1CQAAAAEwr4blhBQJ1ghlIlaHFAnWCDFDSVEuTllTRTpNWU9WLklRX0RBX0NGLjIwMDAuNi8zMC8yMDE4LkxGUi5GLlVTRC5IAQAAAJfaCxgCAAAABTAuMjQzAQgAAAAFAAAAATEBAAAACjE4OTI4MzQ3MzMDAAAAAzE2MAIAAAAEMjE2MAQAAAABMAcAAAAJNi8zMC8yMDE4CAAAAAkzLzMxLzIwMTgJAAAAATBiknSFFAnWCMQ0aYcUCdYIL0NJUS5JUVRSMjEyNzMxODc3LklRX1RSX1RBUkdFVF9UT1RBTF9SRVYuLlVTRC5IAQAAAOUHrgwCAAAABjY1MS42NQEGAAAABQAAAAIzNwEAAAAKMTU0NTM2MTA3OAIAAAACMjgDAAAAAzE2MAQAAAABMAcAAAAIMS8xLzE5MDDmO0WCFAnWCHvSZocUCdYIQ0NJUS5PVENQSzpSWkxULklRX1RPVEFMX1JFVl8zWVJfQU5OX0NBR1IuMjAwMC42LzMwLzIwMTguTEZSLkYuVVNELkgBAAAAIQmbCgMAAAAAAOUP74QUCdYIhsBThxQJ1ggjQ0lRLklRVFIx</t>
  </si>
  <si>
    <t>MDg5MDYyNzYuSVFfVFJfVE9UQUxfU1RPQ0sBAAAAJMd9BgIAAAAAAOY7RYIUCdYIe9JmhxQJ1gghQ0lRLklRMzA5MTg0NzkyLklRX0NPTVBBTllfVElDS0VSAQAAABjJbRIDAAAADU5hc2RhcUdNOlJZVE0A5jtFghQJ1giKv6uCFAnWCDhDSVEuTkFTREFRR1M6QVBUWC5JUV9FQklUREEuQ1kyMDE2LjYvMzAvMjAxOC5MRlIuRi5VU0QuSAEAAAAvKQwUAgAAAActMTcuNTMyAQgAAAAFAAAAATEBAAAACjE4OTA4NTEzNjcDAAAAAzE2MAIAAAAENDA1MQQAAAABMAcAAAAJNi8zMC8yMDE4CAAAAAoxMi8zMS8yMDE2CQAAAAEwYpJ0hRQJ1ghFSV2HFAnWCB1DSVEuMC5JUV9CVVNJTkVTU19ERVNDUklQVElPTgEAAABVhHcDAwAAAAAA5jtFghQJ1gjENGmHFAnWCCtDSVEuSVFUUjQwMjEwMzkxOS5JUV9UUl9UT1RBTF9HUk9TU19UVi4uVVNEAQAAAG+e9xcCAAAAAADmO0WCFAnWCHvSZocUCdYIOkNJUS5PVENQSzpCVEhFLklRX1JFVkVOVUVfRVNULkNZMjAyMC42LzMwLzIwMTguQ09OLkYuVVNELkgBAAAAb525BQMAAAAAAOUP74QUCdYIhsBThxQJ1gg8Q0lRLk5BU0RBUUdNOkZPTEQuSVFfVE9UQUxfRVFVSVRZLjE5OTYuNi8zMC8yMDE4LkxGUi5GLlVTRC5IAQAAAFb2agACAAAABzMxMC43NzgBCAAAAAUAAAABMQEAAAAKMTg4ODQ4NDYxOQMAAAADMTYwAgAAAAQxMjc1BAAAAAEwBwAAAAk2LzMwLzIwMTgIAAAA</t>
  </si>
  <si>
    <t>CTMvMzEvMjAxNwkAAAABMGKSdIUUCdYIlKtfhxQJ1ggpQ0lRLklRMzYxODM4MTMuSVFfTEFTVFNBTEVQUklDRS42LzMwLzIwMTgBAAAABR8oAgIAAAAEMS43NwDmO0WCFAnWCMQ0aYcUCdYIOkNJUS5OQVNEQVFHUzpOSVRFLklRX1RPVEFMX0RFQlQuMjAwMC4zLzMxLzIwMTguTEZSLkYuVVNELkgBAAAADNMYEAIAAAABMAEIAAAABQAAAAExAQAAAAoxODU4NjkzMjU4AwAAAAMxNjACAAAABDQxNzMEAAAAATAHAAAACTMvMzEvMjAxOAgAAAAJNi8zMC8yMDE3CQAAAAEwxiXjhBQJ1ginhFiHFAnWCCRDSVEuKElOVkFMSUQgSURFTlRJRklFUikuSVFfRVhDSEFOR0UFAAAAAAAAAAgAAAAUKEludmFsaWQgSWRlbnRpZmllcinlD++EFAnWCDFeUYcUCdYIIUNJUS5JUVRSMzQwNzA0ODY1LklRX1RSX0JVWUVSTkFNRQEAAABhvk4UAwAAADdOZXh1cyBCaW9QaGFybWEgQ29ycG9yYXRpb24gKG5rYTpOZXh1cyBCaW9QaGFybWEsIEluYy4pAOY7RYIUCdYIe9JmhxQJ1gg9Q0lRLihJTlZBTElEIElERU5USUZJRVIpLklRX0VCSVREQS4yMDAwLjYvMzAvMjAxOC5MRlIuRi5VU0QuSAUAAAAAAAAACAAAABQoSW52YWxpZCBJZGVudGlmaWVyKeUP74QUCdYIMV5RhxQJ1gghQ0lRLk5BU0RBUUdTOlpGR04uSVFfQ09NUEFOWV9OQU1FAQAAAJfAugEDAAAADFphZmdlbiwgSW5jLgDGJeOEFAnWCKeEWIcUCdYIRkNJUS5OQVNE</t>
  </si>
  <si>
    <t>QVFHTTpNTktELklRX1RPVEFMX1JFVl81WVJfQU5OX0NBR1IuMjAwMC42LzMwLzIwMTguTEZSLkYuVVNELkgBAAAAZqWNAAIAAAAIMjE5LjIxNjYBCAAAAAUAAAABMQEAAAAKMTg4OTc3NTk5MwMAAAADMTYwAgAAAAQ0MjMzBAAAAAEwBwAAAAk2LzMwLzIwMTgIAAAACTMvMzEvMjAxOAkAAAABMOltWYYUCdYI4A1ihxQJ1gg4Q0lRLk9UQ1BLOkJUSEUuSVFfVE9UQUxfUkVWLkNZMjAxNy42LzMwLzIwMTguTEZSLkYuVVNELkgBAAAAb525BQIAAAAIMC4wMjkzNTYBCAAAAAUAAAABMQEAAAAKMTg4MDEwNTYyOAMAAAADMTYwAgAAAAIyOAQAAAABMAcAAAAJNi8zMC8yMDE4CAAAAAoxMi8zMS8yMDE3CQAAAAEw5Q/vhBQJ1giGwFOHFAnWCC1DSVEuTkFTREFRR1M6TklURS5JUV9ESVZJREVORF9ZSUVMRC42LzMwLzIwMTgBAAAADNMYEAMAAAAAAMYl44QUCdYIp4RYhxQJ1gg5Q0lRLk9UQ1BLOlJaTFQuSVFfRUFSTklOR19DTy5DWTIwMTYuNi8zMC8yMDE4LkxGUi5GLlVTRC5IAQAAACEJmwoCAAAACi0xNi4yODU0OTIBCAAAAAUAAAABMQEAAAAKMTg3NDE5NDAwOAMAAAADMTYwAgAAAAE3BAAAAAEwBwAAAAk2LzMwLzIwMTgIAAAACjEyLzMxLzIwMTYJAAAAATDlD++EFAnWCIbAU4cUCdYIR0NJUS5OQVNEQVFHUzpDQkFZLklRX01JTk9SSVRZX0lOVEVSRVNUX1RPVEFMLjIwMDAuMy8zMS8yMDE4LkxGUi5GLlVT</t>
  </si>
  <si>
    <t>RC5IAQAAAMB6AAADAAAAAABiknSFFAnWCGfnWocUCdYIL0NJUS5JUVRSMzcwMDcyMzUzLklRX1RSX1RBUkdFVF9UT1RBTF9SRVYuLlVTRC5IAQAAACHbDhYCAAAAAADmO0WCFAnWCHvSZocUCdYIOkNJUS5DUFNFOk5PVk8gQi5JUV9FQklUREFfRVNULkNZMjAyMC42LzMwLzIwMTguQ09OLkYuVVNELkgBAAAAfO8EAAIAAAAQOTAwOC42MzI3OTM5MDc0NwEOAAAABQAAAAIxMQEAAAABMAIAAAAKMTAwMDIxNDYyMAMAAAAGMTAwMTg3BAAAAAEzBgAAAAEwBwAAAAMxNjAIAAAAATAJAAAAATEKAAAAATALAAAACzEwOTQ3MDQ5ODE1DAAAAAE3DQAAAAg3LzEvMjAxOBAAAAAJNi8zMC8yMDE46W1ZhhQJ1gh70maHFAnWCDdDSVEuTkFTREFRR1M6SVRDSS5JUV9QRVJJT0REQVRFX0lTLjIwMDAuNi8zMC8yMDE4LkxGUi5GAQAAAHfRjwAFAAAACTMvMzEvMjAxOABiknSFFAnWCGfnWocUCdYINENJUS5OQVNEQVFHUzpPRFQuSVFfQ0FQRVguMjAwMC42LzMwLzIwMTguTEZSLkYuVVNELkgBAAAAGhpFIAIAAAAGLTAuMDg3AQgAAAAFAAAAATEBAAAACjE4ODYzMDE0OTgDAAAAAzE2MAIAAAAEMjAyMQQAAAABMAcAAAAJNi8zMC8yMDE4CAAAAAkzLzMxLzIwMTgJAAAAATDGJeOEFAnWCKeEWIcUCdYIRENJUS5FTlhUUEE6RVJZUC5JUV9UT1RBTF9SRVZfM1lSX0FOTl9DQUdSLjIwMDAuNi8zMC8yMDE4LkxGUi5GLlVTRC5I</t>
  </si>
  <si>
    <t>AQAAANiKeAECAAAABzIzLjI5MDcBCAAAAAUAAAABMQEAAAAKMTg4NTIwNDIxOQMAAAACNTACAAAABDQyMjAEAAAAATAHAAAACTYvMzAvMjAxOAgAAAAKMTIvMzEvMjAxNwkAAAABMOUP74QUCdYIMV5RhxQJ1ggYQ0lRLi5JUV9UUl9JTVBMSUVEX0VRX0JWBQAAAAEAAAAIAAAAFChJbnZhbGlkIElkZW50aWZpZXIplAtXhhQJ1giUC1eGFAnWCDxDSVEuTkFTREFRR1M6Q1lUSy5JUV9FQklUREFfRVNULkNZMjAxOS42LzMwLzIwMTguQ09OLkYuVVNELkgBAAAAs2oAAAIAAAAIMTIwLjM3OTMBDgAAAAUAAAACMTEBAAAAATACAAAACjEwMDE1ODgxMjYDAAAABjEwMDE4NwQAAAABMgYAAAABMAcAAAADMTYwCAAAAAEwCQAAAAExCgAAAAEwCwAAAAsxMDkzMDcyMDg2OAwAAAABNw0AAAAINy8xLzIwMTgQAAAACTYvMzAvMjAxOK+G5YQUCdYIZSJWhxQJ1gg6Q0lRLk5BU0RBUUNNOkNVUi5JUV9QUkVGX0VRVUlUWS4yMDAwLjYvMzAvMjAxOC5MRlIuRi5VU0QuSAEAAADx7nUAAgAAAAQwLjAxAQgAAAAFAAAAATEBAAAACjE4ODg4NzMyMTkDAAAAAzE2MAIAAAAEMTAwNQQAAAABMAcAAAAJNi8zMC8yMDE4CAAAAAkzLzMxLzIwMTgJAAAAATDlD++EFAnWCDFeUYcUCdYIOUNJUS5PVENQSzpSWkxULklRX0dST1NTX01BUkdJTi4yMDAwLjYvMzAvMjAxOC5MRlIuRi5VU0QuSAEAAAAhCZsKAwAAAAAA5Q/vhBQJ1giGwFOH</t>
  </si>
  <si>
    <t>FAnWCD5DSVEuTkFTREFRR1M6SUNQVC5JUV9UT1RBTF9FUVVJVFkuQ1kyMDE3LjYvMzAvMjAxOC5MRlIuRi5VU0QuSAEAAACCr60AAgAAAAYxNi4zODYBCAAAAAUAAAABMQEAAAAKMTg3NzAxMTQ4OQMAAAADMTYwAgAAAAQxMjc1BAAAAAEwBwAAAAk2LzMwLzIwMTgIAAAACjEyLzMxLzIwMTcJAAAAATDpbVmGFAnWCC9wZIcUCdYIJUNJUS5OQVNEQVFHTTpSWVRNLklRX0ZJUlNUUFJJQ0lOR0RBVEUBAAAAGMltEgUAAAAJMTAvNS8yMDE3AGKSdIUUCdYIRUldhxQJ1gg5Q0lRLk5BU0RBUUdNOk1OS0QuSVFfTklfTUFSR0lOLjIwMDAuNi8zMC8yMDE4LkxGUi5GLlVTRC5IAQAAAGaljQADAAAAAk5NAQgAAAAFAAAAATEBAAAACjE4ODk3NzU5OTMDAAAAAzE2MAIAAAAENDA5NAQAAAABMAcAAAAJNi8zMC8yMDE4CAAAAAkzLzMxLzIwMTgJAAAAATDpbVmGFAnWCOANYocUCdYIOENJUS5OQVNEQVFHUzpPRFQuSVFfTklfTUFSR0lOLjIwMDAuNi8zMC8yMDE4LkxGUi5GLlVTRC5IAQAAABoaRSADAAAAAADGJeOEFAnWCKeEWIcUCdYIJUNJUS5OQVNEQVFHUzpJVENJLklRX0ZJUlNUUFJJQ0lOR0RBVEUBAAAAd9GPAAUAAAAKMTIvMjMvMjAxMwBiknSFFAnWCGfnWocUCdYIRkNJUS5OQVNEQVFDTTpDVVIuSVFfTUlOT1JJVFlfSU5URVJFU1RfVE9UQUwuMjAwMC42LzMwLzIwMTguTEZSLkYuVVNELkgBAAAA8e51AAMA</t>
  </si>
  <si>
    <t>AAAAAOUP74QUCdYIMV5RhxQJ1ggxQ0lRLlNFSEs6MzkzMy5JUV9EQV9DRi4yMDAwLjYvMzAvMjAxOC5MRlIuRi5VU0QuSAEAAABN2hECAgAAAAoxMjAuNTE2Njk4AQgAAAAFAAAAATEBAAAACjE4ODU3MzkyMDIDAAAAAzE2MAIAAAAEMjE2MAQAAAABMAcAAAAJNi8zMC8yMDE4CAAAAAoxMi8zMS8yMDE3CQAAAAEw6W1ZhhQJ1ggvcGSHFAnWCDpDSVEuRU5YVFBBOkVSWVAuSVFfVE9UQUxfRVFVSVRZLjIwMDAuNi8zMC8yMDE4LkxGUi5GLlVTRC5IAQAAANiKeAECAAAACjIxNy44NDIyMTkBCAAAAAUAAAABMQEAAAAKMTg4NTIwNDIxOQMAAAADMTYwAgAAAAQxMjc1BAAAAAEwBwAAAAk2LzMwLzIwMTgIAAAACjEyLzMxLzIwMTcJAAAAATDlD++EFAnWCDFeUYcUCdYII0NJUS5TRUhLOjE1MzAuSVFfQkVUQV81WVIuNi8zMC8yMDE4AQAAAO+4cAECAAAAETAuNzI5NjIxMjQ0NjYwOTQ3AOltWYYUCdYIL3BkhxQJ1gg+Q0lRLk5BU0RBUUdTOklDUFQuSVFfQ0FTSF9TVF9JTlZFU1QuMjAwMC42LzMwLzIwMTguTEZSLkYuVVNELkgBAAAAgq+tAAIAAAAHMzI2LjA5MgEIAAAABQAAAAExAQAAAAoxODg4NjE1NTQwAwAAAAMxNjACAAAABDEwMDIEAAAAATAHAAAACTYvMzAvMjAxOAgAAAAJMy8zMS8yMDE4CQAAAAEw6W1ZhhQJ1ggvcGSHFAnWCDZDSVEuTkFTREFRQ006Q09SVC5JUV9FQklUREEuMjAwMC42LzMwLzIw</t>
  </si>
  <si>
    <t>MTguTEZSLkYuVVNELkgBAAAA0rkVAAIAAAAGNjkuMjUxAQgAAAAFAAAAATEBAAAACjE4ODgwOTk1NDQDAAAAAzE2MAIAAAAENDA1MQQAAAABMAcAAAAJNi8zMC8yMDE4CAAAAAkzLzMxLzIwMTgJAAAAATBiknSFFAnWCJSrX4cUCdYITkNJUS4oSU5WQUxJRCBJREVOVElGSUVSKS5JUV9NSU5PUklUWV9JTlRFUkVTVF9UT1RBTC4yMDAwLjMvMzEvMjAxOC5MRlIuRi5VU0QuSAUAAAAAAAAACAAAABQoSW52YWxpZCBJZGVudGlmaWVyKeUP74QUCdYIYPtOhxQJ1gg4Q0lRLkFNRVg6QlRYLklRX0VCSVREQV9NQVJHSU4uMjAwMC42LzMwLzIwMTguTEZSLkYuVVNELkgBAAAAFmQAAAMAAAACTk0BCAAAAAUAAAABMQEAAAAKMTg4Nzk4MDE2NQMAAAADMTYwAgAAAAQ0MDQ3BAAAAAEwBwAAAAk2LzMwLzIwMTgIAAAACTMvMzEvMjAxOAkAAAABMMYl44QUCdYIZSJWhxQJ1gg6Q0lRLk5BU0RBUUNNOlZLVFguSVFfRUFSTklOR19DTy4yMDAwLjYvMzAvMjAxOC5MRlIuRi5VU0QuSAEAAADyvLUOAgAAAAotMTguOTA2NjY1AQgAAAAFAAAAATEBAAAACjE4ODc3MDQ5MTQDAAAAAzE2MAIAAAABNwQAAAABMAcAAAAJNi8zMC8yMDE4CAAAAAkzLzMxLzIwMTgJAAAAATDGJeOEFAnWCGfnWocUCdYIM0NJUS5PVENQSzpORVhTLklRX0VCSVREQS4yMDAwLjYvMzAvMjAxOC5MRlIuRi5VU0QuSAEAAAAdvU4UAgAAAAktMC41NjI3</t>
  </si>
  <si>
    <t>MTQBCAAAAAUAAAABMQEAAAAKMTg2Mjg2MzA5MwMAAAADMTYwAgAAAAQ0MDUxBAAAAAEwBwAAAAk2LzMwLzIwMTgIAAAACTUvMzEvMjAxNwkAAAABMOUP74QUCdYIMV5RhxQJ1gg5Q0lRLk5BU0RBUUNNOkNPUlQuSVFfVE9UQUxfUkVWLjE5OTYuNi8zMC8yMDE4LkxGUi5GLlVTRC5IAQAAANK5FQACAAAABjkyLjg1OQEIAAAABQAAAAExAQAAAAoxODg4MDk5NTMyAwAAAAMxNjACAAAAAjI4BAAAAAEwBwAAAAk2LzMwLzIwMTgIAAAACTMvMzEvMjAxNwkAAAABMGKSdIUUCdYIlKtfhxQJ1gg+Q0lRLk5BU0RBUUdNOlZUVlQuSVFfQ0FTSF9TVF9JTlZFU1QuMjAwMC4zLzMxLzIwMTguTEZSLkYuVVNELkgBAAAAHaMfEgIAAAAGMTEuNzU4AQgAAAAFAAAAATEBAAAACjE4NzYxMzczMDkDAAAAAzE2MAIAAAAEMTAwMgQAAAABMAcAAAAJMy8zMS8yMDE4CAAAAAoxMi8zMS8yMDE3CQAAAAEw5Q/vhBQJ1giGwFOHFAnWCDdDSVEuT1RDUEs6TkVYUy5JUV9FQVJOSU5HX0NPLjIwMDAuNi8zMC8yMDE4LkxGUi5GLlVTRC5IAQAAAB29ThQCAAAACS0wLjgxNjY0MQEIAAAABQAAAAExAQAAAAoxODYyODYzMDkzAwAAAAMxNjACAAAAATcEAAAAATAHAAAACTYvMzAvMjAxOAgAAAAJNS8zMS8yMDE3CQAAAAEw5Q/vhBQJ1ggxXlGHFAnWCDVDSVEuU0VISzoyMTg2LklRX1RPVEFMX1JFVi4yMDAwLjYvMzAvMjAxOC5MRlIuRi5V</t>
  </si>
  <si>
    <t>U0QuSAEAAADCgZgAAgAAAAo1ODYuMjk0NDM0AQgAAAAFAAAAATEBAAAACjE4ODU0OTUwMDYDAAAAAzE2MAIAAAACMjgEAAAAATAHAAAACTYvMzAvMjAxOAgAAAAKMTIvMzEvMjAxNwkAAAABMJQLV4YUCdYIL3BkhxQJ1ghEQ0lRLk9UQ1BLOkJUSEUuSVFfTUlOT1JJVFlfSU5URVJFU1RfVE9UQUwuMjAwMC4zLzMxLzIwMTguTEZSLkYuVVNELkgBAAAAb525BQMAAAAAAOUP74QUCdYIMV5RhxQJ1ggcQ0lRLi5JUV9CVVNJTkVTU19ERVNDUklQVElPTgUAAAABAAAACAAAABQoSW52YWxpZCBJZGVudGlmaWVyKZQLV4YUCdYIlAtXhhQJ1gg8Q0lRLk5BU0RBUUdTOkNCQVkuSVFfR1JPU1NfTUFSR0lOLjIwMDAuNi8zMC8yMDE4LkxGUi5GLlVTRC5IAQAAAMB6AAACAAAACS0yMDcuNzc3OQEIAAAABQAAAAExAQAAAAoxODg3NDQ1MDg0AwAAAAMxNjACAAAABDQwNzQEAAAAATAHAAAACTYvMzAvMjAxOAgAAAAJMy8zMS8yMDE4CQAAAAEwYpJ0hRQJ1ghFSV2HFAnWCDJDSVEuU0VISzozOTMzLklRX0VCSVREQS4yMDAwLjYvMzAvMjAxOC5MRlIuRi5VU0QuSAEAAABN2hECAgAAAAkyMDkuODg1ODEBCAAAAAUAAAABMQEAAAAKMTg4NTczOTIwMgMAAAADMTYwAgAAAAQ0MDUxBAAAAAEwBwAAAAk2LzMwLzIwMTgIAAAACjEyLzMxLzIwMTcJAAAAATDpbVmGFAnWCOANYocUCdYINkNJUS5BTUVYOkJUWC5JUV9QUkVGX0VR</t>
  </si>
  <si>
    <t>VUlUWS4yMDAwLjMvMzEvMjAxOC5MRlIuRi5VU0QuSAEAAAAWZAAAAwAAAAAAxiXjhBQJ1ghlIlaHFAnWCDpDSVEuTkFTREFRQ006QllTSS5JUV9UT1RBTF9ERUJULjIwMDAuMy8zMS8yMDE4LkxGUi5GLlVTRC5IAQAAAEfPbBgCAAAAATABCAAAAAUAAAABMQEAAAAKMTg2NTQ5Njg5NQMAAAADMTYwAgAAAAQ0MTczBAAAAAEwBwAAAAkzLzMxLzIwMTgIAAAACTkvMzAvMjAxNwkAAAABMGKSdIUUCdYIRUldhxQJ1ggrQ0lRLklRVFIxMDg5MDYyNzYuSVFfVFJfSU1QTElFRF9FVl9FQklUX0ZXRAEAAAAkx30GAgAAAAAA5jtFghQJ1gjENGmHFAnWCDpDSVEuRU5YVFBBOkVSWVAuSVFfRUJJVERBX0VTVC5DWTIwMjAuNi8zMC8yMDE4LkNPTi5GLlVTRC5IAQAAANiKeAECAAAAEC01MC41NTM4MjEwMjc5ODkBDgAAAAUAAAACMTEBAAAAATACAAAACjEwMDI4MjU0MDcDAAAABjEwMDE4NwQAAAABMwYAAAABMAcAAAADMTYwCAAAAAEwCQAAAAExCgAAAAEwCwAAAAsxMDk0MzE1NTg1MAwAAAABNw0AAAAINy8xLzIwMTgQAAAACTYvMzAvMjAxOOUP74QUCdYIMV5RhxQJ1gg9Q0lRLk5BU0RBUUdNOkZPTEQuSVFfUkVWRU5VRV9FU1QuQ1kyMDIwLjYvMzAvMjAxOC5DT04uRi5VU0QuSAEAAABW9moAAgAAAAkyNDkuNjQwODYBDgAAAAUAAAACMTEBAAAAATACAAAACjEwMDEwMjU4NTEDAAAABjEwMDE4MAQAAAABMgYAAAAB</t>
  </si>
  <si>
    <t>MAcAAAADMTYwCAAAAAEwCQAAAAExCgAAAAEwCwAAAAsxMDg3MjAxNDA4NAwAAAABNw0AAAAINy8xLzIwMTgQAAAACTYvMzAvMjAxOGKSdIUUCdYIlKtfhxQJ1ggqQ0lRLlNFSEs6MjE4Ni5JUV9NQVJLRVRDQVAuMy8zMS8yMDE4LlVTRC5IAQAAAMKBmAACAAAACzMxMzMuNTgyNzU5AQYAAAAFAAAAATEBAAAACjE4Nzk5MjMyMDgDAAAAAzE2MAIAAAAGMTAwMDU0BAAAAAEwBwAAAAkzLzMxLzIwMTiUC1eGFAnWCC9wZIcUCdYIHkNJUS5JUTM2MTgzODIyLklRX0NPTVBBTllfTkFNRQEAAAAOHygCAwAAADFVbml0ZWQgU3RhdGVzIFRyZWFzdXJ5IENvbnN0YW50IE1hdHVyaXR5IC0gMSBZZWFyAOY7RYIUCdYIpKyYghQJ1gglQ0lRLklRVFI0MDIxMDM5MTkuSVFfUFJJTUFSWV9JTkRVU1RSWQEAAAC2fT0QAwAAAA9QaGFybWFjZXV0aWNhbHMA5jtFghQJ1gh70maHFAnWCDpDSVEuTkFTREFRR006Rk9MRC5JUV9FQVJOSU5HX0NPLjIwMDAuNi8zMC8yMDE4LkxGUi5GLlVTRC5IAQAAAFb2agACAAAACC0yNzguOTI2AQgAAAAFAAAAATEBAAAACjE4ODg0ODQ2NTEDAAAAAzE2MAIAAAABNwQAAAABMAcAAAAJNi8zMC8yMDE4CAAAAAkzLzMxLzIwMTgJAAAAATBiknSFFAnWCJSrX4cUCdYIQUNJUS5DUFNFOk5PVk8gQi5JUV9FQklUREFfM1lSX0FOTl9DQUdSLjIwMDAuNi8zMC8yMDE4LkxGUi5GLlVTRC5IAQAAAHzv</t>
  </si>
  <si>
    <t>BAACAAAABjcuMzI2NQEIAAAABQAAAAExAQAAAAoxODkyNjIzOTUzAwAAAAI0MgIAAAAENDIyMgQAAAABMAcAAAAJNi8zMC8yMDE4CAAAAAkzLzMxLzIwMTgJAAAAATCUC1eGFAnWCC9wZIcUCdYIOkNJUS5OQVNEQVFHUzpYRVJTLklRX1RPVEFMX0RFQlQuMjAwMC42LzMwLzIwMTguTEZSLkYuVVNELkgBAAAA4O5PBgIAAAAGMTguMDUxAQgAAAAFAAAAATEBAAAACjE4OTA5NjE2NTUDAAAAAzE2MAIAAAAENDE3MwQAAAABMAcAAAAJNi8zMC8yMDE4CAAAAAkzLzMxLzIwMTgJAAAAATDGJeOEFAnWCGfnWocUCdYIPENJUS5OQVNEQVFHUzpOSVRFLklRX0VBUk5JTkdfQ08uQ1kyMDE3LjYvMzAvMjAxOC5MRlIuRi5VU0QuSAEAAAAM0xgQAgAAAActMjkuNjg2AQgAAAAFAAAAATEBAAAACjE4ODE1MTAxMTADAAAAAzE2MAIAAAABNwQAAAABMAcAAAAJNi8zMC8yMDE4CAAAAAoxMi8zMS8yMDE3CQAAAAEwxiXjhBQJ1ginhFiHFAnWCDhDSVEuVFNYVjpDT0IuVS5JUV9FQklUX01BUkdJTi4yMDAwLjYvMzAvMjAxOC5MRlIuRi5VU0QuSAEAAAC/+wAIAwAAAAAAr4blhBQJ1giGwFOHFAnWCDlDSVEuTkFTREFRR006UllUTS5JUV9UT1RBTF9SRVYuMjAwMC42LzMwLzIwMTguTEZSLkYuVVNELkgBAAAAGMltEgMAAAAAAGKSdIUUCdYIRUldhxQJ1ggrQ0lRLlRTWFY6Q09CLlUuSVFfTUFSS0VUQ0FQLjMvMzEvMjAxOC5V</t>
  </si>
  <si>
    <t>U0QuSAEAAAC/+wAIAgAAAAoyMTMuMjMwMzg2AQYAAAAFAAAAATEBAAAACjE4NjYzODgzNTEDAAAAAzE2MAIAAAAGMTAwMDU0BAAAAAEwBwAAAAkzLzMxLzIwMTjGJeOEFAnWCIbAU4cUCdYIKUNJUS5JUVRSMzg0MDI4NDk2LklRX1RSX0lNUExJRURfRVFfTklfTFRNAQAAAFDP4xYDAAAAAk5NAOY7RYIUCdYIe9JmhxQJ1ggvQ0lRLklRVFIxMDg5MDYyNzYuSVFfVFJfSU1QTElFRF9FVl9GSU5BTC4uVVNELkgBAAAAJMd9BgIAAAAAAOY7RYIUCdYIe9JmhxQJ1ggnQ0lRLk5BU0RBUUdNOlJZVE0uSVFfQkVUQV81WVIuNi8zMC8yMDE4AQAAABjJbRIDAAAAAABiknSFFAnWCEVJXYcUCdYIO0NJUS5OQVNEQVFHUzpPRFQuSVFfVE9UQUxfRVFVSVRZLjE5OTYuNi8zMC8yMDE4LkxGUi5GLlVTRC5IAQAAABoaRSACAAAABTIuMjgzAQgAAAAFAAAAATEBAAAACjE4ODYzMDE0ODUDAAAAAzE2MAIAAAAEMTI3NQQAAAABMAcAAAAJNi8zMC8yMDE4CAAAAAkzLzMxLzIwMTcJAAAAATDGJeOEFAnWCKeEWIcUCdYIOENJUS5OQVNEQVFDTTpCWVNJLklRX1RPVEFMX0NBLjE5OTIuNi8zMC8yMDE4LkxGUi5GLlVTRC5IAQAAAEfPbBgDAAAAAABiknSFFAnWCEVJXYcUCdYIOENJUS5OQVNEQVFHUzpBUFRYLklRX1RPVEFMX0NMLjE5OTIuNi8zMC8yMDE4LkxGUi5GLlVTRC5IAQAAAC8pDBQDAAAAAABiknSFFAnWCEVJXYcUCdYI</t>
  </si>
  <si>
    <t>OkNJUS5PVENQSzpSWkxULklRX1JFVkVOVUVfRVNULkNZMjAyMC42LzMwLzIwMTguQ09OLkYuVVNELkgBAAAAIQmbCgMAAAAAAOUP74QUCdYIhsBThxQJ1ggqQ0lRLk9UQ1BLOkVNSVMuSVFfRElWSURFTkRfWUlFTEQuNi8zMC8yMDE4AQAAAD79AwADAAAAAADGJeOEFAnWCGUiVocUCdYIPENJUS5OQVNEQVFDTTpDVVIuSVFfRUJJVERBX01BUkdJTi4yMDAwLjYvMzAvMjAxOC5MRlIuRi5VU0QuSAEAAADx7nUAAwAAAAJOTQEIAAAABQAAAAExAQAAAAoxODg4ODczMjE5AwAAAAMxNjACAAAABDQwNDcEAAAAATAHAAAACTYvMzAvMjAxOAgAAAAJMy8zMS8yMDE4CQAAAAEw5Q/vhBQJ1ggxXlGHFAnWCDVDSVEuTkFTREFRQ006Q09SVC5JUV9DQVBFWC4xOTkyLjYvMzAvMjAxOC5MRlIuRi5VU0QuSAEAAADSuRUAAgAAAAYtMC4wMDUBCAAAAAUAAAABMQEAAAAKMTg0MDE3MDk2OAMAAAADMTYwAgAAAAQyMDIxBAAAAAEwBwAAAAk2LzMwLzIwMTgIAAAACTMvMzEvMjAxNgkAAAABMGKSdIUUCdYIlKtfhxQJ1gg7Q0lRLk5BU0RBUUdNOlJZVE0uSVFfUFJFRl9FUVVJVFkuMjAwMC4zLzMxLzIwMTguTEZSLkYuVVNELkgBAAAAGMltEgMAAAAAAGKSdIUUCdYIRUldhxQJ1ghGQ0lRLk5BU0RBUUNNOkFWRU8uSVFfVE9UQUxfUkVWXzNZUl9BTk5fQ0FHUi4yMDAwLjYvMzAvMjAxOC5MRlIuRi5VU0QuSAEAAAD0Fh0AAgAA</t>
  </si>
  <si>
    <t>AAYyNi45NTQBCAAAAAUAAAABMQEAAAAKMTg4NzIzNDI5NQMAAAADMTYwAgAAAAQ0MjIwBAAAAAEwBwAAAAk2LzMwLzIwMTgIAAAACTMvMzEvMjAxOAkAAAABMMYl44QUCdYIZSJWhxQJ1gg9Q0lRLk5BU0RBUUdNOlZUVlQuSVFfUkVWRU5VRV9FU1QuQ1kyMDIwLjYvMzAvMjAxOC5DT04uRi5VU0QuSAEAAAAdox8SAgAAAAMwLjIBDgAAAAUAAAACMTEBAAAAATACAAAACjEwMDMxNjQ5NjYDAAAABjEwMDE4MAQAAAABMgYAAAABMAcAAAADMTYwCAAAAAEwCQAAAAExCgAAAAEwCwAAAAsxMDg4NzUwMzYxNQwAAAABNw0AAAAINy8xLzIwMTgQAAAACTYvMzAvMjAxOOUP74QUCdYIhsBThxQJ1gg5Q0lRLk5BU0RBUUdTOk5JVEUuSVFfVE9UQUxfUkVWLjE5OTIuNi8zMC8yMDE4LkxGUi5GLlVTRC5IAQAAAAzTGBADAAAAAADGJeOEFAnWCKeEWIcUCdYIRkNJUS5OQVNEQVFHUzpDQkFZLklRX1RPVEFMX1JFVl81WVJfQU5OX0NBR1IuMjAwMC42LzMwLzIwMTguTEZSLkYuVVNELkgBAAAAwHoAAAIAAAAHMTIuMTMzOAEIAAAABQAAAAExAQAAAAoxODg3NDQ1MDg0AwAAAAMxNjACAAAABDQyMzMEAAAAATAHAAAACTYvMzAvMjAxOAgAAAAJMy8zMS8yMDE4CQAAAAEwYpJ0hRQJ1ghn51qHFAnWCDlDSVEuRU5YVFBBOkVSWVAuSVFfVE9UQUxfUkVWLkNZMjAxNy42LzMwLzIwMTguTEZSLkYuVVNELkgBAAAA2Ip4AQIAAAAI</t>
  </si>
  <si>
    <t>NC4wMzkzODUBCAAAAAUAAAABMQEAAAAKMTg4NTIwNDIxOQMAAAADMTYwAgAAAAIyOAQAAAABMAcAAAAJNi8zMC8yMDE4CAAAAAoxMi8zMS8yMDE3CQAAAAEw5Q/vhBQJ1ggxXlGHFAnWCBRDSVEuLklRX1RSX0JVWUVSTkFNRQUAAAABAAAACAAAABQoSW52YWxpZCBJZGVudGlmaWVyKZQLV4YUCdYIlAtXhhQJ1gg2Q0lRLk5BU0RBUUdTOklDUFQuSVFfRUJJVERBLjE5OTIuNi8zMC8yMDE4LkxGUi5GLlVTRC5IAQAAAIKvrQACAAAACC0yNjkuNzcyAQgAAAAFAAAAATEBAAAACjE4NDE4NDI4NjgDAAAAAzE2MAIAAAAENDA1MQQAAAABMAcAAAAJNi8zMC8yMDE4CAAAAAkzLzMxLzIwMTYJAAAAATDpbVmGFAnWCC9wZIcUCdYIH0NJUS5JUTkyNjIyNjQuSVFfQ09NUEFOWV9USUNLRVIBAAAAuFSNAAMAAAANTmFzZGFxR006TU5PVgDmO0WCFAnWCEJItYIUCdYIOUNJUS5OQVNEQVFHUzpJQ1BULklRX05JX01BUkdJTi4yMDAwLjYvMzAvMjAxOC5MRlIuRi5VU0QuSAEAAACCr60AAgAAAAktMjQxLjMyNzYBCAAAAAUAAAABMQEAAAAKMTg4ODYxNTU0MAMAAAADMTYwAgAAAAQ0MDk0BAAAAAEwBwAAAAk2LzMwLzIwMTgIAAAACTMvMzEvMjAxOAkAAAABMOltWYYUCdYIL3BkhxQJ1ggnQ0lRLk5BU0RBUUNNOkNVUi5JUV9URVYuNi8zMC8yMDE4LlVTRC5IAQAAAPHudQACAAAACDcuMTEzMzY1AQYAAAAFAAAAATEBAAAA</t>
  </si>
  <si>
    <t>CjE4ODg4NzIyOTIDAAAAAzE2MAIAAAAGMTAwMDYwBAAAAAEwBwAAAAk2LzMwLzIwMTjlD++EFAnWCDFeUYcUCdYIOENJUS5OQVNEQVFHUzpDQkFZLklRX1RPVEFMX0NMLjE5OTIuNi8zMC8yMDE4LkxGUi5GLlVTRC5IAQAAAMB6AAACAAAABTYuNzQ3AQgAAAAFAAAAATEBAAAACjE4NDQ1NDM4MjQDAAAAAzE2MAIAAAAEMTAwOQQAAAABMAcAAAAJNi8zMC8yMDE4CAAAAAkzLzMxLzIwMTYJAAAAATBiknSFFAnWCGfnWocUCdYIIENJUS5JUTM2MTgzODQwLklRX0xBU1RTQUxFUFJJQ0UuAQAAACAfKAICAAAABDIuOTEA6W1ZhhQJ1gjpbVmGFAnWCDhDSVEuTkFTREFRQ006VktUWC5JUV9UT1RBTF9DTC4xOTkyLjYvMzAvMjAxOC5MRlIuRi5VU0QuSAEAAADyvLUOAgAAAAgxLjkxODEyNQEIAAAABQAAAAExAQAAAAoxODQxMjExMzUwAwAAAAMxNjACAAAABDEwMDkEAAAAATAHAAAACTYvMzAvMjAxOAgAAAAJMy8zMS8yMDE2CQAAAAEwxiXjhBQJ1ghn51qHFAnWCDVDSVEuTkFTREFRR1M6SVRDSS5JUV9DQVBFWC4xOTkyLjYvMzAvMjAxOC5MRlIuRi5VU0QuSAEAAAB30Y8AAgAAAAktMC4zNDQwNzMBCAAAAAUAAAABMQEAAAAKMTg0MTc5MjY5MgMAAAADMTYwAgAAAAQyMDIxBAAAAAEwBwAAAAk2LzMwLzIwMTgIAAAACTMvMzEvMjAxNgkAAAABMGKSdIUUCdYIZ+dahxQJ1gg4Q0lRLk5BU0RBUUdTOkNCQVkuSVFf</t>
  </si>
  <si>
    <t>VE9UQUxfQ0EuMTk5Mi42LzMwLzIwMTguTEZSLkYuVVNELkgBAAAAwHoAAAIAAAAFMzYuNDkBCAAAAAUAAAABMQEAAAAKMTg0NDU0MzgyNAMAAAADMTYwAgAAAAQxMDA4BAAAAAEwBwAAAAk2LzMwLzIwMTgIAAAACTMvMzEvMjAxNgkAAAABMGKSdIUUCdYIZ+dahxQJ1gg/Q0lRLkNQU0U6WkVBTC5JUV9FQklUREFfMllSX0FOTl9DQUdSLjIwMDAuNi8zMC8yMDE4LkxGUi5GLlVTRC5IAQAAACJbEwADAAAAAk5NAQgAAAAFAAAAATEBAAAACjE4ODk5MTMxMDADAAAAAjQyAgAAAAQ0MjA5BAAAAAEwBwAAAAk2LzMwLzIwMTgIAAAACTMvMzEvMjAxOAkAAAABMGKSdIUUCdYI4A1ihxQJ1gg3Q0lRLk5BU0RBUUNNOkFWRU8uSVFfUEVSSU9EREFURV9JUy4yMDAwLjYvMzAvMjAxOC5MRlIuRgEAAAD0Fh0ABQAAAAkzLzMxLzIwMTgAxiXjhBQJ1ghlIlaHFAnWCDlDSVEuT1RDUEs6RU1JUy5JUV9FQklUREFfRVNULkNZMjAyMC42LzMwLzIwMTguQ09OLkYuVVNELkgBAAAAPv0DAAMAAAAAAK+G5YQUCdYIZSJWhxQJ1gg6Q0lRLlNFSEs6MTUzMC5JUV9DQVNIX1NUX0lOVkVTVC4yMDAwLjMvMzEvMjAxOC5MRlIuRi5VU0QuSAEAAADvuHABAgAAAAk3Ny4yNTEyMDYBCAAAAAUAAAABMQEAAAAKMTg2MDQwNzA0MgMAAAADMTYwAgAAAAQxMDAyBAAAAAEwBwAAAAkzLzMxLzIwMTgIAAAACTYvMzAvMjAxNwkAAAABMJQLV4YU</t>
  </si>
  <si>
    <t>CdYIL3BkhxQJ1ghNQ0lRLihJTlZBTElEIElERU5USUZJRVIpLklRX1RPVEFMX1JFVl81WVJfQU5OX0NBR1IuMjAwMC42LzMwLzIwMTguTEZSLkYuVVNELkgFAAAAAAAAAAgAAAAUKEludmFsaWQgSWRlbnRpZmllcinlD++EFAnWCGD7TocUCdYILUNJUS5OQVNEQVFHUzpJVENJLklRX0RJVklERU5EX1lJRUxELjYvMzAvMjAxOAEAAAB30Y8AAwAAAAAAYpJ0hRQJ1ghn51qHFAnWCDpDSVEuTkFTREFRR1M6SUNQVC5JUV9UT1RBTF9ERUJULjIwMDAuNi8zMC8yMDE4LkxGUi5GLlVTRC5IAQAAAIKvrQACAAAABzM1OS40NDkBCAAAAAUAAAABMQEAAAAKMTg4ODYxNTU0MAMAAAADMTYwAgAAAAQ0MTczBAAAAAEwBwAAAAk2LzMwLzIwMTgIAAAACTMvMzEvMjAxOAkAAAABMOltWYYUCdYIL3BkhxQJ1ggpQ0lRLklRVFI0MDIxMDM5MTkuSVFfVFJfSU1QTElFRF9FUV9OSV9MVE0BAAAAb573FwIAAAAAAOY7RYIUCdYIe9JmhxQJ1gg1Q0lRLk9UQ1BLOkVNSVMuSVFfVE9UQUxfQ0EuMTk5Mi42LzMwLzIwMTguTEZSLkYuVVNELkgBAAAAPv0DAAIAAAAFNy42MjkBCAAAAAUAAAABMQEAAAAKMTc5MjE2Mzc4OQMAAAADMTYwAgAAAAQxMDA4BAAAAAEwBwAAAAk2LzMwLzIwMTgIAAAACTMvMzEvMjAxNQkAAAABMK+G5YQUCdYIZSJWhxQJ1gg1Q0lRLk5BU0RBUUdNOkZPTEQuSVFfREFfQ0YuMjAwMC42LzMwLzIwMTguTEZS</t>
  </si>
  <si>
    <t>LkYuVVNELkgBAAAAVvZqAAIAAAAFMy43MzkBCAAAAAUAAAABMQEAAAAKMTg4ODQ4NDY1MQMAAAADMTYwAgAAAAQyMTYwBAAAAAEwBwAAAAk2LzMwLzIwMTgIAAAACTMvMzEvMjAxOAkAAAABMGKSdIUUCdYIlKtfhxQJ1gg8Q0lRLk5BU0RBUUNNOlZLVFguSVFfRUFSTklOR19DTy5DWTIwMTcuNi8zMC8yMDE4LkxGUi5GLlVTRC5IAQAAAPK8tQ4CAAAACi0yMC41Nzc2NjUBCAAAAAUAAAABMQEAAAAKMTg3NzMyMzk2MAMAAAADMTYwAgAAAAE3BAAAAAEwBwAAAAk2LzMwLzIwMTgIAAAACjEyLzMxLzIwMTcJAAAAATDGJeOEFAnWCGfnWocUCdYINUNJUS5OQVNEQVFDTTpCWVNJLklRX0NBUEVYLjIwMDAuNi8zMC8yMDE4LkxGUi5GLlVTRC5IAQAAAEfPbBgCAAAABi0wLjA3NQEIAAAABQAAAAExAQAAAAoxODkzOTczMzg5AwAAAAMxNjACAAAABDIwMjEEAAAAATAHAAAACTYvMzAvMjAxOAgAAAAJMy8zMS8yMDE4CQAAAAEwYpJ0hRQJ1ghFSV2HFAnWCDxDSVEuTkFTREFRR006TU5PVi5JUV9HUk9TU19NQVJHSU4uMjAwMC42LzMwLzIwMTguTEZSLkYuVVNELkgBAAAAuFSNAAMAAAAAAMYl44QUCdYIp4RYhxQJ1ggpQ0lRLlNFSEs6MjE4Ni5JUV9ESVZJREVORF9ZSUVMRC42LzMwLzIwMTgBAAAAwoGYAAIAAAAGMS4wODk2AJQLV4YUCdYIL3BkhxQJ1ggxQ0lRLklRVFIyNzAwNzQ3NTQuSVFfVFJfVEFSR0VUX1JF</t>
  </si>
  <si>
    <t>VkVOVUVfRVNULi5VU0QuSAEAAACCAxkQAgAAAAAA5jtFghQJ1gh70maHFAnWCDZDSVEuRU5YVFBBOkVSWVAuSVFfVE9UQUxfQ0wuMTk5Mi42LzMwLzIwMTguTEZSLkYuVVNELkgBAAAA2Ip4AQIAAAAINi4xMDQ4MDYBCAAAAAUAAAABMQEAAAAKMTg4NTIwNDQwNwMAAAADMTYwAgAAAAQxMDA5BAAAAAEwBwAAAAk2LzMwLzIwMTgIAAAACjEyLzMxLzIwMTUJAAAAATDlD++EFAnWCDFeUYcUCdYIOkNJUS5OQVNEQVFDTTpWS1RYLklRX0VBUk5JTkdfQ08uMTk5Ni42LzMwLzIwMTguTEZSLkYuVVNELkgBAAAA8ry1DgIAAAAKLTE2LjM2NjgzNAEIAAAABQAAAAExAQAAAAoxODg3NzA0OTEwAwAAAAMxNjACAAAAATcEAAAAATAHAAAACTYvMzAvMjAxOAgAAAAJMy8zMS8yMDE3CQAAAAEwxiXjhBQJ1ghn51qHFAnWCC5DSVEuSVFUUjM3MDA3MjM1My5JUV9UUl9UQVJHRVRfU1RPQ0tQUkVNSVVNXzFNAQAAACHbDhYCAAAABzkyLjM4MjYBBgAAAAUAAAACNTQBAAAABjEwMTA1NQIAAAAJMzcwMDcyMzUzAwAAAAkzNzAwNzM0NTcEAAAAAzE2MAYAAAAFRmFsc2XmO0WCFAnWCHvSZocUCdYIGkNJUS5PVENQSzpSWkxULklRX0VYQ0hBTkdFAQAAACEJmwoDAAAABU9UQ1BLAOUP74QUCdYIhsBThxQJ1ghDQ0lRLihJTlZBTElEIElERU5USUZJRVIpLklRX1RPVEFMX0VRVUlUWS4xOTkyLjYvMzAvMjAxOC5MRlIuRi5VU0Qu</t>
  </si>
  <si>
    <t>SAUAAAAAAAAACAAAABQoSW52YWxpZCBJZGVudGlmaWVyKeUP74QUCdYIMV5RhxQJ1gggQ0lRLk5BU0RBUUNNOkNVUi5JUV9DT01QQU5ZX05BTUUBAAAA8e51AAMAAAAQTmV1cmFsc3RlbSwgSW5jLgDlD++EFAnWCDFeUYcUCdYIPENJUS5OQVNEQVFDTTpCWVNJLklRX0VCSVREQV9FU1QuQ1kyMDIwLjYvMzAvMjAxOC5DT04uRi5VU0QuSAEAAABHz2wYAgAAAAMzLjkBDgAAAAUAAAACMTEBAAAAATACAAAACjEwMDM2Nzk0ODkDAAAABjEwMDE4NwQAAAABMgYAAAABMAcAAAADMTYwCAAAAAEwCQAAAAExCgAAAAEwCwAAAAsxMDkzNzE1NTI4MwwAAAABNw0AAAAINy8xLzIwMTgQAAAACTYvMzAvMjAxOGKSdIUUCdYIRUldhxQJ1ggkQ0lRLk5BU0RBUUNNOkJZU0kuSVFfRUZGRUNUX1RBWF9SQVRFAQAAAEfPbBgDAAAAAABiknSFFAnWCEVJXYcUCdYIQ0NJUS5DUFNFOlpFQUwuSVFfTUlOT1JJVFlfSU5URVJFU1RfVE9UQUwuMjAwMC42LzMwLzIwMTguTEZSLkYuVVNELkgBAAAAIlsTAAMAAAAAAOltWYYUCdYI4A1ihxQJ1gghQ0lRLk5BU0RBUUdNOk1OT1YuSVFfQ09NUEFOWV9OQU1FAQAAALhUjQADAAAAEE1lZGljaU5vdmEsIEluYy4AxiXjhBQJ1ginhFiHFAnWCC5DSVEuTkFTREFRR1M6WEVSUy5JUV9NQVJLRVRDQVAuNi8zMC8yMDE4LlVTRC5IAQAAAODuTwYCAAAACjM3NC41ODI2NTYBBgAAAAUAAAABMQEA</t>
  </si>
  <si>
    <t>AAAKMTg5MDk2MDkwNwMAAAADMTYwAgAAAAYxMDAwNTQEAAAAATAHAAAACTYvMzAvMjAxOMYl44QUCdYIZ+dahxQJ1gg9Q0lRLk5BU0RBUUNNOkNPUlQuSVFfUkVWRU5VRV9FU1QuQ1kyMDE4LjYvMzAvMjAxOC5DT04uRi5VU0QuSAEAAADSuRUAAgAAAAkyOTEuMzk1ODUBDgAAAAUAAAACMTEBAAAAATACAAAACjEwMDA5NTQ1NjUDAAAABjEwMDE4MAQAAAABMgYAAAABMAcAAAADMTYwCAAAAAEwCQAAAAExCgAAAAEwCwAAAAsxMDkzMjI3OTc2NgwAAAABNw0AAAAINy8xLzIwMTgQAAAACTYvMzAvMjAxOGKSdIUUCdYIlKtfhxQJ1gguQ0lRLklRVFIzODQwMjg0OTYuSVFfVFJfVEFSR0VUX1NUT0NLUFJFTUlVTV8xTQEAAABQz+MWAgAAAAYxMzkuMTgBBgAAAAUAAAACNTQBAAAABjEwMTA1NQIAAAAJMzg0MDI4NDk2AwAAAAk0MDcyNzU3NzYEAAAAAzE2MAYAAAAFRmFsc2XmO0WCFAnWCHvSZocUCdYIMkNJUS5PVENQSzpCVEhFLklRX0RBX0NGLjIwMDAuNi8zMC8yMDE4LkxGUi5GLlVTRC5IAQAAAG+duQUCAAAACDAuMDkwMjgxAQgAAAAFAAAAATEBAAAACjE4ODg2NjM3NDIDAAAAAzE2MAIAAAAEMjE2MAQAAAABMAcAAAAJNi8zMC8yMDE4CAAAAAkzLzMxLzIwMTgJAAAAATDlD++EFAnWCIbAU4cUCdYIOENJUS5OQVNEQVFHUzpOSVRFLklRX0VCSVREQS5DWTIwMTcuNi8zMC8yMDE4LkxGUi5GLlVTRC5IAQAA</t>
  </si>
  <si>
    <t>AAzTGBACAAAABy0yNy4yOTcBCAAAAAUAAAABMQEAAAAKMTg4MTUxMDExMAMAAAADMTYwAgAAAAQ0MDUxBAAAAAEwBwAAAAk2LzMwLzIwMTgIAAAACjEyLzMxLzIwMTcJAAAAATDGJeOEFAnWCKeEWIcUCdYIN0NJUS5PVENQSzpCVEhFLklRX1RPVEFMX0RFQlQuMjAwMC4zLzMxLzIwMTguTEZSLkYuVVNELkgBAAAAb525BQIAAAAIMi41MDIyNTQBCAAAAAUAAAABMQEAAAAKMTg4MDEwNTYyOAMAAAADMTYwAgAAAAQ0MTczBAAAAAEwBwAAAAkzLzMxLzIwMTgIAAAACjEyLzMxLzIwMTcJAAAAATDlD++EFAnWCDFeUYcUCdYIH0NJUS5DUFNFOk5PVk8gQi5JUV9DT01QQU5ZX05BTUUBAAAAfO8EAAMAAAAQTm92byBOb3JkaXNrIEEvUwCUC1eGFAnWCHvSZocUCdYIOUNJUS5OQVNEQVFDTTpBVkVPLklRX1RPVEFMX1JFVi4yMDAwLjYvMzAvMjAxOC5MRlIuRi5VU0QuSAEAAAD0Fh0AAgAAAAU2LjA3MwEIAAAABQAAAAExAQAAAAoxODg3MjM0Mjk1AwAAAAMxNjACAAAAAjI4BAAAAAEwBwAAAAk2LzMwLzIwMTgIAAAACTMvMzEvMjAxOAkAAAABMMYl44QUCdYIZSJWhxQJ1ghEQ0lRLk9UQ1BLOk5FWFMuSVFfTUlOT1JJVFlfSU5URVJFU1RfVE9UQUwuMjAwMC4zLzMxLzIwMTguTEZSLkYuVVNELkgBAAAAHb1OFAMAAAAAAOUP74QUCdYIMV5RhxQJ1ggrQ0lRLklRVFIxNzI2MjE0NzEuSVFfVFJfSU1QTElFRF9FVl9F</t>
  </si>
  <si>
    <t>QklUX0ZXRAEAAACf/kkKAgAAAAAA5jtFghQJ1gh70maHFAnWCENDSVEuTkFTREFRR006UllUTS5JUV9FQklUREFfNVlSX0FOTl9DQUdSLjIwMDAuNi8zMC8yMDE4LkxGUi5GLlVTRC5IAQAAABjJbRIDAAAAAABiknSFFAnWCEVJXYcUCdYINUNJUS5UU1hWOkNPQi5VLklRX0VCSVREQS5DWTIwMTYuNi8zMC8yMDE4LkxGUi5GLlVTRC5IAQAAAL/7AAgCAAAACS02LjAxODU5OQEIAAAABQAAAAExAQAAAAoxODgxMTcyNTY1AwAAAAMxNjACAAAABDQwNTEEAAAAATAHAAAACTYvMzAvMjAxOAgAAAAKMTIvMzEvMjAxNgkAAAABMK+G5YQUCdYIhsBThxQJ1gg1Q0lRLk5BU0RBUUNNOkNVUi5JUV9FQklUREEuMTk5Mi42LzMwLzIwMTguTEZSLkYuVVNELkgBAAAA8e51AAIAAAAKLTIwLjAyMzAwNgEIAAAABQAAAAExAQAAAAoxODQxMDcyNjg1AwAAAAMxNjACAAAABDQwNTEEAAAAATAHAAAACTYvMzAvMjAxOAgAAAAJMy8zMS8yMDE2CQAAAAEw5Q/vhBQJ1ggxXlGHFAnWCDZDSVEuTkFTREFRR1M6TklURS5JUV9FQklUREEuMTk5Mi42LzMwLzIwMTguTEZSLkYuVVNELkgBAAAADNMYEAIAAAAGLTkuMjg0AQgAAAAFAAAAATEBAAAACjE4ODE1MTAwNzUDAAAAAzE2MAIAAAAENDA1MQQAAAABMAcAAAAJNi8zMC8yMDE4CAAAAAoxMi8zMS8yMDE1CQAAAAEwxiXjhBQJ1ginhFiHFAnWCC1DSVEuTkFTREFRQ006Q1VSLklR</t>
  </si>
  <si>
    <t>X01BUktFVENBUC4zLzMxLzIwMTguVVNELkgBAAAA8e51AAIAAAAJMjQuOTkwOTQ1AQYAAAAFAAAAATEBAAAACjE4NjQ1NjYzOTQDAAAAAzE2MAIAAAAGMTAwMDU0BAAAAAEwBwAAAAkzLzMxLzIwMTjlD++EFAnWCDFeUYcUCdYINENJUS5TRUhLOjIxODYuSVFfRUJJVERBLkNZMjAxNi42LzMwLzIwMTguTEZSLkYuVVNELkgBAAAAwoGYAAIAAAAKMTM0LjA2NzMxNgEIAAAABQAAAAExAQAAAAoxODg1NDk0ODM0AwAAAAMxNjACAAAABDQwNTEEAAAAATAHAAAACTYvMzAvMjAxOAgAAAAKMTIvMzEvMjAxNgkAAAABMJQLV4YUCdYIL3BkhxQJ1gg5Q0lRLlNFSEs6MjE4Ni5JUV9SRVZFTlVFX0VTVC5DWTIwMTguNi8zMC8yMDE4LkNPTi5GLlVTRC5IAQAAAMKBmAACAAAAEDY4MS42MjYxNjk3ODkwNTkBDgAAAAUAAAACMTEBAAAAATACAAAACjEwMDI4MzUwMzIDAAAABjEwMDE4MAQAAAABMwYAAAABMAcAAAADMTYwCAAAAAEwCQAAAAExCgAAAAEwCwAAAAsxMDk0NTc4MTkwOAwAAAABNw0AAAAINy8xLzIwMTgQAAAACTYvMzAvMjAxOOltWYYUCdYIL3BkhxQJ1gggQ0lRLklRVFIzODQwMjg0OTYuSVFfVFJfRUFSTk9VVFMBAAAAUM/jFgIAAAAAAOY7RYIUCdYIe9JmhxQJ1gg9Q0lRLk5BU0RBUUdNOlJZVE0uSVFfUkVWRU5VRV9FU1QuQ1kyMDE4LjYvMzAvMjAxOC5DT04uRi5VU0QuSAEAAAAYyW0SAgAAAAEwAQ4A</t>
  </si>
  <si>
    <t>AAAFAAAAAjExAQAAAAEwAgAAAAoxMDAzODk5MzQxAwAAAAYxMDAxODAEAAAAATIGAAAAATAHAAAAAzE2MAgAAAABMAkAAAABMQoAAAABMAsAAAALMTA5NDAwNjg0OTIMAAAAATcNAAAACDcvMS8yMDE4EAAAAAk2LzMwLzIwMThiknSFFAnWCEVJXYcUCdYIJ0NJUS5OQVNEQVFDTTpBVkVPLklRX1BFUklPRERBVEVfSVMuMTAwMAEAAAD0Fh0ABQAAAAoxMi8zMS8yMDE3AMYl44QUCdYIZSJWhxQJ1gg0Q0lRLk5ZU0U6TVlPVi5JUV9UT1RBTF9DTC4yMDAwLjYvMzAvMjAxOC5MRlIuRi5VU0QuSAEAAACX2gsYAgAAAAYzNy4wODUBCAAAAAUAAAABMQEAAAAKMTg5MjgzNDczMwMAAAADMTYwAgAAAAQxMDA5BAAAAAEwBwAAAAk2LzMwLzIwMTgIAAAACTMvMzEvMjAxOAkAAAABMGKSdIUUCdYIlKtfhxQJ1gg8Q0lRLk5BU0RBUUdTOkFQVFguSVFfVE9UQUxfRVFVSVRZLjIwMDAuNi8zMC8yMDE4LkxGUi5GLlVTRC5IAQAAAC8pDBQCAAAABTgxLjUyAQgAAAAFAAAAATEBAAAACjE4OTA4NTEzOTEDAAAAAzE2MAIAAAAEMTI3NQQAAAABMAcAAAAJNi8zMC8yMDE4CAAAAAkzLzMxLzIwMTgJAAAAATBiknSFFAnWCEVJXYcUCdYIOENJUS5TRUhLOjIxODYuSVFfRUJJVERBX0VTVC5DWTIwMTkuNi8zMC8yMDE4LkNPTi5GLlVTRC5IAQAAAMKBmAACAAAAEDI4MS4xOTI2MDE5NDI2ODMBDgAAAAUAAAACMTEBAAAAATACAAAA</t>
  </si>
  <si>
    <t>CjEwMDI4MzUwMzMDAAAABjEwMDE4NwQAAAABMwYAAAABMAcAAAADMTYwCAAAAAEwCQAAAAExCgAAAAEwCwAAAAsxMDk0NTc4MTY1NgwAAAABNw0AAAAINy8xLzIwMTgQAAAACTYvMzAvMjAxOOltWYYUCdYIL3BkhxQJ1ggnQ0lRLk5BU0RBUUdTOklDUFQuSVFfQkVUQV8xWVIuNi8zMC8yMDE4AQAAAIKvrQACAAAAEDEuMjQwMTc1ODkzNTUwMjgA6W1ZhhQJ1ggvcGSHFAnWCEJDSVEuTkFTREFRQ006Q1VSLklRX0VCSVREQV81WVJfQU5OX0NBR1IuMjAwMC42LzMwLzIwMTguTEZSLkYuVVNELkgBAAAA8e51AAMAAAACTk0BCAAAAAUAAAABMQEAAAAKMTg4ODg3MzIxOQMAAAADMTYwAgAAAAQ0MjM1BAAAAAEwBwAAAAk2LzMwLzIwMTgIAAAACTMvMzEvMjAxOAkAAAABMOUP74QUCdYIMV5RhxQJ1gg2Q0lRLk5BU0RBUUdNOkZPTEQuSVFfRUJJVERBLjE5OTIuNi8zMC8yMDE4LkxGUi5GLlVTRC5IAQAAAFb2agACAAAACC0xNDAuNzk4AQgAAAAFAAAAATEBAAAACjE4NDE0NDc1NzMDAAAAAzE2MAIAAAAENDA1MQQAAAABMAcAAAAJNi8zMC8yMDE4CAAAAAkzLzMxLzIwMTYJAAAAATBiknSFFAnWCJSrX4cUCdYIOkNJUS5UU1hWOkNPQi5VLklRX1JFVkVOVUVfRVNULkNZMjAxOS42LzMwLzIwMTguQ09OLkYuVVNELkgBAAAAv/sACAMAAAAAAK+G5YQUCdYIhsBThxQJ1gg4Q0lRLk5BU0RBUUdNOkZPTEQuSVFfVE9U</t>
  </si>
  <si>
    <t>QUxfQ0EuMTk5Ni42LzMwLzIwMTguTEZSLkYuVVNELkgBAAAAVvZqAAIAAAAHMjk2LjIwNwEIAAAABQAAAAExAQAAAAoxODg4NDg0NjE5AwAAAAMxNjACAAAABDEwMDgEAAAAATAHAAAACTYvMzAvMjAxOAgAAAAJMy8zMS8yMDE3CQAAAAEwYpJ0hRQJ1giUq1+HFAnWCC5DSVEuSVFUUjI3MDA3NDc1NC5JUV9UUl9UQVJHRVRfU1RPQ0tQUkVNSVVNXzFNAQAAAIIDGRACAAAAAADmO0WCFAnWCHvSZocUCdYIOUNJUS5OQVNEQVFHUzpBUFRYLklRX1RPVEFMX1JFVi4xOTkyLjYvMzAvMjAxOC5MRlIuRi5VU0QuSAEAAAAvKQwUAwAAAAAAYpJ0hRQJ1ghFSV2HFAnWCCFDSVEuSVFUUjI0OTk4MTU2NC5JUV9UUl9CVVlFUk5BTUUBAAAAfGrmDgMAAAAaU2FsaXggUGhhcm1hY2V1dGljYWxzLCBJbmMA5jtFghQJ1gh70maHFAnWCCdDSVEuTkFTREFRR006VlRWVC5JUV9QRVJJT0REQVRFX0lTLjEwMDABAAAAHaMfEgUAAAAKMTIvMzEvMjAxNwCvhuWEFAnWCIbAU4cUCdYIJENJUS5OQVNEQVFHTTpNTk9WLklRX0VGRkVDVF9UQVhfUkFURQEAAAC4VI0AAwAAAAJOTQEIAAAABQAAAAExAQAAAAoxODk2NzY2MTkxAwAAAAMxNjACAAAABDQzNzYEAAAAATAHAAAACTgvMjMvMjAxOAgAAAAJNi8zMC8yMDE4CQAAAAEwxiXjhBQJ1ginhFiHFAnWCCdDSVEuTkFTREFRQ006QllTSS5JUV9CRVRBXzVZUi42LzMwLzIwMTgBAAAA</t>
  </si>
  <si>
    <t>R89sGAMAAAAAAGKSdIUUCdYIRUldhxQJ1ghBQ0lRLkVOWFRQQTpFUllQLklRX0VCSVREQV8yWVJfQU5OX0NBR1IuMjAwMC42LzMwLzIwMTguTEZSLkYuVVNELkgBAAAA2Ip4AQMAAAACTk0BCAAAAAUAAAABMQEAAAAKMTg4NTIwNDIxOQMAAAACNTACAAAABDQyMDkEAAAAATAHAAAACTYvMzAvMjAxOAgAAAAKMTIvMzEvMjAxNwkAAAABMOUP74QUCdYIMV5RhxQJ1ghAQ0lRLk9UQ1BLOkJUSEUuSVFfRUJJVERBXzVZUl9BTk5fQ0FHUi4yMDAwLjYvMzAvMjAxOC5MRlIuRi5VU0QuSAEAAABvnbkFAwAAAAJOTQEIAAAABQAAAAExAQAAAAoxODg4NjYzNzQyAwAAAAMxNjACAAAABDQyMzUEAAAAATAHAAAACTYvMzAvMjAxOAgAAAAJMy8zMS8yMDE4CQAAAAEw5Q/vhBQJ1ggxXlGHFAnWCCVDSVEuTkFTREFRQ006QllTSS5JUV9GSVJTVFBSSUNJTkdEQVRFAQAAAEfPbBgFAAAACDMvOS8yMDE3AGKSdIUUCdYIRUldhxQJ1gg9Q0lRLk5BU0RBUUdTOk5JVEUuSVFfUkVWRU5VRV9FU1QuQ1kyMDIwLjYvMzAvMjAxOC5DT04uRi5VU0QuSAEAAAAM0xgQAgAAAAcwLjc4OTgzAQ4AAAAFAAAAAjExAQAAAAEwAgAAAAoxMDAzODkyMzU0AwAAAAYxMDAxODAEAAAAATIGAAAAATAHAAAAAzE2MAgAAAABMAkAAAABMQoAAAABMAsAAAALMTEwNDM3MTc1NjcMAAAAATcNAAAACDcvMS8yMDE4EAAAAAk2LzMwLzIwMTivhuWEFAnW</t>
  </si>
  <si>
    <t>CKeEWIcUCdYIM0NJUS5TRUhLOjM5MzMuSVFfUEVSSU9EREFURV9JUy4yMDAwLjYvMzAvMjAxOC5MRlIuRgEAAABN2hECBQAAAAoxMi8zMS8yMDE3AOltWYYUCdYIL3BkhxQJ1gg+Q0lRLk5BU0RBUUNNOkJZU0kuSVFfVE9UQUxfRVFVSVRZLkNZMjAxNy42LzMwLzIwMTguTEZSLkYuVVNELkgBAAAAR89sGAIAAAAGMjguMDM2AQgAAAAFAAAAATEBAAAACjE4ODEyMzA3MDQDAAAAAzE2MAIAAAAEMTI3NQQAAAABMAcAAAAJNi8zMC8yMDE4CAAAAAoxMi8zMS8yMDE3CQAAAAEwYpJ0hRQJ1ghFSV2HFAnWCENDSVEuTkFTREFRQ006QllTSS5JUV9FQklUREFfM1lSX0FOTl9DQUdSLjIwMDAuNi8zMC8yMDE4LkxGUi5GLlVTRC5IAQAAAEfPbBgDAAAAAABiknSFFAnWCEVJXYcUCdYIM0NJUS5BTUVYOkJUWC5JUV9FQklUREEuQ1kyMDE2LjYvMzAvMjAxOC5MRlIuRi5VU0QuSAEAAAAWZAAAAgAAAAYtNTQuMjEBCAAAAAUAAAABMQEAAAAKMTg3ODUxMzYxMwMAAAADMTYwAgAAAAQ0MDUxBAAAAAEwBwAAAAk2LzMwLzIwMTgIAAAACjEyLzMxLzIwMTYJAAAAATDGJeOEFAnWCGUiVocUCdYINkNJUS5TSFNFOjYwMDg2Ny5JUV9UT1RBTF9DQS4xOTkyLjYvMzAvMjAxOC5MRlIuRi5VU0QuSAEAAADYPq4AAgAAAAoyNTkuNzEyMjA2AQgAAAAFAAAAATEBAAAACjE4Mzg5MzAzNTkDAAAAAzE2MAIAAAAEMTAwOAQAAAABMAcA</t>
  </si>
  <si>
    <t>AAAJNi8zMC8yMDE4CAAAAAkzLzMxLzIwMTYJAAAAATBiknSFFAnWCOANYocUCdYIOkNJUS5OQVNEQVFHUzpPRFQuSVFfVE9UQUxfUkVWLkNZMjAxNi42LzMwLzIwMTguTEZSLkYuVVNELkgBAAAAGhpFIAMAAAAAAMYl44QUCdYIZ+dahxQJ1gg+Q0lRLk5BU0RBUUdTOkxYUlguSVFfVE9UQUxfRVFVSVRZLkNZMjAxNy42LzMwLzIwMTguTEZSLkYuVVNELkgBAAAAPXgAAAIAAAAGNTIuMTAyAQgAAAAFAAAAATEBAAAACjE4NzcxMzM5NzQDAAAAAzE2MAIAAAAEMTI3NQQAAAABMAcAAAAJNi8zMC8yMDE4CAAAAAoxMi8zMS8yMDE3CQAAAAEwYpJ0hRQJ1ghFSV2HFAnWCDxDSVEuTkFTREFRR1M6Q1lUSy5JUV9FQklUREFfRVNULkNZMjAxOC42LzMwLzIwMTguQ09OLkYuVVNELkgBAAAAs2oAAAIAAAAJLTkxLjExODc2AQ4AAAAFAAAAAjExAQAAAAEwAgAAAAoxMDAxNTA3MDU4AwAAAAYxMDAxODcEAAAAATIGAAAAATAHAAAAAzE2MAgAAAABMAkAAAABMQoAAAABMAsAAAALMTA4NTQ3MTE0OTUMAAAAATcNAAAACDcvMS8yMDE4EAAAAAk2LzMwLzIwMTivhuWEFAnWCGUiVocUCdYINkNJUS5DUFNFOk5PVk8gQi5JUV9UT1RBTF9DQS4yMDAwLjYvMzAvMjAxOC5MRlIuRi5VU0QuSAEAAAB87wQAAgAAAAo4MjUwLjA0NTA0AQgAAAAFAAAAATEBAAAACjE4OTI2MjM5NTMDAAAAAzE2MAIAAAAEMTAwOAQAAAABMAcAAAAJ</t>
  </si>
  <si>
    <t>Ni8zMC8yMDE4CAAAAAkzLzMxLzIwMTgJAAAAATCUC1eGFAnWCHvSZocUCdYINkNJUS5OQVNEQVFHUzpMWFJYLklRX0VCSVREQS4xOTkyLjYvMzAvMjAxOC5MRlIuRi5VU0QuSAEAAAA9eAAAAgAAAAUzLjc1MwEIAAAABQAAAAExAQAAAAoxODQwNTE3OTA1AwAAAAMxNjACAAAABDQwNTEEAAAAATAHAAAACTYvMzAvMjAxOAgAAAAJMy8zMS8yMDE2CQAAAAEwYpJ0hRQJ1giUq1+HFAnWCCdDSVEuTkFTREFRR1M6Q1lUSy5JUV9CRVRBXzJZUi42LzMwLzIwMTgBAAAAs2oAAAIAAAAQMS40MjU4NzQ5MzAwMzE3NwCvhuWEFAnWCGUiVocUCdYIO0NJUS5OQVNEQVFDTTpDT1JULklRX1RPVEFMX1JFVi5DWTIwMTcuNi8zMC8yMDE4LkxGUi5GLlVTRC5IAQAAANK5FQACAAAABzE1OS4yMDEBCAAAAAUAAAABMQEAAAAKMTg3NzExMTI3NwMAAAADMTYwAgAAAAIyOAQAAAABMAcAAAAJNi8zMC8yMDE4CAAAAAoxMi8zMS8yMDE3CQAAAAEwYpJ0hRQJ1giUq1+HFAnWCD1DSVEuTkFTREFRR1M6WEVSUy5JUV9SRVZFTlVFX0VTVC5DWTIwMTkuNi8zMC8yMDE4LkNPTi5GLlVTRC5IAQAAAODuTwYDAAAAAACvhuWEFAnWCGfnWocUCdYIRUNJUS5OQVNEQVFHUzpPRFQuSVFfVE9UQUxfUkVWXzVZUl9BTk5fQ0FHUi4yMDAwLjYvMzAvMjAxOC5MRlIuRi5VU0QuSAEAAAAaGkUgAwAAAAAAxiXjhBQJ1ginhFiHFAnWCDxDSVEuTkFT</t>
  </si>
  <si>
    <t>REFRR006Rk9MRC5JUV9UT1RBTF9FUVVJVFkuMjAwMC42LzMwLzIwMTguTEZSLkYuVVNELkgBAAAAVvZqAAIAAAAHNTIxLjYxNwEIAAAABQAAAAExAQAAAAoxODg4NDg0NjUxAwAAAAMxNjACAAAABDEyNzUEAAAAATAHAAAACTYvMzAvMjAxOAgAAAAJMy8zMS8yMDE4CQAAAAEwYpJ0hRQJ1giUq1+HFAnWCDlDSVEuT1RDUEs6TkVYUy5JUV9HUk9TU19NQVJHSU4uMjAwMC42LzMwLzIwMTguTEZSLkYuVVNELkgBAAAAHb1OFAMAAAAAAOUP74QUCdYIMV5RhxQJ1gguQ0lRLklRVFIzMTAyMjkxODguSVFfVFJfVEFSR0VUX1NUT0NLUFJFTUlVTV8xTQEAAADEuH0SAgAAAAAA5jtFghQJ1gh70maHFAnWCDpDSVEuTkFTREFRR006VlRWVC5JUV9UT1RBTF9ERUJULjIwMDAuNi8zMC8yMDE4LkxGUi5GLlVTRC5IAQAAAB2jHxICAAAABjE5Ljg2MgEIAAAABQAAAAExAQAAAAoxODg5MDU2NTM3AwAAAAMxNjACAAAABDQxNzMEAAAAATAHAAAACTYvMzAvMjAxOAgAAAAJMy8zMS8yMDE4CQAAAAEwr4blhBQJ1giGwFOHFAnWCDRDSVEuQ1BTRTpaRUFMLklRX1RPVEFMX0NMLjE5OTIuNi8zMC8yMDE4LkxGUi5GLlVTRC5IAQAAACJbEwACAAAACDguMzEyNDk0AQgAAAAFAAAAATEBAAAACjE4NDI3MzE0MzMDAAAAAzE2MAIAAAAEMTAwOQQAAAABMAcAAAAJNi8zMC8yMDE4CAAAAAkzLzMxLzIwMTYJAAAAATBiknSFFAnWCOAN</t>
  </si>
  <si>
    <t>YocUCdYIPENJUS4oSU5WQUxJRCBJREVOVElGSUVSKS5JUV9DQVBFWC4xOTkyLjYvMzAvMjAxOC5MRlIuRi5VU0QuSAUAAAAAAAAACAAAABQoSW52YWxpZCBJZGVudGlmaWVyKeUP74QUCdYIMV5RhxQJ1ghDQ0lRLk9UQ1BLOkJUSEUuSVFfVE9UQUxfUkVWXzVZUl9BTk5fQ0FHUi4yMDAwLjYvMzAvMjAxOC5MRlIuRi5VU0QuSAEAAABvnbkFAgAAAActNi4xMDI2AQgAAAAFAAAAATEBAAAACjE4ODg2NjM3NDIDAAAAAzE2MAIAAAAENDIzMwQAAAABMAcAAAAJNi8zMC8yMDE4CAAAAAkzLzMxLzIwMTgJAAAAATDlD++EFAnWCDFeUYcUCdYINkNJUS5OQVNEQVFHUzpOSVRFLklRX0VCSVREQS4xOTk2LjYvMzAvMjAxOC5MRlIuRi5VU0QuSAEAAAAM0xgQAgAAAActMTIuNTg1AQgAAAAFAAAAATEBAAAACjE4OTM0OTY3MzgDAAAAAzE2MAIAAAAENDA1MQQAAAABMAcAAAAJNi8zMC8yMDE4CAAAAAkzLzMxLzIwMTcJAAAAATDGJeOEFAnWCKeEWIcUCdYIOENJUS5PVENQSzpCVEhFLklRX1BSRUZfRVFVSVRZLjIwMDAuNi8zMC8yMDE4LkxGUi5GLlVTRC5IAQAAAG+duQUCAAAABzguM0UtMDUBCAAAAAUAAAABMQEAAAAKMTg4ODY2Mzc0MgMAAAADMTYwAgAAAAQxMDA1BAAAAAEwBwAAAAk2LzMwLzIwMTgIAAAACTMvMzEvMjAxOAkAAAABMOUP74QUCdYIhsBThxQJ1gg7Q0lRLk5BU0RBUUdTOk5JVEUuSVFfVE9UQUxf</t>
  </si>
  <si>
    <t>UkVWLkNZMjAxNy42LzMwLzIwMTguTEZSLkYuVVNELkgBAAAADNMYEAMAAAAAAMYl44QUCdYIxDRphxQJ1gg8Q0lRLk5BU0RBUUdNOlJZVE0uSVFfR1JPU1NfTUFSR0lOLjIwMDAuNi8zMC8yMDE4LkxGUi5GLlVTRC5IAQAAABjJbRIDAAAAAABiknSFFAnWCEVJXYcUCdYIQ0NJUS5TRUhLOjE1MzAuSVFfTUlOT1JJVFlfSU5URVJFU1RfVE9UQUwuMjAwMC42LzMwLzIwMTguTEZSLkYuVVNELkgBAAAA77hwAQIAAAAJMzUuNzg3NDE5AQgAAAAFAAAAATEBAAAACjE4ODYwOTk4NjIDAAAAAzE2MAIAAAAEMTMxMgQAAAABMAcAAAAJNi8zMC8yMDE4CAAAAAoxMi8zMS8yMDE3CQAAAAEwlAtXhhQJ1ggvcGSHFAnWCC9DSVEuSVFUUjI3MDA3NDc1NC5JUV9UUl9JTVBMSUVEX0VWX0ZJTkFMLi5VU0QuSAEAAACCAxkQAgAAAAM5MjUA5jtFghQJ1gh70maHFAnWCC5DSVEuSVFUUjI3MDA3NDc1NC5JUV9UUl9UQVJHRVRfU1RPQ0tQUkVNSVVNXzFXAQAAAIIDGRACAAAAAADmO0WCFAnWCHvSZocUCdYINUNJUS5TRUhLOjE1MzAuSVFfVE9UQUxfUkVWLjE5OTIuNi8zMC8yMDE4LkxGUi5GLlVTRC5IAQAAAO+4cAECAAAACjI1Ny43MDEzNDgBCAAAAAUAAAABMQEAAAAKMTgzODE5NzYxNAMAAAADMTYwAgAAAAIyOAQAAAABMAcAAAAJNi8zMC8yMDE4CAAAAAoxMi8zMS8yMDE1CQAAAAEwlAtXhhQJ1ggvcGSHFAnWCDxDSVEu</t>
  </si>
  <si>
    <t>TkFTREFRR1M6WEVSUy5JUV9HUk9TU19NQVJHSU4uMjAwMC42LzMwLzIwMTguTEZSLkYuVVNELkgBAAAA4O5PBgIAAAAFOTYuODYBCAAAAAUAAAABMQEAAAAKMTg5MDk2MTY1NQMAAAADMTYwAgAAAAQ0MDc0BAAAAAEwBwAAAAk2LzMwLzIwMTgIAAAACTMvMzEvMjAxOAkAAAABMMYl44QUCdYIZ+dahxQJ1gg9Q0lRLk5BU0RBUUdNOlZUVlQuSVFfUkVWRU5VRV9FU1QuQ1kyMDE5LjYvMzAvMjAxOC5DT04uRi5VU0QuSAEAAAAdox8SAgAAAAMzLjQBDgAAAAUAAAACMTEBAAAAATACAAAACjEwMDMxNjQ5NjEDAAAABjEwMDE4MAQAAAABMgYAAAABMAcAAAADMTYwCAAAAAEwCQAAAAExCgAAAAEwCwAAAAsxMDg4NzUwMzYzMwwAAAABNw0AAAAINy8xLzIwMTgQAAAACTYvMzAvMjAxOOUP74QUCdYIhsBThxQJ1ggsQ0lRLkNQU0U6WkVBTC5JUV9MQVNUU0FMRVBSSUNFLjYvMzAvMjAxOC5VU0QBAAAAIlsTAAIAAAAJMTMuMTUyNzIzAOltWYYUCdYI4A1ihxQJ1gg4Q0lRLk5ZU0U6TVlPVi5JUV9UT1RBTF9FUVVJVFkuMjAwMC42LzMwLzIwMTguTEZSLkYuVVNELkgBAAAAl9oLGAIAAAAGMzcuNzI5AQgAAAAFAAAAATEBAAAACjE4OTI4MzQ3MzMDAAAAAzE2MAIAAAAEMTI3NQQAAAABMAcAAAAJNi8zMC8yMDE4CAAAAAkzLzMxLzIwMTgJAAAAATBiknSFFAnWCJSrX4cUCdYINUNJUS5OWVNFOk1ZT1YuSVFfVE9UQUxf</t>
  </si>
  <si>
    <t>UkVWLjIwMDAuNi8zMC8yMDE4LkxGUi5GLlVTRC5IAQAAAJfaCxgDAAAAAABiknSFFAnWCJSrX4cUCdYINUNJUS5OQVNEQVFHUzpYRVJTLklRX0NBUEVYLjIwMDAuNi8zMC8yMDE4LkxGUi5GLlVTRC5IAQAAAODuTwYCAAAABi0wLjY5MQEIAAAABQAAAAExAQAAAAoxODkwOTYxNjU1AwAAAAMxNjACAAAABDIwMjEEAAAAATAHAAAACTYvMzAvMjAxOAgAAAAJMy8zMS8yMDE4CQAAAAEwxiXjhBQJ1ghn51qHFAnWCDxDSVEuTkFTREFRR1M6Q1lUSy5JUV9HUk9TU19NQVJHSU4uMjAwMC42LzMwLzIwMTguTEZSLkYuVVNELkgBAAAAs2oAAAMAAAACTk0BCAAAAAUAAAABMQEAAAAKMTg4ODQ3MDY2NgMAAAADMTYwAgAAAAQ0MDc0BAAAAAEwBwAAAAk2LzMwLzIwMTgIAAAACTMvMzEvMjAxOAkAAAABMMYl44QUCdYIZSJWhxQJ1ggyQ0lRLkFNRVg6QlRYLklRX1BFUklPRERBVEVfSVMuMjAwMC42LzMwLzIwMTguTEZSLkYBAAAAFmQAAAUAAAAJMy8zMS8yMDE4AMYl44QUCdYIZSJWhxQJ1gg2Q0lRLk5BU0RBUUdTOkxYUlguSVFfRUJJVERBLjIwMDAuNi8zMC8yMDE4LkxGUi5GLlVTRC5IAQAAAD14AAACAAAACC0xMjguNDcyAQgAAAAFAAAAATEBAAAACjE4ODY1NDM4NzUDAAAAAzE2MAIAAAAENDA1MQQAAAABMAcAAAAJNi8zMC8yMDE4CAAAAAkzLzMxLzIwMTgJAAAAATBiknSFFAnWCJSrX4cUCdYIP0NJUS4oSU5W</t>
  </si>
  <si>
    <t>QUxJRCBJREVOVElGSUVSKS5JUV9UT1RBTF9DTC4xOTkyLjYvMzAvMjAxOC5MRlIuRi5VU0QuSAUAAAAAAAAACAAAABQoSW52YWxpZCBJZGVudGlmaWVyKeUP74QUCdYIMV5RhxQJ1gg2Q0lRLk5BU0RBUUNNOkFWRU8uSVFfRUJJVERBLjIwMDAuNi8zMC8yMDE4LkxGUi5GLlVTRC5IAQAAAPQWHQADAAAAAADGJeOEFAnWCGUiVocUCdYIJ0NJUS5OQVNEQVFDTTpWS1RYLklRX0JFVEFfMVlSLjYvMzAvMjAxOAEAAADyvLUOAgAAABAxLjM4NTc0NzA1OTc5NjU2AK+G5YQUCdYIZ+dahxQJ1gg9Q0lRLk5BU0RBUUdNOk1OS0QuSVFfRUJJVERBX01BUkdJTi4yMDAwLjYvMzAvMjAxOC5MRlIuRi5VU0QuSAEAAABmpY0AAwAAAAJOTQEIAAAABQAAAAExAQAAAAoxODg5Nzc1OTkzAwAAAAMxNjACAAAABDQwNDcEAAAAATAHAAAACTYvMzAvMjAxOAgAAAAJMy8zMS8yMDE4CQAAAAEw6W1ZhhQJ1gjgDWKHFAnWCDtDSVEuTkFTREFRR006Rk9MRC5JUV9QUkVGX0VRVUlUWS4yMDAwLjMvMzEvMjAxOC5MRlIuRi5VU0QuSAEAAABW9moAAwAAAAAAYpJ0hRQJ1giUq1+HFAnWCDhDSVEuRU5YVFBBOkVSWVAuSVFfVE9UQUxfREVCVC4yMDAwLjYvMzAvMjAxOC5MRlIuRi5VU0QuSAEAAADYingBAgAAAAgzLjQxMzc4NQEIAAAABQAAAAExAQAAAAoxODg1MjA0MjE5AwAAAAMxNjACAAAABDQxNzMEAAAAATAHAAAACTYvMzAvMjAx</t>
  </si>
  <si>
    <t>OAgAAAAKMTIvMzEvMjAxNwkAAAABMOUP74QUCdYIMV5RhxQJ1gg3Q0lRLk5BU0RBUUdNOk1OT1YuSVFfUEVSSU9EREFURV9JUy4yMDAwLjYvMzAvMjAxOC5MRlIuRgEAAAC4VI0ABQAAAAkzLzMxLzIwMTgAxiXjhBQJ1ginhFiHFAnWCDVDSVEuTkFTREFRR1M6SUNQVC5JUV9DQVBFWC4xOTk2LjYvMzAvMjAxOC5MRlIuRi5VU0QuSAEAAACCr60AAgAAAAYtNi42OTcBCAAAAAUAAAABMQEAAAAKMTg4ODYxNTUxOQMAAAADMTYwAgAAAAQyMDIxBAAAAAEwBwAAAAk2LzMwLzIwMTgIAAAACTMvMzEvMjAxNwkAAAABMOltWYYUCdYIL3BkhxQJ1ggiQ0lRLklRVFIxNzE5MzA1MzQuSVFfVFJfVEFSR0VUTkFNRQEAAACmcz8KAwAAABpEaWFLaW5lIFRoZXJhcGV1dGljcywgSW5jLgDmO0WCFAnWCHvSZocUCdYIIUNJUS5PVENQSzpCVEhFLklRX0VGRkVDVF9UQVhfUkFURQEAAABvnbkFAwAAAAAA5Q/vhBQJ1ggxXlGHFAnWCCdDSVEuTkFTREFRR1M6TklURS5JUV9CRVRBXzFZUi42LzMwLzIwMTgBAAAADNMYEAIAAAARMC4xMzIxODM3MDU2NjI4NjQAr4blhBQJ1ginhFiHFAnWCDxDSVEuTkFTREFRR1M6SVRDSS5JUV9HUk9TU19NQVJHSU4uMjAwMC42LzMwLzIwMTguTEZSLkYuVVNELkgBAAAAd9GPAAMAAAACTk0BCAAAAAUAAAABMQEAAAAKMTg4NjYxNzMyMgMAAAADMTYwAgAAAAQ0MDc0BAAAAAEwBwAAAAk2LzMw</t>
  </si>
  <si>
    <t>LzIwMTgIAAAACTMvMzEvMjAxOAkAAAABMGKSdIUUCdYIZ+dahxQJ1gglQ0lRLklRVFIzNzAwNzIzNTMuSVFfUFJJTUFSWV9JTkRVU1RSWQEAAACMcRMAAwAAAA1CaW90ZWNobm9sb2d5AOY7RYIUCdYIe9JmhxQJ1ghCQ0lRLlNFSEs6MjE4Ni5JUV9UT1RBTF9SRVZfM1lSX0FOTl9DQUdSLjIwMDAuNi8zMC8yMDE4LkxGUi5GLlVTRC5IAQAAAMKBmAACAAAABzE0LjQ2MDEBCAAAAAUAAAABMQEAAAAKMTg4NTQ5NTAwNgMAAAACMzICAAAABDQyMjAEAAAAATAHAAAACTYvMzAvMjAxOAgAAAAKMTIvMzEvMjAxNwkAAAABMOltWYYUCdYIL3BkhxQJ1gg/Q0lRLlNFSEs6MzkzMy5JUV9FQklUREFfM1lSX0FOTl9DQUdSLjIwMDAuNi8zMC8yMDE4LkxGUi5GLlVTRC5IAQAAAE3aEQICAAAABy0wLjc1NzYBCAAAAAUAAAABMQEAAAAKMTg4NTczOTIwMgMAAAACMzICAAAABDQyMjIEAAAAATAHAAAACTYvMzAvMjAxOAgAAAAKMTIvMzEvMjAxNwkAAAABMOltWYYUCdYI4A1ihxQJ1gg0Q0lRLkFNRVg6QlRYLklRX1RPVEFMX1JFVi4xOTk2LjYvMzAvMjAxOC5MRlIuRi5VU0QuSAEAAAAWZAAAAgAAAAQ0LjI0AQgAAAAFAAAAATEBAAAACjE4ODc5ODAxNTcDAAAAAzE2MAIAAAACMjgEAAAAATAHAAAACTYvMzAvMjAxOAgAAAAJMy8zMS8yMDE3CQAAAAEwxiXjhBQJ1ghlIlaHFAnWCC5DSVEuKElOVkFMSUQgSURFTlRJRklF</t>
  </si>
  <si>
    <t>UikuSVFfQkVUQV8xWVIuNi8zMC8yMDE4BQAAAAAAAAAIAAAAFChJbnZhbGlkIElkZW50aWZpZXIp5Q/vhBQJ1ggxXlGHFAnWCEZDSVEuTkFTREFRR006UllUTS5JUV9UT1RBTF9SRVZfNVlSX0FOTl9DQUdSLjIwMDAuNi8zMC8yMDE4LkxGUi5GLlVTRC5IAQAAABjJbRIDAAAAAABiknSFFAnWCEVJXYcUCdYINkNJUS5OQVNEQVFHUzpJQ1BULklRX0VCSVREQS4yMDAwLjYvMzAvMjAxOC5MRlIuRi5VU0QuSAEAAACCr60AAgAAAAgtMzE2LjgxNgEIAAAABQAAAAExAQAAAAoxODg4NjE1NTQwAwAAAAMxNjACAAAABDQwNTEEAAAAATAHAAAACTYvMzAvMjAxOAgAAAAJMy8zMS8yMDE4CQAAAAEw6W1ZhhQJ1ggvcGSHFAnWCC5DSVEuTkFTREFRR006Rk9MRC5JUV9NQVJLRVRDQVAuMy8zMS8yMDE4LlVTRC5IAQAAAFb2agACAAAACzI4MTAuODQ2OTQyAQYAAAAFAAAAATEBAAAACjE4NzcyNzE3NzgDAAAAAzE2MAIAAAAGMTAwMDU0BAAAAAEwBwAAAAkzLzMxLzIwMThiknSFFAnWCJSrX4cUCdYIOENJUS5OQVNEQVFHUzpJVENJLklRX0VCSVREQS5DWTIwMTcuNi8zMC8yMDE4LkxGUi5GLlVTRC5IAQAAAHfRjwACAAAACy0xMDIuNjI2MjU3AQgAAAAFAAAAATEBAAAACjE4NzcyMDc4NDYDAAAAAzE2MAIAAAAENDA1MQQAAAABMAcAAAAJNi8zMC8yMDE4CAAAAAoxMi8zMS8yMDE3CQAAAAEwYpJ0hRQJ1ghn51qHFAnW</t>
  </si>
  <si>
    <t>CDVDSVEuQ1BTRTpaRUFMLklRX1RPVEFMX1JFVi4xOTk2LjYvMzAvMjAxOC5MRlIuRi5VU0QuSAEAAAAiWxMAAgAAAAk0My45NTA2NTEBCAAAAAUAAAABMQEAAAAKMTg4OTkxMzA5NwMAAAADMTYwAgAAAAIyOAQAAAABMAcAAAAJNi8zMC8yMDE4CAAAAAkzLzMxLzIwMTcJAAAAATBiknSFFAnWCOANYocUCdYIGUNJUS4wLklRX1RSX01BSl9NSU5fU1RBS0UFAAAAAAAAAAgAAAAYKEludmFsaWQgVHJhbnNhY3Rpb24gSWQp5jtFghQJ1gjENGmHFAnWCCdDSVEuTkFTREFRR1M6WEVSUy5JUV9QRVJJT0REQVRFX0lTLjEwMDABAAAA4O5PBgUAAAAKMTIvMzEvMjAxNwDGJeOEFAnWCGfnWocUCdYIRENJUS5TSFNFOjYwMDg2Ny5JUV9UT1RBTF9SRVZfNVlSX0FOTl9DQUdSLjIwMDAuNi8zMC8yMDE4LkxGUi5GLlVTRC5IAQAAANg+rgACAAAABzIwLjc2NDgBCAAAAAUAAAABMQEAAAAKMTg4NTE0NjI3MwMAAAACMzICAAAABDQyMzMEAAAAATAHAAAACTYvMzAvMjAxOAgAAAAJMy8zMS8yMDE4CQAAAAEwYpJ0hRQJ1gjgDWKHFAnWCDZDSVEuU0VISzoyMTg2LklRX1RPVEFMX0RFQlQuMjAwMC4zLzMxLzIwMTguTEZSLkYuVVNELkgBAAAAwoGYAAIAAAAKNDY5LjkxNTMzNgEIAAAABQAAAAExAQAAAAoxODYwNTg5MTgzAwAAAAMxNjACAAAABDQxNzMEAAAAATAHAAAACTMvMzEvMjAxOAgAAAAJNi8zMC8yMDE3CQAAAAEw</t>
  </si>
  <si>
    <t>6W1ZhhQJ1ggvcGSHFAnWCCpDSVEuSVFUUjMxMDIyOTE4OC5JUV9UUl9UQVJHRVRfRUJJVC4uVVNELkgBAAAAxLh9EgIAAAAAAOY7RYIUCdYIe9JmhxQJ1gg5Q0lRLlNFSEs6MTUzMC5JUV9SRVZFTlVFX0VTVC5DWTIwMTguNi8zMC8yMDE4LkNPTi5GLlVTRC5IAQAAAO+4cAECAAAAEDc1Ny4xNzAwODQ2MTY5NTYBDgAAAAUAAAACMTEBAAAAATACAAAACjEwMDA5NTEwMjMDAAAABjEwMDE4MAQAAAABMwYAAAABMAcAAAADMTYwCAAAAAEwCQAAAAExCgAAAAEwCwAAAAsxMDkyODYwMDgzMgwAAAABNw0AAAAINy8xLzIwMTgQAAAACTYvMzAvMjAxOOltWYYUCdYIL3BkhxQJ1ggrQ0lRLklRVFI1NTI3MjAyMDcuSVFfVFJfVE9UQUxfR1JPU1NfVFYuLlVTRAEAAABP1/EgAgAAAAgxLjk1NzM4NwEGAAAABQAAAAI1NAEAAAAGMTAyMDg4AgAAAAk1NTI3MjAyMDcDAAAACTU1MjcyNjE5NgQAAAADMTYwBgAAAAVGYWxzZeY7RYIUCdYIe9JmhxQJ1ggsQ0lRLlNIU0U6NjAwODY3LklRX01BUktFVENBUC4zLzMxLzIwMTguVVNELkgBAAAA2D6uAAIAAAALNzI5NC40MTcxMDUBBgAAAAUAAAABMQEAAAAKMTg2MjQ5MTkyMgMAAAADMTYwAgAAAAYxMDAwNTQEAAAAATAHAAAACTMvMzEvMjAxOGKSdIUUCdYI4A1ihxQJ1ggsQ0lRLk5BU0RBUUdNOlJZVE0uSVFfTEFTVFNBTEVQUklDRS4zLzMxLzIwMTgBAAAAGMltEgIAAAAE</t>
  </si>
  <si>
    <t>MTkuOQBiknSFFAnWCEVJXYcUCdYIO0NJUS5UU1hWOkNPQi5VLklRX1RPVEFMX0VRVUlUWS5DWTIwMTcuNi8zMC8yMDE4LkxGUi5GLlVTRC5IAQAAAL/7AAgCAAAACDcuNjE4OTEzAQgAAAAFAAAAATEBAAAACjE4ODExNzI1ODADAAAAAzE2MAIAAAAEMTI3NQQAAAABMAcAAAAJNi8zMC8yMDE4CAAAAAoxMi8zMS8yMDE3CQAAAAEwr4blhBQJ1giGwFOHFAnWCCBDSVEuSVFUUjExNzgwMzkyMC5JUV9UUl9FQVJOT1VUUwEAAACQiwUHAgAAAAAA5jtFghQJ1gh70maHFAnWCENDSVEuTllTRTpNWU9WLklRX01JTk9SSVRZX0lOVEVSRVNUX1RPVEFMLjIwMDAuNi8zMC8yMDE4LkxGUi5GLlVTRC5IAQAAAJfaCxgDAAAAAABiknSFFAnWCJSrX4cUCdYIOENJUS5OQVNEQVFHUzpJQ1BULklRX1RPVEFMX0NBLjE5OTYuNi8zMC8yMDE4LkxGUi5GLlVTRC5IAQAAAIKvrQACAAAABzYzNC45ODYBCAAAAAUAAAABMQEAAAAKMTg4ODYxNTUxOQMAAAADMTYwAgAAAAQxMDA4BAAAAAEwBwAAAAk2LzMwLzIwMTgIAAAACTMvMzEvMjAxNwkAAAABMOltWYYUCdYIL3BkhxQJ1gg3Q0lRLkNQU0U6WkVBTC5JUV9QUkVGX0VRVUlUWS4yMDAwLjYvMzAvMjAxOC5MRlIuRi5VU0QuSAEAAAAiWxMAAwAAAAAA6W1ZhhQJ1gjgDWKHFAnWCDZDSVEuTkFTREFRR1M6WkZHTi5JUV9FQklUREEuMTk5Mi42LzMwLzIwMTguTEZSLkYuVVNELkgB</t>
  </si>
  <si>
    <t>AAAAl8C6AQIAAAAHLTc4LjMxNQEIAAAABQAAAAExAQAAAAoxODQwOTM1OTYzAwAAAAMxNjACAAAABDQwNTEEAAAAATAHAAAACTYvMzAvMjAxOAgAAAAJMy8zMS8yMDE2CQAAAAEwxiXjhBQJ1ginhFiHFAnWCBdDSVEuMC5JUV9UUl9DTE9TRURfREFURQUAAAAAAAAACAAAABgoSW52YWxpZCBUcmFuc2FjdGlvbiBJZCnmO0WCFAnWCL9ayIIUCdYIO0NJUS5OQVNEQVFDTTpDT1JULklRX0VCSVRfTUFSR0lOLjIwMDAuNi8zMC8yMDE4LkxGUi5GLlVTRC5IAQAAANK5FQACAAAABzM2LjUxNTcBCAAAAAUAAAABMQEAAAAKMTg4ODA5OTU0NAMAAAADMTYwAgAAAAQ0MDUzBAAAAAEwBwAAAAk2LzMwLzIwMTgIAAAACTMvMzEvMjAxOAkAAAABMGKSdIUUCdYIlKtfhxQJ1gg4Q0lRLk5BU0RBUUdNOk1OT1YuSVFfVE9UQUxfQ0EuMTk5Ni42LzMwLzIwMTguTEZSLkYuVVNELkgBAAAAuFSNAAIAAAAJMjIuMzI0MzQ0AQgAAAAFAAAAATEBAAAACjE4ODQ2NDQyMTQDAAAAAzE2MAIAAAAEMTAwOAQAAAABMAcAAAAJNi8zMC8yMDE4CAAAAAkzLzMxLzIwMTcJAAAAATDGJeOEFAnWCKeEWIcUCdYIJUNJUS5OQVNEQVFHUzpaRkdOLklRX0ZJUlNUUFJJQ0lOR0RBVEUBAAAAl8C6AQUAAAAJNi8yMC8yMDE0AMYl44QUCdYIp4RYhxQJ1gg3Q0lRLlNFSEs6MjE4Ni5JUV9QUkVGX0VRVUlUWS4yMDAwLjMvMzEvMjAxOC5MRlIuRi5V</t>
  </si>
  <si>
    <t>U0QuSAEAAADCgZgAAwAAAAAA6W1ZhhQJ1ggvcGSHFAnWCDdDSVEuQU1FWDpCVFguSVFfVE9UQUxfRVFVSVRZLjIwMDAuNi8zMC8yMDE4LkxGUi5GLlVTRC5IAQAAABZkAAACAAAABzEwMi40NTUBCAAAAAUAAAABMQEAAAAKMTg4Nzk4MDE2NQMAAAADMTYwAgAAAAQxMjc1BAAAAAEwBwAAAAk2LzMwLzIwMTgIAAAACTMvMzEvMjAxOAkAAAABMMYl44QUCdYIZSJWhxQJ1gg7Q0lRLk5BU0RBUUNNOkNPUlQuSVFfUFJFRl9FUVVJVFkuMjAwMC4zLzMxLzIwMTguTEZSLkYuVVNELkgBAAAA0rkVAAMAAAAAAGKSdIUUCdYIlKtfhxQJ1gg4Q0lRLlNFSEs6MzkzMy5JUV9UT1RBTF9FUVVJVFkuMjAwMC42LzMwLzIwMTguTEZSLkYuVVNELkgBAAAATdoRAgIAAAAKODM2LjMzMjU0OAEIAAAABQAAAAExAQAAAAoxODg1NzM5MjAyAwAAAAMxNjACAAAABDEyNzUEAAAAATAHAAAACTYvMzAvMjAxOAgAAAAKMTIvMzEvMjAxNwkAAAABMOltWYYUCdYI4A1ihxQJ1gg6Q0lRLlRTWFY6Q09CLlUuSVFfRUJJVERBX01BUkdJTi4yMDAwLjYvMzAvMjAxOC5MRlIuRi5VU0QuSAEAAAC/+wAIAwAAAAAAr4blhBQJ1giGwFOHFAnWCENDSVEuTkFTREFRR006TU5PVi5JUV9FQklUREFfM1lSX0FOTl9DQUdSLjIwMDAuNi8zMC8yMDE4LkxGUi5GLlVTRC5IAQAAALhUjQADAAAAAk5NAQgAAAAFAAAAATEBAAAACjE4ODQ2NDQyMjgDAAAA</t>
  </si>
  <si>
    <t>AzE2MAIAAAAENDIyMgQAAAABMAcAAAAJNi8zMC8yMDE4CAAAAAkzLzMxLzIwMTgJAAAAATDGJeOEFAnWCKeEWIcUCdYIJUNJUS5JUVRSMTA4OTA2Mjc2LklRX1BSSU1BUllfSU5EVVNUUlkBAAAABsd9BgMAAAAPUGhhcm1hY2V1dGljYWxzAOY7RYIUCdYIe9JmhxQJ1gg9Q0lRLk5BU0RBUUdNOlJZVE0uSVFfUkVWRU5VRV9FU1QuQ1kyMDE5LjYvMzAvMjAxOC5DT04uRi5VU0QuSAEAAAAYyW0SAgAAAAcwLjY3OTAyAQ4AAAAFAAAAAjExAQAAAAEwAgAAAAoxMDAzODk5MzQ2AwAAAAYxMDAxODAEAAAAATIGAAAAATAHAAAAAzE2MAgAAAABMAkAAAABMQoAAAABMAsAAAALMTA5NDAwNjg0MjYMAAAAATcNAAAACDcvMS8yMDE4EAAAAAk2LzMwLzIwMThiknSFFAnWCEVJXYcUCdYINUNJUS5TRUhLOjM5MzMuSVFfVE9UQUxfUkVWLjE5OTYuNi8zMC8yMDE4LkxGUi5GLlVTRC5IAQAAAE3aEQICAAAACTg3NS4zNTU1OQEIAAAABQAAAAExAQAAAAoxODg1NzM5MTk5AwAAAAMxNjACAAAAAjI4BAAAAAEwBwAAAAk2LzMwLzIwMTgIAAAACjEyLzMxLzIwMTYJAAAAATDpbVmGFAnWCC9wZIcUCdYIPENJUS5OQVNEQVFHUzpBUFRYLklRX1RPVEFMX0VRVUlUWS4xOTkyLjYvMzAvMjAxOC5MRlIuRi5VU0QuSAEAAAAvKQwUAwAAAAAAYpJ0hRQJ1ghFSV2HFAnWCDJDSVEuT1RDUEs6TkVYUy5JUV9DQVBFWC4xOTk2LjYvMzAv</t>
  </si>
  <si>
    <t>MjAxOC5MRlIuRi5VU0QuSAEAAAAdvU4UAwAAAAAA5Q/vhBQJ1ggxXlGHFAnWCCxDSVEuTkFTREFRR1M6QVBUWC5JUV9MQVNUU0FMRVBSSUNFLjMvMzEvMjAxOAEAAAAvKQwUAwAAAAAAYpJ0hRQJ1ghFSV2HFAnWCChDSVEuU0VISzozOTMzLklRX0xBU1RTQUxFUFJJQ0UuMy8zMS8yMDE4AQAAAE3aEQICAAAACDEuMDM1ODIyAOltWYYUCdYI4A1ihxQJ1gg2Q0lRLkNQU0U6WkVBTC5JUV9UT1RBTF9ERUJULjIwMDAuMy8zMS8yMDE4LkxGUi5GLlVTRC5IAQAAACJbEwACAAAACTIxLjg5MDM1NgEIAAAABQAAAAExAQAAAAoxODc4MDU5NzIxAwAAAAMxNjACAAAABDQxNzMEAAAAATAHAAAACTMvMzEvMjAxOAgAAAAKMTIvMzEvMjAxNwkAAAABMGKSdIUUCdYI4A1ihxQJ1gg1Q0lRLk5BU0RBUUdNOk1OS0QuSVFfQ0FQRVguMjAwMC42LzMwLzIwMTguTEZSLkYuVVNELkgBAAAAZqWNAAMAAAAAAOltWYYUCdYI4A1ihxQJ1gg7Q0lRLk5BU0RBUUdTOlhFUlMuSVFfUFJFRl9FUVVJVFkuMjAwMC4zLzMxLzIwMTguTEZSLkYuVVNELkgBAAAA4O5PBgIAAAAGOTcuODc4AQgAAAAFAAAAATEBAAAACjE4OTA5NjE2NDcDAAAAAzE2MAIAAAAEMTAwNQQAAAABMAcAAAAJMy8zMS8yMDE4CAAAAAoxMi8zMS8yMDE3CQAAAAEwxiXjhBQJ1ghn51qHFAnWCDdDSVEuU0VISzozOTMzLklRX1BSRUZfRVFVSVRZLjIwMDAuMy8zMS8y</t>
  </si>
  <si>
    <t>MDE4LkxGUi5GLlVTRC5IAQAAAE3aEQIDAAAAAADpbVmGFAnWCOANYocUCdYIOENJUS5TRUhLOjIxODYuSVFfRUJJVERBX0VTVC5DWTIwMTguNi8zMC8yMDE4LkNPTi5GLlVTRC5IAQAAAMKBmAACAAAAEDIzOC44MTgyMTkwODQwNTIBDgAAAAUAAAACMTEBAAAAATACAAAACjEwMDI4MzUwMzIDAAAABjEwMDE4NwQAAAABMwYAAAABMAcAAAADMTYwCAAAAAEwCQAAAAExCgAAAAEwCwAAAAsxMDk0NTc4MTg4NAwAAAABNw0AAAAINy8xLzIwMTgQAAAACTYvMzAvMjAxOOltWYYUCdYIL3BkhxQJ1gg2Q0lRLlNIU0U6NjAwODY3LklRX1RPVEFMX0NBLjIwMDAuNi8zMC8yMDE4LkxGUi5GLlVTRC5IAQAAANg+rgACAAAACjQwNi45NTg5OTkBCAAAAAUAAAABMQEAAAAKMTg4NTE0NjI3MwMAAAADMTYwAgAAAAQxMDA4BAAAAAEwBwAAAAk2LzMwLzIwMTgIAAAACTMvMzEvMjAxOAkAAAABMGKSdIUUCdYI4A1ihxQJ1ghGQ0lRLk5BU0RBUUdNOlZUVlQuSVFfVE9UQUxfUkVWXzVZUl9BTk5fQ0FHUi4yMDAwLjYvMzAvMjAxOC5MRlIuRi5VU0QuSAEAAAAdox8SAwAAAAAA5Q/vhBQJ1giGwFOHFAnWCDdDSVEuQ1BTRTpaRUFMLklRX1BSRUZfRVFVSVRZLjIwMDAuMy8zMS8yMDE4LkxGUi5GLlVTRC5IAQAAACJbEwADAAAAAABiknSFFAnWCOANYocUCdYIQkNJUS5OQVNEQVFDTTpDVVIuSVFfRUJJVERBXzJZUl9BTk5fQ0FH</t>
  </si>
  <si>
    <t>Ui4yMDAwLjYvMzAvMjAxOC5MRlIuRi5VU0QuSAEAAADx7nUAAwAAAAJOTQEIAAAABQAAAAExAQAAAAoxODg4ODczMjE5AwAAAAMxNjACAAAABDQyMDkEAAAAATAHAAAACTYvMzAvMjAxOAgAAAAJMy8zMS8yMDE4CQAAAAEw5Q/vhBQJ1ggxXlGHFAnWCDxDSVEuTkFTREFRR1M6WkZHTi5JUV9UT1RBTF9FUVVJVFkuMTk5Mi42LzMwLzIwMTguTEZSLkYuVVNELkgBAAAAl8C6AQIAAAAHMTU0LjQyOAEIAAAABQAAAAExAQAAAAoxODQwOTM1OTYzAwAAAAMxNjACAAAABDEyNzUEAAAAATAHAAAACTYvMzAvMjAxOAgAAAAJMy8zMS8yMDE2CQAAAAEwxiXjhBQJ1ginhFiHFAnWCENDSVEuTkFTREFRR1M6QVBUWC5JUV9FQklUREFfM1lSX0FOTl9DQUdSLjIwMDAuNi8zMC8yMDE4LkxGUi5GLlVTRC5IAQAAAC8pDBQDAAAAAABiknSFFAnWCEVJXYcUCdYINUNJUS5PVENQSzpORVhTLklRX1RPVEFMX0NBLjE5OTYuNi8zMC8yMDE4LkxGUi5GLlVTRC5IAQAAAB29ThQCAAAACDAuMTI1ODA5AQgAAAAFAAAAATEBAAAACjE4NjI4NjMwODYDAAAAAzE2MAIAAAAEMTAwOAQAAAABMAcAAAAJNi8zMC8yMDE4CAAAAAk1LzMxLzIwMTYJAAAAATDlD++EFAnWCDFeUYcUCdYINUNJUS5PVENQSzpORVhTLklRX0VCSVREQS5DWTIwMTcuNi8zMC8yMDE4LkxGUi5GLlVTRC5IAQAAAB29ThQDAAAAAADlD++EFAnWCDFeUYcUCdYIOkNJ</t>
  </si>
  <si>
    <t>US5OWVNFOk1ZT1YuSVFfQ0FTSF9TVF9JTlZFU1QuMjAwMC4zLzMxLzIwMTguTEZSLkYuVVNELkgBAAAAl9oLGAIAAAAHMTI4Ljg3MwEIAAAABQAAAAExAQAAAAoxODc0MDQzNjQxAwAAAAMxNjACAAAABDEwMDIEAAAAATAHAAAACTMvMzEvMjAxOAgAAAAKMTIvMzEvMjAxNwkAAAABMGKSdIUUCdYIlKtfhxQJ1gg6Q0lRLlNIU0U6NjAwODY3LklRX0dST1NTX01BUkdJTi4yMDAwLjYvMzAvMjAxOC5MRlIuRi5VU0QuSAEAAADYPq4AAgAAAAc3My43MzU1AQgAAAAFAAAAATEBAAAACjE4ODUxNDYyNzMDAAAAAjMyAgAAAAQ0MDc0BAAAAAEwBwAAAAk2LzMwLzIwMTgIAAAACTMvMzEvMjAxOAkAAAABMGKSdIUUCdYI4A1ihxQJ1gg2Q0lRLlRTWFY6Q09CLlUuSVFfVE9UQUxfUkVWLjIwMDAuNi8zMC8yMDE4LkxGUi5GLlVTRC5IAQAAAL/7AAgDAAAAAACvhuWEFAnWCIbAU4cUCdYIIkNJUS5JUVRSNDAyMTAzOTE5LklRX1RSX1BDVF9TT1VHSFQBAAAAb573FwIAAAADMTAwAOY7RYIUCdYIe9JmhxQJ1ggtQ0lRLk5BU0RBUUdNOk1OS0QuSVFfRElWSURFTkRfWUlFTEQuNi8zMC8yMDE4AQAAAGaljQADAAAAAACUC1eGFAnWCOANYocUCdYIMENJUS5OQVNEQVFHUzpMWFJYLklRX0xBU1RTQUxFUFJJQ0UuNi8zMC8yMDE4LlVTRAEAAAA9eAAAAgAAAAIxMgBiknSFFAnWCJSrX4cUCdYIJkNJUS5OQVNEQVFHUzpPRFQu</t>
  </si>
  <si>
    <t>SVFfQkVUQV8yWVIuNi8zMC8yMDE4AQAAABoaRSADAAAAAACvhuWEFAnWCKeEWIcUCdYIKUNJUS5JUVRSMzg0MDI4NDk2LklRX0JVU0lORVNTX0RFU0NSSVBUSU9OAQAAAB9NKQADAAAAkQdWaXRhZSBQaGFybWFjZXV0aWNhbHMsIEluYy4sIGEgYmlvdGVjaG5vbG9neSBjb21wYW55LCBmb2N1c2VzIG9uIGRpc2NvdmVyaW5nIGFuZCBkZXZlbG9waW5nIG5vdmVsIGFuZCBzbWFsbCBtb2xlY3VsZSBkcnVncyBmb3IgZGlzZWFzZXMgd2l0aCB1bm1ldCBtZWRpY2FsIG5lZWRzIGluIHRoZSBVbml0ZWQgU3RhdGVzLiBJdHMgcHJvZHVjdHMgaW5jbHVkZSBWVFAtNDM3NDIgaW4gUGhhc2UgSSBjbGluaWNhbCB0cmlhbCBmb3IgdGhlIHRyZWF0bWVudCBvZiBhdXRvaW1tdW5lIGRpc29yZGVycywgaW5jbHVkaW5nIHBzb3JpYXNpcywgcHNvcmlhdGljIGFydGhyaXRpcywgYW5reWxvc2luZyBzcG9uZHlsaXRpcywgaW5mbGFtbWF0b3J5IGJvd2VsIGRpc2Vhc2UsIGFuZCBtdWx0aXBsZSBzY2xlcm9zaXM7IFZUUC0zODU0MyBpbiBQaGFzZSBJSWEgZm9yIHRoZSB0cmVhdG1lbnQgb2YgYXRvcGljIGRlcm1hdGl0aXM7IGFuZCBCSSAxMTQ3NTYwIGZvciB0aGUgdHJlYXRtZW50IGFuZCBwcmV2ZW50aW9uIG9mIEFsemhlaW1lcidzIGRpc2Vhc2UuIFRoZSBjb21wYW554oCZcyBwcm9kdWN0cyBhbHNvIGluY2x1ZGUg</t>
  </si>
  <si>
    <t>VlRQLTM0MDcyIHRoYXQgaXMgaW4gUGhhc2UgSUkgY2xpbmljYWwgdHJpYWwgZm9yIHRoZSB0cmVhdG1lbnQgb2YgdHlwZSAyIGRpYWJldGVzOyBhbmQgVlRQLTM4NDQzIGZvciB0aGUgdHJlYXRtZW50IG9mIGFjdXRlIGNvcm9uYXJ5IHN5bmRyb21lLiBWaXRhZSBQaGFybWFjZXV0aWNhbHMsIEluYy4gd2FzIGZvdW5kZWQgaW4gMjAwMSBhbmQgaXMgaGVhZHF1YXJ0ZXJlZCBpbiBGb3J0IFdhc2hpbmd0b24sIFBlbm5zeWx2YW5pYS4gQXMgb2YgT2N0b2JlciAyNCwgMjAxNiwgVml0YWUgUGhhcm1hY2V1dGljYWxzLCBJbmMuIG9wZXJhdGVzIGFzIGEgc3Vic2lkaWFyeSBvZiBBbGxlcmdhbiBwbGMuAOY7RYIUCdYIe9JmhxQJ1ghDQ0lRLlRTWFY6Q09CLlUuSVFfVE9UQUxfUkVWXzNZUl9BTk5fQ0FHUi4yMDAwLjYvMzAvMjAxOC5MRlIuRi5VU0QuSAEAAAC/+wAIAwAAAAAAr4blhBQJ1giGwFOHFAnWCEdDSVEuTkFTREFRR1M6WkZHTi5JUV9NSU5PUklUWV9JTlRFUkVTVF9UT1RBTC4yMDAwLjYvMzAvMjAxOC5MRlIuRi5VU0QuSAEAAACXwLoBAwAAAAAAxiXjhBQJ1ginhFiHFAnWCCFDSVEuTkFTREFRQ006QllTSS5JUV9DT01QQU5ZX05BTUUBAAAAR89sGAMAAAARQmV5b25kU3ByaW5nIEluYy4AYpJ0hRQJ1ghFSV2HFAnWCCVDSVEuTkFTREFRR006TU5LRC5JUV9GSVJTVFBSSUNJTkdEQVRFAQAAAGal</t>
  </si>
  <si>
    <t>jQAFAAAACTcvMjgvMjAwNACUC1eGFAnWCOANYocUCdYILkNJUS5JUVRSMjEyNzMxODc3LklRX1RSX1RBUkdFVF9TVE9DS1BSRU1JVU1fMVcBAAAA5QeuDAIAAAAHMTEuMDMxNQEGAAAABQAAAAI1NAEAAAAGMTAxMDU0AgAAAAkyMTI3MzE4NzcDAAAACTIxMjczMjM2OAQAAAADMTYwBgAAAAVGYWxzZeY7RYIUCdYIe9JmhxQJ1ggvQ0lRLklRVFIxMTc4MDM5MjAuSVFfVFJfVEFSR0VUX1RPVEFMX1JFVi4uVVNELkgBAAAAkIsFBwIAAAAAAOY7RYIUCdYIe9JmhxQJ1gg3Q0lRLk5BU0RBUUdTOk9EVC5JUV9UT1RBTF9DQS4yMDAwLjYvMzAvMjAxOC5MRlIuRi5VU0QuSAEAAAAaGkUgAgAAAAcxOTguODE0AQgAAAAFAAAAATEBAAAACjE4ODYzMDE0OTgDAAAAAzE2MAIAAAAEMTAwOAQAAAABMAcAAAAJNi8zMC8yMDE4CAAAAAkzLzMxLzIwMTgJAAAAATDGJeOEFAnWCKeEWIcUCdYIKENJUS5OQVNEQVFHTTpNTktELklRX1RFVi42LzMwLzIwMTguVVNELkgBAAAAZqWNAAIAAAAKMzc5LjYxMTI1NAEGAAAABQAAAAExAQAAAAoxODg5Nzc0ODczAwAAAAMxNjACAAAABjEwMDA2MAQAAAABMAcAAAAJNi8zMC8yMDE4lAtXhhQJ1gjgDWKHFAnWCDRDSVEuU0VISzoxNTMwLklRX1RPVEFMX0NMLjE5OTYuNi8zMC8yMDE4LkxGUi5GLlVTRC5IAQAAAO+4cAECAAAACjE2NC43MDU5MDgBCAAAAAUAAAABMQEAAAAKMTg4NjA5</t>
  </si>
  <si>
    <t>OTgyMgMAAAADMTYwAgAAAAQxMDA5BAAAAAEwBwAAAAk2LzMwLzIwMTgIAAAACjEyLzMxLzIwMTYJAAAAATCUC1eGFAnWCC9wZIcUCdYIKUNJUS5OQVNEQVFHUzpBUFRYLklRX0JVU0lORVNTX0RFU0NSSVBUSU9OAQAAAC8pDBQDAAAAogVBcHRpbnl4IEluYy4sIGEgY2xpbmljYWwtc3RhZ2UgYmlvcGhhcm1hY2V1dGljYWwgY29tcGFueSwgZm9jdXNlcyBvbiB0aGUgZGlzY292ZXJ5LCBkZXZlbG9wbWVudCwgYW5kIGNvbW1lcmNpYWxpemF0aW9uIG9mIG5vdmVsLCBwcm9wcmlldGFyeSwgYW5kIHN5bnRoZXRpYyBzbWFsbCBtb2xlY3VsZXMgZm9yIHRoZSB0cmVhdG1lbnQgb2YgYnJhaW4gYW5kIG5lcnZvdXMgc3lzdGVtIGRpc29yZGVycy4gSXQgaXMgZGV2ZWxvcGluZyBOWVgtMjkyNSB0aGF0IGlzIGluIFBoYXNlIElJIGNsaW5pY2FsIHRyaWFsIGZvciB0aGUgdHJlYXRtZW50IG9mIHBhaW5mdWwgZGlhYmV0aWMgcGVyaXBoZXJhbCBuZXVyb3BhdGh5LCBhcyB3ZWxsIGFzIGluIFBoYXNlIElJIGV4cGxvcmF0b3J5IGNsaW5pY2FsIHRyaWFsIGZvciBmaWJyb215YWxnaWE7IGFuZCBOWVgtNzgzLCBhbiBOTURBciByZWNlcHRvciB0aGF0IGlzIGluIFBoYXNlIEkgY2xpbmljYWwgdHJpYWwgZm9yIHRoZSB0cmVhdG1lbnQgb2YgcG9zdC10cmF1bWF0aWMgc3RyZXNzIGRpc29yZGVyLiBUaGUgY29tcGFu</t>
  </si>
  <si>
    <t>eSBoYXMgYSBjb2xsYWJvcmF0aW9uIGFncmVlbWVudCB3aXRoIEFsbGVyZ2FuIHBsYy4gQXB0aW55eCBJbmMuIHdhcyBmb3VuZGVkIGluIDIwMTUgYW5kIGlzIGhlYWRxdWFydGVyZWQgaW4gRXZhbnN0b24sIElsbGlub2lzLgBiknSFFAnWCEVJXYcUCdYIN0NJUS5PVENQSzpFTUlTLklRX0VBUk5JTkdfQ08uMjAwMC42LzMwLzIwMTguTEZSLkYuVVNELkgBAAAAPv0DAAIAAAAGLTIuMTQ4AQgAAAAFAAAAATEBAAAACjE4NDE4OTg1MzUDAAAAAzE2MAIAAAABNwQAAAABMAcAAAAJNi8zMC8yMDE4CAAAAAkzLzMxLzIwMTcJAAAAATCvhuWEFAnWCGUiVocUCdYIOkNJUS5TRUhLOjM5MzMuSVFfVE9UQUxfRVFVSVRZLkNZMjAxNy42LzMwLzIwMTguTEZSLkYuVVNELkgBAAAATdoRAgIAAAAKODM2LjMzMjU0OAEIAAAABQAAAAExAQAAAAoxODg1NzM5MjAyAwAAAAMxNjACAAAABDEyNzUEAAAAATAHAAAACTYvMzAvMjAxOAgAAAAKMTIvMzEvMjAxNwkAAAABMOltWYYUCdYI4A1ihxQJ1gg4Q0lRLk5BU0RBUUdNOlJZVE0uSVFfRUJJVERBLkNZMjAxNi42LzMwLzIwMTguTEZSLkYuVVNELkgBAAAAGMltEgIAAAAHLTI1Ljc2MQEIAAAABQAAAAExAQAAAAoxODkzOTA1OTUzAwAAAAMxNjACAAAABDQwNTEEAAAAATAHAAAACTYvMzAvMjAxOAgAAAAKMTIvMzEvMjAxNgkAAAABMGKSdIUUCdYIRUldhxQJ1gg3Q0lRLlNF</t>
  </si>
  <si>
    <t>SEs6MjE4Ni5JUV9FQklUX01BUkdJTi4yMDAwLjYvMzAvMjAxOC5MRlIuRi5VU0QuSAEAAADCgZgAAgAAAAcyNC45MzU5AQgAAAAFAAAAATEBAAAACjE4ODU0OTUwMDYDAAAAAjMyAgAAAAQ0MDUzBAAAAAEwBwAAAAk2LzMwLzIwMTgIAAAACjEyLzMxLzIwMTcJAAAAATCUC1eGFAnWCC9wZIcUCdYIHENJUS4uSVFfVFJfSU1QTElFRF9FUV9OSV9MVE0FAAAAAQAAAAgAAAAUKEludmFsaWQgSWRlbnRpZmllcimUC1eGFAnWCJQLV4YUCdYIPkNJUS5OQVNEQVFHUzpJVENJLklRX0NBU0hfU1RfSU5WRVNULjIwMDAuMy8zMS8yMDE4LkxGUi5GLlVTRC5IAQAAAHfRjwACAAAACjQ2NC4zMzEwMzUBCAAAAAUAAAABMQEAAAAKMTg3NzIwNzg0NgMAAAADMTYwAgAAAAQxMDAyBAAAAAEwBwAAAAkzLzMxLzIwMTgIAAAACjEyLzMxLzIwMTcJAAAAATBiknSFFAnWCGfnWocUCdYIPENJUS5OQVNEQVFHTTpGT0xELklRX0VBUk5JTkdfQ08uQ1kyMDE2LjYvMzAvMjAxOC5MRlIuRi5VU0QuSAEAAABW9moAAgAAAAgtMjAwLjA0MgEIAAAABQAAAAExAQAAAAoxODc3MjcxNjkyAwAAAAMxNjACAAAAATcEAAAAATAHAAAACTYvMzAvMjAxOAgAAAAKMTIvMzEvMjAxNgkAAAABMGKSdIUUCdYIlKtfhxQJ1ggsQ0lRLklRVFIyMTI3MzE4NzcuSVFfVFJfVE9UQUxfR1JPU1NfVFYuVVNELkgFAAAAAAAAAAgAAAAaKEludmFsaWQgQ3Vy</t>
  </si>
  <si>
    <t>cmVuY3kgUmVxdWVzdCnmO0WCFAnWCHvSZocUCdYIOENJUS5PVENQSzpCVEhFLklRX1BSRUZfRVFVSVRZLjIwMDAuMy8zMS8yMDE4LkxGUi5GLlVTRC5IAQAAAG+duQUCAAAABzUuNUUtMDUBCAAAAAUAAAABMQEAAAAKMTg4MDEwNTYyOAMAAAADMTYwAgAAAAQxMDA1BAAAAAEwBwAAAAkzLzMxLzIwMTgIAAAACjEyLzMxLzIwMTcJAAAAATDlD++EFAnWCDFeUYcUCdYIN0NJUS5OQVNEQVFHUzpYRVJTLklRX1BFUklPRERBVEVfSVMuMjAwMC42LzMwLzIwMTguTEZSLkYBAAAA4O5PBgUAAAAJMy8zMS8yMDE4AMYl44QUCdYIZ+dahxQJ1ghHQ0lRLk5BU0RBUUNNOkFWRU8uSVFfTUlOT1JJVFlfSU5URVJFU1RfVE9UQUwuMjAwMC42LzMwLzIwMTguTEZSLkYuVVNELkgBAAAA9BYdAAMAAAAAAMYl44QUCdYIZSJWhxQJ1ggrQ0lRLk9UQ1BLOkVNSVMuSVFfTUFSS0VUQ0FQLjMvMzEvMjAxOC5VU0QuSAEAAAA+/QMAAgAAAAkyMy43MjYzODEBBgAAAAUAAAABMQEAAAAKMTg0MTg5ODI3NQMAAAADMTYwAgAAAAYxMDAwNTQEAAAAATAHAAAACTMvMzEvMjAxOMYl44QUCdYIZSJWhxQJ1gg2Q0lRLk5BU0RBUUdTOlhFUlMuSVFfRUJJVERBLjIwMDAuNi8zMC8yMDE4LkxGUi5GLlVTRC5IAQAAAODuTwYCAAAABy0zMy41MDgBCAAAAAUAAAABMQEAAAAKMTg5MDk2MTY1NQMAAAADMTYwAgAAAAQ0MDUxBAAAAAEwBwAAAAk2</t>
  </si>
  <si>
    <t>LzMwLzIwMTgIAAAACTMvMzEvMjAxOAkAAAABMMYl44QUCdYIZ+dahxQJ1gghQ0lRLklRMTM0MjgyMTc1LklRX0NPTVBBTllfVElDS0VSAQAAAL/7AAgDAAAAClRTWFY6Q09CLlUA5jtFghQJ1gjrDLqCFAnWCBZDSVEuLklRX0NPTVBBTllfVElDS0VSBQAAAAAAAAAIAAAAFChJbnZhbGlkIElkZW50aWZpZXIp5jtFghQJ1gikrJiCFAnWCDhDSVEuQ1BTRTpaRUFMLklRX1RPVEFMX0VRVUlUWS4xOTk2LjYvMzAvMjAxOC5MRlIuRi5VU0QuSAEAAAAiWxMAAgAAAAkzNi4zMzM5MTEBCAAAAAUAAAABMQEAAAAKMTg4OTkxMzA5NwMAAAADMTYwAgAAAAQxMjc1BAAAAAEwBwAAAAk2LzMwLzIwMTgIAAAACTMvMzEvMjAxNwkAAAABMGKSdIUUCdYI4A1ihxQJ1ggpQ0lRLk5BU0RBUUNNOkNPUlQuSVFfQlVTSU5FU1NfREVTQ1JJUFRJT04BAAAA0rkVAAMAAACLCkNvcmNlcHQgVGhlcmFwZXV0aWNzIEluY29ycG9yYXRlZCwgYSBwaGFybWFjZXV0aWNhbCBjb21wYW55LCBkaXNjb3ZlcnMsIGRldmVsb3BzLCBhbmQgY29tbWVyY2lhbGl6ZXMgZHJ1Z3MgZm9yIHRoZSB0cmVhdG1lbnQgb2Ygc2V2ZXJlIG1ldGFib2xpYywgb25jb2xvZ2ljLCBhbmQgcHN5Y2hpYXRyaWMgZGlzb3JkZXJzIGluIHRoZSBVbml0ZWQgU3RhdGVzLiBUaGUgY29tcGFueSBvZmZlcnMgS29ybHltIChtaWZlcHJpc3RvbmUpIHRhYmxldHMgYXMg</t>
  </si>
  <si>
    <t>YSBvbmNlLWRhaWx5IG9yYWwgbWVkaWNhdGlvbiBmb3IgdGhlIHRyZWF0bWVudCBvZiBoeXBlcmdseWNlbWlhIHNlY29uZGFyeSB0byBoeXBlcmNvcnRpc29saXNtIGluIGFkdWx0IHBhdGllbnRzIHdpdGggZW5kb2dlbm91cyBDdXNoaW5n4oCZcyBzeW5kcm9tZSwgd2hvIGhhdmUgdHlwZSAyIGRpYWJldGVzIG1lbGxpdHVzIG9yIGdsdWNvc2UgaW50b2xlcmFuY2UsIGFuZCBoYXZlIGZhaWxlZCBzdXJnZXJ5IG9yIGFyZSBub3QgY2FuZGlkYXRlcyBmb3Igc3VyZ2VyeSwgYXMgd2VsbCBhcyBkZXZlbG9wcyBDTElBLXZhbGlkYXRlZCBhc3NheSB0byBtZWFzdXJlIEZLQlA1IGdlbmUgZXhwcmVzc2lvbi4gSXQgaXMgZGV2ZWxvcGluZyByZWxhY29yaWxhbnQgdGhhdCBpcyBpbiBhIFBoYXNlIElJIHRyaWFsIHRvIHRyZWF0IHBhdGllbnRzIHdpdGggQ3VzaGluZ+KAmXMgc3luZHJvbWU7IGFicmF4YW5lIGluIGNvbWJpbmF0aW9uIHdpdGggcmVsYWNvcmlsYW50LCB3aGljaCBpcyBpbiBQaGFzZSBJL0lJIG9wZW4gbGFiZWwgdHJpYWwgdG8gdHJlYXQgc29saWQgdHVtb3JzOyBhbmQgc2VsZWN0aXZlIGNvcnRpc29sIG1vZHVsYXRvciBDT1JUMTI1MjgxIGNvbWJpbmVkIHdpdGggWHRhbmRpIHRoYXQgaXMgaW4gb3BlbiBsYWJlbCBQaGFzZSBJL0lJIHRyaWFsIHRvIHRyZWF0IHBhdGllbnRzIHdpdGggbWV0</t>
  </si>
  <si>
    <t>YXN0YXRpYyBjYXN0cmF0aW9uLXJlc2lzdGFudCBwcm9zdGF0ZSBjYW5jZXIuIFRoZSBjb21wYW55IGlzIGFsc28gZGV2ZWxvcGluZyBDT1JUMTE4MzM1IHNlbGVjdGl2ZSBjb3J0aXNvbCBtb2R1bGF0b3IsIHdoaWNoIGlzIGluIFBoYXNlIEkvSUkgb3BlbiBsYWJlbCB0cmlhbCBmb3IgdGhlIHRyZWF0bWVudCBvZiBhbnRpcHN5Y2hvdGljLWluZHVjZWQgd2VpZ2h0IGdhaW4gYW5kIG5vbi1hbGNvaG9saWMgc3RlYXRvdGljIGhlcGF0aXRpcy4gQ29yY2VwdCBUaGVyYXBldXRpY3MgSW5jb3Jwb3JhdGVkIHdhcyBmb3VuZGVkIGluIDE5OTggYW5kIGlzIGhlYWRxdWFydGVyZWQgaW4gTWVubG8gUGFyaywgQ2FsaWZvcm5pYS4AYpJ0hRQJ1giUq1+HFAnWCDhDSVEuTkFTREFRR006Rk9MRC5JUV9UT1RBTF9DQS4yMDAwLjYvMzAvMjAxOC5MRlIuRi5VU0QuSAEAAABW9moAAgAAAAc1OTIuMDMzAQgAAAAFAAAAATEBAAAACjE4ODg0ODQ2NTEDAAAAAzE2MAIAAAAEMTAwOAQAAAABMAcAAAAJNi8zMC8yMDE4CAAAAAkzLzMxLzIwMTgJAAAAATBiknSFFAnWCJSrX4cUCdYIPkNJUS5OQVNEQVFHTTpNTktELklRX0NBU0hfU1RfSU5WRVNULjIwMDAuMy8zMS8yMDE4LkxGUi5GLlVTRC5IAQAAAGaljQACAAAABjQzLjk0NgEIAAAABQAAAAExAQAAAAoxODc2MjM4OTc0AwAAAAMxNjACAAAABDEwMDIEAAAAATAHAAAA</t>
  </si>
  <si>
    <t>CTMvMzEvMjAxOAgAAAAKMTIvMzEvMjAxNwkAAAABMOltWYYUCdYI4A1ihxQJ1gglQ0lRLklRVFI0MDIxMDM5MTkuSVFfVFJfSU1QTElFRF9FUV9CVgEAAABvnvcXAgAAAAAA5jtFghQJ1gh70maHFAnWCDlDSVEuTkFTREFRR1M6Q1lUSy5JUV9UT1RBTF9SRVYuMTk5Ni42LzMwLzIwMTguTEZSLkYuVVNELkgBAAAAs2oAAAIAAAAHMTAyLjEzOQEIAAAABQAAAAExAQAAAAoxODg4NDcwNjQxAwAAAAMxNjACAAAAAjI4BAAAAAEwBwAAAAk2LzMwLzIwMTgIAAAACTMvMzEvMjAxNwkAAAABMMYl44QUCdYIZSJWhxQJ1ggwQ0lRLkFNRVg6QlRYLklRX0RBX0NGLjIwMDAuNi8zMC8yMDE4LkxGUi5GLlVTRC5IAQAAABZkAAACAAAABTMuMzQxAQgAAAAFAAAAATEBAAAACjE4ODc5ODAxNjUDAAAAAzE2MAIAAAAEMjE2MAQAAAABMAcAAAAJNi8zMC8yMDE4CAAAAAkzLzMxLzIwMTgJAAAAATDGJeOEFAnWCGUiVocUCdYII0NJUS5FTlhUUEE6RVJZUC5JUV9GSVJTVFBSSUNJTkdEQVRFAQAAANiKeAEFAAAACTQvMzAvMjAxMwDlD++EFAnWCDFeUYcUCdYIPUNJUS5OQVNEQVFHUzpJVENJLklRX0VCSVREQV9NQVJHSU4uMjAwMC42LzMwLzIwMTguTEZSLkYuVVNELkgBAAAAd9GPAAMAAAACTk0BCAAAAAUAAAABMQEAAAAKMTg4NjYxNzMyMgMAAAADMTYwAgAAAAQ0MDQ3BAAAAAEwBwAAAAk2LzMwLzIwMTgIAAAACTMvMzEv</t>
  </si>
  <si>
    <t>MjAxOAkAAAABMGKSdIUUCdYIZ+dahxQJ1ghDQ0lRLlNFSEs6MzkzMy5JUV9NSU5PUklUWV9JTlRFUkVTVF9UT1RBTC4yMDAwLjYvMzAvMjAxOC5MRlIuRi5VU0QuSAEAAABN2hECAwAAAAAA6W1ZhhQJ1ggvcGSHFAnWCCNDSVEuSVFUUjM3MDA3MjM1My5JUV9UUl9DTE9TRURfREFURQEAAAAh2w4WBQAAAAk4LzMxLzIwMTYA5jtFghQJ1gi/WsiCFAnWCD9DSVEuKElOVkFMSUQgSURFTlRJRklFUikuSVFfVE9UQUxfQ0wuMjAwMC42LzMwLzIwMTguTEZSLkYuVVNELkgFAAAAAAAAAAgAAAAUKEludmFsaWQgSWRlbnRpZmllcinlD++EFAnWCDFeUYcUCdYINENJUS5OWVNFOk1ZT1YuSVFfVE9UQUxfQ0EuMjAwMC42LzMwLzIwMTguTEZSLkYuVVNELkgBAAAAl9oLGAIAAAAHMTE0Ljc2MwEIAAAABQAAAAExAQAAAAoxODkyODM0NzMzAwAAAAMxNjACAAAABDEwMDgEAAAAATAHAAAACTYvMzAvMjAxOAgAAAAJMy8zMS8yMDE4CQAAAAEwYpJ0hRQJ1giUq1+HFAnWCDlDSVEuQ1BTRTpOT1ZPIEIuSVFfRUJJVF9NQVJHSU4uMjAwMC42LzMwLzIwMTguTEZSLkYuVVNELkgBAAAAfO8EAAIAAAAHNDMuNTY1NgEIAAAABQAAAAExAQAAAAoxODkyNjIzOTUzAwAAAAI0MgIAAAAENDA1MwQAAAABMAcAAAAJNi8zMC8yMDE4CAAAAAkzLzMxLzIwMTgJAAAAATCUC1eGFAnWCHvSZocUCdYINENJUS5OQVNEQVFDTTpDVVIuSVFf</t>
  </si>
  <si>
    <t>Q0FQRVguMjAwMC42LzMwLzIwMTguTEZSLkYuVVNELkgBAAAA8e51AAIAAAAJLTAuMDExNDAxAQgAAAAFAAAAATEBAAAACjE4ODg4NzMyMTkDAAAAAzE2MAIAAAAEMjAyMQQAAAABMAcAAAAJNi8zMC8yMDE4CAAAAAkzLzMxLzIwMTgJAAAAATDlD++EFAnWCDFeUYcUCdYIM0NJUS5BTUVYOkJUWC5JUV9UT1RBTF9DTC4yMDAwLjYvMzAvMjAxOC5MRlIuRi5VU0QuSAEAAAAWZAAAAgAAAAQ1LjgxAQgAAAAFAAAAATEBAAAACjE4ODc5ODAxNjUDAAAAAzE2MAIAAAAEMTAwOQQAAAABMAcAAAAJNi8zMC8yMDE4CAAAAAkzLzMxLzIwMTgJAAAAATDGJeOEFAnWCGUiVocUCdYILENJUS5JUVRSNDAyMTAzOTE5LklRX1RSX1RBUkdFVF9FQklUREEuLlVTRC5IAQAAAG+e9xcCAAAAAADmO0WCFAnWCHvSZocUCdYIOUNJUS5OWVNFOk1ZT1YuSVFfUkVWRU5VRV9FU1QuQ1kyMDIxLjYvMzAvMjAxOC5DT04uRi5VU0QuSAEAAACX2gsYAgAAAAYxNzguNzUBDgAAAAUAAAACMTEBAAAAATACAAAABzE2Mzg5NjQDAAAABjEwMDE4MAQAAAABMgYAAAABMAcAAAADMTYwCAAAAAEwCQAAAAExCgAAAAEwCwAAAAsxMDkxODY5MjU5OAwAAAABNw0AAAAINy8xLzIwMTgQAAAACTYvMzAvMjAxOGKSdIUUCdYIlKtfhxQJ1gg6Q0lRLkNQU0U6Tk9WTyBCLklRX0VBUk5JTkdfQ08uQ1kyMDE3LjYvMzAvMjAxOC5MRlIuRi5VU0QuSAEAAAB8</t>
  </si>
  <si>
    <t>7wQAAgAAAAs2MTQ5LjM3NTE0MgEIAAAABQAAAAExAQAAAAoxODczNjk0MjIzAwAAAAMxNjACAAAAATcEAAAAATAHAAAACTYvMzAvMjAxOAgAAAAKMTIvMzEvMjAxNwkAAAABMJQLV4YUCdYIL3BkhxQJ1gg3Q0lRLkVOWFRQQTpFUllQLklRX1RPVEFMX1JFVi4xOTkyLjYvMzAvMjAxOC5MRlIuRi5VU0QuSAEAAADYingBAgAAAAgzLjE4MTEwMgEIAAAABQAAAAExAQAAAAoxODg1MjA0NDA3AwAAAAMxNjACAAAAAjI4BAAAAAEwBwAAAAk2LzMwLzIwMTgIAAAACjEyLzMxLzIwMTUJAAAAATDlD++EFAnWCDFeUYcUCdYIOkNJUS5OQVNEQVFHUzpBUFRYLklRX1RPVEFMX0RFQlQuMjAwMC4zLzMxLzIwMTguTEZSLkYuVVNELkgBAAAALykMFAMAAAAAAGKSdIUUCdYIRUldhxQJ1gg4Q0lRLk5BU0RBUUdTOkNCQVkuSVFfVE9UQUxfQ0EuMjAwMC42LzMwLzIwMTguTEZSLkYuVVNELkgBAAAAwHoAAAIAAAAHMjMxLjE3NgEIAAAABQAAAAExAQAAAAoxODg3NDQ1MDg0AwAAAAMxNjACAAAABDEwMDgEAAAAATAHAAAACTYvMzAvMjAxOAgAAAAJMy8zMS8yMDE4CQAAAAEwYpJ0hRQJ1ghn51qHFAnWCDBDSVEuQU1FWDpCVFguSVFfQ0FQRVguMTk5Ni42LzMwLzIwMTguTEZSLkYuVVNELkgBAAAAFmQAAAIAAAAGLTEuODkxAQgAAAAFAAAAATEBAAAACjE4ODc5ODAxNTcDAAAAAzE2MAIAAAAEMjAyMQQAAAABMAcAAAAJNi8z</t>
  </si>
  <si>
    <t>MC8yMDE4CAAAAAkzLzMxLzIwMTcJAAAAATDGJeOEFAnWCGUiVocUCdYIO0NJUS5TSFNFOjYwMDg2Ny5JUV9SRVZFTlVFX0VTVC5DWTIwMTguNi8zMC8yMDE4LkNPTi5GLlVTRC5IAQAAANg+rgACAAAAEDQ2NC4wNjc5NTE2MDM0MzIBDgAAAAUAAAACMTEBAAAAATACAAAACjEwMDIwMDc1ODADAAAABjEwMDE4MAQAAAACMjcGAAAAATAHAAAAAzE2MAgAAAABMAkAAAABMQoAAAABMAsAAAALMTA5Mjg1OTc1MzAMAAAAATcNAAAACDcvMS8yMDE4EAAAAAk2LzMwLzIwMThiknSFFAnWCOANYocUCdYIH0NJUS5JUTE5MDY0MjAuSVFfQ09NUEFOWV9USUNLRVIBAAAA9BYdAAMAAAANTmFzZGFxQ006QVZFTwDmO0WCFAnWCEJItYIUCdYIMUNJUS5TRUhLOjIxODYuSVFfREFfQ0YuMjAwMC42LzMwLzIwMTguTEZSLkYuVVNELkgBAAAAwoGYAAIAAAAJMzYuOTg3MjU5AQgAAAAFAAAAATEBAAAACjE4ODU0OTUwMDYDAAAAAzE2MAIAAAAEMjE2MAQAAAABMAcAAAAJNi8zMC8yMDE4CAAAAAoxMi8zMS8yMDE3CQAAAAEw6W1ZhhQJ1ggvcGSHFAnWCDxDSVEuTkFTREFRR1M6SUNQVC5JUV9FQklUREFfRVNULkNZMjAyMC42LzMwLzIwMTguQ09OLkYuVVNELkgBAAAAgq+tAAIAAAAILTQ5MS4xNjQBDgAAAAUAAAACMTEBAAAAATACAAAACjEwMDE2NjU2MTQDAAAABjEwMDE4NwQAAAABMgYAAAABMAcAAAADMTYwCAAAAAEwCQAA</t>
  </si>
  <si>
    <t>AAExCgAAAAEwCwAAAAsxMDg3OTUxMjE3NQwAAAABNw0AAAAINy8xLzIwMTgQAAAACTYvMzAvMjAxOOltWYYUCdYIL3BkhxQJ1ghDQ0lRLk9UQ1BLOkJUSEUuSVFfVE9UQUxfUkVWXzNZUl9BTk5fQ0FHUi4yMDAwLjYvMzAvMjAxOC5MRlIuRi5VU0QuSAEAAABvnbkFAgAAAAgtNDUuMTgxOQEIAAAABQAAAAExAQAAAAoxODg4NjYzNzQyAwAAAAMxNjACAAAABDQyMjAEAAAAATAHAAAACTYvMzAvMjAxOAgAAAAJMy8zMS8yMDE4CQAAAAEw5Q/vhBQJ1ggxXlGHFAnWCDZDSVEuQ1BTRTpaRUFMLklRX0VBUk5JTkdfQ08uMTk5Ni42LzMwLzIwMTguTEZSLkYuVVNELkgBAAAAIlsTAAIAAAAKLTE0LjcyNzkxMgEIAAAABQAAAAExAQAAAAoxODg5OTEzMDk3AwAAAAMxNjACAAAAATcEAAAAATAHAAAACTYvMzAvMjAxOAgAAAAJMy8zMS8yMDE3CQAAAAEwYpJ0hRQJ1gjgDWKHFAnWCC5DSVEuTkFTREFRR1M6SVRDSS5JUV9NQVJLRVRDQVAuNi8zMC8yMDE4LlVTRC5IAQAAAHfRjwACAAAACjk2Ni40ODUwMzUBBgAAAAUAAAABMQEAAAAKMTg4NjYxMzkyNgMAAAADMTYwAgAAAAYxMDAwNTQEAAAAATAHAAAACTYvMzAvMjAxOGKSdIUUCdYIZ+dahxQJ1gg8Q0lRLk5BU0RBUUdTOlhFUlMuSVFfVE9UQUxfRVFVSVRZLjIwMDAuNi8zMC8yMDE4LkxGUi5GLlVTRC5IAQAAAODuTwYCAAAABTMyLjg1AQgAAAAFAAAAATEBAAAA</t>
  </si>
  <si>
    <t>CjE4OTA5NjE2NTUDAAAAAzE2MAIAAAAEMTI3NQQAAAABMAcAAAAJNi8zMC8yMDE4CAAAAAkzLzMxLzIwMTgJAAAAATDGJeOEFAnWCGfnWocUCdYINENJUS5PVENQSzpCVEhFLklRX1BFUklPRERBVEVfSVMuMjAwMC42LzMwLzIwMTguTEZSLkYBAAAAb525BQUAAAAJMy8zMS8yMDE4AOUP74QUCdYIhsBThxQJ1gg7Q0lRLk5BU0RBUUNNOkNVUi5JUV9FQklUREFfRVNULkNZMjAxOC42LzMwLzIwMTguQ09OLkYuVVNELkgBAAAA8e51AAMAAAAAAOUP74QUCdYIMV5RhxQJ1gg0Q0lRLlNFSEs6MTUzMC5JUV9UT1RBTF9DTC4xOTkyLjYvMzAvMjAxOC5MRlIuRi5VU0QuSAEAAADvuHABAgAAAAoxMTkuMDAwMzg1AQgAAAAFAAAAATEBAAAACjE4MzgxOTc2MTQDAAAAAzE2MAIAAAAEMTAwOQQAAAABMAcAAAAJNi8zMC8yMDE4CAAAAAoxMi8zMS8yMDE1CQAAAAEwlAtXhhQJ1ggvcGSHFAnWCDVDSVEuTkFTREFRR1M6TklURS5JUV9DQVBFWC4xOTkyLjYvMzAvMjAxOC5MRlIuRi5VU0QuSAEAAAAM0xgQAgAAAAYtMC4yODkBCAAAAAUAAAABMQEAAAAKMTg4MTUxMDA3NQMAAAADMTYwAgAAAAQyMDIxBAAAAAEwBwAAAAk2LzMwLzIwMTgIAAAACjEyLzMxLzIwMTUJAAAAATDGJeOEFAnWCKeEWIcUCdYIOUNJUS5OQVNEQVFHUzpPRFQuSVFfVE9UQUxfREVCVC4yMDAwLjYvMzAvMjAxOC5MRlIuRi5VU0QuSAEAAAAaGkUg</t>
  </si>
  <si>
    <t>AgAAAAEwAQgAAAAFAAAAATEBAAAACjE4ODYzMDE0OTgDAAAAAzE2MAIAAAAENDE3MwQAAAABMAcAAAAJNi8zMC8yMDE4CAAAAAkzLzMxLzIwMTgJAAAAATDGJeOEFAnWCGfnWocUCdYINUNJUS5PVENQSzpSWkxULklRX1RPVEFMX0NBLjE5OTYuNi8zMC8yMDE4LkxGUi5GLlVTRC5IAQAAACEJmwoCAAAABjQuODQ5NgEIAAAABQAAAAExAQAAAAoxODg5MTA1MTIwAwAAAAMxNjACAAAABDEwMDgEAAAAATAHAAAACTYvMzAvMjAxOAgAAAAJMy8zMS8yMDE3CQAAAAEw5Q/vhBQJ1giGwFOHFAnWCDVDSVEuT1RDUEs6UlpMVC5JUV9UT1RBTF9DTC4xOTkyLjYvMzAvMjAxOC5MRlIuRi5VU0QuSAEAAAAhCZsKAgAAAAgyLjQxOTEyOQEIAAAABQAAAAExAQAAAAoxODQyMzI5MDUzAwAAAAMxNjACAAAABDEwMDkEAAAAATAHAAAACTYvMzAvMjAxOAgAAAAJMy8zMS8yMDE2CQAAAAEw5Q/vhBQJ1giGwFOHFAnWCCVDSVEuSVFUUjE3MjYyMTQ3MS5JUV9UUl9NQUpfTUlOX1NUQUtFAQAAAJ/+SQoDAAAACE1ham9yaXR5AOY7RYIUCdYIe9JmhxQJ1ggsQ0lRLk5BU0RBUUNNOkJZU0kuSVFfTEFTVFNBTEVQUklDRS4zLzMxLzIwMTgBAAAAR89sGAIAAAAFMjUuNjIAYpJ0hRQJ1ghFSV2HFAnWCD5DSVEuTkFTREFRR006TU5LRC5JUV9UT1RBTF9FUVVJVFkuQ1kyMDE3LjYvMzAvMjAxOC5MRlIuRi5VU0QuSAEAAABmpY0AAgAA</t>
  </si>
  <si>
    <t>AAgtMjE0LjczMgEIAAAABQAAAAExAQAAAAoxODc2MjM4OTc0AwAAAAMxNjACAAAABDEyNzUEAAAAATAHAAAACTYvMzAvMjAxOAgAAAAKMTIvMzEvMjAxNwkAAAABMOltWYYUCdYI4A1ihxQJ1gg2Q0lRLk5BU0RBUUdNOkZPTEQuSVFfRUJJVERBLjE5OTYuNi8zMC8yMDE4LkxGUi5GLlVTRC5IAQAAAFb2agACAAAACC0xNzkuMzA3AQgAAAAFAAAAATEBAAAACjE4ODg0ODQ2MTkDAAAAAzE2MAIAAAAENDA1MQQAAAABMAcAAAAJNi8zMC8yMDE4CAAAAAkzLzMxLzIwMTcJAAAAATBiknSFFAnWCJSrX4cUCdYILkNJUS5JUVRSMzQwNzA0ODY1LklRX1RSX1RBUkdFVF9TVE9DS1BSRU1JVU1fMU0BAAAAYb5OFAIAAAAAAOY7RYIUCdYIe9JmhxQJ1ghHQ0lRLk5BU0RBUUdTOlhFUlMuSVFfTUlOT1JJVFlfSU5URVJFU1RfVE9UQUwuMjAwMC4zLzMxLzIwMTguTEZSLkYuVVNELkgBAAAA4O5PBgMAAAAAAMYl44QUCdYIZ+dahxQJ1ggvQ0lRLklRVFIzMDY3NTEwOTYuSVFfVFJfVEFSR0VUX1RPVEFMX1JFVi4uVVNELkgBAAAAeKZIEgIAAAAEMy40NQEGAAAABQAAAAIzNwEAAAAKMTc0Nzc1MjYwNQIAAAACMjgDAAAAAzE2MAQAAAABMAcAAAAIMS8xLzE5MDDmO0WCFAnWCHvSZocUCdYIOENJUS5OQVNEQVFHUzpDWVRLLklRX1RPVEFMX0NMLjE5OTYuNi8zMC8yMDE4LkxGUi5GLlVTRC5IAQAAALNqAAACAAAABjM2Ljc5</t>
  </si>
  <si>
    <t>NgEIAAAABQAAAAExAQAAAAoxODg4NDcwNjQxAwAAAAMxNjACAAAABDEwMDkEAAAAATAHAAAACTYvMzAvMjAxOAgAAAAJMy8zMS8yMDE3CQAAAAEwxiXjhBQJ1ghlIlaHFAnWCENDSVEuTkFTREFRQ006Q09SVC5JUV9FQklUREFfM1lSX0FOTl9DQUdSLjIwMDAuNi8zMC8yMDE4LkxGUi5GLlVTRC5IAQAAANK5FQADAAAAAk5NAQgAAAAFAAAAATEBAAAACjE4ODgwOTk1NDQDAAAAAzE2MAIAAAAENDIyMgQAAAABMAcAAAAJNi8zMC8yMDE4CAAAAAkzLzMxLzIwMTgJAAAAATBiknSFFAnWCJSrX4cUCdYIK0NJUS5JUVRSNTUyNzIwMjA3LklRX1RSX0lNUExJRURfRVZfRUJJVF9GV0QBAAAAT9fxIAIAAAAAAOY7RYIUCdYIe9JmhxQJ1ggxQ0lRLlNFSEs6MTUzMC5JUV9DQVBFWC4xOTkyLjYvMzAvMjAxOC5MRlIuRi5VU0QuSAEAAADvuHABAgAAAAktOS40MDE2MTcBCAAAAAUAAAABMQEAAAAKMTgzODE5NzYxNAMAAAADMTYwAgAAAAQyMDIxBAAAAAEwBwAAAAk2LzMwLzIwMTgIAAAACjEyLzMxLzIwMTUJAAAAATCUC1eGFAnWCC9wZIcUCdYINkNJUS5OQVNEQVFHUzpBUFRYLklRX0VCSVREQS4yMDAwLjYvMzAvMjAxOC5MRlIuRi5VU0QuSAEAAAAvKQwUAgAAAActMzQuODQzAQgAAAAFAAAAATEBAAAACjE4OTA4NTEzOTEDAAAAAzE2MAIAAAAENDA1MQQAAAABMAcAAAAJNi8zMC8yMDE4CAAAAAkzLzMxLzIwMTgJ</t>
  </si>
  <si>
    <t>AAAAATBiknSFFAnWCEVJXYcUCdYIIUNJUS5OQVNEQVFDTTpWS1RYLklRX0NPTVBBTllfTkFNRQEAAADyvLUOAwAAABlWaWtpbmcgVGhlcmFwZXV0aWNzLCBJbmMuAGKSdIUUCdYIZ+dahxQJ1gg5Q0lRLk5BU0RBUUdTOkNCQVkuSVFfVE9UQUxfUkVWLjIwMDAuNi8zMC8yMDE4LkxGUi5GLlVTRC5IAQAAAMB6AAACAAAABTUuMjA3AQgAAAAFAAAAATEBAAAACjE4ODc0NDUwODQDAAAAAzE2MAIAAAACMjgEAAAAATAHAAAACTYvMzAvMjAxOAgAAAAJMy8zMS8yMDE4CQAAAAEwYpJ0hRQJ1ghFSV2HFAnWCDhDSVEuTkFTREFRR1M6Q1lUSy5JUV9FQklUREEuQ1kyMDE3LjYvMzAvMjAxOC5MRlIuRi5VU0QuSAEAAACzagAAAgAAAAgtMTExLjQ3NgEIAAAABQAAAAExAQAAAAoxODc3NjY4Mjk5AwAAAAMxNjACAAAABDQwNTEEAAAAATAHAAAACTYvMzAvMjAxOAgAAAAKMTIvMzEvMjAxNwkAAAABMMYl44QUCdYIZSJWhxQJ1gg1Q0lRLk5BU0RBUUdNOlZUVlQuSVFfQ0FQRVguMTk5Ni42LzMwLzIwMTguTEZSLkYuVVNELkgBAAAAHaMfEgIAAAAGLTAuMTI2AQgAAAAFAAAAATEBAAAACjE4ODkwNTY1MTQDAAAAAzE2MAIAAAAEMjAyMQQAAAABMAcAAAAJNi8zMC8yMDE4CAAAAAkzLzMxLzIwMTcJAAAAATDlD++EFAnWCIbAU4cUCdYIPUNJUS5OQVNEQVFHUzpaRkdOLklRX1JFVkVOVUVfRVNULkNZMjAxOC42LzMwLzIw</t>
  </si>
  <si>
    <t>MTguQ09OLkYuVVNELkgBAAAAl8C6AQIAAAABMAEOAAAABQAAAAIxMQEAAAABMAIAAAAKMTAwMjgxMzQzMQMAAAAGMTAwMTgwBAAAAAEyBgAAAAEwBwAAAAMxNjAIAAAAATAJAAAAATEKAAAAATALAAAACzExMDI1ODQzNzEyDAAAAAE3DQAAAAg3LzEvMjAxOBAAAAAJNi8zMC8yMDE4r4blhBQJ1ginhFiHFAnWCENDSVEuTkFTREFRR1M6QVBUWC5JUV9FQklUREFfMllSX0FOTl9DQUdSLjIwMDAuNi8zMC8yMDE4LkxGUi5GLlVTRC5IAQAAAC8pDBQDAAAAAABiknSFFAnWCEVJXYcUCdYIPUNJUS5OQVNEQVFHUzpPRFQuSVFfVE9UQUxfRVFVSVRZLkNZMjAxNy42LzMwLzIwMTguTEZSLkYuVVNELkgBAAAAGhpFIAIAAAAHMTk1Ljk4MgEIAAAABQAAAAExAQAAAAoxODc0MTY3MjM5AwAAAAMxNjACAAAABDEyNzUEAAAAATAHAAAACTYvMzAvMjAxOAgAAAAKMTIvMzEvMjAxNwkAAAABMMYl44QUCdYIp4RYhxQJ1gg8Q0lRLihJTlZBTElEIElERU5USUZJRVIpLklRX0NBUEVYLjIwMDAuNi8zMC8yMDE4LkxGUi5GLlVTRC5IBQAAAAAAAAAIAAAAFChJbnZhbGlkIElkZW50aWZpZXIp5Q/vhBQJ1ggxXlGHFAnWCCJDSVEuT1RDUEs6RU1JUy5JUV9GSVJTVFBSSUNJTkdEQVRFAQAAAD79AwAFAAAACDIvOS8xOTg5AMYl44QUCdYIZSJWhxQJ1gghQ0lRLlNFSEs6MjE4Ni5JUV9GSVJTVFBSSUNJTkdEQVRFAQAAAMKBmAAF</t>
  </si>
  <si>
    <t>AAAACDcvOS8yMDE0AJQLV4YUCdYIL3BkhxQJ1gg4Q0lRLk5BU0RBUUdTOkNCQVkuSVFfVE9UQUxfQ0EuMTk5Ni42LzMwLzIwMTguTEZSLkYuVVNELkgBAAAAwHoAAAIAAAAGMjQuNTU3AQgAAAAFAAAAATEBAAAACjE4ODc0NDUwODIDAAAAAzE2MAIAAAAEMTAwOAQAAAABMAcAAAAJNi8zMC8yMDE4CAAAAAkzLzMxLzIwMTcJAAAAATBiknSFFAnWCGfnWocUCdYINkNJUS5PVENQSzpCVEhFLklRX05JX01BUkdJTi4yMDAwLjYvMzAvMjAxOC5MRlIuRi5VU0QuSAEAAABvnbkFAwAAAAJOTQEIAAAABQAAAAExAQAAAAoxODg4NjYzNzQyAwAAAAMxNjACAAAABDQwOTQEAAAAATAHAAAACTYvMzAvMjAxOAgAAAAJMy8zMS8yMDE4CQAAAAEw5Q/vhBQJ1giGwFOHFAnWCEZDSVEuTkFTREFRR1M6SVRDSS5JUV9UT1RBTF9SRVZfM1lSX0FOTl9DQUdSLjIwMDAuNi8zMC8yMDE4LkxGUi5GLlVTRC5IAQAAAHfRjwACAAAACC0yOC41NTUzAQgAAAAFAAAAATEBAAAACjE4ODY2MTczMjIDAAAAAzE2MAIAAAAENDIyMAQAAAABMAcAAAAJNi8zMC8yMDE4CAAAAAkzLzMxLzIwMTgJAAAAATBiknSFFAnWCGfnWocUCdYII0NJUS5OQVNEQVFHUzpPRFQuSVFfRUZGRUNUX1RBWF9SQVRFAQAAABoaRSADAAAAAADGJeOEFAnWCKeEWIcUCdYIKUNJUS5JUVRSMjcwMDc0NzU0LklRX1RSX0lNUExJRURfRVFfTklfTFRNAQAAAIIDGRAC</t>
  </si>
  <si>
    <t>AAAAAADmO0WCFAnWCHvSZocUCdYITUNJUS4oSU5WQUxJRCBJREVOVElGSUVSKS5JUV9UT1RBTF9SRVZfMllSX0FOTl9DQUdSLjIwMDAuNi8zMC8yMDE4LkxGUi5GLlVTRC5IBQAAAAAAAAAIAAAAFChJbnZhbGlkIElkZW50aWZpZXIp5Q/vhBQJ1ghg+06HFAnWCBVDSVEuMC5JUV9UUl9CVVlFUk5BTUUFAAAAAAAAAAgAAAAYKEludmFsaWQgVHJhbnNhY3Rpb24gSWQp5jtFghQJ1gjENGmHFAnWCDdDSVEuTkFTREFRR1M6WkZHTi5JUV9QRVJJT0REQVRFX0lTLjIwMDAuNi8zMC8yMDE4LkxGUi5GAQAAAJfAugEFAAAACTMvMzEvMjAxOADGJeOEFAnWCKeEWIcUCdYIJUNJUS5JUVRSMzQwNzA0ODY1LklRX1BSSU1BUllfSU5EVVNUUlkBAAAAQIlqAgMAAAAPUGhhcm1hY2V1dGljYWxzAOY7RYIUCdYIe9JmhxQJ1gg7Q0lRLk9UQ1BLOkVNSVMuSVFfQ0FTSF9TVF9JTlZFU1QuMjAwMC42LzMwLzIwMTguTEZSLkYuVVNELkgBAAAAPv0DAAIAAAAFNC42MzkBCAAAAAUAAAABMQEAAAAKMTg0MTg5ODUzNQMAAAADMTYwAgAAAAQxMDAyBAAAAAEwBwAAAAk2LzMwLzIwMTgIAAAACTMvMzEvMjAxNwkAAAABMK+G5YQUCdYIZSJWhxQJ1ghAQ0lRLk9UQ1BLOkVNSVMuSVFfRUJJVERBXzJZUl9BTk5fQ0FHUi4yMDAwLjYvMzAvMjAxOC5MRlIuRi5VU0QuSAEAAAA+/QMAAwAAAAJOTQEIAAAABQAAAAExAQAAAAoxODQxODk4</t>
  </si>
  <si>
    <t>NTM1AwAAAAMxNjACAAAABDQyMDkEAAAAATAHAAAACTYvMzAvMjAxOAgAAAAJMy8zMS8yMDE3CQAAAAEwr4blhBQJ1giGwFOHFAnWCCtDSVEuSVFUUjI0OTk4MTU2NC5JUV9UUl9JTVBMSUVEX0VWX0VCSVRfRldEAQAAAHxq5g4CAAAACTE0LjIwMjk5NQEGAAAABQAAAAI1NAEAAAAGMTEzMzk2AgAAAAkyNDk5ODE1NjQDAAAACTI0OTk4MTU2NAQAAAADMTYwBgAAAAVGYWxzZeY7RYIUCdYIe9JmhxQJ1ggiQ0lRLklRVFIyNDk5ODE1NjQuSVFfVFJfVE9UQUxfQ0FTSAEAAAB8auYOAgAAAAsyMTU0LjQzMjY3MgEGAAAABQAAAAI1NAEAAAAGMTAxMDU2AgAAAAkyNDk5ODE1NjQDAAAACTI0OTk4MzQzNwQAAAADMTYwBgAAAAVGYWxzZeY7RYIUCdYIe9JmhxQJ1gg1Q0lRLk5BU0RBUUNNOkNPUlQuSVFfREFfQ0YuMjAwMC42LzMwLzIwMTguTEZSLkYuVVNELkgBAAAA0rkVAAIAAAAFMC4xNDEBCAAAAAUAAAABMQEAAAAKMTg4ODA5OTU0NAMAAAADMTYwAgAAAAQyMTYwBAAAAAEwBwAAAAk2LzMwLzIwMTgIAAAACTMvMzEvMjAxOAkAAAABMGKSdIUUCdYIlKtfhxQJ1gg4Q0lRLk5BU0RBUUNNOkFWRU8uSVFfVE9UQUxfQ0wuMTk5Mi42LzMwLzIwMTguTEZSLkYuVVNELkgBAAAA9BYdAAIAAAAGMTAuODYyAQgAAAAFAAAAATEBAAAACjE4NDAwNDYxMTEDAAAAAzE2MAIAAAAEMTAwOQQAAAABMAcAAAAJNi8zMC8yMDE4</t>
  </si>
  <si>
    <t>CAAAAAkzLzMxLzIwMTYJAAAAATDGJeOEFAnWCGUiVocUCdYINkNJUS5OQVNEQVFDTTpBVkVPLklRX0VCSVREQS4xOTkyLjYvMzAvMjAxOC5MRlIuRi5VU0QuSAEAAAD0Fh0AAgAAAAQtNC4yAQgAAAAFAAAAATEBAAAACjE4NDAwNDYxMTEDAAAAAzE2MAIAAAAENDA1MQQAAAABMAcAAAAJNi8zMC8yMDE4CAAAAAkzLzMxLzIwMTYJAAAAATDGJeOEFAnWCGUiVocUCdYIOENJUS5OWVNFOk1ZT1YuSVFfRUJJVERBX0VTVC5DWTIwMTkuNi8zMC8yMDE4LkNPTi5GLlVTRC5IAQAAAJfaCxgDAAAAAABiknSFFAnWCJSrX4cUCdYIOkNJUS5OQVNEQVFHUzpJQ1BULklRX0VBUk5JTkdfQ08uMTk5Mi42LzMwLzIwMTguTEZSLkYuVVNELkgBAAAAgq+tAAIAAAAILTMxMy43MTcBCAAAAAUAAAABMQEAAAAKMTg0MTg0Mjg2OAMAAAADMTYwAgAAAAE3BAAAAAEwBwAAAAk2LzMwLzIwMTgIAAAACTMvMzEvMjAxNgkAAAABMOltWYYUCdYIL3BkhxQJ1gg6Q0lRLk5BU0RBUUdTOklUQ0kuSVFfRUFSTklOR19DTy4yMDAwLjYvMzAvMjAxOC5MRlIuRi5VU0QuSAEAAAB30Y8AAgAAAAotMTA2LjMxOTkxAQgAAAAFAAAAATEBAAAACjE4ODY2MTczMjIDAAAAAzE2MAIAAAABNwQAAAABMAcAAAAJNi8zMC8yMDE4CAAAAAkzLzMxLzIwMTgJAAAAATBiknSFFAnWCGfnWocUCdYIJ0NJUS5DUFNFOk5PVk8gQi5JUV9CVVNJTkVTU19ERVND</t>
  </si>
  <si>
    <t>UklQVElPTgEAAAB87wQAAwAAANAITm92byBOb3JkaXNrIEEvUywgYSBoZWFsdGhjYXJlIGNvbXBhbnksIGVuZ2FnZXMgaW4gdGhlIGRpc2NvdmVyeSwgZGV2ZWxvcG1lbnQsIG1hbnVmYWN0dXJlLCBhbmQgbWFya2V0aW5nIG9mIHBoYXJtYWNldXRpY2FsIHByb2R1Y3RzIHdvcmxkd2lkZS4gSXQgb3BlcmF0ZXMgaW4gdHdvIHNlZ21lbnRzLCBEaWFiZXRlcyBDYXJlIGFuZCBPYmVzaXR5LCBhbmQgQmlvcGhhcm1hY2V1dGljYWxzLiBUaGUgRGlhYmV0ZXMgQ2FyZSBhbmQgT2Jlc2l0eSBzZWdtZW50IHByb3ZpZGVzIGluc3VsaW5zLCBHTFAtMSBhbmQgcmVsYXRlZCBkZWxpdmVyeSBzeXN0ZW1zLCBhbmQgb3JhbCBhbnRpLWRpYWJldGljIGRydWdzIGFuZCBvYmVzaXR5LiBUaGUgQmlvcGhhcm1hY2V1dGljYWxzIHNlZ21lbnQgb2ZmZXJzIHByb2R1Y3RzIGluIHRoZSBhcmVhcyBvZiBoYWVtb3BoaWxpYSBjYXJlLCBncm93dGggaG9ybW9uZSB0aGVyYXB5LCBhbmQgaG9ybW9uZSByZXBsYWNlbWVudCB0aGVyYXB5LiBOb3ZvIE5vcmRpc2sgQS9TIGhhcyBhIHJlc2VhcmNoIGFuZCBsaWNlbnNpbmcgYWdyZWVtZW50IHdpdGggRFVLRSBOYXRpb25hbCBVbml2ZXJzaXR5IFNpbmdhcG9yZSBNZWRpY2FsIFNjaG9vbCB0byBkZXZlbG9wIHN0ZW0gY2VsbC1iYXNlZCB0cmVhdG1lbnRzIGZvciBjaHJvbmljIGhl</t>
  </si>
  <si>
    <t>YXJ0IGZhaWx1cmUgYW5kIGFnZS1yZWxhdGVkIG1hY3VsYXIgZGVnZW5lcmF0aW9uOyBhbmQgYSBzdHJhdGVnaWMgYWxsaWFuY2Ugd2l0aCBFdm90ZWMgQUcgdG8gZGlzY292ZXIgYW5kIGRldmVsb3Agc21hbGwgbW9sZWN1bGUgdGhlcmFwaWVzIHRvIHRyZWF0IHBhdGllbnRzIHN1ZmZlcmluZyBmcm9tIGRpYWJldGVzLCBvYmVzaXR5LCBhbmQgY28tbW9yYmlkaXRpZXMsIGFzIHdlbGwgYXMgaGFzIGEgcmVzZWFyY2ggY29sbGFib3JhdGlvbiB3aXRoIEthbGx5b3BlIEluYy4gVGhlIGNvbXBhbnkgbWFya2V0cyBhbmQgZGlzdHJpYnV0ZXMgaXRzIHByb2R1Y3RzIHRocm91Z2ggZGlzdHJpYnV0b3JzIGFuZCBpbmRlcGVuZGVudCBhZ2VudHMuIE5vdm8gTm9yZGlzayBBL1Mgd2FzIGZvdW5kZWQgaW4gMTkyNSBhbmQgaXMgaGVhZHF1YXJ0ZXJlZCBpbiBCYWdzdmFlcmQsIERlbm1hcmsuAJQLV4YUCdYIe9JmhxQJ1gg9Q0lRLk5BU0RBUUdTOkNZVEsuSVFfRUJJVERBX01BUkdJTi4yMDAwLjYvMzAvMjAxOC5MRlIuRi5VU0QuSAEAAACzagAAAwAAAAJOTQEIAAAABQAAAAExAQAAAAoxODg4NDcwNjY2AwAAAAMxNjACAAAABDQwNDcEAAAAATAHAAAACTYvMzAvMjAxOAgAAAAJMy8zMS8yMDE4CQAAAAEwxiXjhBQJ1ghlIlaHFAnWCDdDSVEuU0hTRTo2MDA4NjcuSVFfVE9UQUxfUkVWLjE5OTYuNi8zMC8yMDE4</t>
  </si>
  <si>
    <t>LkxGUi5GLlVTRC5IAQAAANg+rgACAAAACjMxMi44OTQwNjgBCAAAAAUAAAABMQEAAAAKMTg4NTE0NjI2OQMAAAADMTYwAgAAAAIyOAQAAAABMAcAAAAJNi8zMC8yMDE4CAAAAAkzLzMxLzIwMTcJAAAAATBiknSFFAnWCOANYocUCdYIMUNJUS5JUVRSNDAyMTAzOTE5LklRX1RSX1RBUkdFVF9SRVZFTlVFX0VTVC4uVVNELkgBAAAAb573FwIAAAAAAOY7RYIUCdYIe9JmhxQJ1ggyQ0lRLk9UQ1BLOlJaTFQuSVFfQ0FQRVguMTk5Mi42LzMwLzIwMTguTEZSLkYuVVNELkgBAAAAIQmbCgIAAAAILTQuMDA3NDEBCAAAAAUAAAABMQEAAAAKMTg0MjMyOTA1MwMAAAADMTYwAgAAAAQyMDIxBAAAAAEwBwAAAAk2LzMwLzIwMTgIAAAACTMvMzEvMjAxNgkAAAABMOUP74QUCdYIhsBThxQJ1gg7Q0lRLk5BU0RBUUdTOlpGR04uSVFfUFJFRl9FUVVJVFkuMjAwMC4zLzMxLzIwMTguTEZSLkYuVVNELkgBAAAAl8C6AQMAAAAAAMYl44QUCdYIp4RYhxQJ1ghDQ0lRLk5BU0RBUUdNOk1OS0QuSVFfRUJJVERBXzVZUl9BTk5fQ0FHUi4yMDAwLjYvMzAvMjAxOC5MRlIuRi5VU0QuSAEAAABmpY0AAwAAAAJOTQEIAAAABQAAAAExAQAAAAoxODg5Nzc1OTkzAwAAAAMxNjACAAAABDQyMzUEAAAAATAHAAAACTYvMzAvMjAxOAgAAAAJMy8zMS8yMDE4CQAAAAEw6W1ZhhQJ1gjgDWKHFAnWCDhDSVEuTkFTREFRR1M6WEVSUy5JUV9UT1RB</t>
  </si>
  <si>
    <t>TF9DQS4yMDAwLjYvMzAvMjAxOC5MRlIuRi5VU0QuSAEAAADg7k8GAgAAAAY1OS44MzUBCAAAAAUAAAABMQEAAAAKMTg5MDk2MTY1NQMAAAADMTYwAgAAAAQxMDA4BAAAAAEwBwAAAAk2LzMwLzIwMTgIAAAACTMvMzEvMjAxOAkAAAABMMYl44QUCdYIZ+dahxQJ1ggyQ0lRLlRTWFY6Q09CLlUuSVFfQ0FQRVguMTk5Ni42LzMwLzIwMTguTEZSLkYuVVNELkgBAAAAv/sACAIAAAAJLTAuMDgwNDkzAQgAAAAFAAAAATEBAAAACjE4ODkwNjIwNjkDAAAAAzE2MAIAAAAEMjAyMQQAAAABMAcAAAAJNi8zMC8yMDE4CAAAAAkzLzMxLzIwMTcJAAAAATCvhuWEFAnWCIbAU4cUCdYINkNJUS5PVENQSzpORVhTLklRX05JX01BUkdJTi4yMDAwLjYvMzAvMjAxOC5MRlIuRi5VU0QuSAEAAAAdvU4UAwAAAAAA5Q/vhBQJ1ggxXlGHFAnWCDtDSVEuTkFTREFRR1M6WkZHTi5JUV9UT1RBTF9SRVYuQ1kyMDE2LjYvMzAvMjAxOC5MRlIuRi5VU0QuSAEAAACXwLoBAwAAAAAAxiXjhBQJ1ginhFiHFAnWCDxDSVEuRU5YVFBBOkVSWVAuSVFfVE9UQUxfRVFVSVRZLkNZMjAxNi42LzMwLzIwMTguTEZSLkYuVVNELkgBAAAA2Ip4AQIAAAAJMzcuNjIwNjA2AQgAAAAFAAAAATEBAAAACjE4ODUyMDQzNjkDAAAAAzE2MAIAAAAEMTI3NQQAAAABMAcAAAAJNi8zMC8yMDE4CAAAAAoxMi8zMS8yMDE2CQAAAAEw5Q/vhBQJ1ggxXlGHFAnWCDdD</t>
  </si>
  <si>
    <t>SVEuVFNYVjpDT0IuVS5JUV9FQVJOSU5HX0NPLjE5OTIuNi8zMC8yMDE4LkxGUi5GLlVTRC5IAQAAAL/7AAgCAAAACS00LjMxMzI0NQEIAAAABQAAAAExAQAAAAoxODQyNzU4ODEwAwAAAAMxNjACAAAAATcEAAAAATAHAAAACTYvMzAvMjAxOAgAAAAJMy8zMS8yMDE2CQAAAAEwr4blhBQJ1giGwFOHFAnWCEJDSVEuU0VISzoyMTg2LklRX1RPVEFMX1JFVl81WVJfQU5OX0NBR1IuMjAwMC42LzMwLzIwMTguTEZSLkYuVVNELkgBAAAAwoGYAAIAAAAHMTIuMjk5NAEIAAAABQAAAAExAQAAAAoxODg1NDk1MDA2AwAAAAIzMgIAAAAENDIzMwQAAAABMAcAAAAJNi8zMC8yMDE4CAAAAAoxMi8zMS8yMDE3CQAAAAEw6W1ZhhQJ1ggvcGSHFAnWCDVDSVEuVFNYVjpDT0IuVS5JUV9UT1RBTF9DTC4xOTk2LjYvMzAvMjAxOC5MRlIuRi5VU0QuSAEAAAC/+wAIAgAAAAgwLjgzMDg0NgEIAAAABQAAAAExAQAAAAoxODg5MDYyMDY5AwAAAAMxNjACAAAABDEwMDkEAAAAATAHAAAACTYvMzAvMjAxOAgAAAAJMy8zMS8yMDE3CQAAAAEwr4blhBQJ1giGwFOHFAnWCCVDSVEuU0hTRTo2MDA4NjcuSVFfQkVUQV81WVIuNi8zMC8yMDE4AQAAANg+rgACAAAAETAuNzYyNTI4MjI0NzU4MTk3AGKSdIUUCdYI4A1ihxQJ1gg6Q0lRLk5BU0RBUUdTOklUQ0kuSVFfRUFSTklOR19DTy4xOTk2LjYvMzAvMjAxOC5MRlIuRi5VU0QuSAEAAAB3</t>
  </si>
  <si>
    <t>0Y8AAgAAAAstMTE1LjUxODQwMQEIAAAABQAAAAExAQAAAAoxODg2NjE3MzYyAwAAAAMxNjACAAAAATcEAAAAATAHAAAACTYvMzAvMjAxOAgAAAAJMy8zMS8yMDE3CQAAAAEwYpJ0hRQJ1ghn51qHFAnWCDtDSVEuTkFTREFRR1M6SUNQVC5JUV9QUkVGX0VRVUlUWS4yMDAwLjYvMzAvMjAxOC5MRlIuRi5VU0QuSAEAAACCr60AAwAAAAAA6W1ZhhQJ1ggvcGSHFAnWCCFDSVEuTkFTREFRR1M6WEVSUy5JUV9DT01QQU5ZX05BTUUBAAAA4O5PBgMAAAAbWGVyaXMgUGhhcm1hY2V1dGljYWxzLCBJbmMuAMYl44QUCdYIZ+dahxQJ1ghAQ0lRLk9UQ1BLOkVNSVMuSVFfRUJJVERBXzVZUl9BTk5fQ0FHUi4yMDAwLjYvMzAvMjAxOC5MRlIuRi5VU0QuSAEAAAA+/QMAAwAAAAJOTQEIAAAABQAAAAExAQAAAAoxODQxODk4NTM1AwAAAAMxNjACAAAABDQyMzUEAAAAATAHAAAACTYvMzAvMjAxOAgAAAAJMy8zMS8yMDE3CQAAAAEwr4blhBQJ1giGwFOHFAnWCDZDSVEuTkFTREFRR006TU5LRC5JUV9FQklUREEuMjAwMC42LzMwLzIwMTguTEZSLkYuVVNELkgBAAAAZqWNAAIAAAAHLTk5LjMxNQEIAAAABQAAAAExAQAAAAoxODg5Nzc1OTkzAwAAAAMxNjACAAAABDQwNTEEAAAAATAHAAAACTYvMzAvMjAxOAgAAAAJMy8zMS8yMDE4CQAAAAEw6W1ZhhQJ1gjgDWKHFAnWCDZDSVEuU0hTRTo2MDA4NjcuSVFfRUJJVERBLkNZMjAx</t>
  </si>
  <si>
    <t>Ny42LzMwLzIwMTguTEZSLkYuVVNELkgBAAAA2D6uAAIAAAAKMTc2LjExMjQ3NgEIAAAABQAAAAExAQAAAAoxODgzMTE4NTM1AwAAAAMxNjACAAAABDQwNTEEAAAAATAHAAAACTYvMzAvMjAxOAgAAAAKMTIvMzEvMjAxNwkAAAABMGKSdIUUCdYI4A1ihxQJ1gglQ0lRLklRVFIxNzI2MjE0NzEuSVFfUFJJTUFSWV9JTkRVU1RSWQEAAADCgZgAAwAAAA9QaGFybWFjZXV0aWNhbHMA5jtFghQJ1gh70maHFAnWCEZDSVEuTkFTREFRR1M6QVBUWC5JUV9UT1RBTF9SRVZfNVlSX0FOTl9DQUdSLjIwMDAuNi8zMC8yMDE4LkxGUi5GLlVTRC5IAQAAAC8pDBQDAAAAAABiknSFFAnWCEVJXYcUCdYIOENJUS5UU1hWOkNPQi5VLklRX1BSRUZfRVFVSVRZLjIwMDAuNi8zMC8yMDE4LkxGUi5GLlVTRC5IAQAAAL/7AAgDAAAAAACvhuWEFAnWCIbAU4cUCdYIIUNJUS5OQVNEQVFDTTpDT1JULklRX0NPTVBBTllfTkFNRQEAAADSuRUAAwAAACFDb3JjZXB0IFRoZXJhcGV1dGljcyBJbmNvcnBvcmF0ZWQAYpJ0hRQJ1giUq1+HFAnWCDhDSVEuTllTRTpNWU9WLklRX0VCSVREQV9FU1QuQ1kyMDE4LjYvMzAvMjAxOC5DT04uRi5VU0QuSAEAAACX2gsYAwAAAAAAYpJ0hRQJ1giUq1+HFAnWCDhDSVEuQ1BTRTpaRUFMLklRX1RPVEFMX0VRVUlUWS4yMDAwLjYvMzAvMjAxOC5MRlIuRi5VU0QuSAEAAAAiWxMAAgAAAAk3Mi4yMzg1OTQB</t>
  </si>
  <si>
    <t>CAAAAAUAAAABMQEAAAAKMTg4OTkxMzEwMAMAAAADMTYwAgAAAAQxMjc1BAAAAAEwBwAAAAk2LzMwLzIwMTgIAAAACTMvMzEvMjAxOAkAAAABMGKSdIUUCdYI4A1ihxQJ1gg5Q0lRLk5BU0RBUUdTOklDUFQuSVFfVE9UQUxfUkVWLjE5OTYuNi8zMC8yMDE4LkxGUi5GLlVTRC5IAQAAAIKvrQACAAAABjQ1LjU1NAEIAAAABQAAAAExAQAAAAoxODg4NjE1NTE5AwAAAAMxNjACAAAAAjI4BAAAAAEwBwAAAAk2LzMwLzIwMTgIAAAACTMvMzEvMjAxNwkAAAABMOltWYYUCdYIL3BkhxQJ1ggoQ0lRLk5BU0RBUUdTOkNZVEsuSVFfVEVWLjYvMzAvMjAxOC5VU0QuSAEAAACzagAAAgAAAAoyMzAuMzM5NjMxAQYAAAAFAAAAATEBAAAACjE4ODg0NzAxOTcDAAAAAzE2MAIAAAAGMTAwMDYwBAAAAAEwBwAAAAk2LzMwLzIwMTjGJeOEFAnWCGUiVocUCdYIOkNJUS5OQVNEQVFHUzpDWVRLLklRX1RPVEFMX0RFQlQuMjAwMC4zLzMxLzIwMTguTEZSLkYuVVNELkgBAAAAs2oAAAIAAAAGMzEuNzc3AQgAAAAFAAAAATEBAAAACjE4Nzc2NjgyOTkDAAAAAzE2MAIAAAAENDE3MwQAAAABMAcAAAAJMy8zMS8yMDE4CAAAAAoxMi8zMS8yMDE3CQAAAAEwr4blhBQJ1ghlIlaHFAnWCCBDSVEuSVFUUjQwMjEwMzkxOS5JUV9UUl9FQVJOT1VUUwEAAABvnvcXAgAAAAAA5jtFghQJ1gh70maHFAnWCCJDSVEuSVFUUjEwODkwNjI3Ni5JUV9U</t>
  </si>
  <si>
    <t>Ul9UQVJHRVROQU1FAQAAACTHfQYDAAAARk1ldGFib2xleCwgSW5jLiwgTUJYLTI5ODIgTm92ZWwgVHlwZSAyIERpYWJldGVzIFRyZWF0bWVudCBQcm9kdWN0IExpbmUA5jtFghQJ1gh70maHFAnWCCxDSVEuTllTRTpNWU9WLklRX0xBU1RTQUxFUFJJQ0UuNi8zMC8yMDE4LlVTRAEAAACX2gsYAgAAAAUyMi44NwBiknSFFAnWCJSrX4cUCdYIPUNJUS5OQVNEQVFDTTpDVVIuSVFfVE9UQUxfRVFVSVRZLkNZMjAxNy42LzMwLzIwMTguTEZSLkYuVVNELkgBAAAA8e51AAIAAAAIOC41MTUxMjkBCAAAAAUAAAABMQEAAAAKMTg4MTA2NTcxMwMAAAADMTYwAgAAAAQxMjc1BAAAAAEwBwAAAAk2LzMwLzIwMTgIAAAACjEyLzMxLzIwMTcJAAAAATDlD++EFAnWCDFeUYcUCdYIQ0NJUS5OQVNEQVFHUzpMWFJYLklRX0VCSVREQV81WVJfQU5OX0NBR1IuMjAwMC42LzMwLzIwMTguTEZSLkYuVVNELkgBAAAAPXgAAAMAAAACTk0BCAAAAAUAAAABMQEAAAAKMTg4NjU0Mzg3NQMAAAADMTYwAgAAAAQ0MjM1BAAAAAEwBwAAAAk2LzMwLzIwMTgIAAAACTMvMzEvMjAxOAkAAAABMGKSdIUUCdYIRUldhxQJ1ggdQ0lRLk5BU0RBUUNNOkJZU0kuSVFfRVhDSEFOR0UBAAAAR89sGAMAAAAITmFzZGFxQ00AYpJ0hRQJ1ghFSV2HFAnWCDlDSVEuRU5YVFBBOkVSWVAuSVFfVE9UQUxfUkVWLkNZMjAxNi42LzMwLzIwMTguTEZSLkYuVVNE</t>
  </si>
  <si>
    <t>LkgBAAAA2Ip4AQIAAAAINC4zNjgyMDQBCAAAAAUAAAABMQEAAAAKMTg4NTIwNDM2OQMAAAADMTYwAgAAAAIyOAQAAAABMAcAAAAJNi8zMC8yMDE4CAAAAAoxMi8zMS8yMDE2CQAAAAEw5Q/vhBQJ1ggxXlGHFAnWCDpDSVEuT1RDUEs6TkVYUy5JUV9SRVZFTlVFX0VTVC5DWTIwMjAuNi8zMC8yMDE4LkNPTi5GLlVTRC5IAQAAAB29ThQDAAAAAADlD++EFAnWCDFeUYcUCdYIPkNJUS5OQVNEQVFHTTpSWVRNLklRX0NBU0hfU1RfSU5WRVNULjIwMDAuNi8zMC8yMDE4LkxGUi5GLlVTRC5IAQAAABjJbRICAAAABzEzNi40NTMBCAAAAAUAAAABMQEAAAAKMTg4ODkxMTQ3MAMAAAADMTYwAgAAAAQxMDAyBAAAAAEwBwAAAAk2LzMwLzIwMTgIAAAACTMvMzEvMjAxOAkAAAABMGKSdIUUCdYIRUldhxQJ1ggsQ0lRLklRVFI1NTI3MjAyMDcuSVFfVFJfVEFSR0VUX0VCSVREQS4uVVNELkgBAAAAT9fxIAIAAAAJLTAuMzc5NDIxAQYAAAAFAAAAAjM3AQAAAAoxODg2NDIzODgxAgAAAAUyMTY3NwMAAAADMTYwBAAAAAEwBwAAAAgxLzEvMTkwMOY7RYIUCdYIe9JmhxQJ1ggWQ0lRLi5JUV9UUl9DTE9TRURfREFURQUAAAAAAAAACAAAABQoSW52YWxpZCBJZGVudGlmaWVyKeY7RYIUCdYIi9OfghQJ1ggmQ0lRLk9UQ1BLOkJUSEUuSVFfQlVTSU5FU1NfREVTQ1JJUFRJT04BAAAAb525BQMAAADnCkJvc3RvbiBUaGVyYXBldXRp</t>
  </si>
  <si>
    <t>Y3MsIEluYy4sIGEgcHJlLWNsaW5pY2FsIGFuZCBjbGluaWNhbC1zdGFnZSBwaGFybWFjZXV0aWNhbCBjb21wYW55LCBmb2N1c2VzIG9uIHRoZSBkZXZlbG9wbWVudCwgbWFudWZhY3R1cmUsIGFuZCBjb21tZXJjaWFsaXphdGlvbiBvZiBjYXJib2h5ZHJhdGUtYmFzZWQgdGhlcmFwZXV0aWMgZHJ1Z3MgYW5kIGRpZXRhcnkgc3VwcGxlbWVudHMgaW4gdGhlIFVuaXRlZCBTdGF0ZXMuIEl0cyBsZWFkIHBoYXJtYWNldXRpY2FsIGRydWcgY2FuZGlkYXRlcyBpbmNsdWRlIEJUSS0zMjAsIGEgbm9uLXN5c3RlbWljLCBjYXJib2h5ZHJhdGUtYmFzZWQgY29tcG91bmQgdGhhdCBpcyBpbiBQaGFzZSBJSWIgY2xpbmljYWwgdHJpYWwgdG8gcmVkdWNlIHBvc3QtbWVhbCBlbGV2YXRpb24gb2YgYmxvb2QgZ2x1Y29zZSBsZXZlbHMgaW4gVHlwZSAyIGRpYWJldGljIGFuZCBwcmUgZGlhYmV0aWMgcGF0aWVudHM7IEJUSS00MTAsIGEgcGVwdGlkZSBpbmplY3RhYmxlIGNvbXBvdW5kIHRoYXQgaGFzIGNvbXBsZXRlZCBQaGFzZSBJYiBjbGluaWNhbCB0cmlhbHMgZm9yIHR5cGUgMSBpbW11bm9zdXBwcmVzc2lvbiB0aGVyYXB5IGFmdGVyIGtpZG5leSB0cmFuc3BsYW50IHN1cmdlcnkgYW5kIHR5cGUgMiBkaWFiZXRlcyBwYXRpZW50czsgYW5kIElQT1hZTiwgYSBjYXJib2h5ZHJhdGUtYmFzZWQsIGluamVjdGFibGUg</t>
  </si>
  <si>
    <t>ZHJ1ZyB0byBwcmV2ZW50IG5lY3Jvc2lzLCBvciBjZWxsIGRlYXRoLCBhcyB3ZWxsIGFzIHRvIHRyZWF0IGh5cG94aWMgY29uZGl0aW9ucywgc3VjaCBhcyBkaWFiZXRpYyBmb290IHVsY2VycyBhbmQgb3RoZXIgdmFzY3VsYXIvbmV1cm9sb2dpY2FsIGNvbXBsaWNhdGlvbnMuIFRoZSBjb21wYW55IGFsc28gZGV2ZWxvcHMgT3h5RmV4LCBhbiBveHlnZW4gZGVsaXZlcnkgYWdlbnQgZm9yIGlzY2hlbWlhIGFuZCB0cmF1bWEgZm9yIGJsb29kIGxvc3MgZHVyaW5nIHN1cmdlcnkgaW4gdmV0ZXJpbmFyeSBtZWRpY2luZSBhcHBsaWNhdGlvbnMuIEluIGFkZGl0aW9uLCBpdCBwcm9kdWNlcyBhbmQgc2VsbHMgU1VHQVJET1dOLCBhIG5vbi1zeXN0ZW1pYyBjb21wbGV4IGNhcmJvaHlkcmF0ZS1iYXNlZCBkaWV0YXJ5IGZvb2Qgc3VwcGxlbWVudCB0byBzdXBwb3J0IGhlYWx0aHkgcG9zdC1tZWFsIGJsb29kIGdsdWNvc2UuIFRoZSBjb21wYW55IHdhcyBmb3JtZXJseSBrbm93biBhcyBBdmFueXggVGhlcmFwZXV0aWNzLCBJbmMuIGFuZCBjaGFuZ2VkIGl0cyBuYW1lIHRvIEJvc3RvbiBUaGVyYXBldXRpY3MsIEluYy4gaW4gTm92ZW1iZXIgMjAxMC4gQm9zdG9uIFRoZXJhcGV1dGljcywgSW5jLiB3YXMgZm91bmRlZCBpbiAyMDA5IGFuZCBpcyBoZWFkcXVhcnRlcmVkIGluIExhd3JlbmNlLCBNYXNzYWNodXNl</t>
  </si>
  <si>
    <t>dHRzLgDlD++EFAnWCIbAU4cUCdYIRkNJUS5OQVNEQVFDTTpDT1JULklRX1RPVEFMX1JFVl81WVJfQU5OX0NBR1IuMjAwMC42LzMwLzIwMTguTEZSLkYuVVNELkgBAAAA0rkVAAIAAAAIMTA2LjYzNDIBCAAAAAUAAAABMQEAAAAKMTg4ODA5OTU0NAMAAAADMTYwAgAAAAQ0MjMzBAAAAAEwBwAAAAk2LzMwLzIwMTgIAAAACTMvMzEvMjAxOAkAAAABMGKSdIUUCdYIlKtfhxQJ1ggZQ0lRLjAuSVFfVFJfSU1QTElFRF9FUV9CVgUAAAAAAAAACAAAABgoSW52YWxpZCBUcmFuc2FjdGlvbiBJZCnmO0WCFAnWCMQ0aYcUCdYIHUNJUS5JUTI1NjIyLklRX0NPTVBBTllfVElDS0VSAQAAABZkAAADAAAACEFNRVg6QlRYAOY7RYIUCdYIQki1ghQJ1gg5Q0lRLk9UQ1BLOlJaTFQuSVFfVE9UQUxfRVFVSVRZLjIwMDAuNi8zMC8yMDE4LkxGUi5GLlVTRC5IAQAAACEJmwoCAAAABzAuNTMyOTMBCAAAAAUAAAABMQEAAAAKMTg4OTEwNTEyNAMAAAADMTYwAgAAAAQxMjc1BAAAAAEwBwAAAAk2LzMwLzIwMTgIAAAACTMvMzEvMjAxOAkAAAABMOUP74QUCdYIhsBThxQJ1gglQ0lRLklRVFIxMTc4MDM5MjAuSVFfVFJfSU1QTElFRF9FUV9CVgEAAACQiwUHAgAAAAAA5jtFghQJ1gh70maHFAnWCDdDSVEuU0hTRTo2MDA4NjcuSVFfTklfTUFSR0lOLjIwMDAuNi8zMC8yMDE4LkxGUi5GLlVTRC5IAQAAANg+rgACAAAABzMzLjM0NDIB</t>
  </si>
  <si>
    <t>CAAAAAUAAAABMQEAAAAKMTg4NTE0NjI3MwMAAAACMzICAAAABDQwOTQEAAAAATAHAAAACTYvMzAvMjAxOAgAAAAJMy8zMS8yMDE4CQAAAAEwYpJ0hRQJ1gjgDWKHFAnWCDNDSVEuT1RDUEs6QlRIRS5JUV9FQklUREEuMTk5Ni42LzMwLzIwMTguTEZSLkYuVVNELkgBAAAAb525BQIAAAAJLTEuMjMxNDk0AQgAAAAFAAAAATEBAAAACjE4ODg2NjM3MzkDAAAAAzE2MAIAAAAENDA1MQQAAAABMAcAAAAJNi8zMC8yMDE4CAAAAAkzLzMxLzIwMTcJAAAAATDlD++EFAnWCIbAU4cUCdYIOUNJUS5TSFNFOjYwMDg2Ny5JUV9UT1RBTF9SRVYuQ1kyMDE3LjYvMzAvMjAxOC5MRlIuRi5VU0QuSAEAAADYPq4AAgAAAAozOTEuMTg1MjMzAQgAAAAFAAAAATEBAAAACjE4ODMxMTg1MzUDAAAAAzE2MAIAAAACMjgEAAAAATAHAAAACTYvMzAvMjAxOAgAAAAKMTIvMzEvMjAxNwkAAAABMGKSdIUUCdYI4A1ihxQJ1gg7Q0lRLk5BU0RBUUdTOklDUFQuSVFfUFJFRl9FUVVJVFkuMjAwMC4zLzMxLzIwMTguTEZSLkYuVVNELkgBAAAAgq+tAAMAAAAAAOltWYYUCdYIL3BkhxQJ1gg+Q0lRLk5BU0RBUUdTOk5JVEUuSVFfQ0FTSF9TVF9JTlZFU1QuMjAwMC42LzMwLzIwMTguTEZSLkYuVVNELkgBAAAADNMYEAIAAAAHMTIyLjI3NwEIAAAABQAAAAExAQAAAAoxODkzNDk2NzQ1AwAAAAMxNjACAAAABDEwMDIEAAAAATAHAAAACTYvMzAv</t>
  </si>
  <si>
    <t>MjAxOAgAAAAJMy8zMS8yMDE4CQAAAAEwxiXjhBQJ1ginhFiHFAnWCDxDSVEuTkFTREFRR1M6TFhSWC5JUV9HUk9TU19NQVJHSU4uMjAwMC42LzMwLzIwMTguTEZSLkYuVVNELkgBAAAAPXgAAAIAAAAILTY3LjgzOTIBCAAAAAUAAAABMQEAAAAKMTg4NjU0Mzg3NQMAAAADMTYwAgAAAAQ0MDc0BAAAAAEwBwAAAAk2LzMwLzIwMTgIAAAACTMvMzEvMjAxOAkAAAABMGKSdIUUCdYIlKtfhxQJ1gggQ0lRLklRVFI1NTI3MjAyMDcuSVFfVFJfRUFSTk9VVFMBAAAAT9fxIAIAAAAIMC45MzIzODcBBgAAAAUAAAACNTQBAAAABjEwMTQwMwIAAAAJNTUyNzIwMjA3AwAAAAk1NTI3MjYxOTYEAAAAAzE2MAYAAAAFRmFsc2XmO0WCFAnWCHvSZocUCdYIPENJUS5OQVNEQVFDTTpWS1RYLklRX0VBUk5JTkdfQ08uQ1kyMDE2LjYvMzAvMjAxOC5MRlIuRi5VU0QuSAEAAADyvLUOAgAAAAotMTQuNzMxODIyAQgAAAAFAAAAATEBAAAACjE4NzczMjM5MjgDAAAAAzE2MAIAAAABNwQAAAABMAcAAAAJNi8zMC8yMDE4CAAAAAoxMi8zMS8yMDE2CQAAAAEwxiXjhBQJ1ghn51qHFAnWCB9DSVEuLklRX1RSX1RPVEFMX0dST1NTX1RWLlVTRC5IBQAAAAEAAAAIAAAAFChJbnZhbGlkIElkZW50aWZpZXIplAtXhhQJ1giUC1eGFAnWCEdDSVEuTkFTREFRR1M6Q1lUSy5JUV9NSU5PUklUWV9JTlRFUkVTVF9UT1RBTC4yMDAwLjYvMzAvMjAx</t>
  </si>
  <si>
    <t>OC5MRlIuRi5VU0QuSAEAAACzagAAAwAAAAAAxiXjhBQJ1ghlIlaHFAnWCC1DSVEuTkFTREFRR1M6T0RULklRX01BUktFVENBUC42LzMwLzIwMTguVVNELkgBAAAAGhpFIAIAAAAJNTkzLjY4NDgxAQYAAAAFAAAAATEBAAAACjE4ODYzMDEzNTMDAAAAAzE2MAIAAAAGMTAwMDU0BAAAAAEwBwAAAAk2LzMwLzIwMTjGJeOEFAnWCGfnWocUCdYIHkNJUS5JUTMyMzQ1Mi5JUV9DT01QQU5ZX1RJQ0tFUgEAAAB87wQAAwAAAAtDUFNFOk5PVk8gQgDmO0WCFAnWCIvTn4IUCdYIOkNJUS5OQVNEQVFHUzpDWVRLLklRX0VBUk5JTkdfQ08uMTk5Ni42LzMwLzIwMTguTEZSLkYuVVNELkgBAAAAs2oAAAIAAAAFMy4wNDEBCAAAAAUAAAABMQEAAAAKMTg4ODQ3MDY0MQMAAAADMTYwAgAAAAE3BAAAAAEwBwAAAAk2LzMwLzIwMTgIAAAACTMvMzEvMjAxNwkAAAABMMYl44QUCdYIZSJWhxQJ1gg5Q0lRLkNQU0U6Tk9WTyBCLklRX1RPVEFMX1JFVi5DWTIwMTcuNi8zMC8yMDE4LkxGUi5GLlVTRC5IAQAAAHzvBAACAAAADDE4MDEzLjY1MzQ0NAEIAAAABQAAAAExAQAAAAoxODczNjk0MjIzAwAAAAMxNjACAAAAAjI4BAAAAAEwBwAAAAk2LzMwLzIwMTgIAAAACjEyLzMxLzIwMTcJAAAAATCUC1eGFAnWCHvSZocUCdYINUNJUS5OQVNEQVFDTTpDT1JULklRX0NBUEVYLjE5OTYuNi8zMC8yMDE4LkxGUi5GLlVTRC5IAQAAANK5FQAC</t>
  </si>
  <si>
    <t>AAAABi0wLjI4MgEIAAAABQAAAAExAQAAAAoxODg4MDk5NTMyAwAAAAMxNjACAAAABDIwMjEEAAAAATAHAAAACTYvMzAvMjAxOAgAAAAJMy8zMS8yMDE3CQAAAAEwYpJ0hRQJ1giUq1+HFAnWCD5DSVEuTkFTREFRR1M6TFhSWC5JUV9DQVNIX1NUX0lOVkVTVC4yMDAwLjMvMzEvMjAxOC5MRlIuRi5VU0QuSAEAAAA9eAAAAgAAAAczMTAuNzg4AQgAAAAFAAAAATEBAAAACjE4NzcxMzM5NzQDAAAAAzE2MAIAAAAEMTAwMgQAAAABMAcAAAAJMy8zMS8yMDE4CAAAAAoxMi8zMS8yMDE3CQAAAAEwYpJ0hRQJ1ghFSV2HFAnWCBlDSVEuU0VISzoyMTg2LklRX0VYQ0hBTkdFAQAAAMKBmAADAAAABFNFSEsAlAtXhhQJ1ggvcGSHFAnWCD1DSVEuTkFTREFRR1M6SUNQVC5JUV9SRVZFTlVFX0VTVC5DWTIwMjEuNi8zMC8yMDE4LkNPTi5GLlVTRC5IAQAAAIKvrQACAAAACDYyMS44NDc1AQ4AAAAFAAAAAjExAQAAAAEwAgAAAAoxMDAxOTQxNzQ4AwAAAAYxMDAxODAEAAAAATIGAAAAATAHAAAAAzE2MAgAAAABMAkAAAABMQoAAAABMAsAAAALMTA4NzU3NTIzOTkMAAAAATcNAAAACDcvMS8yMDE4EAAAAAk2LzMwLzIwMTjpbVmGFAnWCC9wZIcUCdYII0NJUS5TRUhLOjM5MzMuSVFfUEVSSU9EREFURV9JUy4xMDAwAQAAAE3aEQIFAAAACjEyLzMxLzIwMTcA6W1ZhhQJ1ggvcGSHFAnWCCRDSVEuT1RDUEs6TkVYUy5JUV9QRVJJ</t>
  </si>
  <si>
    <t>T0REQVRFX0lTLjEwMDABAAAAHb1OFAUAAAAJMi8yOC8yMDE3AOUP74QUCdYIMV5RhxQJ1gg7Q0lRLlNIU0U6NjAwODY3LklRX1JFVkVOVUVfRVNULkNZMjAxOS42LzMwLzIwMTguQ09OLkYuVVNELkgBAAAA2D6uAAIAAAAQNTc0LjAxNzYxNDY3MzUwNwEOAAAABQAAAAIxMQEAAAABMAIAAAAKMTAwMjAwNzU4NQMAAAAGMTAwMTgwBAAAAAIyNwYAAAABMAcAAAADMTYwCAAAAAEwCQAAAAExCgAAAAEwCwAAAAsxMDk0NTg1Njk0NgwAAAABNw0AAAAINy8xLzIwMTgQAAAACTYvMzAvMjAxOGKSdIUUCdYI4A1ihxQJ1ggvQ0lRLklRVFIzNDA3MDQ4NjUuSVFfVFJfVEFSR0VUX1RPVEFMX1JFVi4uVVNELkgBAAAAYb5OFAIAAAAAAOY7RYIUCdYIe9JmhxQJ1gg4Q0lRLk5BU0RBUUdTOlpGR04uSVFfVE9UQUxfQ0EuMTk5Mi42LzMwLzIwMTguTEZSLkYuVVNELkgBAAAAl8C6AQIAAAAHMTY4Ljg0NAEIAAAABQAAAAExAQAAAAoxODQwOTM1OTYzAwAAAAMxNjACAAAABDEwMDgEAAAAATAHAAAACTYvMzAvMjAxOAgAAAAJMy8zMS8yMDE2CQAAAAEwxiXjhBQJ1ginhFiHFAnWCC1DSVEuT1RDUEs6UlpMVC5JUV9MQVNUU0FMRVBSSUNFLjYvMzAvMjAxOC5VU0QBAAAAIQmbCgIAAAAEMC40NQDlD++EFAnWCIbAU4cUCdYIMENJUS5JUVRSMTcyNjIxNDcxLklRX1RSX1RBUkdFVF9FQklUREFfRVNULi5VU0QuSAEAAACf/kkK</t>
  </si>
  <si>
    <t>AgAAAAAA5jtFghQJ1gh70maHFAnWCDdDSVEuQ1BTRTpOT1ZPIEIuSVFfVE9UQUxfUkVWLjIwMDAuNi8zMC8yMDE4LkxGUi5GLlVTRC5IAQAAAHzvBAACAAAADDE4MjA5Ljc2NTg0NwEIAAAABQAAAAExAQAAAAoxODkyNjIzOTUzAwAAAAMxNjACAAAAAjI4BAAAAAEwBwAAAAk2LzMwLzIwMTgIAAAACTMvMzEvMjAxOAkAAAABMJQLV4YUCdYIe9JmhxQJ1gg4Q0lRLkNQU0U6WkVBTC5JUV9FQVJOSU5HX0NPLkNZMjAxNi42LzMwLzIwMTguTEZSLkYuVVNELkgBAAAAIlsTAAIAAAAKLTIxLjg1MzE4MwEIAAAABQAAAAExAQAAAAoxODc4MDU5NjkyAwAAAAMxNjACAAAAATcEAAAAATAHAAAACTYvMzAvMjAxOAgAAAAKMTIvMzEvMjAxNgkAAAABMGKSdIUUCdYI4A1ihxQJ1gg7Q0lRLk5BU0RBUUNNOkNVUi5JUV9FQklUREFfRVNULkNZMjAxOS42LzMwLzIwMTguQ09OLkYuVVNELkgBAAAA8e51AAMAAAAAAOUP74QUCdYIMV5RhxQJ1gg8Q0lRLk5BU0RBUUdTOklDUFQuSVFfVE9UQUxfRVFVSVRZLjE5OTIuNi8zMC8yMDE4LkxGUi5GLlVTRC5IAQAAAIKvrQACAAAABzQ4OC4zMzMBCAAAAAUAAAABMQEAAAAKMTg0MTg0Mjg2OAMAAAADMTYwAgAAAAQxMjc1BAAAAAEwBwAAAAk2LzMwLzIwMTgIAAAACTMvMzEvMjAxNgkAAAABMOltWYYUCdYIL3BkhxQJ1gguQ0lRLklRVFIzMTAyMjkxODguSVFfVFJfVEFSR0VUX1NU</t>
  </si>
  <si>
    <t>T0NLUFJFTUlVTV8xVwEAAADEuH0SAgAAAAAA5jtFghQJ1gh70maHFAnWCDRDSVEuQU1FWDpCVFguSVFfTklfTUFSR0lOLjIwMDAuNi8zMC8yMDE4LkxGUi5GLlVTRC5IAQAAABZkAAADAAAAAk5NAQgAAAAFAAAAATEBAAAACjE4ODc5ODAxNjUDAAAAAzE2MAIAAAAENDA5NAQAAAABMAcAAAAJNi8zMC8yMDE4CAAAAAkzLzMxLzIwMTgJAAAAATDGJeOEFAnWCGUiVocUCdYIK0NJUS5PVENQSzpSWkxULklRX01BUktFVENBUC42LzMwLzIwMTguVVNELkgBAAAAIQmbCgIAAAAJMjcuOTc0ODQ0AQYAAAAFAAAAATEBAAAACjE4ODkxMDQ5MTEDAAAAAzE2MAIAAAAGMTAwMDU0BAAAAAEwBwAAAAk2LzMwLzIwMTjlD++EFAnWCIbAU4cUCdYIKENJUS5OQVNEQVFHUzpDQkFZLklRX1RFVi42LzMwLzIwMTguVVNELkgBAAAAwHoAAAIAAAAKNTY0LjUwMjI4MgEGAAAABQAAAAExAQAAAAoxODg3NDQ1MDI2AwAAAAMxNjACAAAABjEwMDA2MAQAAAABMAcAAAAJNi8zMC8yMDE4YpJ0hRQJ1ghFSV2HFAnWCDJDSVEuVFNYVjpDT0IuVS5JUV9EQV9DRi4yMDAwLjYvMzAvMjAxOC5MRlIuRi5VU0QuSAEAAAC/+wAIAgAAAAgwLjA1ODc3NgEIAAAABQAAAAExAQAAAAoxODg5MDYyMDc0AwAAAAMxNjACAAAABDIxNjAEAAAAATAHAAAACTYvMzAvMjAxOAgAAAAJMy8zMS8yMDE4CQAAAAEwr4blhBQJ1gjENGmHFAnWCDZDSVEuRU5Y</t>
  </si>
  <si>
    <t>VFBBOkVSWVAuSVFfVE9UQUxfQ0EuMjAwMC42LzMwLzIwMTguTEZSLkYuVVNELkgBAAAA2Ip4AQIAAAAKMjMwLjAyODgxOAEIAAAABQAAAAExAQAAAAoxODg1MjA0MjE5AwAAAAMxNjACAAAABDEwMDgEAAAAATAHAAAACTYvMzAvMjAxOAgAAAAKMTIvMzEvMjAxNwkAAAABMOUP74QUCdYIMV5RhxQJ1gglQ0lRLk5BU0RBUUdNOk1OT1YuSVFfRklSU1RQUklDSU5HREFURQEAAAC4VI0ABQAAAAkxMi83LzIwMDYAxiXjhBQJ1ginhFiHFAnWCDpDSVEuTkFTREFRR006VlRWVC5JUV9FQVJOSU5HX0NPLjE5OTIuNi8zMC8yMDE4LkxGUi5GLlVTRC5IAQAAAB2jHxICAAAABy00NC44MTQBCAAAAAUAAAABMQEAAAAKMTgzOTg4MDQ0OAMAAAADMTYwAgAAAAE3BAAAAAEwBwAAAAk2LzMwLzIwMTgIAAAACTMvMzEvMjAxNgkAAAABMOUP74QUCdYIhsBThxQJ1gg7Q0lRLk5BU0RBUUdTOk9EVC5JUV9UT1RBTF9FUVVJVFkuMjAwMC42LzMwLzIwMTguTEZSLkYuVVNELkgBAAAAGhpFIAIAAAAHMTkwLjAyNAEIAAAABQAAAAExAQAAAAoxODg2MzAxNDk4AwAAAAMxNjACAAAABDEyNzUEAAAAATAHAAAACTYvMzAvMjAxOAgAAAAJMy8zMS8yMDE4CQAAAAEwxiXjhBQJ1ginhFiHFAnWCDxDSVEuTkFTREFRR1M6WkZHTi5JUV9UT1RBTF9FUVVJVFkuMTk5Ni42LzMwLzIwMTguTEZSLkYuVVNELkgBAAAAl8C6AQIAAAAHMTEwLjc3</t>
  </si>
  <si>
    <t>NAEIAAAABQAAAAExAQAAAAoxODg5ODk1MzU1AwAAAAMxNjACAAAABDEyNzUEAAAAATAHAAAACTYvMzAvMjAxOAgAAAAJMy8zMS8yMDE3CQAAAAEwxiXjhBQJ1ginhFiHFAnWCC5DSVEuTkFTREFRQ006VktUWC5JUV9NQVJLRVRDQVAuNi8zMC8yMDE4LlVTRC5IAQAAAPK8tQ4CAAAACjU2NS4yMDcyNzEBBgAAAAUAAAABMQEAAAAKMTg4NzcwNDgzNgMAAAADMTYwAgAAAAYxMDAwNTQEAAAAATAHAAAACTYvMzAvMjAxOGKSdIUUCdYIZ+dahxQJ1gg5Q0lRLk5BU0RBUUNNOlZLVFguSVFfTklfTUFSR0lOLjIwMDAuNi8zMC8yMDE4LkxGUi5GLlVTRC5IAQAAAPK8tQ4DAAAAAADGJeOEFAnWCGfnWocUCdYIPkNJUS5OQVNEQVFDTTpWS1RYLklRX1RPVEFMX0VRVUlUWS5DWTIwMTcuNi8zMC8yMDE4LkxGUi5GLlVTRC5IAQAAAPK8tQ4CAAAACTEzLjQ2NDgzNgEIAAAABQAAAAExAQAAAAoxODc3MzIzOTYwAwAAAAMxNjACAAAABDEyNzUEAAAAATAHAAAACTYvMzAvMjAxOAgAAAAKMTIvMzEvMjAxNwkAAAABMMYl44QUCdYIZ+dahxQJ1gg4Q0lRLk5BU0RBUUNNOkNPUlQuSVFfVE9UQUxfQ0EuMTk5Ni42LzMwLzIwMTguTEZSLkYuVVNELkgBAAAA0rkVAAIAAAAGNjYuNjc1AQgAAAAFAAAAATEBAAAACjE4ODgwOTk1MzIDAAAAAzE2MAIAAAAEMTAwOAQAAAABMAcAAAAJNi8zMC8yMDE4CAAAAAkzLzMxLzIwMTcJAAAA</t>
  </si>
  <si>
    <t>ATBiknSFFAnWCJSrX4cUCdYINkNJUS5TSFNFOjYwMDg2Ny5JUV9UT1RBTF9DTC4yMDAwLjYvMzAvMjAxOC5MRlIuRi5VU0QuSAEAAADYPq4AAgAAAAkzMC4wNTY3ODMBCAAAAAUAAAABMQEAAAAKMTg4NTE0NjI3MwMAAAADMTYwAgAAAAQxMDA5BAAAAAEwBwAAAAk2LzMwLzIwMTgIAAAACTMvMzEvMjAxOAkAAAABMGKSdIUUCdYI4A1ihxQJ1gg1Q0lRLkNQU0U6Tk9WTyBCLklRX1BFUklPRERBVEVfSVMuMjAwMC42LzMwLzIwMTguTEZSLkYBAAAAfO8EAAUAAAAJMy8zMS8yMDE4AJQLV4YUCdYIe9JmhxQJ1ggiQ0lRLi5JUV9UUl9UQVJHRVRfVE9UQUxfUkVWLi5VU0QuSAUAAAABAAAACAAAABQoSW52YWxpZCBJZGVudGlmaWVyKZQLV4YUCdYIlAtXhhQJ1gg/Q0lRLlNFSEs6MjE4Ni5JUV9FQklUREFfMllSX0FOTl9DQUdSLjIwMDAuNi8zMC8yMDE4LkxGUi5GLlVTRC5IAQAAAMKBmAACAAAABjE2Ljc5NgEIAAAABQAAAAExAQAAAAoxODg1NDk1MDA2AwAAAAIzMgIAAAAENDIwOQQAAAABMAcAAAAJNi8zMC8yMDE4CAAAAAoxMi8zMS8yMDE3CQAAAAEw6W1ZhhQJ1ggvcGSHFAnWCD5DSVEuTkFTREFRR1M6SUNQVC5JUV9DQVNIX1NUX0lOVkVTVC4yMDAwLjMvMzEvMjAxOC5MRlIuRi5VU0QuSAEAAACCr60AAgAAAAc0MTQuOTE3AQgAAAAFAAAAATEBAAAACjE4NzcwMTE0ODkDAAAAAzE2MAIAAAAEMTAwMgQA</t>
  </si>
  <si>
    <t>AAABMAcAAAAJMy8zMS8yMDE4CAAAAAoxMi8zMS8yMDE3CQAAAAEw6W1ZhhQJ1ggvcGSHFAnWCDpDSVEuTkFTREFRR1M6SVRDSS5JUV9UT1RBTF9ERUJULjIwMDAuMy8zMS8yMDE4LkxGUi5GLlVTRC5IAQAAAHfRjwACAAAAATABCAAAAAUAAAABMQEAAAAKMTg3NzIwNzg0NgMAAAADMTYwAgAAAAQ0MTczBAAAAAEwBwAAAAkzLzMxLzIwMTgIAAAACjEyLzMxLzIwMTcJAAAAATBiknSFFAnWCGfnWocUCdYIPENJUS5OQVNEQVFHUzpDQkFZLklRX0VBUk5JTkdfQ08uQ1kyMDE2LjYvMzAvMjAxOC5MRlIuRi5VU0QuSAEAAADAegAAAgAAAActMjYuNjcxAQgAAAAFAAAAATEBAAAACjE4Nzg1MjQwODUDAAAAAzE2MAIAAAABNwQAAAABMAcAAAAJNi8zMC8yMDE4CAAAAAoxMi8zMS8yMDE2CQAAAAEwYpJ0hRQJ1ghn51qHFAnWCDxDSVEuTkFTREFRQ006Q09SVC5JUV9FQVJOSU5HX0NPLkNZMjAxNy42LzMwLzIwMTguTEZSLkYuVVNELkgBAAAA0rkVAAIAAAAHMTI5LjEyMgEIAAAABQAAAAExAQAAAAoxODc3MTExMjc3AwAAAAMxNjACAAAAATcEAAAAATAHAAAACTYvMzAvMjAxOAgAAAAKMTIvMzEvMjAxNwkAAAABMGKSdIUUCdYIlKtfhxQJ1gg3Q0lRLlRTWFY6Q09CLlUuSVFfRUFSTklOR19DTy4yMDAwLjYvMzAvMjAxOC5MRlIuRi5VU0QuSAEAAAC/+wAIAgAAAAotMTEuMTg3NjI3AQgAAAAFAAAAATEBAAAACjE4</t>
  </si>
  <si>
    <t>ODkwNjIwNzQDAAAAAzE2MAIAAAABNwQAAAABMAcAAAAJNi8zMC8yMDE4CAAAAAkzLzMxLzIwMTgJAAAAATCvhuWEFAnWCIbAU4cUCdYIO0NJUS5OQVNEQVFHTTpWVFZULklRX0VCSVRfTUFSR0lOLjIwMDAuNi8zMC8yMDE4LkxGUi5GLlVTRC5IAQAAAB2jHxIDAAAAAk5NAQgAAAAFAAAAATEBAAAACjE4ODkwNTY1MzcDAAAAAzE2MAIAAAAENDA1MwQAAAABMAcAAAAJNi8zMC8yMDE4CAAAAAkzLzMxLzIwMTgJAAAAATDlD++EFAnWCIbAU4cUCdYIOUNJUS5FTlhUUEE6RVJZUC5JUV9FQklUX01BUkdJTi4yMDAwLjYvMzAvMjAxOC5MRlIuRi5VU0QuSAEAAADYingBAwAAAAJOTQEIAAAABQAAAAExAQAAAAoxODg1MjA0MjE5AwAAAAI1MAIAAAAENDA1MwQAAAABMAcAAAAJNi8zMC8yMDE4CAAAAAoxMi8zMS8yMDE3CQAAAAEw5Q/vhBQJ1ggxXlGHFAnWCD5DSVEuTkFTREFRR006TU5PVi5JUV9UT1RBTF9FUVVJVFkuQ1kyMDE3LjYvMzAvMjAxOC5MRlIuRi5VU0QuSAEAAAC4VI0AAgAAAAgzOC42NDIxNAEIAAAABQAAAAExAQAAAAoxODc0MDI1MTAzAwAAAAMxNjACAAAABDEyNzUEAAAAATAHAAAACTYvMzAvMjAxOAgAAAAKMTIvMzEvMjAxNwkAAAABMMYl44QUCdYIp4RYhxQJ1gg1Q0lRLkFNRVg6QlRYLklRX1RPVEFMX0RFQlQuMjAwMC42LzMwLzIwMTguTEZSLkYuVVNELkgBAAAAFmQAAAIAAAAFMS40MzIB</t>
  </si>
  <si>
    <t>CAAAAAUAAAABMQEAAAAKMTg4Nzk4MDE2NQMAAAADMTYwAgAAAAQ0MTczBAAAAAEwBwAAAAk2LzMwLzIwMTgIAAAACTMvMzEvMjAxOAkAAAABMMYl44QUCdYIZSJWhxQJ1gg9Q0lRLk5BU0RBUUNNOkNPUlQuSVFfRUJJVERBX01BUkdJTi4yMDAwLjYvMzAvMjAxOC5MRlIuRi5VU0QuSAEAAADSuRUAAgAAAAczNi41OTAyAQgAAAAFAAAAATEBAAAACjE4ODgwOTk1NDQDAAAAAzE2MAIAAAAENDA0NwQAAAABMAcAAAAJNi8zMC8yMDE4CAAAAAkzLzMxLzIwMTgJAAAAATBiknSFFAnWCJSrX4cUCdYIIENJUS5OWVNFOk1ZT1YuSVFfRUZGRUNUX1RBWF9SQVRFAQAAAJfaCxgDAAAAAk5NAQgAAAAFAAAAATEBAAAACjE5MDA3NzQyOTUDAAAAAzE2MAIAAAAENDM3NgQAAAABMAcAAAAJOC8yMy8yMDE4CAAAAAk2LzMwLzIwMTgJAAAAATBiknSFFAnWCJSrX4cUCdYIL0NJUS5JUVRSMzEwMjI5MTg4LklRX1RSX0lNUExJRURfRVZfRklOQUwuLlVTRC5IAQAAAMS4fRICAAAAAADmO0WCFAnWCHvSZocUCdYIHUNJUS5OQVNEQVFDTTpDT1JULklRX0VYQ0hBTkdFAQAAANK5FQADAAAACE5hc2RhcUNNAGKSdIUUCdYIlKtfhxQJ1gg2Q0lRLkNQU0U6Tk9WTyBCLklRX0VCSVREQS5DWTIwMTcuNi8zMC8yMDE4LkxGUi5GLlVTRC5IAQAAAHzvBAACAAAACzgzOTEuNDA1Mzg2AQgAAAAFAAAAATEBAAAACjE4NzM2OTQyMjMDAAAA</t>
  </si>
  <si>
    <t>AzE2MAIAAAAENDA1MQQAAAABMAcAAAAJNi8zMC8yMDE4CAAAAAoxMi8zMS8yMDE3CQAAAAEwlAtXhhQJ1gh70maHFAnWCCFDSVEuSVE0MDM0MzAwMzkuSVFfQ09NUEFOWV9USUNLRVIBAAAAl9oLGAMAAAAJTllTRTpNWU9WAOY7RYIUCdYISF2pghQJ1gg5Q0lRLkFNRVg6QlRYLklRX1RPVEFMX0VRVUlUWS5DWTIwMTYuNi8zMC8yMDE4LkxGUi5GLlVTRC5IAQAAABZkAAACAAAABzEzMC41MDgBCAAAAAUAAAABMQEAAAAKMTg3ODUxMzYxMwMAAAADMTYwAgAAAAQxMjc1BAAAAAEwBwAAAAk2LzMwLzIwMTgIAAAACjEyLzMxLzIwMTYJAAAAATDGJeOEFAnWCGUiVocUCdYIM0NJUS5BTUVYOkJUWC5JUV9FQklUREEuQ1kyMDE3LjYvMzAvMjAxOC5MRlIuRi5VU0QuSAEAAAAWZAAAAgAAAAYtMzcuMzYBCAAAAAUAAAABMQEAAAAKMTg3ODUxMzY1MwMAAAADMTYwAgAAAAQ0MDUxBAAAAAEwBwAAAAk2LzMwLzIwMTgIAAAACjEyLzMxLzIwMTcJAAAAATDGJeOEFAnWCGUiVocUCdYIQENJUS5PVENQSzpCVEhFLklRX0VCSVREQV8yWVJfQU5OX0NBR1IuMjAwMC42LzMwLzIwMTguTEZSLkYuVVNELkgBAAAAb525BQMAAAACTk0BCAAAAAUAAAABMQEAAAAKMTg4ODY2Mzc0MgMAAAADMTYwAgAAAAQ0MjA5BAAAAAEwBwAAAAk2LzMwLzIwMTgIAAAACTMvMzEvMjAxOAkAAAABMOUP74QUCdYIMV5RhxQJ1gg2Q0lRLk5BU0RB</t>
  </si>
  <si>
    <t>UUNNOkJZU0kuSVFfRUJJVERBLjIwMDAuNi8zMC8yMDE4LkxGUi5GLlVTRC5IAQAAAEfPbBgCAAAABy02NC45NTQBCAAAAAUAAAABMQEAAAAKMTg5Mzk3MzM4OQMAAAADMTYwAgAAAAQ0MDUxBAAAAAEwBwAAAAk2LzMwLzIwMTgIAAAACTMvMzEvMjAxOAkAAAABMGKSdIUUCdYIRUldhxQJ1ggiQ0lRLjAuSVFfVFJfVEFSR0VUX1NUT0NLUFJFTUlVTV8xTQUAAAAAAAAACAAAABgoSW52YWxpZCBUcmFuc2FjdGlvbiBJZCnmO0WCFAnWCMQ0aYcUCdYIPENJUS5TSFNFOjYwMDg2Ny5JUV9DQVNIX1NUX0lOVkVTVC4yMDAwLjMvMzEvMjAxOC5MRlIuRi5VU0QuSAEAAADYPq4AAgAAAAk1Mi45OTQwNzcBCAAAAAUAAAABMQEAAAAKMTg2MjQ5MjMwMAMAAAADMTYwAgAAAAQxMDAyBAAAAAEwBwAAAAkzLzMxLzIwMTgIAAAACTkvMzAvMjAxNwkAAAABMGKSdIUUCdYI4A1ihxQJ1ggsQ0lRLk5BU0RBUUNNOkFWRU8uSVFfTEFTVFNBTEVQUklDRS4zLzMxLzIwMTgBAAAA9BYdAAIAAAADMi45AMYl44QUCdYIZSJWhxQJ1ggnQ0lRLk5BU0RBUUdTOk5JVEUuSVFfUEVSSU9EREFURV9JUy4xMDAwAQAAAAzTGBAFAAAACjEyLzMxLzIwMTcAxiXjhBQJ1ginhFiHFAnWCDZDSVEuTkFTREFRR006UllUTS5JUV9FQklUREEuMTk5Ni42LzMwLzIwMTguTEZSLkYuVVNELkgBAAAAGMltEgMAAAAAAGKSdIUUCdYIRUldhxQJ1ggjQ0lR</t>
  </si>
  <si>
    <t>LlNFSEs6MjE4Ni5JUV9QRVJJT0REQVRFX0lTLjEwMDABAAAAwoGYAAUAAAAKMTIvMzEvMjAxNwCUC1eGFAnWCC9wZIcUCdYIOENJUS5OQVNEQVFHUzpaRkdOLklRX1RPVEFMX0NBLjE5OTYuNi8zMC8yMDE4LkxGUi5GLlVTRC5IAQAAAJfAugECAAAABzExOC42ODIBCAAAAAUAAAABMQEAAAAKMTg4OTg5NTM1NQMAAAADMTYwAgAAAAQxMDA4BAAAAAEwBwAAAAk2LzMwLzIwMTgIAAAACTMvMzEvMjAxNwkAAAABMMYl44QUCdYIp4RYhxQJ1ggnQ0lRLk5BU0RBUUdTOklUQ0kuSVFfQkVUQV81WVIuNi8zMC8yMDE4AQAAAHfRjwACAAAAETAuNzQzMjE2Mjk4NzE2NDY2AGKSdIUUCdYIZ+dahxQJ1gg0Q0lRLk5ZU0U6TVlPVi5JUV9UT1RBTF9DQS4xOTkyLjYvMzAvMjAxOC5MRlIuRi5VU0QuSAEAAACX2gsYAwAAAAAAYpJ0hRQJ1giUq1+HFAnWCDZDSVEuU0VISzoyMTg2LklRX0VBUk5JTkdfQ08uMTk5Mi42LzMwLzIwMTguTEZSLkYuVVNELkgBAAAAwoGYAAIAAAAKMTE3Ljc4MTkwMgEIAAAABQAAAAExAQAAAAoxODM4ODU1Mjg5AwAAAAMxNjACAAAAATcEAAAAATAHAAAACTYvMzAvMjAxOAgAAAAKMTIvMzEvMjAxNQkAAAABMOltWYYUCdYIL3BkhxQJ1gg5Q0lRLkFNRVg6QlRYLklRX1RPVEFMX0VRVUlUWS5DWTIwMTcuNi8zMC8yMDE4LkxGUi5GLlVTRC5IAQAAABZkAAACAAAABzE2NC4yNjMBCAAAAAUAAAAB</t>
  </si>
  <si>
    <t>MQEAAAAKMTg3ODUxMzY1MwMAAAADMTYwAgAAAAQxMjc1BAAAAAEwBwAAAAk2LzMwLzIwMTgIAAAACjEyLzMxLzIwMTcJAAAAATDGJeOEFAnWCGUiVocUCdYIHkNJUS5JUTI2MTQzOC5JUV9DT01QQU5ZX1RJQ0tFUgEAAAA+/QMAAwAAAApPVENQSzpFTUlTAOY7RYIUCdYI6wy6ghQJ1gg3Q0lRLkNQU0U6Tk9WTyBCLklRX1RPVEFMX1JFVi4xOTk2LjYvMzAvMjAxOC5MRlIuRi5VU0QuSAEAAAB87wQAAgAAAAwxNjI1MS4yMzEyNDMBCAAAAAUAAAABMQEAAAAKMTg5MjYyMzkzMAMAAAADMTYwAgAAAAIyOAQAAAABMAcAAAAJNi8zMC8yMDE4CAAAAAkzLzMxLzIwMTcJAAAAATCUC1eGFAnWCHvSZocUCdYIPUNJUS5OQVNEQVFHUzpJQ1BULklRX1JFVkVOVUVfRVNULkNZMjAyMC42LzMwLzIwMTguQ09OLkYuVVNELkgBAAAAgq+tAAIAAAAJMzIwLjI2MDM4AQ4AAAAFAAAAAjExAQAAAAEwAgAAAAoxMDAxNjY1NjE0AwAAAAYxMDAxODAEAAAAATIGAAAAATAHAAAAAzE2MAgAAAABMAkAAAABMQoAAAABMAsAAAALMTA5NDU1NzEyNDgMAAAAATcNAAAACDcvMS8yMDE4EAAAAAk2LzMwLzIwMTjpbVmGFAnWCC9wZIcUCdYIO0NJUS5OQVNEQVFDTTpCWVNJLklRX1RPVEFMX1JFVi5DWTIwMTYuNi8zMC8yMDE4LkxGUi5GLlVTRC5IAQAAAEfPbBgDAAAAAABiknSFFAnWCEVJXYcUCdYILENJUS5JUVRSMTcyNjIxNDcxLklR</t>
  </si>
  <si>
    <t>X1RSX1RBUkdFVF9FQklUREEuLlVTRC5IAQAAAJ/+SQoCAAAACTQ2LjYwODY1MgEHAAAABQAAAAIzNwEAAAAKMTU0MjM5NTkwOAIAAAAFMjE2NzcDAAAAAzE2MAQAAAABMAcAAAAIMS8xLzE5MDAGAAAACTIvMjkvMjAxMuY7RYIUCdYIe9JmhxQJ1gglQ0lRLklRVFIxNzE5MzA1MzQuSVFfVFJfTUFKX01JTl9TVEFLRQEAAACmcz8KAwAAAAhNYWpvcml0eQDmO0WCFAnWCHvSZocUCdYIGUNJUS4wLklRX1BSSU1BUllfSU5EVVNUUlkBAAAAVYR3AwMAAAAAAOY7RYIUCdYIxDRphxQJ1gg1Q0lRLk5BU0RBUUNNOlZLVFguSVFfQ0FQRVguMjAwMC42LzMwLzIwMTguTEZSLkYuVVNELkgBAAAA8ry1DgMAAAAAAMYl44QUCdYIZ+dahxQJ1ghHQ0lRLk5BU0RBUUdNOk1OS0QuSVFfTUlOT1JJVFlfSU5URVJFU1RfVE9UQUwuMjAwMC42LzMwLzIwMTguTEZSLkYuVVNELkgBAAAAZqWNAAMAAAAAAOltWYYUCdYI4A1ihxQJ1ggfQ0lRLklRMTI2ODUxNC5JUV9DT01QQU5ZX1RJQ0tFUgEAAAAiWxMAAwAAAAlDUFNFOlpFQUwA5jtFghQJ1gj2+qaCFAnWCB9DSVEuSVE5MjgyOTE4LklRX0NPTVBBTllfVElDS0VSAQAAAGaljQADAAAADU5hc2RhcUdNOk1OS0QA5jtFghQJ1gitmKSCFAnWCEZDSVEuTkFTREFRR1M6Q1lUSy5JUV9UT1RBTF9SRVZfMllSX0FOTl9DQUdSLjIwMDAuNi8zMC8yMDE4LkxGUi5GLlVTRC5IAQAAALNq</t>
  </si>
  <si>
    <t>AAACAAAACC0zMy40MTMzAQgAAAAFAAAAATEBAAAACjE4ODg0NzA2NjYDAAAAAzE2MAIAAAAENDIwNwQAAAABMAcAAAAJNi8zMC8yMDE4CAAAAAkzLzMxLzIwMTgJAAAAATCvhuWEFAnWCGUiVocUCdYIRkNJUS5OQVNEQVFDTTpCWVNJLklRX1RPVEFMX1JFVl8yWVJfQU5OX0NBR1IuMjAwMC42LzMwLzIwMTguTEZSLkYuVVNELkgBAAAAR89sGAMAAAAAAGKSdIUUCdYIRUldhxQJ1ghCQ0lRLk5ZU0U6TVlPVi5JUV9UT1RBTF9SRVZfM1lSX0FOTl9DQUdSLjIwMDAuNi8zMC8yMDE4LkxGUi5GLlVTRC5IAQAAAJfaCxgDAAAAAABiknSFFAnWCJSrX4cUCdYILkNJUS5JUVRSNDAyMTAzOTE5LklRX1RSX1RBUkdFVF9TVE9DS1BSRU1JVU1fMU0BAAAAb573FwIAAAAAAOY7RYIUCdYIe9JmhxQJ1ggnQ0lRLk5BU0RBUUdTOkxYUlguSVFfQkVUQV81WVIuNi8zMC8yMDE4AQAAAD14AAACAAAAETAuMzI2NDQwMzIxODk5NzIyAGKSdIUUCdYIlKtfhxQJ1gghQ0lRLk5BU0RBUUdTOkNZVEsuSVFfQ09NUEFOWV9OQU1FAQAAALNqAAADAAAAGkN5dG9raW5ldGljcywgSW5jb3Jwb3JhdGVkAMYl44QUCdYIZSJWhxQJ1gg6Q0lRLlRTWFY6Q09CLlUuSVFfUkVWRU5VRV9FU1QuQ1kyMDE4LjYvMzAvMjAxOC5DT04uRi5VU0QuSAEAAAC/+wAIAwAAAAAAr4blhBQJ1giGwFOHFAnWCDtDSVEuTkFTREFRR1M6TklURS5JUV9UT1RB</t>
  </si>
  <si>
    <t>TF9SRVYuQ1kyMDE2LjYvMzAvMjAxOC5MRlIuRi5VU0QuSAEAAAAM0xgQAwAAAAAAxiXjhBQJ1ginhFiHFAnWCDhDSVEuTkFTREFRQ006QllTSS5JUV9UT1RBTF9DTC4yMDAwLjYvMzAvMjAxOC5MRlIuRi5VU0QuSAEAAABHz2wYAgAAAAU1LjgwMgEIAAAABQAAAAExAQAAAAoxODkzOTczMzg5AwAAAAMxNjACAAAABDEwMDkEAAAAATAHAAAACTYvMzAvMjAxOAgAAAAJMy8zMS8yMDE4CQAAAAEwYpJ0hRQJ1ghFSV2HFAnWCDpDSVEuTkFTREFRR1M6WEVSUy5JUV9FQVJOSU5HX0NPLjE5OTYuNi8zMC8yMDE4LkxGUi5GLlVTRC5IAQAAAODuTwYDAAAAAADGJeOEFAnWCGfnWocUCdYIPENJUS5OQVNEQVFDTTpWS1RYLklRX0VCSVREQV9FU1QuQ1kyMDIwLjYvMzAvMjAxOC5DT04uRi5VU0QuSAEAAADyvLUOAgAAAAUtMzMuOAEOAAAABQAAAAIxMQEAAAABMAIAAAAKMTAwMzA5NzM2NAMAAAAGMTAwMTg3BAAAAAEyBgAAAAEwBwAAAAMxNjAIAAAAATAJAAAAATEKAAAAATALAAAACzEwOTI2Mzg3NjI5DAAAAAE3DQAAAAg3LzEvMjAxOBAAAAAJNi8zMC8yMDE4r4blhBQJ1ghn51qHFAnWCDxDSVEuTkFTREFRQ006QllTSS5JUV9UT1RBTF9FUVVJVFkuMTk5Mi42LzMwLzIwMTguTEZSLkYuVVNELkgBAAAAR89sGAIAAAAFOS42NTgBCAAAAAUAAAABMQEAAAAKMTg0NTAwNzM4NAMAAAADMTYwAgAAAAQxMjc1BAAAAAEw</t>
  </si>
  <si>
    <t>BwAAAAk2LzMwLzIwMTgIAAAACTMvMzEvMjAxNgkAAAABMGKSdIUUCdYIRUldhxQJ1gg4Q0lRLkNQU0U6Tk9WTyBCLklRX1RPVEFMX0RFQlQuMjAwMC4zLzMxLzIwMTguTEZSLkYuVVNELkgBAAAAfO8EAAIAAAAKMjczLjE5ODA0NgEIAAAABQAAAAExAQAAAAoxODczNjk0MjIzAwAAAAMxNjACAAAABDQxNzMEAAAAATAHAAAACTMvMzEvMjAxOAgAAAAKMTIvMzEvMjAxNwkAAAABMJQLV4YUCdYIL3BkhxQJ1gg6Q0lRLlNIU0U6NjAwODY3LklRX1RPVEFMX0VRVUlUWS4xOTkyLjYvMzAvMjAxOC5MRlIuRi5VU0QuSAEAAADYPq4AAgAAAAo0MDkuMDEyMjUxAQgAAAAFAAAAATEBAAAACjE4Mzg5MzAzNTkDAAAAAzE2MAIAAAAEMTI3NQQAAAABMAcAAAAJNi8zMC8yMDE4CAAAAAkzLzMxLzIwMTYJAAAAATBiknSFFAnWCOANYocUCdYIOkNJUS5TRUhLOjE1MzAuSVFfQ0FTSF9TVF9JTlZFU1QuMjAwMC42LzMwLzIwMTguTEZSLkYuVVNELkgBAAAA77hwAQIAAAAJNDc2LjkyMTQ4AQgAAAAFAAAAATEBAAAACjE4ODYwOTk4NjIDAAAAAzE2MAIAAAAEMTAwMgQAAAABMAcAAAAJNi8zMC8yMDE4CAAAAAoxMi8zMS8yMDE3CQAAAAEwlAtXhhQJ1ggvcGSHFAnWCDtDSVEuTkFTREFRQ006Q09SVC5JUV9QUkVGX0VRVUlUWS4yMDAwLjYvMzAvMjAxOC5MRlIuRi5VU0QuSAEAAADSuRUAAwAAAAAAYpJ0hRQJ1giUq1+HFAnW</t>
  </si>
  <si>
    <t>CD5DSVEuTkFTREFRQ006QVZFTy5JUV9UT1RBTF9FUVVJVFkuQ1kyMDE3LjYvMzAvMjAxOC5MRlIuRi5VU0QuSAEAAAD0Fh0AAgAAAActNDAuNzYzAQgAAAAFAAAAATEBAAAACjE4NzgwODI2NTMDAAAAAzE2MAIAAAAEMTI3NQQAAAABMAcAAAAJNi8zMC8yMDE4CAAAAAoxMi8zMS8yMDE3CQAAAAEwxiXjhBQJ1ghlIlaHFAnWCEZDSVEuTkFTREFRQ006Q09SVC5JUV9UT1RBTF9SRVZfM1lSX0FOTl9DQUdSLjIwMDAuNi8zMC8yMDE4LkxGUi5GLlVTRC5IAQAAANK5FQACAAAABzgwLjM3OTEBCAAAAAUAAAABMQEAAAAKMTg4ODA5OTU0NAMAAAADMTYwAgAAAAQ0MjIwBAAAAAEwBwAAAAk2LzMwLzIwMTgIAAAACTMvMzEvMjAxOAkAAAABMGKSdIUUCdYIlKtfhxQJ1ghEQ0lRLk9UQ1BLOkVNSVMuSVFfTUlOT1JJVFlfSU5URVJFU1RfVE9UQUwuMjAwMC4zLzMxLzIwMTguTEZSLkYuVVNELkgBAAAAPv0DAAMAAAAAAK+G5YQUCdYIZSJWhxQJ1gg7Q0lRLk9UQ1BLOk5FWFMuSVFfVE9UQUxfRVFVSVRZLkNZMjAxNi42LzMwLzIwMTguTEZSLkYuVVNELkgBAAAAHb1OFAIAAAAJLTEuMzQ0NjI1AQgAAAAFAAAAATEBAAAACjE4MzU1MTAxMjkDAAAAAzE2MAIAAAAEMTI3NQQAAAABMAcAAAAJNi8zMC8yMDE4CAAAAAoxMS8zMC8yMDE2CQAAAAEw5Q/vhBQJ1ggxXlGHFAnWCDlDSVEuTkFTREFRR006TU5LRC5JUV9UT1RB</t>
  </si>
  <si>
    <t>TF9SRVYuMTk5Mi42LzMwLzIwMTguTEZSLkYuVVNELkgBAAAAZqWNAAMAAAAAAOltWYYUCdYI4A1ihxQJ1gg5Q0lRLk9UQ1BLOk5FWFMuSVFfVE9UQUxfRVFVSVRZLjE5OTIuNi8zMC8yMDE4LkxGUi5GLlVTRC5IAQAAAB29ThQDAAAAAADlD++EFAnWCDFeUYcUCdYINUNJUS5PVENQSzpORVhTLklRX1RPVEFMX0NMLjE5OTIuNi8zMC8yMDE4LkxGUi5GLlVTRC5IAQAAAB29ThQDAAAAAADlD++EFAnWCDFeUYcUCdYIJ0NJUS5OQVNEQVFHUzpDWVRLLklRX0JFVEFfMVlSLjYvMzAvMjAxOAEAAACzagAAAgAAABEwLjg0ODk1NzkwNzY4NjE0NwCvhuWEFAnWCGUiVocUCdYIIUNJUS5OQVNEQVFHTTpNTktELklRX0NPTVBBTllfTkFNRQEAAABmpY0AAwAAABRNYW5uS2luZCBDb3Jwb3JhdGlvbgCUC1eGFAnWCOANYocUCdYIKkNJUS5TSFNFOjYwMDg2Ny5JUV9MQVNUU0FMRVBSSUNFLjMvMzEvMjAxOAEAAADYPq4AAgAAAAgzLjU1MjA5MQBiknSFFAnWCOANYocUCdYIM0NJUS5BTUVYOkJUWC5JUV9UT1RBTF9DQS4yMDAwLjYvMzAvMjAxOC5MRlIuRi5VU0QuSAEAAAAWZAAAAgAAAAYzNi4xMjYBCAAAAAUAAAABMQEAAAAKMTg4Nzk4MDE2NQMAAAADMTYwAgAAAAQxMDA4BAAAAAEwBwAAAAk2LzMwLzIwMTgIAAAACTMvMzEvMjAxOAkAAAABMMYl44QUCdYIZSJWhxQJ1ggnQ0lRLk5BU0RBUUdTOklUQ0kuSVFfQkVU</t>
  </si>
  <si>
    <t>QV8yWVIuNi8zMC8yMDE4AQAAAHfRjwACAAAAEDIuMTIwMjcyMjk2ODYwMjIAYpJ0hRQJ1ghn51qHFAnWCDBDSVEuSVFUUjM0MDcwNDg2NS5JUV9UUl9UQVJHRVRfRUJJVERBX0VTVC4uVVNELkgBAAAAYb5OFAIAAAAAAOY7RYIUCdYIe9JmhxQJ1gglQ0lRLklRVFIxMDg5MDYyNzYuSVFfVFJfTUFKX01JTl9TVEFLRQEAAAAkx30GAwAAAAhNYWpvcml0eQDmO0WCFAnWCHvSZocUCdYILkNJUS5OQVNEQVFHUzpOSVRFLklRX01BUktFVENBUC4zLzMxLzIwMTguVVNELkgBAAAADNMYEAIAAAAKNDEzLjYyNjQ1NwEGAAAABQAAAAExAQAAAAoxODU4NjkxODY3AwAAAAMxNjACAAAABjEwMDA1NAQAAAABMAcAAAAJMy8zMS8yMDE4xiXjhBQJ1ginhFiHFAnWCDpDSVEuTkFTREFRQ006QllTSS5JUV9FQVJOSU5HX0NPLjE5OTYuNi8zMC8yMDE4LkxGUi5GLlVTRC5IAQAAAEfPbBgCAAAABy01OC4zNDgBCAAAAAUAAAABMQEAAAAKMTg5Mzk3MzM4MgMAAAADMTYwAgAAAAE3BAAAAAEwBwAAAAk2LzMwLzIwMTgIAAAACTMvMzEvMjAxNwkAAAABMGKSdIUUCdYIRUldhxQJ1gg3Q0lRLk9UQ1BLOlJaTFQuSVFfVE9UQUxfREVCVC4yMDAwLjYvMzAvMjAxOC5MRlIuRi5VU0QuSAEAAAAhCZsKAgAAAAgwLjkyNDY5NwEIAAAABQAAAAExAQAAAAoxODg5MTA1MTI0AwAAAAMxNjACAAAABDQxNzMEAAAAATAHAAAACTYvMzAvMjAx</t>
  </si>
  <si>
    <t>OAgAAAAJMy8zMS8yMDE4CQAAAAEw5Q/vhBQJ1giGwFOHFAnWCDpDSVEuTkFTREFRR1M6Q1lUSy5JUV9UT1RBTF9ERUJULjIwMDAuNi8zMC8yMDE4LkxGUi5GLlVTRC5IAQAAALNqAAACAAAABjMxLjk1NAEIAAAABQAAAAExAQAAAAoxODg4NDcwNjY2AwAAAAMxNjACAAAABDQxNzMEAAAAATAHAAAACTYvMzAvMjAxOAgAAAAJMy8zMS8yMDE4CQAAAAEwxiXjhBQJ1ghlIlaHFAnWCB5DSVEuSVEzNjE4MzgzMS5JUV9DT01QQU5ZX05BTUUBAAAAFx8oAgMAAAAxVW5pdGVkIFN0YXRlcyBUcmVhc3VyeSBDb25zdGFudCBNYXR1cml0eSAtIDUgWWVhcgDmO0WCFAnWCFhKloIUCdYIKUNJUS5OQVNEQVFHTTpNTktELklRX0JVU0lORVNTX0RFU0NSSVBUSU9OAQAAAGaljQADAAAAsANNYW5uS2luZCBDb3Jwb3JhdGlvbiwgYSBiaW9waGFybWFjZXV0aWNhbCBjb21wYW55LCBmb2N1c2VzIG9uIHRoZSBkZXZlbG9wbWVudCBhbmQgY29tbWVyY2lhbGl6YXRpb24gb2YgaW5oYWxlZCB0aGVyYXBldXRpYyBwcm9kdWN0cyBmb3IgZGlhYmV0ZXMgYW5kIHB1bG1vbmFyeSBhcnRlcmlhbCBoeXBlcnRlbnNpb24gcGF0aWVudHMuIEl0IG9mZmVycyBBZnJlenphLCBhIGRyeSBwb3dkZXIgZm9ybXVsYXRpb24gb2YgaHVtYW4gaW5zdWxpbiB0aGF0IGNvbnRyb2xzIGhpZ2ggYmxvb2Qgc3VnYXIgaW4gYWR1bHRzIHdpdGggdHlw</t>
  </si>
  <si>
    <t>ZSAxIGFuZCB0eXBlIDIgZGlhYmV0ZXMgaW4gdGhlIFVuaXRlZCBTdGF0ZXMuIFRoZSBjb21wYW55IHdhcyBmb3VuZGVkIGluIDE5OTEgYW5kIGlzIGhlYWRxdWFydGVyZWQgaW4gV2VzdGxha2UgVmlsbGFnZSwgQ2FsaWZvcm5pYS4AlAtXhhQJ1gjgDWKHFAnWCDpDSVEuQ1BTRTpaRUFMLklRX1RPVEFMX0VRVUlUWS5DWTIwMTcuNi8zMC8yMDE4LkxGUi5GLlVTRC5IAQAAACJbEwACAAAACTg1LjIyODExNAEIAAAABQAAAAExAQAAAAoxODc4MDU5NzIxAwAAAAMxNjACAAAABDEyNzUEAAAAATAHAAAACTYvMzAvMjAxOAgAAAAKMTIvMzEvMjAxNwkAAAABMGKSdIUUCdYI4A1ihxQJ1ggnQ0lRLk5BU0RBUUdTOkNZVEsuSVFfQkVUQV81WVIuNi8zMC8yMDE4AQAAALNqAAACAAAAEDEuNDc5OTMxNjE4Nzk4MjUAr4blhBQJ1ghlIlaHFAnWCDxDSVEuTkFTREFRQ006VktUWC5JUV9HUk9TU19NQVJHSU4uMjAwMC42LzMwLzIwMTguTEZSLkYuVVNELkgBAAAA8ry1DgMAAAAAAMYl44QUCdYIZ+dahxQJ1gg4Q0lRLk5BU0RBUUdNOlJZVE0uSVFfVE9UQUxfQ0EuMjAwMC42LzMwLzIwMTguTEZSLkYuVVNELkgBAAAAGMltEgIAAAAHMTM4LjQxNAEIAAAABQAAAAExAQAAAAoxODg4OTExNDcwAwAAAAMxNjACAAAABDEwMDgEAAAAATAHAAAACTYvMzAvMjAxOAgAAAAJMy8zMS8yMDE4CQAAAAEwYpJ0hRQJ1ghFSV2HFAnW</t>
  </si>
  <si>
    <t>CClDSVEuSVEzNjE4MzgyMi5JUV9MQVNUU0FMRVBSSUNFLjYvMzAvMjAxOAEAAAAOHygCAgAAAAQyLjMzAOY7RYIUCdYIxDRphxQJ1gg5Q0lRLk9UQ1BLOkVNSVMuSVFfVE9UQUxfRVFVSVRZLjIwMDAuNi8zMC8yMDE4LkxGUi5GLlVTRC5IAQAAAD79AwACAAAACC0xNTUuMjU5AQgAAAAFAAAAATEBAAAACjE4NDE4OTg1MzUDAAAAAzE2MAIAAAAEMTI3NQQAAAABMAcAAAAJNi8zMC8yMDE4CAAAAAkzLzMxLzIwMTcJAAAAATCvhuWEFAnWCGUiVocUCdYIMENJUS5OQVNEQVFHUzpJQ1BULklRX0xBU1RTQUxFUFJJQ0UuNi8zMC8yMDE4LlVTRAEAAACCr60AAgAAAAU4My45MQDpbVmGFAnWCC9wZIcUCdYINENJUS5BTUVYOkJUWC5JUV9UT1RBTF9SRVYuMjAwMC42LzMwLzIwMTguTEZSLkYuVVNELkgBAAAAFmQAAAIAAAAFMy43NjkBCAAAAAUAAAABMQEAAAAKMTg4Nzk4MDE2NQMAAAADMTYwAgAAAAIyOAQAAAABMAcAAAAJNi8zMC8yMDE4CAAAAAkzLzMxLzIwMTgJAAAAATDGJeOEFAnWCGUiVocUCdYIQkNJUS4oSU5WQUxJRCBJREVOVElGSUVSKS5JUV9QUkVGX0VRVUlUWS4yMDAwLjMvMzEvMjAxOC5MRlIuRi5VU0QuSAUAAAAAAAAACAAAABQoSW52YWxpZCBJZGVudGlmaWVyKeUP74QUCdYIYPtOhxQJ1ggpQ0lRLklRVFIzMTAyMjkxODguSVFfVFJfSU1QTElFRF9FUV9OSV9MVE0BAAAAxLh9EgIAAAAAAOY7</t>
  </si>
  <si>
    <t>RYIUCdYIe9JmhxQJ1gg2Q0lRLk5BU0RBUUNNOlZLVFguSVFfRUJJVERBLjE5OTIuNi8zMC8yMDE4LkxGUi5GLlVTRC5IAQAAAPK8tQ4DAAAAAADGJeOEFAnWCGfnWocUCdYIOENJUS5OQVNEQVFHUzpJQ1BULklRX1RPVEFMX0NMLjE5OTYuNi8zMC8yMDE4LkxGUi5GLlVTRC5IAQAAAIKvrQACAAAABTcyLjY4AQgAAAAFAAAAATEBAAAACjE4ODg2MTU1MTkDAAAAAzE2MAIAAAAEMTAwOQQAAAABMAcAAAAJNi8zMC8yMDE4CAAAAAkzLzMxLzIwMTcJAAAAATDpbVmGFAnWCC9wZIcUCdYIKkNJUS5TRUhLOjE1MzAuSVFfTUFSS0VUQ0FQLjMvMzEvMjAxOC5VU0QuSAEAAADvuHABAgAAAAs1NzE4Ljc5NzgwNwEGAAAABQAAAAExAQAAAAoxODc5OTA3MTkyAwAAAAMxNjACAAAABjEwMDA1NAQAAAABMAcAAAAJMy8zMS8yMDE4lAtXhhQJ1ggvcGSHFAnWCCdDSVEuTkFTREFRQ006VktUWC5JUV9CRVRBXzJZUi42LzMwLzIwMTgBAAAA8ry1DgIAAAAQMS41OTM5NDI2NTg5ODY0MgCvhuWEFAnWCGfnWocUCdYINkNJUS5OQVNEQVFDTTpCWVNJLklRX0VCSVREQS4xOTk2LjYvMzAvMjAxOC5MRlIuRi5VU0QuSAEAAABHz2wYAgAAAActNTguMjI1AQgAAAAFAAAAATEBAAAACjE4OTM5NzMzODIDAAAAAzE2MAIAAAAENDA1MQQAAAABMAcAAAAJNi8zMC8yMDE4CAAAAAkzLzMxLzIwMTcJAAAAATBiknSFFAnWCEVJXYcUCdYI</t>
  </si>
  <si>
    <t>KUNJUS5JUTM2MTgzODQwLklRX0xBU1RTQUxFUFJJQ0UuNi8zMC8yMDE4AQAAACAfKAICAAAABDIuOTEA5jtFghQJ1gjENGmHFAnWCDhDSVEuTkFTREFRR006TU5PVi5JUV9UT1RBTF9DTC4xOTk2LjYvMzAvMjAxOC5MRlIuRi5VU0QuSAEAAAC4VI0AAgAAAAgxLjAyMTk1MgEIAAAABQAAAAExAQAAAAoxODg0NjQ0MjE0AwAAAAMxNjACAAAABDEwMDkEAAAAATAHAAAACTYvMzAvMjAxOAgAAAAJMy8zMS8yMDE3CQAAAAEwxiXjhBQJ1ginhFiHFAnWCDhDSVEuU0VISzozOTMzLklRX1RPVEFMX0VRVUlUWS4xOTk2LjYvMzAvMjAxOC5MRlIuRi5VU0QuSAEAAABN2hECAgAAAAo3NzAuMTUzODE2AQgAAAAFAAAAATEBAAAACjE4ODU3MzkxOTkDAAAAAzE2MAIAAAAEMTI3NQQAAAABMAcAAAAJNi8zMC8yMDE4CAAAAAoxMi8zMS8yMDE2CQAAAAEw6W1ZhhQJ1gjgDWKHFAnWCB1DSVEuTkFTREFRR006Rk9MRC5JUV9FWENIQU5HRQEAAABW9moAAwAAAAhOYXNkYXFHTQBiknSFFAnWCJSrX4cUCdYIOkNJUS5OQVNEQVFHUzpOSVRFLklRX0VBUk5JTkdfQ08uMTk5Ni42LzMwLzIwMTguTEZSLkYuVVNELkgBAAAADNMYEAIAAAAHLTEyLjcyMwEIAAAABQAAAAExAQAAAAoxODkzNDk2NzM4AwAAAAMxNjACAAAAATcEAAAAATAHAAAACTYvMzAvMjAxOAgAAAAJMy8zMS8yMDE3CQAAAAEwxiXjhBQJ1ginhFiHFAnWCDdDSVEu</t>
  </si>
  <si>
    <t>U0VISzozOTMzLklRX0VCSVRfTUFSR0lOLjIwMDAuNi8zMC8yMDE4LkxGUi5GLlVTRC5IAQAAAE3aEQICAAAABTguNTE4AQgAAAAFAAAAATEBAAAACjE4ODU3MzkyMDIDAAAAAjMyAgAAAAQ0MDUzBAAAAAEwBwAAAAk2LzMwLzIwMTgIAAAACjEyLzMxLzIwMTcJAAAAATDpbVmGFAnWCOANYocUCdYIKUNJUS5JUVRSMzQwNzA0ODY1LklRX1RSX0lNUExJRURfRVFfTklfTFRNAQAAAGG+ThQCAAAAAADmO0WCFAnWCHvSZocUCdYIOUNJUS5TRUhLOjM5MzMuSVFfUkVWRU5VRV9FU1QuQ1kyMDIxLjYvMzAvMjAxOC5DT04uRi5VU0QuSAEAAABN2hECAwAAAAAA6W1ZhhQJ1ggvcGSHFAnWCENDSVEuTkFTREFRR1M6TklURS5JUV9FQklUREFfM1lSX0FOTl9DQUdSLjIwMDAuNi8zMC8yMDE4LkxGUi5GLlVTRC5IAQAAAAzTGBADAAAAAADGJeOEFAnWCKeEWIcUCdYIHkNJUS5PVENQSzpSWkxULklRX0NPTVBBTllfTkFNRQEAAAAhCZsKAwAAAA5SZXpvbHV0ZSwgSW5jLgDlD++EFAnWCIbAU4cUCdYIOUNJUS5OQVNEQVFDTTpBVkVPLklRX1RPVEFMX1JFVi4xOTkyLjYvMzAvMjAxOC5MRlIuRi5VU0QuSAEAAAD0Fh0AAgAAAAYyMC4wOTMBCAAAAAUAAAABMQEAAAAKMTg0MDA0NjExMQMAAAADMTYwAgAAAAIyOAQAAAABMAcAAAAJNi8zMC8yMDE4CAAAAAkzLzMxLzIwMTYJAAAAATDGJeOEFAnWCGUiVocUCdYIOkNJUS5O</t>
  </si>
  <si>
    <t>QVNEQVFHTTpWVFZULklRX0VBUk5JTkdfQ08uMjAwMC42LzMwLzIwMTguTEZSLkYuVVNELkgBAAAAHaMfEgIAAAAHLTUwLjMyMQEIAAAABQAAAAExAQAAAAoxODg5MDU2NTM3AwAAAAMxNjACAAAAATcEAAAAATAHAAAACTYvMzAvMjAxOAgAAAAJMy8zMS8yMDE4CQAAAAEw5Q/vhBQJ1giGwFOHFAnWCDZDSVEuQ1BTRTpOT1ZPIEIuSVFfVE9UQUxfQ0EuMTk5Mi42LzMwLzIwMTguTEZSLkYuVVNELkgBAAAAfO8EAAIAAAAKNzA4OS41MTExNwEIAAAABQAAAAExAQAAAAoxODQwMDY5NjU3AwAAAAMxNjACAAAABDEwMDgEAAAAATAHAAAACTYvMzAvMjAxOAgAAAAJMy8zMS8yMDE2CQAAAAEwlAtXhhQJ1gh70maHFAnWCDhDSVEuTkFTREFRR1M6TFhSWC5JUV9UT1RBTF9DTC4xOTkyLjYvMzAvMjAxOC5MRlIuRi5VU0QuSAEAAAA9eAAAAgAAAAcxMjEuOTQzAQgAAAAFAAAAATEBAAAACjE4NDA1MTc5MDUDAAAAAzE2MAIAAAAEMTAwOQQAAAABMAcAAAAJNi8zMC8yMDE4CAAAAAkzLzMxLzIwMTYJAAAAATBiknSFFAnWCJSrX4cUCdYIO0NJUS5OQVNEQVFHTTpGT0xELklRX1RPVEFMX1JFVi5DWTIwMTcuNi8zMC8yMDE4LkxGUi5GLlVTRC5IAQAAAFb2agACAAAABTM2LjkzAQgAAAAFAAAAATEBAAAACjE4NzcyNzE3ODADAAAAAzE2MAIAAAACMjgEAAAAATAHAAAACTYvMzAvMjAxOAgAAAAKMTIvMzEvMjAxNwkAAAAB</t>
  </si>
  <si>
    <t>MGKSdIUUCdYIlKtfhxQJ1ghGQ0lRLk5BU0RBUUdNOlZUVlQuSVFfVE9UQUxfUkVWXzJZUl9BTk5fQ0FHUi4yMDAwLjYvMzAvMjAxOC5MRlIuRi5VU0QuSAEAAAAdox8SAgAAAAc2NS44NzU4AQgAAAAFAAAAATEBAAAACjE4ODkwNTY1MzcDAAAAAzE2MAIAAAAENDIwNwQAAAABMAcAAAAJNi8zMC8yMDE4CAAAAAkzLzMxLzIwMTgJAAAAATDlD++EFAnWCIbAU4cUCdYIJ0NJUS5OQVNEQVFHUzpPRFQuSVFfVEVWLjYvMzAvMjAxOC5VU0QuSAEAAAAaGkUgAgAAAAozOTguNDM4ODA5AQYAAAAFAAAAATEBAAAACjE4ODYzMDEzNTMDAAAAAzE2MAIAAAAGMTAwMDYwBAAAAAEwBwAAAAk2LzMwLzIwMTjGJeOEFAnWCGfnWocUCdYILkNJUS4oSU5WQUxJRCBJREVOVElGSUVSKS5JUV9CRVRBXzJZUi42LzMwLzIwMTgFAAAAAAAAAAgAAAAUKEludmFsaWQgSWRlbnRpZmllcinlD++EFAnWCDFeUYcUCdYIM0NJUS5TRUhLOjIxODYuSVFfUEVSSU9EREFURV9JUy4yMDAwLjYvMzAvMjAxOC5MRlIuRgEAAADCgZgABQAAAAoxMi8zMS8yMDE3AJQLV4YUCdYIL3BkhxQJ1gg+Q0lRLk5BU0RBUUNNOkFWRU8uSVFfQ0FTSF9TVF9JTlZFU1QuMjAwMC42LzMwLzIwMTguTEZSLkYuVVNELkgBAAAA9BYdAAIAAAAGMjYuOTk1AQgAAAAFAAAAATEBAAAACjE4ODcyMzQyOTUDAAAAAzE2MAIAAAAEMTAwMgQAAAABMAcAAAAJNi8zMC8y</t>
  </si>
  <si>
    <t>MDE4CAAAAAkzLzMxLzIwMTgJAAAAATDGJeOEFAnWCGUiVocUCdYIOUNJUS5PVENQSzpCVEhFLklRX0VCSVREQV9FU1QuQ1kyMDE5LjYvMzAvMjAxOC5DT04uRi5VU0QuSAEAAABvnbkFAwAAAAAA5Q/vhBQJ1giGwFOHFAnWCBpDSVEuT1RDUEs6RU1JUy5JUV9FWENIQU5HRQEAAAA+/QMAAwAAAAVPVENQSwDGJeOEFAnWCGUiVocUCdYIOkNJUS5OQVNEQVFHUzpJQ1BULklRX0VBUk5JTkdfQ08uMjAwMC42LzMwLzIwMTguTEZSLkYuVVNELkgBAAAAgq+tAAIAAAAILTM1Mi4wMjcBCAAAAAUAAAABMQEAAAAKMTg4ODYxNTU0MAMAAAADMTYwAgAAAAE3BAAAAAEwBwAAAAk2LzMwLzIwMTgIAAAACTMvMzEvMjAxOAkAAAABMOltWYYUCdYIL3BkhxQJ1gg6Q0lRLk5BU0RBUUNNOkNVUi5JUV9QUkVGX0VRVUlUWS4yMDAwLjMvMzEvMjAxOC5MRlIuRi5VU0QuSAEAAADx7nUAAgAAAAQwLjAxAQgAAAAFAAAAATEBAAAACjE4NjQ1NjY1MTcDAAAAAzE2MAIAAAAEMTAwNQQAAAABMAcAAAAJMy8zMS8yMDE4CAAAAAk5LzMwLzIwMTcJAAAAATDlD++EFAnWCDFeUYcUCdYIH0NJUS5BTUVYOkJUWC5JUV9FRkZFQ1RfVEFYX1JBVEUBAAAAFmQAAAMAAAAAAMYl44QUCdYIZSJWhxQJ1ggmQ0lRLk5BU0RBUUNNOkNVUi5JUV9CRVRBXzVZUi42LzMwLzIwMTgBAAAA8e51AAIAAAAQMS40MjMxNzYwMTgwNTU3OADlD++EFAnWCDFe</t>
  </si>
  <si>
    <t>UYcUCdYINkNJUS5OWVNFOk1ZT1YuSVFfRUFSTklOR19DTy4xOTk2LjYvMzAvMjAxOC5MRlIuRi5VU0QuSAEAAACX2gsYAgAAAAYtODMuNDQBCAAAAAUAAAABMQEAAAAKMTg5MjgzNDcyNAMAAAADMTYwAgAAAAE3BAAAAAEwBwAAAAk2LzMwLzIwMTgIAAAACTMvMzEvMjAxNwkAAAABMGKSdIUUCdYIlKtfhxQJ1gglQ0lRLklRVFIzODQwMjg0OTYuSVFfVFJfTUFKX01JTl9TVEFLRQEAAABQz+MWAwAAAAhNYWpvcml0eQDmO0WCFAnWCHvSZocUCdYII0NJUS4wLklRX1RSX0lNUExJRURfRVZfRklOQUwuLlVTRC5IBQAAAAAAAAAIAAAAGChJbnZhbGlkIFRyYW5zYWN0aW9uIElkKeY7RYIUCdYIxDRphxQJ1gg5Q0lRLk9UQ1BLOk5FWFMuSVFfRUFSTklOR19DTy5DWTIwMTcuNi8zMC8yMDE4LkxGUi5GLlVTRC5IAQAAAB29ThQDAAAAAADlD++EFAnWCDFeUYcUCdYIOUNJUS5OQVNEQVFHTTpGT0xELklRX05JX01BUkdJTi4yMDAwLjYvMzAvMjAxOC5MRlIuRi5VU0QuSAEAAABW9moAAwAAAAJOTQEIAAAABQAAAAExAQAAAAoxODg4NDg0NjUxAwAAAAMxNjACAAAABDQwOTQEAAAAATAHAAAACTYvMzAvMjAxOAgAAAAJMy8zMS8yMDE4CQAAAAEwYpJ0hRQJ1giUq1+HFAnWCCFDSVEuSVExMDU5MDE3OTIuSVFfQ09NUEFOWV9USUNLRVIBAAAA4O5PBgMAAAANTmFzZGFxR1M6WEVSUwDmO0WCFAnWCE2EsIIUCdYIOUNJ</t>
  </si>
  <si>
    <t>US5OQVNEQVFDTTpDT1JULklRX1RPVEFMX1JFVi4xOTkyLjYvMzAvMjAxOC5MRlIuRi5VU0QuSAEAAADSuRUAAgAAAAY1Ni4yNDUBCAAAAAUAAAABMQEAAAAKMTg0MDE3MDk2OAMAAAADMTYwAgAAAAIyOAQAAAABMAcAAAAJNi8zMC8yMDE4CAAAAAkzLzMxLzIwMTYJAAAAATBiknSFFAnWCJSrX4cUCdYIIkNJUS5JUVRSMzEwMjI5MTg4LklRX1RSX1RBUkdFVE5BTUUBAAAAxLh9EgMAAAAZQ2FsaWJyaXVtIExMQyBhbmQgTUIyIExMQwDmO0WCFAnWCHvSZocUCdYIQ0NJUS5OQVNEQVFHTTpNTktELklRX0VCSVREQV8zWVJfQU5OX0NBR1IuMjAwMC42LzMwLzIwMTguTEZSLkYuVVNELkgBAAAAZqWNAAMAAAACTk0BCAAAAAUAAAABMQEAAAAKMTg4OTc3NTk5MwMAAAADMTYwAgAAAAQ0MjIyBAAAAAEwBwAAAAk2LzMwLzIwMTgIAAAACTMvMzEvMjAxOAkAAAABMOltWYYUCdYI4A1ihxQJ1gg4Q0lRLk9UQ1BLOk5FWFMuSVFfUFJFRl9FUVVJVFkuMjAwMC4zLzMxLzIwMTguTEZSLkYuVVNELkgBAAAAHb1OFAMAAAAAAOUP74QUCdYIMV5RhxQJ1gguQ0lRLkNQU0U6Tk9WTyBCLklRX0xBU1RTQUxFUFJJQ0UuNi8zMC8yMDE4LlVTRAEAAAB87wQAAgAAAAk0Ni4zNDc2OTIA6W1ZhhQJ1gh70maHFAnWCDhDSVEuTkFTREFRR1M6SUNQVC5JUV9UT1RBTF9DQS4xOTkyLjYvMzAvMjAxOC5MRlIuRi5VU0QuSAEAAACCr60A</t>
  </si>
  <si>
    <t>AgAAAAc1NzQuOTQ3AQgAAAAFAAAAATEBAAAACjE4NDE4NDI4NjgDAAAAAzE2MAIAAAAEMTAwOAQAAAABMAcAAAAJNi8zMC8yMDE4CAAAAAkzLzMxLzIwMTYJAAAAATDpbVmGFAnWCC9wZIcUCdYIIUNJUS5JUVRSMzEwMjI5MTg4LklRX1RSX0JVWUVSTkFNRQEAAADEuH0SAwAAABBOb3ZvIE5vcmRpc2sgQS9TAOY7RYIUCdYIe9JmhxQJ1ggiQ0lRLklRVFIzNzAwNzIzNTMuSVFfVFJfUENUX1NPVUdIVAEAAAAh2w4WAgAAAAMxMDABBgAAAAUAAAACNTQBAAAABjEwMTAyNAIAAAAJMzcwMDcyMzUzAwAAAAkzNzAwNzM0NTcEAAAAAzE2MAYAAAAEVHJ1ZeY7RYIUCdYIe9JmhxQJ1gg7Q0lRLlRTWFY6Q09CLlUuSVFfQ0FTSF9TVF9JTlZFU1QuMjAwMC42LzMwLzIwMTguTEZSLkYuVVNELkgBAAAAv/sACAIAAAAIOC40NTY2NTYBCAAAAAUAAAABMQEAAAAKMTg4OTA2MjA3NAMAAAADMTYwAgAAAAQxMDAyBAAAAAEwBwAAAAk2LzMwLzIwMTgIAAAACTMvMzEvMjAxOAkAAAABMK+G5YQUCdYIhsBThxQJ1gg8Q0lRLk5BU0RBUUdNOk1OT1YuSVFfVE9UQUxfRVFVSVRZLjE5OTIuNi8zMC8yMDE4LkxGUi5GLlVTRC5IAQAAALhUjQACAAAACTM5LjE0MDE0MwEIAAAABQAAAAExAQAAAAoxODM3OTcxMjczAwAAAAMxNjACAAAABDEyNzUEAAAAATAHAAAACTYvMzAvMjAxOAgAAAAJMy8zMS8yMDE2CQAAAAEwxiXjhBQJ1gin</t>
  </si>
  <si>
    <t>hFiHFAnWCC5DSVEuKElOVkFMSUQgSURFTlRJRklFUikuSVFfQkVUQV81WVIuNi8zMC8yMDE4BQAAAAAAAAAIAAAAFChJbnZhbGlkIElkZW50aWZpZXIp5Q/vhBQJ1ggxXlGHFAnWCD5DSVEuTkFTREFRR1M6TklURS5JUV9UT1RBTF9FUVVJVFkuQ1kyMDE2LjYvMzAvMjAxOC5MRlIuRi5VU0QuSAEAAAAM0xgQAgAAAAU5LjA0NAEIAAAABQAAAAExAQAAAAoxODgxNTEwMDc2AwAAAAMxNjACAAAABDEyNzUEAAAAATAHAAAACTYvMzAvMjAxOAgAAAAKMTIvMzEvMjAxNgkAAAABMMYl44QUCdYIp4RYhxQJ1ggjQ0lRLkFNRVg6QlRYLklRX1RFVi42LzMwLzIwMTguVVNELkgBAAAAFmQAAAIAAAAKMjMzLjg5ODg3NAEGAAAABQAAAAExAQAAAAoxODg3OTc5NDA4AwAAAAMxNjACAAAABjEwMDA2MAQAAAABMAcAAAAJNi8zMC8yMDE4xiXjhBQJ1ghlIlaHFAnWCDhDSVEuTkFTREFRR006TU5PVi5JUV9UT1RBTF9DQS4xOTkyLjYvMzAvMjAxOC5MRlIuRi5VU0QuSAEAAAC4VI0AAgAAAAkyOC42ODc0OTYBCAAAAAUAAAABMQEAAAAKMTgzNzk3MTI3MwMAAAADMTYwAgAAAAQxMDA4BAAAAAEwBwAAAAk2LzMwLzIwMTgIAAAACTMvMzEvMjAxNgkAAAABMMYl44QUCdYIp4RYhxQJ1gg6Q0lRLkNQU0U6Tk9WTyBCLklRX0VBUk5JTkdfQ08uQ1kyMDE2LjYvMzAvMjAxOC5MRlIuRi5VU0QuSAEAAAB87wQAAgAAAAs1Mzg0Ljg0</t>
  </si>
  <si>
    <t>ODAyNQEIAAAABQAAAAExAQAAAAoxODczNjk0MjEyAwAAAAMxNjACAAAAATcEAAAAATAHAAAACTYvMzAvMjAxOAgAAAAKMTIvMzEvMjAxNgkAAAABMJQLV4YUCdYIL3BkhxQJ1ghCQ0lRLk5BU0RBUUdTOk9EVC5JUV9FQklUREFfMllSX0FOTl9DQUdSLjIwMDAuNi8zMC8yMDE4LkxGUi5GLlVTRC5IAQAAABoaRSADAAAAAADGJeOEFAnWCKeEWIcUCdYIIkNJUS5JUVRSMzA2NzUxMDk2LklRX1RSX1RPVEFMX0NBU0gBAAAAeKZIEgIAAAALNzMzMi42Nzc2MDgBBgAAAAUAAAACNTQBAAAABjEwMTA1NgIAAAAJMzA2NzUxMDk2AwAAAAkzMDY3NTEyNTgEAAAAAzE2MAYAAAAFRmFsc2XmO0WCFAnWCHvSZocUCdYIOkNJUS5OQVNEQVFHTTpWVFZULklRX0VBUk5JTkdfQ08uMTk5Ni42LzMwLzIwMTguTEZSLkYuVVNELkgBAAAAHaMfEgIAAAAHLTU2LjExOQEIAAAABQAAAAExAQAAAAoxODg5MDU2NTE0AwAAAAMxNjACAAAAATcEAAAAATAHAAAACTYvMzAvMjAxOAgAAAAJMy8zMS8yMDE3CQAAAAEw5Q/vhBQJ1giGwFOHFAnWCDpDSVEuQ1BTRTpOT1ZPIEIuSVFfVE9UQUxfRVFVSVRZLjE5OTIuNi8zMC8yMDE4LkxGUi5GLlVTRC5IAQAAAHzvBAACAAAACzU2OTkuMDAwMzM0AQgAAAAFAAAAATEBAAAACjE4NDAwNjk2NTcDAAAAAzE2MAIAAAAEMTI3NQQAAAABMAcAAAAJNi8zMC8yMDE4CAAAAAkzLzMxLzIwMTYJAAAA</t>
  </si>
  <si>
    <t>ATCUC1eGFAnWCC9wZIcUCdYIPENJUS5OQVNEQVFHTTpNTktELklRX0VCSVREQV9FU1QuQ1kyMDE4LjYvMzAvMjAxOC5DT04uRi5VU0QuSAEAAABmpY0AAwAAAAAA6W1ZhhQJ1gjgDWKHFAnWCCxDSVEuTkFTREFRQ006VktUWC5JUV9MQVNUU0FMRVBSSUNFLjMvMzEvMjAxOAEAAADyvLUOAgAAAAQ0LjM3AMYl44QUCdYIZ+dahxQJ1ggeQ0lRLklRMzYxODM4NDMuSVFfQ09NUEFOWV9OQU1FAQAAACMfKAIDAAAAMlVuaXRlZCBTdGF0ZXMgVHJlYXN1cnkgQ29uc3RhbnQgTWF0dXJpdHkgLSAzMCBZZWFyAOY7RYIUCdYIWEqWghQJ1gg5Q0lRLk5BU0RBUUdNOlZUVlQuSVFfTklfTUFSR0lOLjIwMDAuNi8zMC8yMDE4LkxGUi5GLlVTRC5IAQAAAB2jHxIDAAAAAk5NAQgAAAAFAAAAATEBAAAACjE4ODkwNTY1MzcDAAAAAzE2MAIAAAAENDA5NAQAAAABMAcAAAAJNi8zMC8yMDE4CAAAAAkzLzMxLzIwMTgJAAAAATDlD++EFAnWCIbAU4cUCdYILUNJUS5OQVNEQVFHUzpDWVRLLklRX0RJVklERU5EX1lJRUxELjYvMzAvMjAxOAEAAACzagAAAwAAAAAAxiXjhBQJ1ghlIlaHFAnWCEdDSVEuTkFTREFRR1M6Q0JBWS5JUV9NSU5PUklUWV9JTlRFUkVTVF9UT1RBTC4yMDAwLjYvMzAvMjAxOC5MRlIuRi5VU0QuSAEAAADAegAAAwAAAAAAYpJ0hRQJ1ghFSV2HFAnWCDtDSVEuVFNYVjpDT0IuVS5JUV9DQVNIX1NUX0lOVkVT</t>
  </si>
  <si>
    <t>VC4yMDAwLjMvMzEvMjAxOC5MRlIuRi5VU0QuSAEAAAC/+wAIAgAAAAkxMC4zNDIyNDIBCAAAAAUAAAABMQEAAAAKMTg2NjM5MDAwNgMAAAADMTYwAgAAAAQxMDAyBAAAAAEwBwAAAAkzLzMxLzIwMTgIAAAACTkvMzAvMjAxNwkAAAABMK+G5YQUCdYIhsBThxQJ1ggcQ0lRLk5BU0RBUUdTOk9EVC5JUV9FWENIQU5HRQEAAAAaGkUgAwAAAAhOYXNkYXFHUwDGJeOEFAnWCGfnWocUCdYIPENJUS5OQVNEQVFHTTpSWVRNLklRX0VBUk5JTkdfQ08uQ1kyMDE2LjYvMzAvMjAxOC5MRlIuRi5VU0QuSAEAAAAYyW0SAgAAAActMjUuODcyAQgAAAAFAAAAATEBAAAACjE4OTM5MDU5NTMDAAAAAzE2MAIAAAABNwQAAAABMAcAAAAJNi8zMC8yMDE4CAAAAAoxMi8zMS8yMDE2CQAAAAEwYpJ0hRQJ1ghFSV2HFAnWCCBDSVEuMC5JUV9UUl9UT1RBTF9HUk9TU19UVi5VU0QuSAUAAAAAAAAACAAAABgoSW52YWxpZCBUcmFuc2FjdGlvbiBJZCnmO0WCFAnWCMQ0aYcUCdYIIkNJUS5JUVRSMTcyNjIxNDcxLklRX1RSX1BDVF9TT1VHSFQBAAAAn/5JCgIAAAAFNzcuNDEA5jtFghQJ1gh70maHFAnWCCZDSVEuT1RDUEs6TkVYUy5JUV9CVVNJTkVTU19ERVNDUklQVElPTgEAAAAdvU4UAwAAAOUBTmV4dXMgQmlvUGhhcm1hLCBJbmMuLCBhIGxpZmUgc2NpZW5jZSBjb21wYW55LCBmb2N1c2VzIG9uIHRoZSBkZXZlbG9wbWVudCBhbmQg</t>
  </si>
  <si>
    <t>Y29tbWVyY2lhbGl6YXRpb24gb2YgYSBwaGFybWFjZXV0aWNhbCBwcmVwYXJhdGlvbiB0byB0cmVhdCBvYmVzaXR5IGFuZCB0aGUgc3ltcHRvbXMgb2YgdHlwZSAyIGRpYWJldGVzLiBUaGUgY29tcGFueSBpcyBoZWFkcXVhcnRlcmVkIGluIEhvdXN0b24sIFRleGFzLgDlD++EFAnWCDFeUYcUCdYIOENJUS5TSFNFOjYwMDg2Ny5JUV9UT1RBTF9ERUJULjIwMDAuNi8zMC8yMDE4LkxGUi5GLlVTRC5IAQAAANg+rgACAAAAATABCAAAAAUAAAABMQEAAAAKMTg4NTE0NjI3MwMAAAADMTYwAgAAAAQ0MTczBAAAAAEwBwAAAAk2LzMwLzIwMTgIAAAACTMvMzEvMjAxOAkAAAABMGKSdIUUCdYI4A1ihxQJ1ghDQ0lRLk9UQ1BLOlJaTFQuSVFfVE9UQUxfUkVWXzJZUl9BTk5fQ0FHUi4yMDAwLjYvMzAvMjAxOC5MRlIuRi5VU0QuSAEAAAAhCZsKAwAAAAAA5Q/vhBQJ1giGwFOHFAnWCDVDSVEuTkFTREFRR1M6Q1lUSy5JUV9DQVBFWC4xOTkyLjYvMzAvMjAxOC5MRlIuRi5VU0QuSAEAAACzagAAAgAAAAYtMC44NTIBCAAAAAUAAAABMQEAAAAKMTg0MDQ5MTYwNQMAAAADMTYwAgAAAAQyMDIxBAAAAAEwBwAAAAk2LzMwLzIwMTgIAAAACTMvMzEvMjAxNgkAAAABMMYl44QUCdYIZSJWhxQJ1gg3Q0lRLk5BU0RBUUdTOk9EVC5JUV9UT1RBTF9DTC4xOTkyLjYvMzAvMjAxOC5MRlIuRi5VU0QuSAEAAAAaGkUgAwAAAAAAxiXj</t>
  </si>
  <si>
    <t>hBQJ1ginhFiHFAnWCDlDSVEuU0VISzoyMTg2LklRX1JFVkVOVUVfRVNULkNZMjAxOS42LzMwLzIwMTguQ09OLkYuVVNELkgBAAAAwoGYAAIAAAAQNzk3LjQ4OTYxNTA3MjgxOQEOAAAABQAAAAIxMQEAAAABMAIAAAAKMTAwMjgzNTAzMwMAAAAGMTAwMTgwBAAAAAEzBgAAAAEwBwAAAAMxNjAIAAAAATAJAAAAATEKAAAAATALAAAACzEwOTQ1NzgxNjYyDAAAAAE3DQAAAAg3LzEvMjAxOBAAAAAJNi8zMC8yMDE46W1ZhhQJ1ggvcGSHFAnWCDVDSVEuTkFTREFRR1M6TFhSWC5JUV9DQVBFWC4xOTk2LjYvMzAvMjAxOC5MRlIuRi5VU0QuSAEAAAA9eAAAAgAAAAYtMC4yNjkBCAAAAAUAAAABMQEAAAAKMTg4NjU0MzgyMAMAAAADMTYwAgAAAAQyMDIxBAAAAAEwBwAAAAk2LzMwLzIwMTgIAAAACTMvMzEvMjAxNwkAAAABMGKSdIUUCdYIlKtfhxQJ1gg0Q0lRLk5BU0RBUUNNOkNVUi5JUV9DQVBFWC4xOTk2LjYvMzAvMjAxOC5MRlIuRi5VU0QuSAEAAADx7nUAAgAAAAgtMC4wODM0OQEIAAAABQAAAAExAQAAAAoxODg4ODczMTk5AwAAAAMxNjACAAAABDIwMjEEAAAAATAHAAAACTYvMzAvMjAxOAgAAAAJMy8zMS8yMDE3CQAAAAEw5Q/vhBQJ1ggxXlGHFAnWCDlDSVEuT1RDUEs6RU1JUy5JUV9HUk9TU19NQVJHSU4uMjAwMC42LzMwLzIwMTguTEZSLkYuVVNELkgBAAAAPv0DAAIAAAAILTQzLjE5OTIBCAAAAAUAAAAB</t>
  </si>
  <si>
    <t>MQEAAAAKMTg0MTg5ODUzNQMAAAADMTYwAgAAAAQ0MDc0BAAAAAEwBwAAAAk2LzMwLzIwMTgIAAAACTMvMzEvMjAxNwkAAAABMK+G5YQUCdYIZSJWhxQJ1gguQ0lRLk5BU0RBUUdNOlZUVlQuSVFfTUFSS0VUQ0FQLjMvMzEvMjAxOC5VU0QuSAEAAAAdox8SAgAAAAkzOS40NTE1NDQBBgAAAAUAAAABMQEAAAAKMTg3NjEzNzMwNQMAAAADMTYwAgAAAAYxMDAwNTQEAAAAATAHAAAACTMvMzEvMjAxOOUP74QUCdYIhsBThxQJ1ggwQ0lRLk5BU0RBUUdNOk1OT1YuSVFfTEFTVFNBTEVQUklDRS42LzMwLzIwMTguVVNEAQAAALhUjQACAAAABDcuOTYAxiXjhBQJ1ginhFiHFAnWCCRDSVEuU0VISzoxNTMwLklRX1RFVi42LzMwLzIwMTguVVNELkgBAAAA77hwAQIAAAALNjAwMC45NzE0NDkBBgAAAAUAAAABMQEAAAAKMTg4NjA5OTg2MAMAAAADMTYwAgAAAAYxMDAwNjAEAAAAATAHAAAACTYvMzAvMjAxOJQLV4YUCdYIL3BkhxQJ1gg1Q0lRLk5BU0RBUUdTOlpGR04uSVFfREFfQ0YuMjAwMC42LzMwLzIwMTguTEZSLkYuVVNELkgBAAAAl8C6AQIAAAAFMC4xOTcBCAAAAAUAAAABMQEAAAAKMTg4OTg5NTM4MQMAAAADMTYwAgAAAAQyMTYwBAAAAAEwBwAAAAk2LzMwLzIwMTgIAAAACTMvMzEvMjAxOAkAAAABMMYl44QUCdYIxDRphxQJ1ggnQ0lRLk5BU0RBUUNNOlZLVFguSVFfQkVUQV81WVIuNi8zMC8yMDE4AQAAAPK8</t>
  </si>
  <si>
    <t>tQ4CAAAAEDIuNzYxNzE2OTc5Mzk0MDQAr4blhBQJ1ghn51qHFAnWCCFDSVEuLklRX1RSX1RBUkdFVF9TVE9DS1BSRU1JVU1fMVcFAAAAAQAAAAgAAAAUKEludmFsaWQgSWRlbnRpZmllcimUC1eGFAnWCJQLV4YUCdYIN0NJUS5UU1hWOkNPQi5VLklRX1RPVEFMX0RFQlQuMjAwMC42LzMwLzIwMTguTEZSLkYuVVNELkgBAAAAv/sACAIAAAAIMS40MDEyNjIBCAAAAAUAAAABMQEAAAAKMTg4OTA2MjA3NAMAAAADMTYwAgAAAAQ0MTczBAAAAAEwBwAAAAk2LzMwLzIwMTgIAAAACTMvMzEvMjAxOAkAAAABMK+G5YQUCdYIhsBThxQJ1ggtQ0lRLk5BU0RBUUdTOkNCQVkuSVFfRElWSURFTkRfWUlFTEQuNi8zMC8yMDE4AQAAAMB6AAADAAAAAABiknSFFAnWCGfnWocUCdYIO0NJUS5OQVNEQVFDTTpBVkVPLklRX1RPVEFMX1JFVi5DWTIwMTYuNi8zMC8yMDE4LkxGUi5GLlVTRC5IAQAAAPQWHQACAAAABTIuNTE1AQgAAAAFAAAAATEBAAAACjE4NzgwODI2NTADAAAAAzE2MAIAAAACMjgEAAAAATAHAAAACTYvMzAvMjAxOAgAAAAKMTIvMzEvMjAxNgkAAAABMMYl44QUCdYIZSJWhxQJ1gg4Q0lRLlNFSEs6MzkzMy5JUV9FQklUREFfRVNULkNZMjAxOS42LzMwLzIwMTguQ09OLkYuVVNELkgBAAAATdoRAgIAAAAQMjc5LjIwNDM0NjM2NTkyMwEOAAAABQAAAAIxMQEAAAABMAIAAAAKMTAwMDcwODgwMwMAAAAGMTAwMTg3</t>
  </si>
  <si>
    <t>BAAAAAEzBgAAAAEwBwAAAAMxNjAIAAAAATAJAAAAATEKAAAAATALAAAACzEwOTQ2ODkxMjE1DAAAAAE3DQAAAAg3LzEvMjAxOBAAAAAJNi8zMC8yMDE46W1ZhhQJ1gjgDWKHFAnWCDZDSVEuT1RDUEs6TkVYUy5JUV9UT1RBTF9SRVYuMTk5Mi42LzMwLzIwMTguTEZSLkYuVVNELkgBAAAAHb1OFAMAAAAAAOUP74QUCdYIMV5RhxQJ1ggnQ0lRLk5BU0RBUUNNOkFWRU8uSVFfQkVUQV8xWVIuNi8zMC8yMDE4AQAAAPQWHQACAAAAEi0wLjE0ODE2NTU4NzczNTMyMgCvhuWEFAnWCGUiVocUCdYINUNJUS5OQVNEQVFHUzpJVENJLklRX0RBX0NGLjIwMDAuNi8zMC8yMDE4LkxGUi5GLlVTRC5IAQAAAHfRjwACAAAACDAuMjQ1OTQxAQgAAAAFAAAAATEBAAAACjE4ODY2MTczMjIDAAAAAzE2MAIAAAAEMjE2MAQAAAABMAcAAAAJNi8zMC8yMDE4CAAAAAkzLzMxLzIwMTgJAAAAATBiknSFFAnWCGfnWocUCdYIPkNJUS5OQVNEQVFHTTpSWVRNLklRX1RPVEFMX0VRVUlUWS5DWTIwMTYuNi8zMC8yMDE4LkxGUi5GLlVTRC5IAQAAABjJbRICAAAABTcuMjk3AQgAAAAFAAAAATEBAAAACjE4OTM5MDU5NTMDAAAAAzE2MAIAAAAEMTI3NQQAAAABMAcAAAAJNi8zMC8yMDE4CAAAAAoxMi8zMS8yMDE2CQAAAAEwYpJ0hRQJ1ghFSV2HFAnWCDhDSVEuTkFTREFRR006VlRWVC5JUV9FQklUREEuQ1kyMDE2LjYvMzAvMjAxOC5MRlIu</t>
  </si>
  <si>
    <t>Ri5VU0QuSAEAAAAdox8SAgAAAActNTQuNzU1AQgAAAAFAAAAATEBAAAACjE4NzYxMzczMDADAAAAAzE2MAIAAAAENDA1MQQAAAABMAcAAAAJNi8zMC8yMDE4CAAAAAoxMi8zMS8yMDE2CQAAAAEw5Q/vhBQJ1giGwFOHFAnWCDhDSVEuRU5YVFBBOkVSWVAuSVFfVE9UQUxfREVCVC4yMDAwLjMvMzEvMjAxOC5MRlIuRi5VU0QuSAEAAADYingBAgAAAAgzLjY5OTk0MwEIAAAABQAAAAExAQAAAAoxODYxMjY2MTY1AwAAAAMxNjACAAAABDQxNzMEAAAAATAHAAAACTMvMzEvMjAxOAgAAAAJNi8zMC8yMDE3CQAAAAEw5Q/vhBQJ1ggxXlGHFAnWCD5DSVEuTkFTREFRQ006VktUWC5JUV9DQVNIX1NUX0lOVkVTVC4yMDAwLjYvMzAvMjAxOC5MRlIuRi5VU0QuSAEAAADyvLUOAgAAAAY3Ny40NjgBCAAAAAUAAAABMQEAAAAKMTg4NzcwNDkxNAMAAAADMTYwAgAAAAQxMDAyBAAAAAEwBwAAAAk2LzMwLzIwMTgIAAAACTMvMzEvMjAxOAkAAAABMGKSdIUUCdYIZ+dahxQJ1gg3Q0lRLk5BU0RBUUNNOkNVUi5JUV9UT1RBTF9DQS4xOTk2LjYvMzAvMjAxOC5MRlIuRi5VU0QuSAEAAADx7nUAAgAAAAkxNy4xNzIyODYBCAAAAAUAAAABMQEAAAAKMTg4ODg3MzE5OQMAAAADMTYwAgAAAAQxMDA4BAAAAAEwBwAAAAk2LzMwLzIwMTgIAAAACTMvMzEvMjAxNwkAAAABMOUP74QUCdYIMV5RhxQJ1gg6Q0lRLk5BU0RBUUNNOlZLVFgu</t>
  </si>
  <si>
    <t>SVFfRUFSTklOR19DTy4xOTkyLjYvMzAvMjAxOC5MRlIuRi5VU0QuSAEAAADyvLUOAgAAAAotMjEuMjc5NTYxAQgAAAAFAAAAATEBAAAACjE4NDEyMTEzNTADAAAAAzE2MAIAAAABNwQAAAABMAcAAAAJNi8zMC8yMDE4CAAAAAkzLzMxLzIwMTYJAAAAATDGJeOEFAnWCGfnWocUCdYIJUNJUS5TSFNFOjYwMDg2Ny5JUV9CRVRBXzJZUi42LzMwLzIwMTgBAAAA2D6uAAIAAAARMC4yODAzNjc5ODg2NzE4NzQAYpJ0hRQJ1gjgDWKHFAnWCCRDSVEuU0VISzozOTMzLklRX1RFVi42LzMwLzIwMTguVVNELkgBAAAATdoRAgIAAAAKMjIwNC43MDA4NgEGAAAABQAAAAExAQAAAAoxODg1NzM5MTg3AwAAAAMxNjACAAAABjEwMDA2MAQAAAABMAcAAAAJNi8zMC8yMDE4lAtXhhQJ1ggvcGSHFAnWCDRDSVEuQ1BTRTpaRUFMLklRX0VCSVREQS5DWTIwMTYuNi8zMC8yMDE4LkxGUi5GLlVTRC5IAQAAACJbEwACAAAACi0xNS42NTIwNTMBCAAAAAUAAAABMQEAAAAKMTg3ODA1OTY5MgMAAAADMTYwAgAAAAQ0MDUxBAAAAAEwBwAAAAk2LzMwLzIwMTgIAAAACjEyLzMxLzIwMTYJAAAAATBiknSFFAnWCOANYocUCdYILkNJUS5OQVNEQVFDTTpCWVNJLklRX01BUktFVENBUC42LzMwLzIwMTguVVNELkgBAAAAR89sGAIAAAAKNjE0LjM2Mzg2OAEGAAAABQAAAAExAQAAAAoxODkzOTczMzE4AwAAAAMxNjACAAAABjEwMDA1NAQAAAAB</t>
  </si>
  <si>
    <t>MAcAAAAJNi8zMC8yMDE4YpJ0hRQJ1ghFSV2HFAnWCDpDSVEuTkFTREFRQ006VktUWC5JUV9UT1RBTF9ERUJULjIwMDAuNi8zMC8yMDE4LkxGUi5GLlVTRC5IAQAAAPK8tQ4CAAAABTMuNzIxAQgAAAAFAAAAATEBAAAACjE4ODc3MDQ5MTQDAAAAAzE2MAIAAAAENDE3MwQAAAABMAcAAAAJNi8zMC8yMDE4CAAAAAkzLzMxLzIwMTgJAAAAATBiknSFFAnWCGfnWocUCdYIRkNJUS5OQVNEQVFDTTpBVkVPLklRX1RPVEFMX1JFVl8yWVJfQU5OX0NBR1IuMjAwMC42LzMwLzIwMTguTEZSLkYuVVNELkgBAAAA9BYdAAIAAAAILTQ1LjAyMzMBCAAAAAUAAAABMQEAAAAKMTg4NzIzNDI5NQMAAAADMTYwAgAAAAQ0MjA3BAAAAAEwBwAAAAk2LzMwLzIwMTgIAAAACTMvMzEvMjAxOAkAAAABMMYl44QUCdYIZSJWhxQJ1gg2Q0lRLk9UQ1BLOlJaTFQuSVFfVE9UQUxfUkVWLjE5OTYuNi8zMC8yMDE4LkxGUi5GLlVTRC5IAQAAACEJmwoDAAAAAADlD++EFAnWCIbAU4cUCdYIMUNJUS5DUFNFOlpFQUwuSVFfQ0FQRVguMjAwMC42LzMwLzIwMTguTEZSLkYuVVNELkgBAAAAIlsTAAIAAAAJLTAuOTg4ODgxAQgAAAAFAAAAATEBAAAACjE4ODk5MTMxMDADAAAAAzE2MAIAAAAEMjAyMQQAAAABMAcAAAAJNi8zMC8yMDE4CAAAAAkzLzMxLzIwMTgJAAAAATBiknSFFAnWCOANYocUCdYIIENJUS5JUTM2MTgzODE2LklRX0xBU1RTQUxF</t>
  </si>
  <si>
    <t>UFJJQ0UuAQAAAAgfKAICAAAABDIuMDkA6W1ZhhQJ1gjpbVmGFAnWCENDSVEuTkFTREFRR1M6Q0JBWS5JUV9FQklUREFfM1lSX0FOTl9DQUdSLjIwMDAuNi8zMC8yMDE4LkxGUi5GLlVTRC5IAQAAAMB6AAADAAAAAk5NAQgAAAAFAAAAATEBAAAACjE4ODc0NDUwODQDAAAAAzE2MAIAAAAENDIyMgQAAAABMAcAAAAJNi8zMC8yMDE4CAAAAAkzLzMxLzIwMTgJAAAAATBiknSFFAnWCGfnWocUCdYIL0NJUS5JUVRSMTcyNjIxNDcxLklRX1RSX1RBUkdFVF9UT1RBTF9SRVYuLlVTRC5IAQAAAJ/+SQoCAAAACTI4MS43NzQ0NAEHAAAABQAAAAIzNwEAAAAKMTU0MjM5NTkwOAIAAAACMjgDAAAAAzE2MAQAAAABMAcAAAAIMS8xLzE5MDAGAAAACTIvMjkvMjAxMuY7RYIUCdYIe9JmhxQJ1ggkQ0lRLk5BU0RBUUdTOklUQ0kuSVFfRUZGRUNUX1RBWF9SQVRFAQAAAHfRjwADAAAAAk5NAQgAAAAFAAAAATEBAAAACjE4OTg1Njc1NzYDAAAAAzE2MAIAAAAENDM3NgQAAAABMAcAAAAJOC8yMy8yMDE4CAAAAAk2LzMwLzIwMTgJAAAAATBiknSFFAnWCGfnWocUCdYIOkNJUS5PVENQSzpFTUlTLklRX0VCSVREQV9NQVJHSU4uMjAwMC42LzMwLzIwMTguTEZSLkYuVVNELkgBAAAAPv0DAAMAAAACTk0BCAAAAAUAAAABMQEAAAAKMTg0MTg5ODUzNQMAAAADMTYwAgAAAAQ0MDQ3BAAAAAEwBwAAAAk2LzMwLzIwMTgIAAAACTMvMzEv</t>
  </si>
  <si>
    <t>MjAxNwkAAAABMK+G5YQUCdYIZSJWhxQJ1gg/Q0lRLkNQU0U6WkVBTC5JUV9FQklUREFfM1lSX0FOTl9DQUdSLjIwMDAuNi8zMC8yMDE4LkxGUi5GLlVTRC5IAQAAACJbEwADAAAAAk5NAQgAAAAFAAAAATEBAAAACjE4ODk5MTMxMDADAAAAAjQyAgAAAAQ0MjIyBAAAAAEwBwAAAAk2LzMwLzIwMTgIAAAACTMvMzEvMjAxOAkAAAABMGKSdIUUCdYI4A1ihxQJ1ggpQ0lRLk5BU0RBUUdTOlhFUlMuSVFfQlVTSU5FU1NfREVTQ1JJUFRJT04BAAAA4O5PBgMAAACFDVhlcmlzIFBoYXJtYWNldXRpY2FscywgSW5jLiwgYSBzcGVjaWFsdHkgcGhhcm1hY2V1dGljYWwgY29tcGFueSwgZGV2ZWxvcHMgYW5kIGNvbW1lcmNpYWxpemVzIHJlYWR5LXRvLXVzZSBpbmplY3RhYmxlIGFuZCBpbmZ1c2libGUgZHJ1ZyBmb3JtdWxhdGlvbnMuIEl0cyBwcm9wcmlldGFyeSBYZXJpU29sIGFuZCBYZXJpSmVjdCBmb3JtdWxhdGlvbiB0ZWNobm9sb2dpZXMgYWxsb3cgZm9yIHRoZSBzdWJjdXRhbmVvdXMgYW5kIGludHJhbXVzY3VsYXIgZGVsaXZlcnkgb2YgaGlnaGx5LWNvbmNlbnRyYXRlZCwgcmVhZHktdG8tdXNlIGZvcm11bGF0aW9ucyBvZiBwZXB0aWRlcywgcHJvdGVpbnMsIGFudGlib2RpZXMsIGFuZCBzbWFsbCBtb2xlY3VsZXMgdXNpbmcgY29tbWVyY2lhbGx5IGF2YWlsYWJsZSBzeXJpbmdlcywgYXV0by1pbmplY3Rv</t>
  </si>
  <si>
    <t>cnMsIG11bHRpLWRvc2UgcGVucywgYW5kIGluZnVzaW9uIHB1bXBzLiBUaGUgY29tcGFueeKAmXMgbGVhZCBwcm9kdWN0IGNhbmRpZGF0ZSBpcyBnbHVjYWdvbiByZXNjdWUgcGVuLCB3aGljaCBoYXMgY29tcGxldGVkIFBoYXNlIElJSSBjbGluaWNhbCB0cmlhbHMgZm9yIHRoZSB0cmVhdG1lbnQgb2Ygc2V2ZXJlIGh5cG9nbHljZW1pYSwgYSBwb3RlbnRpYWxseSBsaWZlLXRocmVhdGVuaW5nIGNvbmRpdGlvbiBpbiBwZW9wbGUgd2l0aCBkaWFiZXRlcy4gSXRzIHByb2R1Y3QgY2FuZGlkYXRlcyBhbHNvIGNvbXByaXNlIHNlbGYtYWRtaW5pc3RlcmVkIGdsdWNhZ29uIHRoYXQgaXMgaW4gUGhhc2UgSUlhIGNsaW5pY2FsIHRyaWFscyBmb3IgdGhlIHRyZWF0bWVudCBvZiBwb3N0LWJhcmlhdHJpYyBoeXBvZ2x5Y2VtaWE7IGNvbnRpbnVvdXMgZ2x1Y2Fnb24sIHdoaWNoIGlzIGluIFBoYXNlIElJIGNsaW5pY2FsIHRyaWFscyBmb3IgdGhlIHRyZWF0bWVudCBvZiBjb25nZW5pdGFsIGh5cGVyaW5zdWxpbmlzbTsgY29udGludW91cyBnbHVjYWdvbiB0aGF0IGlzIGluIFBoYXNlIElJYSBjbGluaWNhbCB0cmlhbHMgZm9yIHRoZSB0cmVhdG1lbnQgb2YgaHlwb2dseWNlbWlhLWFzc29jaWF0ZWQgYXV0b25vbWljIGZhaWx1cmU7IHNlbGYtYWRtaW5pc3RlcmVkIGdsdWNhZ29uLCB3aGljaCBpcyBpbiBQaGFz</t>
  </si>
  <si>
    <t>ZSBJSWEgY2xpbmljYWwgdHJpYWxzIGZvciB0aGUgdHJlYXRtZW50IG9mIGV4ZXJjaXNlLWluZHVjZWQgaHlwb2dseWNlbWlhOyBhbmQgcmVhZHktdG8tdXNlIGdsdWNhZ29uIHRoYXQgaXMgaW4gUGhhc2UgSUkgY2xpbmljYWwgdHJpYWxzIGZvciB1c2UgaW4gYSBiaS1ob3Jtb25hbCBhcnRpZmljaWFsIHBhbmNyZWFzIGNsb3NlZC1sb29wIHN5c3RlbXMuIFRoZSBjb21wYW554oCZcyBwcmVjbGluaWNhbCBwcm9ncmFtcyBpbmNsdWRlIHJlYWR5LXRvLXVzZSBkaWF6ZXBhbSwgYSByZWFkeS10by11c2UgZGlhemVwYW0gZm9ybXVsYXRpb24gZm9yIHRoZSB0cmVhdG1lbnQgb2YgQVJTIGluIHBhdGllbnRzIHdpdGggZXBpbGVwc3k7IGFuZCBwcmFtLWluc3VsaW4sIGEgcmVhZHktdG8tdXNlIGZpeGVkIGRvc2UgY29tYmluYXRpb24gb2YgaW5zdWxpbiBhbmQgcHJhbWxpbnRpZGUuIEl0IHNlcnZlcyBwYXRpZW50cywgY2FyZWdpdmVycywgYW5kIGhlYWx0aCBwcmFjdGl0aW9uZXJzLiBUaGUgY29tcGFueSB3YXMgZm91bmRlZCBpbiAyMDA1IGFuZCBpcyBiYXNlZCBpbiBDaGljYWdvLCBJbGxpbm9pcy4AxiXjhBQJ1ghn51qHFAnWCDdDSVEuTkFTREFRR006UllUTS5JUV9QRVJJT0REQVRFX0lTLjIwMDAuNi8zMC8yMDE4LkxGUi5GAQAAABjJbRIFAAAACTMvMzEvMjAxOABiknSFFAnWCEVJXYcUCdYIN0NJ</t>
  </si>
  <si>
    <t>US5TSFNFOjYwMDg2Ny5JUV9UT1RBTF9SRVYuMTk5Mi42LzMwLzIwMTguTEZSLkYuVVNELkgBAAAA2D6uAAIAAAAKMjY2LjgwMzM5NAEIAAAABQAAAAExAQAAAAoxODM4OTMwMzU5AwAAAAMxNjACAAAAAjI4BAAAAAEwBwAAAAk2LzMwLzIwMTgIAAAACTMvMzEvMjAxNgkAAAABMGKSdIUUCdYI4A1ihxQJ1ggxQ0lRLklRVFIzMDY3NTEwOTYuSVFfVFJfVEFSR0VUX1JFVkVOVUVfRVNULi5VU0QuSAEAAAB4pkgSAgAAAAYyLjc3NzcA5jtFghQJ1gh70maHFAnWCDhDSVEuTkFTREFRR1M6Q0JBWS5JUV9UT1RBTF9DTC4yMDAwLjYvMzAvMjAxOC5MRlIuRi5VU0QuSAEAAADAegAAAgAAAAYxNy45MTgBCAAAAAUAAAABMQEAAAAKMTg4NzQ0NTA4NAMAAAADMTYwAgAAAAQxMDA5BAAAAAEwBwAAAAk2LzMwLzIwMTgIAAAACTMvMzEvMjAxOAkAAAABMGKSdIUUCdYIZ+dahxQJ1gg+Q0lRLk5BU0RBUUdNOlJZVE0uSVFfQ0FTSF9TVF9JTlZFU1QuMjAwMC4zLzMxLzIwMTguTEZSLkYuVVNELkgBAAAAGMltEgIAAAAHMTQ4LjA4MgEIAAAABQAAAAExAQAAAAoxODc4MDE1ODc2AwAAAAMxNjACAAAABDEwMDIEAAAAATAHAAAACTMvMzEvMjAxOAgAAAAKMTIvMzEvMjAxNwkAAAABMGKSdIUUCdYIRUldhxQJ1ggnQ0lRLk5BU0RBUUdNOk1OT1YuSVFfQkVUQV8yWVIuNi8zMC8yMDE4AQAAALhUjQACAAAAEDEuMzQ4MTEyNzg2</t>
  </si>
  <si>
    <t>NDk3MTcAr4blhBQJ1ginhFiHFAnWCDdDSVEuRU5YVFBBOkVSWVAuSVFfVE9UQUxfUkVWLjE5OTYuNi8zMC8yMDE4LkxGUi5GLlVTRC5IAQAAANiKeAECAAAACDQuMzY4MjA0AQgAAAAFAAAAATEBAAAACjE4ODUyMDQzNjkDAAAAAzE2MAIAAAACMjgEAAAAATAHAAAACTYvMzAvMjAxOAgAAAAKMTIvMzEvMjAxNgkAAAABMOUP74QUCdYIMV5RhxQJ1ggrQ0lRLklRVFIyMTI3MzE4NzcuSVFfVFJfSU1QTElFRF9FVl9FQklUX0ZXRAEAAADlB64MAwAAAAJOTQDmO0WCFAnWCHvSZocUCdYIRkNJUS5OQVNEQVFHUzpBUFRYLklRX1RPVEFMX1JFVl8zWVJfQU5OX0NBR1IuMjAwMC42LzMwLzIwMTguTEZSLkYuVVNELkgBAAAALykMFAMAAAAAAGKSdIUUCdYIRUldhxQJ1ghBQ0lRLkNQU0U6Tk9WTyBCLklRX0VCSVREQV8yWVJfQU5OX0NBR1IuMjAwMC42LzMwLzIwMTguTEZSLkYuVVNELkgBAAAAfO8EAAIAAAAGMC42MTY3AQgAAAAFAAAAATEBAAAACjE4OTI2MjM5NTMDAAAAAjQyAgAAAAQ0MjA5BAAAAAEwBwAAAAk2LzMwLzIwMTgIAAAACTMvMzEvMjAxOAkAAAABMJQLV4YUCdYIL3BkhxQJ1gglQ0lRLkNQU0U6Tk9WTyBCLklRX0JFVEFfMllSLjYvMzAvMjAxOAEAAAB87wQAAgAAABEwLjU4MjM2Mjc4MzM2Mzc0NADpbVmGFAnWCHvSZocUCdYINkNJUS5OQVNEQVFHUzpYRVJTLklRX0VCSVREQS4xOTkyLjYvMzAv</t>
  </si>
  <si>
    <t>MjAxOC5MRlIuRi5VU0QuSAEAAADg7k8GAwAAAAAAxiXjhBQJ1ghn51qHFAnWCDxDSVEuTkFTREFRR1M6TklURS5JUV9HUk9TU19NQVJHSU4uMjAwMC42LzMwLzIwMTguTEZSLkYuVVNELkgBAAAADNMYEAMAAAAAAMYl44QUCdYIp4RYhxQJ1gglQ0lRLlNFSEs6MzkzMy5JUV9CVVNJTkVTU19ERVNDUklQVElPTgEAAABN2hECAwAAAKEJVGhlIFVuaXRlZCBMYWJvcmF0b3JpZXMgSW50ZXJuYXRpb25hbCBIb2xkaW5ncyBMaW1pdGVkLCBhbiBpbnZlc3RtZW50IGhvbGRpbmcgY29tcGFueSwgbWFudWZhY3R1cmVzIGFuZCBzZWxscyBwaGFybWFjZXV0aWNhbCBwcm9kdWN0cy4gSXQgb3BlcmF0ZXMgaW4gdGhyZWUgc2VnbWVudHM6IEludGVybWVkaWF0ZSBQcm9kdWN0cywgQnVsayBNZWRpY2luZSwgYW5kIEZpbmlzaGVkIFByb2R1Y3RzLiBUaGUgY29tcGFueSBvZmZlcnMgb3JhbCBhbnRpYmlvdGljcywgYW50aW1pY3JvYmlhbHMgZm9yIGluamVjdGlvbiwgYW50aS1jb2xkIHByb2R1Y3RzLCBjb3VnaCBtZWRpY2luZXMsIG9waHRoYWxtaWMgZHJ1Z3MsIGFudGl2aXJhbCBkcnVncywgYW50aS1oZXBhdGl0aXMgQiBkcnVncywgZGlhYmV0ZXMgZHJ1Z3MsIHNraW4gZHJ1Z3MgZm9yIGV4dGVybmFsIHVzZSwgY2FyZGlvdmFzY3VsYXIgYW5kIGNlcmVicm92YXNjdWxhciBkcnVncywgbmVydm91cyBzeXN0ZW0g</t>
  </si>
  <si>
    <t>ZHJ1Z3MsIHZpdGFtaW5zLCBhbmQgdmFjYW50IGdlbGF0aW4gY2Fwc3VsZXMsIGFzIHdlbGwgYXMgbm9uLWFudGliaW90aWNzIGZpbmlzaGVkIHByb2R1Y3RzIGFuZCBzb2Z0IGNhcHN1bGUgY2FzaW5ncy4gSXQgYWxzbyBwcm92aWRlcyBjaGVtaWNhbCBwaGFybWFjZXV0aWNhbHMsIGluY2x1ZGluZyBhbnRpLWNhbmNlciBkcnVncyBhbmQgdmFyaW91cyBhbnRpYmlvdGljcy4gSW4gYWRkaXRpb24sIHRoZSBjb21wYW55IG1hbnVmYWN0dXJlcyBhbmQgc2VsbHMgb3JnYW5pYyBmZXJ0aWxpemVyczsgaG9sZHMgdHJhZGVtYXJrczsgdHJhZGVzIGluIHBoYXJtYWNldXRpY2FsIHByb2R1Y3RzOyBhbmQgb2ZmZXJzIG1hbmFnZW1lbnQgc2VydmljZXMuIEl0IGhhcyBvcGVyYXRpb25zIGluIHRoZSBQZW9wbGUncyBSZXB1YmxpYyBvZiBDaGluYSwgRXVyb3BlLCBJbmRpYSwgSG9uZyBLb25nLCB0aGUgTWlkZGxlIEVhc3QsIFNvdXRoIEFtZXJpY2EsIG90aGVyIEFzaWFuIHJlZ2lvbnMsIGFuZCBvdGhlciByZWdpb25zLiBUaGUgY29tcGFueSB3YXMgZm91bmRlZCBpbiAxOTkwIGFuZCBpcyBoZWFkcXVhcnRlcmVkIGluIFl1ZW4gTG9uZywgSG9uZyBLb25nLiBUaGUgVW5pdGVkIExhYm9yYXRvcmllcyBJbnRlcm5hdGlvbmFsIEhvbGRpbmdzIExpbWl0ZWQgaXMgYSBzdWJzaWRpYXJ5IG9mIEhlcmVuIEZhciBF</t>
  </si>
  <si>
    <t>YXN0IExpbWl0ZWQuAJQLV4YUCdYI4A1ihxQJ1gg7Q0lRLk5BU0RBUUNNOlZLVFguSVFfUFJFRl9FUVVJVFkuMjAwMC42LzMwLzIwMTguTEZSLkYuVVNELkgBAAAA8ry1DgMAAAAAAGKSdIUUCdYIZ+dahxQJ1ghEQ0lRLk9UQ1BLOk5FWFMuSVFfTUlOT1JJVFlfSU5URVJFU1RfVE9UQUwuMjAwMC42LzMwLzIwMTguTEZSLkYuVVNELkgBAAAAHb1OFAMAAAAAAOUP74QUCdYIMV5RhxQJ1gg9Q0lRLk5BU0RBUUNNOkFWRU8uSVFfUkVWRU5VRV9FU1QuQ1kyMDIwLjYvMzAvMjAxOC5DT04uRi5VU0QuSAEAAAD0Fh0AAgAAAAQ3MS41AQ4AAAAFAAAAAjExAQAAAAEwAgAAAAoxMDAwNzQ4MDgzAwAAAAYxMDAxODAEAAAAATIGAAAAATAHAAAAAzE2MAgAAAABMAkAAAABMQoAAAABMAsAAAALMTA4NzEyNjExNTcMAAAAATcNAAAACDcvMS8yMDE4EAAAAAk2LzMwLzIwMTivhuWEFAnWCGUiVocUCdYINkNJUS5TSFNFOjYwMDg2Ny5JUV9FQklUREEuQ1kyMDE2LjYvMzAvMjAxOC5MRlIuRi5VU0QuSAEAAADYPq4AAgAAAAoxMzguMzAyOTkxAQgAAAAFAAAAATEBAAAACjE4ODMxMTg0NzMDAAAAAzE2MAIAAAAENDA1MQQAAAABMAcAAAAJNi8zMC8yMDE4CAAAAAoxMi8zMS8yMDE2CQAAAAEwYpJ0hRQJ1gjgDWKHFAnWCDpDSVEuTllTRTpNWU9WLklRX0NBU0hfU1RfSU5WRVNULjIwMDAuNi8zMC8yMDE4LkxGUi5GLlVTRC5I</t>
  </si>
  <si>
    <t>AQAAAJfaCxgCAAAABzEwOC42MjQBCAAAAAUAAAABMQEAAAAKMTg5MjgzNDczMwMAAAADMTYwAgAAAAQxMDAyBAAAAAEwBwAAAAk2LzMwLzIwMTgIAAAACTMvMzEvMjAxOAkAAAABMGKSdIUUCdYIlKtfhxQJ1ggrQ0lRLkFNRVg6QlRYLklRX0xBU1RTQUxFUFJJQ0UuNi8zMC8yMDE4LlVTRAEAAAAWZAAAAgAAAAQyLjA2AMYl44QUCdYIZSJWhxQJ1ggjQ0lRLklRVFIxMDg5MDYyNzYuSVFfVFJfQ0xPU0VEX0RBVEUBAAAAJMd9BgUAAAAAAOY7RYIUCdYIv1rIghQJ1gg4Q0lRLk5BU0RBUUdTOlhFUlMuSVFfRUJJVERBLkNZMjAxNy42LzMwLzIwMTguTEZSLkYuVVNELkgBAAAA4O5PBgIAAAAHLTI2LjQ1MgEIAAAABQAAAAExAQAAAAoxODkwOTYxNjQ3AwAAAAMxNjACAAAABDQwNTEEAAAAATAHAAAACTYvMzAvMjAxOAgAAAAKMTIvMzEvMjAxNwkAAAABMMYl44QUCdYIZ+dahxQJ1ghGQ0lRLk5BU0RBUUdNOk1OS0QuSVFfVE9UQUxfUkVWXzJZUl9BTk5fQ0FHUi4yMDAwLjYvMzAvMjAxOC5MRlIuRi5VU0QuSAEAAABmpY0AAwAAAAAA6W1ZhhQJ1gjgDWKHFAnWCDxDSVEuTkFTREFRR1M6SVRDSS5JUV9FQklUREFfRVNULkNZMjAxOS42LzMwLzIwMTguQ09OLkYuVVNELkgBAAAAd9GPAAIAAAAKLTIzMC4xNjUyNQEOAAAABQAAAAIxMQEAAAABMAIAAAAKMTAwMjAyMTIwNAMAAAAGMTAwMTg3BAAAAAEyBgAAAAEw</t>
  </si>
  <si>
    <t>BwAAAAMxNjAIAAAAATAJAAAAATEKAAAAATALAAAACzExMDEyMzA0OTk0DAAAAAE3DQAAAAg3LzEvMjAxOBAAAAAJNi8zMC8yMDE4YpJ0hRQJ1ghn51qHFAnWCDlDSVEuTkFTREFRQ006QllTSS5JUV9UT1RBTF9SRVYuMTk5Ni42LzMwLzIwMTguTEZSLkYuVVNELkgBAAAAR89sGAMAAAAAAGKSdIUUCdYIRUldhxQJ1ggYQ0lRLi5JUV9UUl9NQUpfTUlOX1NUQUtFBQAAAAEAAAAIAAAAFChJbnZhbGlkIElkZW50aWZpZXIplAtXhhQJ1giUC1eGFAnWCDFDSVEuQU1FWDpCVFguSVFfRUJJVERBLjE5OTIuNi8zMC8yMDE4LkxGUi5GLlVTRC5IAQAAABZkAAACAAAABy02OS41NjUBCAAAAAUAAAABMQEAAAAKMTg0MTE4MDE2MwMAAAADMTYwAgAAAAQ0MDUxBAAAAAEwBwAAAAk2LzMwLzIwMTgIAAAACTMvMzEvMjAxNgkAAAABMMYl44QUCdYIZSJWhxQJ1ggnQ0lRLk5BU0RBUUdTOkFQVFguSVFfUEVSSU9EREFURV9JUy4xMDAwAQAAAC8pDBQFAAAACjEyLzMxLzIwMTcAYpJ0hRQJ1ghFSV2HFAnWCDtDSVEuT1RDUEs6RU1JUy5JUV9UT1RBTF9FUVVJVFkuQ1kyMDE3LjYvMzAvMjAxOC5MRlIuRi5VU0QuSAEAAAA+/QMAAwAAAAAAr4blhBQJ1ghlIlaHFAnWCDBDSVEuTkFTREFRR1M6QVBUWC5JUV9MQVNUU0FMRVBSSUNFLjYvMzAvMjAxOC5VU0QBAAAALykMFAIAAAAFMjQuMTcAYpJ0hRQJ1ghFSV2HFAnWCD9DSVEu</t>
  </si>
  <si>
    <t>KElOVkFMSUQgSURFTlRJRklFUikuSVFfVE9UQUxfQ0EuMTk5Ni42LzMwLzIwMTguTEZSLkYuVVNELkgFAAAAAAAAAAgAAAAUKEludmFsaWQgSWRlbnRpZmllcinlD++EFAnWCDFeUYcUCdYIOENJUS5OWVNFOk1ZT1YuSVFfRUFSTklOR19DTy5DWTIwMTYuNi8zMC8yMDE4LkxGUi5GLlVTRC5IAQAAAJfaCxgDAAAAAABiknSFFAnWCJSrX4cUCdYIKkNJUS5JUVRSNDAyMTAzOTE5LklRX1RSX1RBUkdFVF9FQklULi5VU0QuSAEAAABvnvcXAgAAAAktMC4wOTY4NjMBBgAAAAUAAAACMzcBAAAACjE3ODkyOTQwNjMCAAAABTIxNjc1AwAAAAMxNjAEAAAAATAHAAAACDEvMS8xOTAw5jtFghQJ1gh70maHFAnWCDhDSVEuTkFTREFRR1M6TklURS5JUV9UT1RBTF9DQS4yMDAwLjYvMzAvMjAxOC5MRlIuRi5VU0QuSAEAAAAM0xgQAgAAAAcxMjguNDEyAQgAAAAFAAAAATEBAAAACjE4OTM0OTY3NDUDAAAAAzE2MAIAAAAEMTAwOAQAAAABMAcAAAAJNi8zMC8yMDE4CAAAAAkzLzMxLzIwMTgJAAAAATDGJeOEFAnWCKeEWIcUCdYIQENJUS5UU1hWOkNPQi5VLklRX0VCSVREQV8zWVJfQU5OX0NBR1IuMjAwMC42LzMwLzIwMTguTEZSLkYuVVNELkgBAAAAv/sACAMAAAACTk0BCAAAAAUAAAABMQEAAAAKMTg4OTA2MjA3NAMAAAADMTYwAgAAAAQ0MjIyBAAAAAEwBwAAAAk2LzMwLzIwMTgIAAAACTMvMzEvMjAxOAkAAAABMK+G</t>
  </si>
  <si>
    <t>5YQUCdYIhsBThxQJ1gg2Q0lRLkFNRVg6QlRYLklRX1BSRUZfRVFVSVRZLjIwMDAuNi8zMC8yMDE4LkxGUi5GLlVTRC5IAQAAABZkAAADAAAAAADGJeOEFAnWCGUiVocUCdYII0NJUS5TRUhLOjM5MzMuSVFfQkVUQV81WVIuNi8zMC8yMDE4AQAAAE3aEQICAAAAETAuODk3NjY2Mjk3MzU3NTA3AOltWYYUCdYI4A1ihxQJ1gg4Q0lRLk5BU0RBUUNNOkFWRU8uSVFfVE9UQUxfQ0EuMTk5Mi42LzMwLzIwMTguTEZSLkYuVVNELkgBAAAA9BYdAAIAAAAGMzAuNjY0AQgAAAAFAAAAATEBAAAACjE4NDAwNDYxMTEDAAAAAzE2MAIAAAAEMTAwOAQAAAABMAcAAAAJNi8zMC8yMDE4CAAAAAkzLzMxLzIwMTYJAAAAATDGJeOEFAnWCGUiVocUCdYIQ0NJUS5OQVNEQVFHUzpOSVRFLklRX0VCSVREQV81WVJfQU5OX0NBR1IuMjAwMC42LzMwLzIwMTguTEZSLkYuVVNELkgBAAAADNMYEAMAAAAAAMYl44QUCdYIp4RYhxQJ1gg6Q0lRLk5BU0RBUUNNOkJZU0kuSVFfRUFSTklOR19DTy4yMDAwLjYvMzAvMjAxOC5MRlIuRi5VU0QuSAEAAABHz2wYAgAAAActNjIuNzU3AQgAAAAFAAAAATEBAAAACjE4OTM5NzMzODkDAAAAAzE2MAIAAAABNwQAAAABMAcAAAAJNi8zMC8yMDE4CAAAAAkzLzMxLzIwMTgJAAAAATBiknSFFAnWCEVJXYcUCdYIQUNJUS4oSU5WQUxJRCBJREVOVElGSUVSKS5JUV9UT1RBTF9ERUJULjIwMDAuMy8zMS8y</t>
  </si>
  <si>
    <t>MDE4LkxGUi5GLlVTRC5IBQAAAAAAAAAIAAAAFChJbnZhbGlkIElkZW50aWZpZXIp5Q/vhBQJ1ghg+06HFAnWCC5DSVEuTkFTREFRR006Rk9MRC5JUV9NQVJLRVRDQVAuNi8zMC8yMDE4LlVTRC5IAQAAAFb2agACAAAACzI5NDMuOTIzMzc3AQYAAAAFAAAAATEBAAAACjE4ODg0ODMyNTgDAAAAAzE2MAIAAAAGMTAwMDU0BAAAAAEwBwAAAAk2LzMwLzIwMThiknSFFAnWCJSrX4cUCdYIPENJUS5OQVNEQVFHUzpPRFQuSVFfUkVWRU5VRV9FU1QuQ1kyMDIwLjYvMzAvMjAxOC5DT04uRi5VU0QuSAEAAAAaGkUgAgAAAAEwAQ4AAAAFAAAAAjExAQAAAAEwAgAAAAoxMDAzOTUxNjIzAwAAAAYxMDAxODAEAAAAATIGAAAAATAHAAAAAzE2MAgAAAABMAkAAAABMQoAAAABMAsAAAALMTA5NTEyNDc4ODcMAAAAATcNAAAACDcvMS8yMDE4EAAAAAk2LzMwLzIwMTivhuWEFAnWCGfnWocUCdYIHENJUS5BTUVYOkJUWC5JUV9DT01QQU5ZX05BTUUBAAAAFmQAAAMAAAANQmlvVGltZSwgSW5jLgDGJeOEFAnWCGUiVocUCdYIOENJUS5OWVNFOk1ZT1YuSVFfRUFSTklOR19DTy5DWTIwMTcuNi8zMC8yMDE4LkxGUi5GLlVTRC5IAQAAAJfaCxgCAAAACC0xMTYuNjc2AQgAAAAFAAAAATEBAAAACjE4NzQwNDM2NDEDAAAAAzE2MAIAAAABNwQAAAABMAcAAAAJNi8zMC8yMDE4CAAAAAoxMi8zMS8yMDE3CQAAAAEwYpJ0hRQJ1giUq1+H</t>
  </si>
  <si>
    <t>FAnWCDpDSVEuTkFTREFRR006TU5PVi5JUV9UT1RBTF9ERUJULjIwMDAuMy8zMS8yMDE4LkxGUi5GLlVTRC5IAQAAALhUjQACAAAAATABCAAAAAUAAAABMQEAAAAKMTg3NDAyNTEwMwMAAAADMTYwAgAAAAQ0MTczBAAAAAEwBwAAAAkzLzMxLzIwMTgIAAAACjEyLzMxLzIwMTcJAAAAATDGJeOEFAnWCKeEWIcUCdYINUNJUS5OQVNEQVFDTTpDVVIuSVFfRUJJVERBLjIwMDAuNi8zMC8yMDE4LkxGUi5GLlVTRC5IAQAAAPHudQACAAAACi0xMS4xNzk3MTYBCAAAAAUAAAABMQEAAAAKMTg4ODg3MzIxOQMAAAADMTYwAgAAAAQ0MDUxBAAAAAEwBwAAAAk2LzMwLzIwMTgIAAAACTMvMzEvMjAxOAkAAAABMOUP74QUCdYIMV5RhxQJ1ghCQ0lRLk5ZU0U6TVlPVi5JUV9UT1RBTF9SRVZfNVlSX0FOTl9DQUdSLjIwMDAuNi8zMC8yMDE4LkxGUi5GLlVTRC5IAQAAAJfaCxgDAAAAAABiknSFFAnWCJSrX4cUCdYIOENJUS5OQVNEQVFDTTpDVVIuSVFfTklfTUFSR0lOLjIwMDAuNi8zMC8yMDE4LkxGUi5GLlVTRC5IAQAAAPHudQADAAAAAk5NAQgAAAAFAAAAATEBAAAACjE4ODg4NzMyMTkDAAAAAzE2MAIAAAAENDA5NAQAAAABMAcAAAAJNi8zMC8yMDE4CAAAAAkzLzMxLzIwMTgJAAAAATDlD++EFAnWCDFeUYcUCdYINUNJUS5OQVNEQVFHTTpSWVRNLklRX0RBX0NGLjIwMDAuNi8zMC8yMDE4LkxGUi5GLlVTRC5IAQAAABjJ</t>
  </si>
  <si>
    <t>bRICAAAABDAuMjMBCAAAAAUAAAABMQEAAAAKMTg4ODkxMTQ3MAMAAAADMTYwAgAAAAQyMTYwBAAAAAEwBwAAAAk2LzMwLzIwMTgIAAAACTMvMzEvMjAxOAkAAAABMGKSdIUUCdYIxDRphxQJ1gg8Q0lRLk5BU0RBUUdNOlZUVlQuSVFfVE9UQUxfRVFVSVRZLjE5OTYuNi8zMC8yMDE4LkxGUi5GLlVTRC5IAQAAAB2jHxICAAAABTE4LjE5AQgAAAAFAAAAATEBAAAACjE4ODkwNTY1MTQDAAAAAzE2MAIAAAAEMTI3NQQAAAABMAcAAAAJNi8zMC8yMDE4CAAAAAkzLzMxLzIwMTcJAAAAATDlD++EFAnWCIbAU4cUCdYIHUNJUS5JUTI3MzE1LklRX0NPTVBBTllfVElDS0VSAQAAALNqAAADAAAADU5hc2RhcUdTOkNZVEsA5jtFghQJ1giVqreCFAnWCDhDSVEuTkFTREFRR1M6SUNQVC5JUV9UT1RBTF9DTC4xOTkyLjYvMzAvMjAxOC5MRlIuRi5VU0QuSAEAAACCr60AAgAAAAY5OS4yNTIBCAAAAAUAAAABMQEAAAAKMTg0MTg0Mjg2OAMAAAADMTYwAgAAAAQxMDA5BAAAAAEwBwAAAAk2LzMwLzIwMTgIAAAACTMvMzEvMjAxNgkAAAABMOltWYYUCdYIL3BkhxQJ1ggdQ0lRLk5BU0RBUUdNOlZUVlQuSVFfRVhDSEFOR0UBAAAAHaMfEgMAAAAITmFzZGFxR00AxiXjhBQJ1giGwFOHFAnWCDhDSVEuTkFTREFRR006TU5PVi5JUV9UT1RBTF9DTC4xOTkyLjYvMzAvMjAxOC5MRlIuRi5VU0QuSAEAAAC4VI0AAgAAAAgxLjA0OTc5</t>
  </si>
  <si>
    <t>NgEIAAAABQAAAAExAQAAAAoxODM3OTcxMjczAwAAAAMxNjACAAAABDEwMDkEAAAAATAHAAAACTYvMzAvMjAxOAgAAAAJMy8zMS8yMDE2CQAAAAEwxiXjhBQJ1ginhFiHFAnWCCpDSVEuSVFUUjI0OTk4MTU2NC5JUV9UUl9UQVJHRVRfRUJJVC4uVVNELkgBAAAAfGrmDgIAAAAGNzQuOTA1AQYAAAAFAAAAAjM3AQAAAAoxNjQzOTAyNTUyAgAAAAUyMTY3NQMAAAADMTYwBAAAAAEwBwAAAAgxLzEvMTkwMOY7RYIUCdYIe9JmhxQJ1gg3Q0lRLk5BU0RBUUdNOkZPTEQuSVFfUEVSSU9EREFURV9JUy4yMDAwLjYvMzAvMjAxOC5MRlIuRgEAAABW9moABQAAAAkzLzMxLzIwMTgAYpJ0hRQJ1giUq1+HFAnWCDZDSVEuTkFTREFRQ006Q09SVC5JUV9FQklUREEuMTk5Ni42LzMwLzIwMTguTEZSLkYuVVNELkgBAAAA0rkVAAIAAAAEMTQuNAEIAAAABQAAAAExAQAAAAoxODg4MDk5NTMyAwAAAAMxNjACAAAABDQwNTEEAAAAATAHAAAACTYvMzAvMjAxOAgAAAAJMy8zMS8yMDE3CQAAAAEwYpJ0hRQJ1giUq1+HFAnWCDxDSVEuRU5YVFBBOkVSWVAuSVFfQ0FTSF9TVF9JTlZFU1QuMjAwMC4zLzMxLzIwMTguTEZSLkYuVVNELkgBAAAA2Ip4AQIAAAAKMTAxLjAyNzk1MgEIAAAABQAAAAExAQAAAAoxODYxMjY2MTY1AwAAAAMxNjACAAAABDEwMDIEAAAAATAHAAAACTMvMzEvMjAxOAgAAAAJNi8zMC8yMDE3CQAAAAEw5Q/vhBQJ</t>
  </si>
  <si>
    <t>1ggxXlGHFAnWCDNDSVEuU0hTRTo2MDA4NjcuSVFfREFfQ0YuMjAwMC42LzMwLzIwMTguTEZSLkYuVVNELkgBAAAA2D6uAAIAAAAJMjYuMzI1ODA5AQgAAAAFAAAAATEBAAAACjE4ODUxNDYyNzMDAAAAAzE2MAIAAAAEMjE2MAQAAAABMAcAAAAJNi8zMC8yMDE4CAAAAAkzLzMxLzIwMTgJAAAAATBiknSFFAnWCOANYocUCdYIQ0NJUS5OQVNEQVFHUzpMWFJYLklRX0VCSVREQV8zWVJfQU5OX0NBR1IuMjAwMC42LzMwLzIwMTguTEZSLkYuVVNELkgBAAAAPXgAAAMAAAACTk0BCAAAAAUAAAABMQEAAAAKMTg4NjU0Mzg3NQMAAAADMTYwAgAAAAQ0MjIyBAAAAAEwBwAAAAk2LzMwLzIwMTgIAAAACTMvMzEvMjAxOAkAAAABMGKSdIUUCdYIRUldhxQJ1gg1Q0lRLkFNRVg6QlRYLklRX1RPVEFMX0RFQlQuMjAwMC4zLzMxLzIwMTguTEZSLkYuVVNELkgBAAAAFmQAAAIAAAAFMS41MzMBCAAAAAUAAAABMQEAAAAKMTg3ODUxMzY1MwMAAAADMTYwAgAAAAQ0MTczBAAAAAEwBwAAAAkzLzMxLzIwMTgIAAAACjEyLzMxLzIwMTcJAAAAATDGJeOEFAnWCGUiVocUCdYIOUNJUS5DUFNFOlpFQUwuSVFfUkVWRU5VRV9FU1QuQ1kyMDIwLjYvMzAvMjAxOC5DT04uRi5VU0QuSAEAAAAiWxMAAgAAABA4My42OTQxODMzMjQyNjMzAQ4AAAAFAAAAAjExAQAAAAEwAgAAAAoxMDAxMjk0MDczAwAAAAYxMDAxODAEAAAAATMGAAAAATAH</t>
  </si>
  <si>
    <t>AAAAAzE2MAgAAAABMAkAAAABMQoAAAABMAsAAAALMTA5MDgyNDAyOTgMAAAAATcNAAAACDcvMS8yMDE4EAAAAAk2LzMwLzIwMThiknSFFAnWCOANYocUCdYINENJUS5TSFNFOjYwMDg2Ny5JUV9FQklUREEuMTk5Mi42LzMwLzIwMTguTEZSLkYuVVNELkgBAAAA2D6uAAIAAAAJMTE2LjE2NzI1AQgAAAAFAAAAATEBAAAACjE4Mzg5MzAzNTkDAAAAAzE2MAIAAAAENDA1MQQAAAABMAcAAAAJNi8zMC8yMDE4CAAAAAkzLzMxLzIwMTYJAAAAATBiknSFFAnWCOANYocUCdYIOENJUS5OQVNEQVFHUzpJQ1BULklRX1RPVEFMX0NBLjIwMDAuNi8zMC8yMDE4LkxGUi5GLlVTRC5IAQAAAIKvrQACAAAABzM2My44NDUBCAAAAAUAAAABMQEAAAAKMTg4ODYxNTU0MAMAAAADMTYwAgAAAAQxMDA4BAAAAAEwBwAAAAk2LzMwLzIwMTgIAAAACTMvMzEvMjAxOAkAAAABMOltWYYUCdYIL3BkhxQJ1gg6Q0lRLk5BU0RBUUNNOkJZU0kuSVFfRUFSTklOR19DTy4xOTkyLjYvMzAvMjAxOC5MRlIuRi5VU0QuSAEAAABHz2wYAgAAAAYtNy43NzUBCAAAAAUAAAABMQEAAAAKMTg0NTAwNzM4NAMAAAADMTYwAgAAAAE3BAAAAAEwBwAAAAk2LzMwLzIwMTgIAAAACTMvMzEvMjAxNgkAAAABMGKSdIUUCdYIRUldhxQJ1gg1Q0lRLk9UQ1BLOkJUSEUuSVFfVE9UQUxfQ0wuMjAwMC42LzMwLzIwMTguTEZSLkYuVVNELkgBAAAAb525BQIAAAAI</t>
  </si>
  <si>
    <t>My4zNjU2ODMBCAAAAAUAAAABMQEAAAAKMTg4ODY2Mzc0MgMAAAADMTYwAgAAAAQxMDA5BAAAAAEwBwAAAAk2LzMwLzIwMTgIAAAACTMvMzEvMjAxOAkAAAABMOUP74QUCdYIhsBThxQJ1gg7Q0lRLk9UQ1BLOk5FWFMuSVFfQ0FTSF9TVF9JTlZFU1QuMjAwMC4zLzMxLzIwMTguTEZSLkYuVVNELkgBAAAAHb1OFAIAAAAIMC4wMDg0MjcBCAAAAAUAAAABMQEAAAAKMTg2Mjg2MzA5MwMAAAADMTYwAgAAAAQxMDAyBAAAAAEwBwAAAAkzLzMxLzIwMTgIAAAACTUvMzEvMjAxNwkAAAABMOUP74QUCdYIMV5RhxQJ1gg6Q0lRLlNIU0U6NjAwODY3LklRX1RPVEFMX0VRVUlUWS4xOTk2LjYvMzAvMjAxOC5MRlIuRi5VU0QuSAEAAADYPq4AAgAAAAo2MDIuNDM1OTYxAQgAAAAFAAAAATEBAAAACjE4ODUxNDYyNjkDAAAAAzE2MAIAAAAEMTI3NQQAAAABMAcAAAAJNi8zMC8yMDE4CAAAAAkzLzMxLzIwMTcJAAAAATBiknSFFAnWCOANYocUCdYISkNJUS4oSU5WQUxJRCBJREVOVElGSUVSKS5JUV9FQklUREFfMllSX0FOTl9DQUdSLjIwMDAuNi8zMC8yMDE4LkxGUi5GLlVTRC5IBQAAAAAAAAAIAAAAFChJbnZhbGlkIElkZW50aWZpZXIp5Q/vhBQJ1ghg+06HFAnWCDlDSVEuTkFTREFRQ006QllTSS5JUV9OSV9NQVJHSU4uMjAwMC42LzMwLzIwMTguTEZSLkYuVVNELkgBAAAAR89sGAMAAAAAAGKSdIUUCdYIRUldhxQJ1ghH</t>
  </si>
  <si>
    <t>Q0lRLk5BU0RBUUdNOlJZVE0uSVFfTUlOT1JJVFlfSU5URVJFU1RfVE9UQUwuMjAwMC4zLzMxLzIwMTguTEZSLkYuVVNELkgBAAAAGMltEgMAAAAAAGKSdIUUCdYIRUldhxQJ1gg6Q0lRLk5BU0RBUUdTOlpGR04uSVFfRUFSTklOR19DTy4xOTk2LjYvMzAvMjAxOC5MRlIuRi5VU0QuSAEAAACXwLoBAgAAAActNTMuMTUzAQgAAAAFAAAAATEBAAAACjE4ODk4OTUzNTUDAAAAAzE2MAIAAAABNwQAAAABMAcAAAAJNi8zMC8yMDE4CAAAAAkzLzMxLzIwMTcJAAAAATDGJeOEFAnWCKeEWIcUCdYIOkNJUS5UU1hWOkNPQi5VLklRX1JFVkVOVUVfRVNULkNZMjAyMC42LzMwLzIwMTguQ09OLkYuVVNELkgBAAAAv/sACAMAAAAAAK+G5YQUCdYIhsBThxQJ1gg4Q0lRLk5BU0RBUUdTOlhFUlMuSVFfVE9UQUxfQ0wuMTk5Ni42LzMwLzIwMTguTEZSLkYuVVNELkgBAAAA4O5PBgMAAAAAAMYl44QUCdYIZ+dahxQJ1gg4Q0lRLk5BU0RBUUdTOlpGR04uSVFfVE9UQUxfQ0wuMTk5Mi42LzMwLzIwMTguTEZSLkYuVVNELkgBAAAAl8C6AQIAAAAGMTIuODgxAQgAAAAFAAAAATEBAAAACjE4NDA5MzU5NjMDAAAAAzE2MAIAAAAEMTAwOQQAAAABMAcAAAAJNi8zMC8yMDE4CAAAAAkzLzMxLzIwMTYJAAAAATDGJeOEFAnWCKeEWIcUCdYIOENJUS5OQVNEQVFHTTpNTk9WLklRX1RPVEFMX0NBLjIwMDAuNi8zMC8yMDE4LkxGUi5GLlVT</t>
  </si>
  <si>
    <t>RC5IAQAAALhUjQACAAAACTYzLjU3MTg3NwEIAAAABQAAAAExAQAAAAoxODg0NjQ0MjI4AwAAAAMxNjACAAAABDEwMDgEAAAAATAHAAAACTYvMzAvMjAxOAgAAAAJMy8zMS8yMDE4CQAAAAEwxiXjhBQJ1ginhFiHFAnWCENDSVEuTkFTREFRR1M6SUNQVC5JUV9FQklUREFfMllSX0FOTl9DQUdSLjIwMDAuNi8zMC8yMDE4LkxGUi5GLlVTRC5IAQAAAIKvrQADAAAAAk5NAQgAAAAFAAAAATEBAAAACjE4ODg2MTU1NDADAAAAAzE2MAIAAAAENDIwOQQAAAABMAcAAAAJNi8zMC8yMDE4CAAAAAkzLzMxLzIwMTgJAAAAATDpbVmGFAnWCC9wZIcUCdYIMkNJUS5PVENQSzpFTUlTLklRX0NBUEVYLjIwMDAuNi8zMC8yMDE4LkxGUi5GLlVTRC5IAQAAAD79AwADAAAAAACvhuWEFAnWCGUiVocUCdYIOkNJUS5OQVNEQVFHTTpGT0xELklRX0VBUk5JTkdfQ08uMTk5Ni42LzMwLzIwMTguTEZSLkYuVVNELkgBAAAAVvZqAAIAAAAILTIxMS4zNDMBCAAAAAUAAAABMQEAAAAKMTg4ODQ4NDYxOQMAAAADMTYwAgAAAAE3BAAAAAEwBwAAAAk2LzMwLzIwMTgIAAAACTMvMzEvMjAxNwkAAAABMGKSdIUUCdYIlKtfhxQJ1ggkQ0lRLk9UQ1BLOlJaTFQuSVFfQkVUQV8xWVIuNi8zMC8yMDE4AQAAACEJmwoCAAAAETAuMjY4MjczNDY4NDQzMzA5AOUP74QUCdYIhsBThxQJ1gg9Q0lRLk5BU0RBUUdNOk1OT1YuSVFfUkVWRU5VRV9FU1Qu</t>
  </si>
  <si>
    <t>Q1kyMDIxLjYvMzAvMjAxOC5DT04uRi5VU0QuSAEAAAC4VI0AAgAAAAEwAQ4AAAAFAAAAAjExAQAAAAEwAgAAAAoxMDAwNTkzNjE3AwAAAAYxMDAxODAEAAAAATIGAAAAATAHAAAAAzE2MAgAAAABMAkAAAABMQoAAAABMAsAAAALMTA5NTAwNTQwNDYMAAAAATcNAAAACDcvMS8yMDE4EAAAAAk2LzMwLzIwMTivhuWEFAnWCKeEWIcUCdYIPUNJUS5OQVNEQVFDTTpCWVNJLklRX0VCSVREQV9NQVJHSU4uMjAwMC42LzMwLzIwMTguTEZSLkYuVVNELkgBAAAAR89sGAMAAAAAAGKSdIUUCdYIRUldhxQJ1ggyQ0lRLk9UQ1BLOkVNSVMuSVFfQ0FQRVguMTk5Ni42LzMwLzIwMTguTEZSLkYuVVNELkgBAAAAPv0DAAMAAAAAAK+G5YQUCdYIZSJWhxQJ1gg4Q0lRLk5BU0RBUUNNOlZLVFguSVFfRUJJVERBLkNZMjAxNy42LzMwLzIwMTguTEZSLkYuVVNELkgBAAAA8ry1DgMAAAAAAMYl44QUCdYIZ+dahxQJ1gg5Q0lRLk5BU0RBUUdTOklDUFQuSVFfVE9UQUxfUkVWLjE5OTIuNi8zMC8yMDE4LkxGUi5GLlVTRC5IAQAAAIKvrQACAAAABTEuNzgyAQgAAAAFAAAAATEBAAAACjE4NDE4NDI4NjgDAAAAAzE2MAIAAAACMjgEAAAAATAHAAAACTYvMzAvMjAxOAgAAAAJMy8zMS8yMDE2CQAAAAEw6W1ZhhQJ1ggvcGSHFAnWCDhDSVEuT1RDUEs6UlpMVC5JUV9UT1RBTF9SRVYuQ1kyMDE3LjYvMzAvMjAxOC5MRlIuRi5VU0QuSAEA</t>
  </si>
  <si>
    <t>AAAhCZsKAwAAAAAA5Q/vhBQJ1gjENGmHFAnWCDxDSVEuTkFTREFRR1M6WkZHTi5JUV9FQklUREFfRVNULkNZMjAyMC42LzMwLzIwMTguQ09OLkYuVVNELkgBAAAAl8C6AQMAAAAAAK+G5YQUCdYIp4RYhxQJ1gg5Q0lRLk5BU0RBUUdTOkNZVEsuSVFfVE9UQUxfUkVWLjE5OTIuNi8zMC8yMDE4LkxGUi5GLlVTRC5IAQAAALNqAAACAAAABjMyLjY2NQEIAAAABQAAAAExAQAAAAoxODQwNDkxNjA1AwAAAAMxNjACAAAAAjI4BAAAAAEwBwAAAAk2LzMwLzIwMTgIAAAACTMvMzEvMjAxNgkAAAABMMYl44QUCdYIZSJWhxQJ1gghQ0lRLklRNzcyODg4MS5JUV9GSVJTVFBSSUNJTkdEQVRFAQAAAPHudQAFAAAACjEyLzIwLzIwMDYA5jtFghQJ1gjENGmHFAnWCD1DSVEuTkFTREFRR1M6SUNQVC5JUV9SRVZFTlVFX0VTVC5DWTIwMTkuNi8zMC8yMDE4LkNPTi5GLlVTRC5IAQAAAIKvrQACAAAACDI3NC4zMDAzAQ4AAAAFAAAAAjExAQAAAAEwAgAAAAoxMDAxNjY1NjA5AwAAAAYxMDAxODAEAAAAATIGAAAAATAHAAAAAzE2MAgAAAABMAkAAAABMQoAAAABMAsAAAALMTA5NDU1NzEzNjYMAAAAATcNAAAACDcvMS8yMDE4EAAAAAk2LzMwLzIwMTjpbVmGFAnWCC9wZIcUCdYIPENJUS5OQVNEQVFDTTpCWVNJLklRX0VCSVREQV9FU1QuQ1kyMDE4LjYvMzAvMjAxOC5DT04uRi5VU0QuSAEAAABHz2wYAgAAAAMtNjcBDgAAAAUA</t>
  </si>
  <si>
    <t>AAACMTEBAAAAATACAAAACjEwMDM2Nzk0NzADAAAABjEwMDE4NwQAAAABMgYAAAABMAcAAAADMTYwCAAAAAEwCQAAAAExCgAAAAEwCwAAAAsxMDkzNzE1NTQ2OAwAAAABNw0AAAAINy8xLzIwMTgQAAAACTYvMzAvMjAxOGKSdIUUCdYIRUldhxQJ1ggeQ0lRLklRMzYxODM4MTMuSVFfQ09NUEFOWV9OQU1FAQAAAAUfKAIDAAAAMlVuaXRlZCBTdGF0ZXMgVHJlYXN1cnkgQ29uc3RhbnQgTWF0dXJpdHkgLSAxIE1vbnRoAOY7RYIUCdYIpKyYghQJ1ghOQ0lRLihJTlZBTElEIElERU5USUZJRVIpLklRX01JTk9SSVRZX0lOVEVSRVNUX1RPVEFMLjIwMDAuNi8zMC8yMDE4LkxGUi5GLlVTRC5IBQAAAAAAAAAIAAAAFChJbnZhbGlkIElkZW50aWZpZXIp5Q/vhBQJ1ggxXlGHFAnWCDRDSVEuU0VISzoxNTMwLklRX1RPVEFMX0NMLjIwMDAuNi8zMC8yMDE4LkxGUi5GLlVTRC5IAQAAAO+4cAECAAAACjMzNy40Njg5MTYBCAAAAAUAAAABMQEAAAAKMTg4NjA5OTg2MgMAAAADMTYwAgAAAAQxMDA5BAAAAAEwBwAAAAk2LzMwLzIwMTgIAAAACjEyLzMxLzIwMTcJAAAAATCUC1eGFAnWCC9wZIcUCdYIMENJUS5JUVRSMzA2NzUxMDk2LklRX1RSX1RBUkdFVF9FQklUREFfRVNULi5VU0QuSAEAAAB4pkgSAgAAAAktMTQ1LjIwMTkA5jtFghQJ1gh70maHFAnWCDhDSVEuTkFTREFRQ006VktUWC5JUV9FQklUREEuQ1kyMDE2LjYv</t>
  </si>
  <si>
    <t>MzAvMjAxOC5MRlIuRi5VU0QuSAEAAADyvLUOAwAAAAAAxiXjhBQJ1ghn51qHFAnWCDlDSVEuT1RDUEs6QlRIRS5JUV9UT1RBTF9FUVVJVFkuMTk5Ni42LzMwLzIwMTguTEZSLkYuVVNELkgBAAAAb525BQIAAAAJLTMuODE0NTIxAQgAAAAFAAAAATEBAAAACjE4ODg2NjM3MzkDAAAAAzE2MAIAAAAEMTI3NQQAAAABMAcAAAAJNi8zMC8yMDE4CAAAAAkzLzMxLzIwMTcJAAAAATDlD++EFAnWCIbAU4cUCdYINUNJUS4oSU5WQUxJRCBJREVOVElGSUVSKS5JUV9NQVJLRVRDQVAuMy8zMS8yMDE4LlVTRC5IBQAAAAAAAAAIAAAAFChJbnZhbGlkIElkZW50aWZpZXIp5Q/vhBQJ1ghg+06HFAnWCEFDSVEuQU1FWDpCVFguSVFfVE9UQUxfUkVWXzVZUl9BTk5fQ0FHUi4yMDAwLjYvMzAvMjAxOC5MRlIuRi5VU0QuSAEAAAAWZAAAAgAAAActMC41NjY1AQgAAAAFAAAAATEBAAAACjE4ODc5ODAxNjUDAAAAAzE2MAIAAAAENDIzMwQAAAABMAcAAAAJNi8zMC8yMDE4CAAAAAkzLzMxLzIwMTgJAAAAATDGJeOEFAnWCGUiVocUCdYIJENJUS5OQVNEQVFHTTpGT0xELklRX0VGRkVDVF9UQVhfUkFURQEAAABW9moAAwAAAAJOTQEIAAAABQAAAAExAQAAAAoxODk5MzAxMTMxAwAAAAMxNjACAAAABDQzNzYEAAAAATAHAAAACTgvMjMvMjAxOAgAAAAJNi8zMC8yMDE4CQAAAAEwYpJ0hRQJ1giUq1+HFAnWCDpDSVEuT1RDUEs6RU1J</t>
  </si>
  <si>
    <t>Uy5JUV9SRVZFTlVFX0VTVC5DWTIwMjEuNi8zMC8yMDE4LkNPTi5GLlVTRC5IAQAAAD79AwADAAAAAACvhuWEFAnWCGUiVocUCdYIPENJUS5OQVNEQVFHUzpBUFRYLklRX0VCSVREQV9FU1QuQ1kyMDE5LjYvMzAvMjAxOC5DT04uRi5VU0QuSAEAAAAvKQwUAwAAAAAAYpJ0hRQJ1ghFSV2HFAnWCENDSVEuTkFTREFRR006TU5PVi5JUV9FQklUREFfNVlSX0FOTl9DQUdSLjIwMDAuNi8zMC8yMDE4LkxGUi5GLlVTRC5IAQAAALhUjQADAAAAAk5NAQgAAAAFAAAAATEBAAAACjE4ODQ2NDQyMjgDAAAAAzE2MAIAAAAENDIzNQQAAAABMAcAAAAJNi8zMC8yMDE4CAAAAAkzLzMxLzIwMTgJAAAAATDGJeOEFAnWCGUiVocUCdYIOENJUS5DUFNFOlpFQUwuSVFfRUJJVERBX0VTVC5DWTIwMTguNi8zMC8yMDE4LkNPTi5GLlVTRC5IAQAAACJbEwACAAAADy02My40NTQwNjE2MTUyNQEOAAAABQAAAAIxMQEAAAABMAIAAAAKMTAwMTI5NDA2MwMAAAAGMTAwMTg3BAAAAAEzBgAAAAEwBwAAAAMxNjAIAAAAATAJAAAAATEKAAAAATALAAAACzEwODkwMzE3NzIyDAAAAAE3DQAAAAg3LzEvMjAxOBAAAAAJNi8zMC8yMDE4YpJ0hRQJ1gjgDWKHFAnWCDNDSVEuT1RDUEs6RU1JUy5JUV9FQklUREEuMTk5Mi42LzMwLzIwMTguTEZSLkYuVVNELkgBAAAAPv0DAAIAAAAHLTExLjYxNAEIAAAABQAAAAExAQAAAAoxNzkyMTYzNzg5AwAA</t>
  </si>
  <si>
    <t>AAMxNjACAAAABDQwNTEEAAAAATAHAAAACTYvMzAvMjAxOAgAAAAJMy8zMS8yMDE1CQAAAAEwr4blhBQJ1ghlIlaHFAnWCClDSVEuU0VISzozOTMzLklRX0RJVklERU5EX1lJRUxELjYvMzAvMjAxOAEAAABN2hECAgAAAAYwLjcyNTQAlAtXhhQJ1gjgDWKHFAnWCDxDSVEuTkFTREFRQ006VktUWC5JUV9UT1RBTF9FUVVJVFkuMjAwMC42LzMwLzIwMTguTEZSLkYuVVNELkgBAAAA8ry1DgIAAAAGNzIuNjMyAQgAAAAFAAAAATEBAAAACjE4ODc3MDQ5MTQDAAAAAzE2MAIAAAAEMTI3NQQAAAABMAcAAAAJNi8zMC8yMDE4CAAAAAkzLzMxLzIwMTgJAAAAATDGJeOEFAnWCGfnWocUCdYIOENJUS5OQVNEQVFHTTpNTktELklRX0VCSVREQS5DWTIwMTcuNi8zMC8yMDE4LkxGUi5GLlVTRC5IAQAAAGaljQACAAAABy05My41NjMBCAAAAAUAAAABMQEAAAAKMTg3NjIzODk3NAMAAAADMTYwAgAAAAQ0MDUxBAAAAAEwBwAAAAk2LzMwLzIwMTgIAAAACjEyLzMxLzIwMTcJAAAAATDpbVmGFAnWCOANYocUCdYIIkNJUS5JUVRSMzEwMjI5MTg4LklRX1RSX1RPVEFMX0NBU0gBAAAAxLh9EgIAAAAAAOY7RYIUCdYIe9JmhxQJ1ghCQ0lRLkFNRVg6QlRYLklRX01JTk9SSVRZX0lOVEVSRVNUX1RPVEFMLjIwMDAuMy8zMS8yMDE4LkxGUi5GLlVTRC5IAQAAABZkAAACAAAABTEuNjIyAQgAAAAFAAAAATEBAAAACjE4Nzg1MTM2NTMD</t>
  </si>
  <si>
    <t>AAAAAzE2MAIAAAAEMTMxMgQAAAABMAcAAAAJMy8zMS8yMDE4CAAAAAoxMi8zMS8yMDE3CQAAAAEwxiXjhBQJ1ghlIlaHFAnWCDxDSVEuTkFTREFRR1M6WEVSUy5JUV9FQklUREFfRVNULkNZMjAxOS42LzMwLzIwMTguQ09OLkYuVVNELkgBAAAA4O5PBgMAAAAAAK+G5YQUCdYIZ+dahxQJ1gg3Q0lRLkFNRVg6QlRYLklRX0VCSVREQV9FU1QuQ1kyMDE4LjYvMzAvMjAxOC5DT04uRi5VU0QuSAEAAAAWZAAAAwAAAAAAr4blhBQJ1ghlIlaHFAnWCEZDSVEuTkFTREFRR1M6QVBUWC5JUV9UT1RBTF9SRVZfMllSX0FOTl9DQUdSLjIwMDAuNi8zMC8yMDE4LkxGUi5GLlVTRC5IAQAAAC8pDBQDAAAAAABiknSFFAnWCEVJXYcUCdYIOUNJUS5TRUhLOjE1MzAuSVFfRUJJVERBX01BUkdJTi4yMDAwLjYvMzAvMjAxOC5MRlIuRi5VU0QuSAEAAADvuHABAgAAAAczNS45NDM5AQgAAAAFAAAAATEBAAAACjE4ODYwOTk4NjIDAAAAAjMyAgAAAAQ0MDQ3BAAAAAEwBwAAAAk2LzMwLzIwMTgIAAAACjEyLzMxLzIwMTcJAAAAATCUC1eGFAnWCC9wZIcUCdYIPUNJUS5OQVNEQVFHUzpJVENJLklRX1JFVkVOVUVfRVNULkNZMjAxOS42LzMwLzIwMTguQ09OLkYuVVNELkgBAAAAd9GPAAIAAAAIMzAuMTc1OTEBDgAAAAUAAAACMTEBAAAAATACAAAACjEwMDIwMjEyMDQDAAAABjEwMDE4MAQAAAABMgYAAAABMAcAAAADMTYwCAAAAAEw</t>
  </si>
  <si>
    <t>CQAAAAExCgAAAAEwCwAAAAsxMDg3MjYxNjEwMgwAAAABNw0AAAAINy8xLzIwMTgQAAAACTYvMzAvMjAxOGKSdIUUCdYIZ+dahxQJ1gg1Q0lRLkNQU0U6WkVBTC5JUV9OSV9NQVJHSU4uMjAwMC42LzMwLzIwMTguTEZSLkYuVVNELkgBAAAAIlsTAAMAAAACTk0BCAAAAAUAAAABMQEAAAAKMTg4OTkxMzEwMAMAAAACNDICAAAABDQwOTQEAAAAATAHAAAACTYvMzAvMjAxOAgAAAAJMy8zMS8yMDE4CQAAAAEwYpJ0hRQJ1gjgDWKHFAnWCDlDSVEuTkFTREFRR1M6Q1lUSy5JUV9UT1RBTF9SRVYuMjAwMC42LzMwLzIwMTguTEZSLkYuVVNELkgBAAAAs2oAAAIAAAAGMTQuNDgzAQgAAAAFAAAAATEBAAAACjE4ODg0NzA2NjYDAAAAAzE2MAIAAAACMjgEAAAAATAHAAAACTYvMzAvMjAxOAgAAAAJMy8zMS8yMDE4CQAAAAEwxiXjhBQJ1ghlIlaHFAnWCDhDSVEuTkFTREFRR006VlRWVC5JUV9UT1RBTF9DTC4xOTk2LjYvMzAvMjAxOC5MRlIuRi5VU0QuSAEAAAAdox8SAgAAAAYxMS4xMDkBCAAAAAUAAAABMQEAAAAKMTg4OTA1NjUxNAMAAAADMTYwAgAAAAQxMDA5BAAAAAEwBwAAAAk2LzMwLzIwMTgIAAAACTMvMzEvMjAxNwkAAAABMOUP74QUCdYIhsBThxQJ1gg2Q0lRLk5BU0RBUUdNOlJZVE0uSVFfRUJJVERBLjE5OTIuNi8zMC8yMDE4LkxGUi5GLlVTRC5IAQAAABjJbRIDAAAAAABiknSFFAnWCEVJXYcUCdYIHUNJ</t>
  </si>
  <si>
    <t>US5TRUhLOjE1MzAuSVFfQ09NUEFOWV9OQU1FAQAAAO+4cAEDAAAACjNTQmlvIEluYy4AlAtXhhQJ1ggvcGSHFAnWCB5DSVEuT1RDUEs6RU1JUy5JUV9DT01QQU5ZX05BTUUBAAAAPv0DAAMAAAAcRW1pc3BoZXJlIFRlY2hub2xvZ2llcywgSW5jLgDGJeOEFAnWCGUiVocUCdYINUNJUS5PVENQSzpSWkxULklRX1RPVEFMX0NMLjE5OTYuNi8zMC8yMDE4LkxGUi5GLlVTRC5IAQAAACEJmwoCAAAACDIuMDIwMTk1AQgAAAAFAAAAATEBAAAACjE4ODkxMDUxMjADAAAAAzE2MAIAAAAEMTAwOQQAAAABMAcAAAAJNi8zMC8yMDE4CAAAAAkzLzMxLzIwMTcJAAAAATDlD++EFAnWCIbAU4cUCdYIP0NJUS5TRUhLOjE1MzAuSVFfRUJJVERBXzVZUl9BTk5fQ0FHUi4yMDAwLjYvMzAvMjAxOC5MRlIuRi5VU0QuSAEAAADvuHABAgAAAAc1Mi4zNTg4AQgAAAAFAAAAATEBAAAACjE4ODYwOTk4NjIDAAAAAjMyAgAAAAQ0MjM1BAAAAAEwBwAAAAk2LzMwLzIwMTgIAAAACjEyLzMxLzIwMTcJAAAAATCUC1eGFAnWCC9wZIcUCdYIPkNJUS5OQVNEQVFDTTpCWVNJLklRX1RPVEFMX0VRVUlUWS5DWTIwMTYuNi8zMC8yMDE4LkxGUi5GLlVTRC5IAQAAAEfPbBgCAAAABjEyLjI5OQEIAAAABQAAAAExAQAAAAoxODgxMjMwNjc0AwAAAAMxNjACAAAABDEyNzUEAAAAATAHAAAACTYvMzAvMjAxOAgAAAAKMTIvMzEvMjAxNgkAAAABMGKS</t>
  </si>
  <si>
    <t>dIUUCdYIRUldhxQJ1ggjQ0lRLklRVFIxNzE5MzA1MzQuSVFfVFJfVE9UQUxfU1RPQ0sBAAAApnM/CgIAAAAAAOY7RYIUCdYIe9JmhxQJ1gg9Q0lRLk5BU0RBUUNNOkFWRU8uSVFfUkVWRU5VRV9FU1QuQ1kyMDIxLjYvMzAvMjAxOC5DT04uRi5VU0QuSAEAAAD0Fh0AAgAAAAUxMTguMwEOAAAABQAAAAIxMQEAAAABMAIAAAAKMTAwMDkzMzYyOAMAAAAGMTAwMTgwBAAAAAEyBgAAAAEwBwAAAAMxNjAIAAAAATAJAAAAATEKAAAAATALAAAACzEwODcxMjYxMTM5DAAAAAE3DQAAAAg3LzEvMjAxOBAAAAAJNi8zMC8yMDE4r4blhBQJ1ghlIlaHFAnWCDlDSVEuTkFTREFRR006VlRWVC5JUV9UT1RBTF9SRVYuMTk5Ni42LzMwLzIwMTguTEZSLkYuVVNELkgBAAAAHaMfEgIAAAAFMC4yODgBCAAAAAUAAAABMQEAAAAKMTg4OTA1NjUxNAMAAAADMTYwAgAAAAIyOAQAAAABMAcAAAAJNi8zMC8yMDE4CAAAAAkzLzMxLzIwMTcJAAAAATDlD++EFAnWCIbAU4cUCdYIOkNJUS5OQVNEQVFHUzpPRFQuSVFfVE9UQUxfUkVWLkNZMjAxNy42LzMwLzIwMTguTEZSLkYuVVNELkgBAAAAGhpFIAMAAAAAAMYl44QUCdYIxDRphxQJ1ggpQ0lRLklRMzYxODM4MjUuSVFfTEFTVFNBTEVQUklDRS42LzMwLzIwMTgBAAAAER8oAgIAAAAEMi41MgDmO0WCFAnWCMQ0aYcUCdYIO0NJUS5OQVNEQVFHUzpOSVRFLklRX1BSRUZfRVFVSVRZLjIw</t>
  </si>
  <si>
    <t>MDAuMy8zMS8yMDE4LkxGUi5GLlVTRC5IAQAAAAzTGBADAAAAAADGJeOEFAnWCKeEWIcUCdYIIENJUS5JUVRSMjcwMDc0NzU0LklRX1RSX0VBUk5PVVRTAQAAAIIDGRACAAAAAzc3NQDmO0WCFAnWCHvSZocUCdYIMUNJUS5JUVRSMzEwMjI5MTg4LklRX1RSX1RBUkdFVF9SRVZFTlVFX0VTVC4uVVNELkgBAAAAxLh9EgIAAAAAAOY7RYIUCdYIe9JmhxQJ1ggiQ0lRLk9UQ1BLOlJaTFQuSVFfRklSU1RQUklDSU5HREFURQEAAAAhCZsKBQAAAAgyLzEvMjAxMwDlD++EFAnWCIbAU4cUCdYIO0NJUS5OQVNEQVFHTTpGT0xELklRX1BSRUZfRVFVSVRZLjIwMDAuNi8zMC8yMDE4LkxGUi5GLlVTRC5IAQAAAFb2agADAAAAAABiknSFFAnWCJSrX4cUCdYIKkNJUS5DUFNFOk5PVk8gQi5JUV9MQVNUU0FMRVBSSUNFLjMvMzEvMjAxOAEAAAB87wQAAgAAAAk0OS4xNzEzNTkA6W1ZhhQJ1ggvcGSHFAnWCDpDSVEuTkFTREFRQ006Q09SVC5JUV9FQVJOSU5HX0NPLjE5OTIuNi8zMC8yMDE4LkxGUi5GLlVTRC5IAQAAANK5FQACAAAABi0xLjU5NwEIAAAABQAAAAExAQAAAAoxODQwMTcwOTY4AwAAAAMxNjACAAAAATcEAAAAATAHAAAACTYvMzAvMjAxOAgAAAAJMy8zMS8yMDE2CQAAAAEwYpJ0hRQJ1giUq1+HFAnWCCJDSVEuSVFUUjU1MjcyMDIwNy5JUV9UUl9UQVJHRVROQU1FAQAAAE/X8SADAAAAGkN1cmVETSBHcm91cCBI</t>
  </si>
  <si>
    <t>b2xkaW5ncywgTExDAOY7RYIUCdYIe9JmhxQJ1gg3Q0lRLk5BU0RBUUdTOklDUFQuSVFfUEVSSU9EREFURV9JUy4yMDAwLjYvMzAvMjAxOC5MRlIuRgEAAACCr60ABQAAAAkzLzMxLzIwMTgA6W1ZhhQJ1ggvcGSHFAnWCCxDSVEuTkFTREFRR006Rk9MRC5JUV9MQVNUU0FMRVBSSUNFLjMvMzEvMjAxOAEAAABW9moAAgAAAAUxNS4wNABiknSFFAnWCJSrX4cUCdYIOUNJUS5TRUhLOjIxODYuSVFfUkVWRU5VRV9FU1QuQ1kyMDIwLjYvMzAvMjAxOC5DT04uRi5VU0QuSAEAAADCgZgAAgAAAA85MTEuMzQ4MjIwMDM5NDgBDgAAAAUAAAACMTEBAAAAATACAAAACjEwMDI4MzUyMTgDAAAABjEwMDE4MAQAAAABMwYAAAABMAcAAAADMTYwCAAAAAEwCQAAAAExCgAAAAEwCwAAAAsxMDk0NTc4MTM3MwwAAAABNw0AAAAINy8xLzIwMTgQAAAACTYvMzAvMjAxOOltWYYUCdYIL3BkhxQJ1gglQ0lRLklRVFIyNzAwNzQ3NTQuSVFfVFJfSU1QTElFRF9FUV9CVgEAAACCAxkQAgAAAAAA5jtFghQJ1gh70maHFAnWCEdDSVEuTkFTREFRR006VlRWVC5JUV9NSU5PUklUWV9JTlRFUkVTVF9UT1RBTC4yMDAwLjYvMzAvMjAxOC5MRlIuRi5VU0QuSAEAAAAdox8SAgAAAAcxMjAuMzk3AQgAAAAFAAAAATEBAAAACjE4ODkwNTY1MzcDAAAAAzE2MAIAAAAEMTMxMgQAAAABMAcAAAAJNi8zMC8yMDE4CAAAAAkzLzMxLzIwMTgJAAAAATCv</t>
  </si>
  <si>
    <t>huWEFAnWCIbAU4cUCdYII0NJUS5JUVRSMjcwMDc0NzU0LklRX1RSX1RPVEFMX1NUT0NLAQAAAIIDGRACAAAAAADmO0WCFAnWCHvSZocUCdYIL0NJUS5JUVRSMjQ5OTgxNTY0LklRX1RSX1RBUkdFVF9UT1RBTF9SRVYuLlVTRC5IAQAAAHxq5g4CAAAABzMzNy44MDkBBgAAAAUAAAACMzcBAAAACjE2NDM5MDI1NTICAAAAAjI4AwAAAAMxNjAEAAAAATAHAAAACDEvMS8xOTAw5jtFghQJ1gh70maHFAnWCDhDSVEuT1RDUEs6UlpMVC5JUV9QUkVGX0VRVUlUWS4yMDAwLjYvMzAvMjAxOC5MRlIuRi5VU0QuSAEAAAAhCZsKAwAAAAAA5Q/vhBQJ1giGwFOHFAnWCDdDSVEuQU1FWDpCVFguSVFfVE9UQUxfRVFVSVRZLjE5OTIuNi8zMC8yMDE4LkxGUi5GLlVTRC5IAQAAABZkAAACAAAABjU5LjU5MgEIAAAABQAAAAExAQAAAAoxODQxMTgwMTYzAwAAAAMxNjACAAAABDEyNzUEAAAAATAHAAAACTYvMzAvMjAxOAgAAAAJMy8zMS8yMDE2CQAAAAEwxiXjhBQJ1ghlIlaHFAnWCCxDSVEuQ1BTRTpOT1ZPIEIuSVFfTUFSS0VUQ0FQLjMvMzEvMjAxOC5VU0QuSAEAAAB87wQAAgAAAA0xMTk1NzkuMjk1MDI1AQYAAAAFAAAAATEBAAAACjE4NzM2OTQyMjEDAAAAAzE2MAIAAAAGMTAwMDU0BAAAAAEwBwAAAAkzLzMxLzIwMTiUC1eGFAnWCC9wZIcUCdYIPENJUS5OQVNEQVFDTTpBVkVPLklRX1RPVEFMX0VRVUlUWS4xOTk2LjYv</t>
  </si>
  <si>
    <t>MzAvMjAxOC5MRlIuRi5VU0QuSAEAAAD0Fh0AAgAAAAU0LjkxMQEIAAAABQAAAAExAQAAAAoxODg3MjM0MjkxAwAAAAMxNjACAAAABDEyNzUEAAAAATAHAAAACTYvMzAvMjAxOAgAAAAJMy8zMS8yMDE3CQAAAAEwxiXjhBQJ1ghlIlaHFAnWCC5DSVEuTkFTREFRR006VlRWVC5JUV9NQVJLRVRDQVAuNi8zMC8yMDE4LlVTRC5IAQAAAB2jHxICAAAACTE2Ljc0MjEwNwEGAAAABQAAAAExAQAAAAoxODg5MDU0NzQ4AwAAAAMxNjACAAAABjEwMDA1NAQAAAABMAcAAAAJNi8zMC8yMDE4xiXjhBQJ1giGwFOHFAnWCDxDSVEuQ1BTRTpOT1ZPIEIuSVFfVE9UQUxfRVFVSVRZLkNZMjAxNi42LzMwLzIwMTguTEZSLkYuVVNELkgBAAAAfO8EAAIAAAAKNjQyNy41OTg4MgEIAAAABQAAAAExAQAAAAoxODczNjk0MjEyAwAAAAMxNjACAAAABDEyNzUEAAAAATAHAAAACTYvMzAvMjAxOAgAAAAKMTIvMzEvMjAxNgkAAAABMJQLV4YUCdYIL3BkhxQJ1gg6Q0lRLk5BU0RBUUdTOklUQ0kuSVFfRUFSTklOR19DTy4xOTkyLjYvMzAvMjAxOC5MRlIuRi5VU0QuSAEAAAB30Y8AAgAAAAstMTEwLjM0Nzc2NgEIAAAABQAAAAExAQAAAAoxODQxNzkyNjkyAwAAAAMxNjACAAAAATcEAAAAATAHAAAACTYvMzAvMjAxOAgAAAAJMy8zMS8yMDE2CQAAAAEwYpJ0hRQJ1ghn51qHFAnWCDVDSVEuT1RDUEs6UlpMVC5JUV9UT1RBTF9DQS4yMDAw</t>
  </si>
  <si>
    <t>LjYvMzAvMjAxOC5MRlIuRi5VU0QuSAEAAAAhCZsKAgAAAAgwLjQ0NTkyOQEIAAAABQAAAAExAQAAAAoxODg5MTA1MTI0AwAAAAMxNjACAAAABDEwMDgEAAAAATAHAAAACTYvMzAvMjAxOAgAAAAJMy8zMS8yMDE4CQAAAAEw5Q/vhBQJ1giGwFOHFAnWCClDSVEuT1RDUEs6UlpMVC5JUV9MQVNUU0FMRVBSSUNFLjMvMzEvMjAxOAEAAAAhCZsKAgAAAAUwLjQ1MgDlD++EFAnWCIbAU4cUCdYIIkNJUS5JUVRSMzQwNzA0ODY1LklRX1RSX1RPVEFMX0NBU0gBAAAAYb5OFAIAAAAAAOY7RYIUCdYIe9JmhxQJ1gg4Q0lRLk5BU0RBUUNNOlZLVFguSVFfVE9UQUxfQ0EuMjAwMC42LzMwLzIwMTguTEZSLkYuVVNELkgBAAAA8ry1DgIAAAAGNzguNzMxAQgAAAAFAAAAATEBAAAACjE4ODc3MDQ5MTQDAAAAAzE2MAIAAAAEMTAwOAQAAAABMAcAAAAJNi8zMC8yMDE4CAAAAAkzLzMxLzIwMTgJAAAAATDGJeOEFAnWCGfnWocUCdYIPENJUS5OQVNEQVFHUzpJQ1BULklRX0VBUk5JTkdfQ08uQ1kyMDE3LjYvMzAvMjAxOC5MRlIuRi5VU0QuSAEAAACCr60AAgAAAAgtMzYwLjM2NwEIAAAABQAAAAExAQAAAAoxODc3MDExNDg5AwAAAAMxNjACAAAAATcEAAAAATAHAAAACTYvMzAvMjAxOAgAAAAKMTIvMzEvMjAxNwkAAAABMOltWYYUCdYIL3BkhxQJ1ggsQ0lRLlNFSEs6MzkzMy5JUV9MQVNUU0FMRVBSSUNFLjYvMzAvMjAxOC5V</t>
  </si>
  <si>
    <t>U0QBAAAATdoRAgIAAAAIMS4wNDEyNTEA6W1ZhhQJ1ggvcGSHFAnWCCdDSVEuTkFTREFRQ006QVZFTy5JUV9CRVRBXzJZUi42LzMwLzIwMTgBAAAA9BYdAAIAAAARMC4zNzA2NzU2ODAyNzAyMjYAr4blhBQJ1ghlIlaHFAnWCC5DSVEuSVFUUjE3MjYyMTQ3MS5JUV9UUl9UQVJHRVRfU1RPQ0tQUkVNSVVNXzFNAQAAAJ/+SQoCAAAAAADmO0WCFAnWCHvSZocUCdYIOUNJUS5TRUhLOjE1MzAuSVFfUkVWRU5VRV9FU1QuQ1kyMDE5LjYvMzAvMjAxOC5DT04uRi5VU0QuSAEAAADvuHABAgAAABA5MzkuMTA0NDEzOTQzODg5AQ4AAAAFAAAAAjExAQAAAAEwAgAAAAoxMDAwOTUxMDI4AwAAAAYxMDAxODAEAAAAATMGAAAAATAHAAAAAzE2MAgAAAABMAkAAAABMQoAAAABMAsAAAALMTA5Mjg2MDA3MzAMAAAAATcNAAAACDcvMS8yMDE4EAAAAAk2LzMwLzIwMTjpbVmGFAnWCC9wZIcUCdYIRUNJUS4oSU5WQUxJRCBJREVOVElGSUVSKS5JUV9DQVNIX1NUX0lOVkVTVC4yMDAwLjMvMzEvMjAxOC5MRlIuRi5VU0QuSAUAAAAAAAAACAAAABQoSW52YWxpZCBJZGVudGlmaWVyKeUP74QUCdYIYPtOhxQJ1gg6Q0lRLk5BU0RBUUdTOlhFUlMuSVFfRUFSTklOR19DTy4yMDAwLjYvMzAvMjAxOC5MRlIuRi5VU0QuSAEAAADg7k8GAgAAAActMzMuODEyAQgAAAAFAAAAATEBAAAACjE4OTA5NjE2NTUDAAAAAzE2MAIAAAABNwQAAAAB</t>
  </si>
  <si>
    <t>MAcAAAAJNi8zMC8yMDE4CAAAAAkzLzMxLzIwMTgJAAAAATDGJeOEFAnWCGfnWocUCdYIPUNJUS5OQVNEQVFHUzpDQkFZLklRX0VCSVREQV9NQVJHSU4uMjAwMC42LzMwLzIwMTguTEZSLkYuVVNELkgBAAAAwHoAAAMAAAACTk0BCAAAAAUAAAABMQEAAAAKMTg4NzQ0NTA4NAMAAAADMTYwAgAAAAQ0MDQ3BAAAAAEwBwAAAAk2LzMwLzIwMTgIAAAACTMvMzEvMjAxOAkAAAABMGKSdIUUCdYIZ+dahxQJ1gg5Q0lRLk5ZU0U6TVlPVi5JUV9SRVZFTlVFX0VTVC5DWTIwMjAuNi8zMC8yMDE4LkNPTi5GLlVTRC5IAQAAAJfaCxgCAAAAAjEwAQ4AAAAFAAAAAjExAQAAAAEwAgAAAAcxNjM4OTYzAwAAAAYxMDAxODAEAAAAATIGAAAAATAHAAAAAzE2MAgAAAABMAkAAAABMQoAAAABMAsAAAALMTA5MTg2OTI1MzgMAAAAATcNAAAACDcvMS8yMDE4EAAAAAk2LzMwLzIwMThiknSFFAnWCJSrX4cUCdYIL0NJUS5JUVRSMTcyNjIxNDcxLklRX1RSX0lNUExJRURfRVZfRklOQUwuLlVTRC5IAQAAAJ/+SQoCAAAAAADmO0WCFAnWCHvSZocUCdYIP0NJUS5OWVNFOk1ZT1YuSVFfRUJJVERBXzJZUl9BTk5fQ0FHUi4yMDAwLjYvMzAvMjAxOC5MRlIuRi5VU0QuSAEAAACX2gsYAwAAAAAAYpJ0hRQJ1giUq1+HFAnWCDhDSVEuVFNYVjpDT0IuVS5JUV9QUkVGX0VRVUlUWS4yMDAwLjMvMzEvMjAxOC5MRlIuRi5VU0QuSAEAAAC/+wAI</t>
  </si>
  <si>
    <t>AwAAAAAAr4blhBQJ1giGwFOHFAnWCDZDSVEuTkFTREFRR1M6TFhSWC5JUV9FQklUREEuMTk5Ni42LzMwLzIwMTguTEZSLkYuVVNELkgBAAAAPXgAAAIAAAAILTE0My4xNjcBCAAAAAUAAAABMQEAAAAKMTg4NjU0MzgyMAMAAAADMTYwAgAAAAQ0MDUxBAAAAAEwBwAAAAk2LzMwLzIwMTgIAAAACTMvMzEvMjAxNwkAAAABMGKSdIUUCdYIlKtfhxQJ1ggdQ0lRLk5BU0RBUUdNOk1OS0QuSVFfRVhDSEFOR0UBAAAAZqWNAAMAAAAITmFzZGFxR00AlAtXhhQJ1gjgDWKHFAnWCDVDSVEuTkFTREFRR006UllUTS5JUV9DQVBFWC4yMDAwLjYvMzAvMjAxOC5MRlIuRi5VU0QuSAEAAAAYyW0SAgAAAAYtMC4xMzMBCAAAAAUAAAABMQEAAAAKMTg4ODkxMTQ3MAMAAAADMTYwAgAAAAQyMDIxBAAAAAEwBwAAAAk2LzMwLzIwMTgIAAAACTMvMzEvMjAxOAkAAAABMGKSdIUUCdYIRUldhxQJ1ggkQ0lRLk5BU0RBUUdTOk5JVEUuSVFfRUZGRUNUX1RBWF9SQVRFAQAAAAzTGBADAAAAAk5NAQgAAAAFAAAAATEBAAAACjE5MDAyMDYzODADAAAAAzE2MAIAAAAENDM3NgQAAAABMAcAAAAJOC8yMy8yMDE4CAAAAAk2LzMwLzIwMTgJAAAAATDGJeOEFAnWCKeEWIcUCdYIM0NJUS5OWVNFOk1ZT1YuSVFfUEVSSU9EREFURV9JUy4yMDAwLjYvMzAvMjAxOC5MRlIuRgEAAACX2gsYBQAAAAkzLzMxLzIwMTgAYpJ0hRQJ1giUq1+HFAnWCD5D</t>
  </si>
  <si>
    <t>SVEuTkFTREFRR1M6QVBUWC5JUV9DQVNIX1NUX0lOVkVTVC4yMDAwLjYvMzAvMjAxOC5MRlIuRi5VU0QuSAEAAAAvKQwUAgAAAAU4Mi4zNQEIAAAABQAAAAExAQAAAAoxODkwODUxMzkxAwAAAAMxNjACAAAABDEwMDIEAAAAATAHAAAACTYvMzAvMjAxOAgAAAAJMy8zMS8yMDE4CQAAAAEwYpJ0hRQJ1ghFSV2HFAnWCCpDSVEuU0VISzozOTMzLklRX01BUktFVENBUC42LzMwLzIwMTguVVNELkgBAAAATdoRAgIAAAALMTcwNS4yODM4ODIBBgAAAAUAAAABMQEAAAAKMTg4NTczOTE4NwMAAAADMTYwAgAAAAYxMDAwNTQEAAAAATAHAAAACTYvMzAvMjAxOJQLV4YUCdYIL3BkhxQJ1ggyQ0lRLlNFSEs6MTUzMC5JUV9FQklUREEuMTk5Mi42LzMwLzIwMTguTEZSLkYuVVNELkgBAAAA77hwAQIAAAAKMTA0LjgzNDY1NgEIAAAABQAAAAExAQAAAAoxODM4MTk3NjE0AwAAAAMxNjACAAAABDQwNTEEAAAAATAHAAAACTYvMzAvMjAxOAgAAAAKMTIvMzEvMjAxNQkAAAABMJQLV4YUCdYIL3BkhxQJ1ghDQ0lRLk5BU0RBUUdNOkZPTEQuSVFfRUJJVERBXzJZUl9BTk5fQ0FHUi4yMDAwLjYvMzAvMjAxOC5MRlIuRi5VU0QuSAEAAABW9moAAwAAAAJOTQEIAAAABQAAAAExAQAAAAoxODg4NDg0NjUxAwAAAAMxNjACAAAABDQyMDkEAAAAATAHAAAACTYvMzAvMjAxOAgAAAAJMy8zMS8yMDE4CQAAAAEwYpJ0hRQJ1giUq1+HFAnW</t>
  </si>
  <si>
    <t>CCdDSVEuTkFTREFRR1M6SUNQVC5JUV9QRVJJT0REQVRFX0lTLjEwMDABAAAAgq+tAAUAAAAKMTIvMzEvMjAxNwDpbVmGFAnWCC9wZIcUCdYINUNJUS5OWVNFOk1ZT1YuSVFfTklfTUFSR0lOLjIwMDAuNi8zMC8yMDE4LkxGUi5GLlVTRC5IAQAAAJfaCxgDAAAAAABiknSFFAnWCJSrX4cUCdYIIUNJUS5JUVRSMzg0MDI4NDk2LklRX1RSX0JVWUVSTkFNRQEAAABQz+MWAwAAAAxBbGxlcmdhbiBwbGMA5jtFghQJ1gh70maHFAnWCDVDSVEuTkFTREFRR006VlRWVC5JUV9EQV9DRi4yMDAwLjYvMzAvMjAxOC5MRlIuRi5VU0QuSAEAAAAdox8SAgAAAAUwLjE4NwEIAAAABQAAAAExAQAAAAoxODg5MDU2NTM3AwAAAAMxNjACAAAABDIxNjAEAAAAATAHAAAACTYvMzAvMjAxOAgAAAAJMy8zMS8yMDE4CQAAAAEw5Q/vhBQJ1giGwFOHFAnWCEZDSVEuTkFTREFRR1M6T0RULklRX01JTk9SSVRZX0lOVEVSRVNUX1RPVEFMLjIwMDAuMy8zMS8yMDE4LkxGUi5GLlVTRC5IAQAAABoaRSADAAAAAADGJeOEFAnWCKeEWIcUCdYINUNJUS5OQVNEQVFHUzpMWFJYLklRX0NBUEVYLjIwMDAuNi8zMC8yMDE4LkxGUi5GLlVTRC5IAQAAAD14AAACAAAABi0wLjE3NgEIAAAABQAAAAExAQAAAAoxODg2NTQzODc1AwAAAAMxNjACAAAABDIwMjEEAAAAATAHAAAACTYvMzAvMjAxOAgAAAAJMy8zMS8yMDE4CQAAAAEwYpJ0hRQJ1giUq1+H</t>
  </si>
  <si>
    <t>FAnWCCxDSVEuSVFUUjI0OTk4MTU2NC5JUV9UUl9UT1RBTF9HUk9TU19UVi5VU0QuSAUAAAAAAAAACAAAABooSW52YWxpZCBDdXJyZW5jeSBSZXF1ZXN0KeY7RYIUCdYIe9JmhxQJ1gg7Q0lRLk5BU0RBUUdTOk5JVEUuSVFfRUJJVF9NQVJHSU4uMjAwMC42LzMwLzIwMTguTEZSLkYuVVNELkgBAAAADNMYEAMAAAAAAMYl44QUCdYIp4RYhxQJ1ggdQ0lRLk5BU0RBUUNNOlZLVFguSVFfRVhDSEFOR0UBAAAA8ry1DgMAAAAITmFzZGFxQ00AYpJ0hRQJ1ghn51qHFAnWCDtDSVEuTkFTREFRR1M6SVRDSS5JUV9QUkVGX0VRVUlUWS4yMDAwLjMvMzEvMjAxOC5MRlIuRi5VU0QuSAEAAAB30Y8AAwAAAAAAYpJ0hRQJ1ghn51qHFAnWCEFDSVEuQ1BTRTpOT1ZPIEIuSVFfRUJJVERBXzVZUl9BTk5fQ0FHUi4yMDAwLjYvMzAvMjAxOC5MRlIuRi5VU0QuSAEAAAB87wQAAgAAAAY4Ljg2ODIBCAAAAAUAAAABMQEAAAAKMTg5MjYyMzk1MwMAAAACNDICAAAABDQyMzUEAAAAATAHAAAACTYvMzAvMjAxOAgAAAAJMy8zMS8yMDE4CQAAAAEwlAtXhhQJ1ggvcGSHFAnWCDxDSVEuTkFTREFRR006Rk9MRC5JUV9FQklUREFfRVNULkNZMjAxOS42LzMwLzIwMTguQ09OLkYuVVNELkgBAAAAVvZqAAIAAAAKLTIwOC4xMTkwMgEOAAAABQAAAAIxMQEAAAABMAIAAAAKMTAwMTAyNTg0NgMAAAAGMTAwMTg3BAAAAAEyBgAAAAEwBwAAAAMx</t>
  </si>
  <si>
    <t>NjAIAAAAATAJAAAAATEKAAAAATALAAAACzEwODc5MDk1Mzc2DAAAAAE3DQAAAAg3LzEvMjAxOBAAAAAJNi8zMC8yMDE4YpJ0hRQJ1giUq1+HFAnWCB5DSVEuSVEzNjE4MzgyOC5JUV9DT01QQU5ZX05BTUUBAAAAFB8oAgMAAAAxVW5pdGVkIFN0YXRlcyBUcmVhc3VyeSBDb25zdGFudCBNYXR1cml0eSAtIDMgWWVhcgDmO0WCFAnWCKSsmIIUCdYIRkNJUS5OQVNEQVFHUzpDWVRLLklRX1RPVEFMX1JFVl81WVJfQU5OX0NBR1IuMjAwMC42LzMwLzIwMTguTEZSLkYuVVNELkgBAAAAs2oAAAIAAAAHMTcuMTYzMQEIAAAABQAAAAExAQAAAAoxODg4NDcwNjY2AwAAAAMxNjACAAAABDQyMzMEAAAAATAHAAAACTYvMzAvMjAxOAgAAAAJMy8zMS8yMDE4CQAAAAEwr4blhBQJ1ghlIlaHFAnWCDlDSVEuVFNYVjpDT0IuVS5JUV9HUk9TU19NQVJHSU4uMjAwMC42LzMwLzIwMTguTEZSLkYuVVNELkgBAAAAv/sACAMAAAAAAK+G5YQUCdYIhsBThxQJ1gg6Q0lRLk5BU0RBUUdNOlJZVE0uSVFfRUFSTklOR19DTy4yMDAwLjYvMzAvMjAxOC5MRlIuRi5VU0QuSAEAAAAYyW0SAgAAAActNDMuODA4AQgAAAAFAAAAATEBAAAACjE4ODg5MTE0NzADAAAAAzE2MAIAAAABNwQAAAABMAcAAAAJNi8zMC8yMDE4CAAAAAkzLzMxLzIwMTgJAAAAATBiknSFFAnWCEVJXYcUCdYIRUNJUS4oSU5WQUxJRCBJREVOVElGSUVSKS5JUV9DQVNI</t>
  </si>
  <si>
    <t>X1NUX0lOVkVTVC4yMDAwLjYvMzAvMjAxOC5MRlIuRi5VU0QuSAUAAAAAAAAACAAAABQoSW52YWxpZCBJZGVudGlmaWVyKeUP74QUCdYIMV5RhxQJ1gglQ0lRLk5ZU0U6TVlPVi5JUV9CVVNJTkVTU19ERVNDUklQVElPTgEAAACX2gsYAwAAAO8GTXlvdmFudCBTY2llbmNlcyBMdGQuLCBhIGNsaW5pY2FsLXN0YWdlIGJpb3BoYXJtYWNldXRpY2FsIGNvbXBhbnksIGZvY3VzZXMgb24gZGV2ZWxvcGluZyBhbmQgY29tbWVyY2lhbGl6aW5nIHRoZXJhcGllcyBmb3Igd29tZW7igJlzIGhlYWx0aCBhbmQgZW5kb2NyaW5lIGRpc2Vhc2VzLiBUaGUgY29tcGFueeKAmXMgbGVhZCBwcm9kdWN0IGlzIHJlbHVnb2xpeCwgYW4gb3JhbCwgb25jZS1kYWlseSwgc21hbGwgbW9sZWN1bGUgdGhhdCBhY3RzIGFzIGEgZ29uYWRvdHJvcGluLXJlbGVhc2luZyBob3Jtb25lIHJlY2VwdG9yIGFudGFnb25pc3QgZm9yIHRoZSB0cmVhdG1lbnQgb2YgaGVhdnkgbWVuc3RydWFsIGJsZWVkaW5nIHJlbGF0ZWQgd2l0aCB1dGVyaW5lIGZpYnJvaWRzLCBlbmRvbWV0cmlvc2lzLWFzc29jaWF0ZWQgcGFpbiwgYW5kIGFkdmFuY2VkIHByb3N0YXRlIGNhbmNlci4gSXQgaXMgYWxzbyBkZXZlbG9waW5nIE1WVC02MDIsIGFuIG9saWdvcGVwdGlkZSBraXNzcGVwdGluIGFnb25pc3QsIGZvciB0aGUgdHJlYXRtZW50IG9mIGZlbWFsZSBp</t>
  </si>
  <si>
    <t>bmZlcnRpbGl0eSBhcyBwYXJ0IG9mIHRoZSBob3Jtb25hbCBwcmVwYXJhdGlvbiB1c2VkIGluIGFzc2lzdGVkIHJlcHJvZHVjdGlvbi4gVGhlIGNvbXBhbnkgd2FzIGZvcm1lcmx5IGtub3duIGFzIFJvaXZhbnQgRW5kb2NyaW5vbG9neSBMdGQuIGFuZCBjaGFuZ2VkIGl0cyBuYW1lIHRvIE15b3ZhbnQgU2NpZW5jZXMgTHRkLiBpbiBNYXkgMjAxNi4gVGhlIGNvbXBhbnkgd2FzIGZvdW5kZWQgaW4gMjAxNiBhbmQgaXMgYmFzZWQgaW4gTG9uZG9uLCB0aGUgVW5pdGVkIEtpbmdkb20uIE15b3ZhbnQgU2NpZW5jZXMgTHRkLiBpcyBhIHN1YnNpZGlhcnkgb2YgUm9pdmFudCBTY2llbmNlcyBMdGQuAGKSdIUUCdYIlKtfhxQJ1gghQ0lRLklRMzA0MDYzMjYxLklRX0NPTVBBTllfVElDS0VSAQAAAB2jHxIDAAAADU5hc2RhcUdNOlZUVlQA5jtFghQJ1gjrDLqCFAnWCDpDSVEuU0VISzoyMTg2LklRX1RPVEFMX0VRVUlUWS5DWTIwMTcuNi8zMC8yMDE4LkxGUi5GLlVTRC5IAQAAAMKBmAACAAAACzEwNTkuODE3NzI1AQgAAAAFAAAAATEBAAAACjE4ODU0OTUwMDYDAAAAAzE2MAIAAAAEMTI3NQQAAAABMAcAAAAJNi8zMC8yMDE4CAAAAAoxMi8zMS8yMDE3CQAAAAEw6W1ZhhQJ1ggvcGSHFAnWCCVDSVEuSVFUUjIxMjczMTg3Ny5JUV9QUklNQVJZX0lORFVTVFJZAQAAAA5hAAADAAAADUJpb3RlY2hub2xvZ3kA5jtF</t>
  </si>
  <si>
    <t>ghQJ1gh70maHFAnWCDNDSVEuT1RDUEs6TkVYUy5JUV9FQklUREEuMTk5Mi42LzMwLzIwMTguTEZSLkYuVVNELkgBAAAAHb1OFAMAAAAAAOUP74QUCdYIMV5RhxQJ1gg4Q0lRLk9UQ1BLOkVNSVMuSVFfVE9UQUxfUkVWLkNZMjAxNy42LzMwLzIwMTguTEZSLkYuVVNELkgBAAAAPv0DAAMAAAAAAK+G5YQUCdYIxDRphxQJ1gg4Q0lRLkNQU0U6Tk9WTyBCLklRX0VBUk5JTkdfQ08uMTk5Ni42LzMwLzIwMTguTEZSLkYuVVNELkgBAAAAfO8EAAIAAAALNTU1NC4wNjE3NDEBCAAAAAUAAAABMQEAAAAKMTg5MjYyMzkzMAMAAAADMTYwAgAAAAE3BAAAAAEwBwAAAAk2LzMwLzIwMTgIAAAACTMvMzEvMjAxNwkAAAABMJQLV4YUCdYIL3BkhxQJ1gg2Q0lRLk5BU0RBUUdTOk9EVC5JUV9QRVJJT0REQVRFX0lTLjIwMDAuNi8zMC8yMDE4LkxGUi5GAQAAABoaRSAFAAAACTMvMzEvMjAxOADGJeOEFAnWCGfnWocUCdYIPENJUS5OQVNEQVFHUzpJQ1BULklRX0VCSVREQV9FU1QuQ1kyMDE4LjYvMzAvMjAxOC5DT04uRi5VU0QuSAEAAACCr60AAgAAAAotMjc5LjU3NTg4AQ4AAAAFAAAAAjExAQAAAAEwAgAAAAoxMDAxNjY1NjA0AwAAAAYxMDAxODcEAAAAATIGAAAAATAHAAAAAzE2MAgAAAABMAkAAAABMQoAAAABMAsAAAALMTA4Nzc0NDMyNjYMAAAAATcNAAAACDcvMS8yMDE4EAAAAAk2LzMwLzIwMTjpbVmGFAnWCC9wZIcU</t>
  </si>
  <si>
    <t>CdYIRENJUS5FTlhUUEE6RVJZUC5JUV9UT1RBTF9SRVZfNVlSX0FOTl9DQUdSLjIwMDAuNi8zMC8yMDE4LkxGUi5GLlVTRC5IAQAAANiKeAECAAAACC0xMC4xMjY4AQgAAAAFAAAAATEBAAAACjE4ODUyMDQyMTkDAAAAAjUwAgAAAAQ0MjMzBAAAAAEwBwAAAAk2LzMwLzIwMTgIAAAACjEyLzMxLzIwMTcJAAAAATDlD++EFAnWCDFeUYcUCdYIJ0NJUS5OQVNEQVFDTTpDT1JULklRX1BFUklPRERBVEVfSVMuMTAwMAEAAADSuRUABQAAAAoxMi8zMS8yMDE3AGKSdIUUCdYIlKtfhxQJ1gglQ0lRLklRVFIzNDA3MDQ4NjUuSVFfVFJfTUFKX01JTl9TVEFLRQEAAABhvk4UAwAAAAhNYWpvcml0eQDmO0WCFAnWCHvSZocUCdYIH0NJUS4uSVFfR1AuMjAwMC42LzMwLzIwMTguLi5VU0QFAAAAAQAAAAgAAAAUKEludmFsaWQgSWRlbnRpZmllcimUC1eGFAnWCJQLV4YUCdYIKENJUS5OQVNEQVFDTTpDVVIuSVFfQlVTSU5FU1NfREVTQ1JJUFRJT04BAAAA8e51AAMAAACCCU5ldXJhbHN0ZW0sIEluYy4sIGEgY2xpbmljYWwgc3RhZ2UgYmlvcGhhcm1hY2V1dGljYWwgY29tcGFueSwgZm9jdXNlcyBvbiB0aGUgcmVzZWFyY2ggYW5kIGRldmVsb3BtZW50IG9mIG5lcnZvdXMgc3lzdGVtIHRoZXJhcGllcyBiYXNlZCBvbiBpdHMgcHJvcHJpZXRhcnkgaHVtYW4gbmV1cm9uYWwgc3RlbSBjZWxscyBhbmQgc21hbGwgbW9sZWN1</t>
  </si>
  <si>
    <t>bGUgY29tcG91bmRzLiBUaGUgY29tcGFueeKAmXMgc3RlbSBjZWxsIGJhc2VkIHRlY2hub2xvZ3kgZW5hYmxlcyB0aGUgaXNvbGF0aW9uIGFuZCBleHBhbnNpb24gb2YgaHVtYW4gbmV1cmFsIHN0ZW0gY2VsbHMgZnJvbSB2YXJpb3VzIGFyZWFzIG9mIHRoZSBkZXZlbG9waW5nIGh1bWFuIGJyYWluIGFuZCBzcGluYWwgY29yZCBlbmFibGluZyB0aGUgZ2VuZXJhdGlvbiBvZiBwaHlzaW9sb2dpY2FsbHkgcmVsZXZhbnQgaHVtYW4gbmV1cm9ucyBvZiB2YXJpb3VzIHR5cGVzLiBJdHMgbGVhZCBwcm9kdWN0IGNhbmRpZGF0ZSBpcyBOU0ktMTg5LCBhIGNoZW1pY2FsIGVudGl0eSwgd2hpY2ggaGFzIGJlZW4gY29tcGxldGVkIFBoYXNlIElJIGNsaW5pY2FsIHRyaWFsIGZvciB0aGUgdHJlYXRtZW50IG9mIG1ham9yIGRlcHJlc3NpdmUgZGlzb3JkZXIsIGFzIHdlbGwgYXMgaXMgaW4gcHJlY2xpbmljYWwgc3R1ZHkgZm9yIHRoZSBNQ0FPIHN0cm9rZSwgdHlwZSAxIGFuZCAyIGRpYWJldGVzIHJlbGF0ZWQgbmV1cm9wYXRoeSwgaXJyYWRpYXRpb24taW5kdWNlZCBjb2duaXRpb24sIGxvbmctdGVybSBwb3RlbnRpYXRpb24gZW5oYW5jZW1lbnQsIGFuZCBhbmdlbG1hbiBzeW5kcm9tZS4gVGhlIGNvbXBhbnkgYWxzbyBkZXZlbG9wcyBOU0ktNTY2LCB3aGljaCBoYXMgY29tcGxldGVkIFBoYXNlIElJIGNsaW5p</t>
  </si>
  <si>
    <t>Y2FsIHRyaWFsIGZvciB0cmVhdGluZyBhbXlvdHJvcGhpYyBsYXRlcmFsIHNjbGVyb3NpcyBkaXNlYXNlLCBhcyB3ZWxsIGFzIGlzIGluIFBoYXNlIEkgY2xpbmljYWwgdHJpYWxzIGZvciB0aGUgdHJlYXRtZW50IG9mIGNocm9uaWMgc3BpbmFsIGNvcmQgaW5qdXJ5IGFuZCBtb3RvciBkZWZpY2l0cyBkdWUgdG8gaXNjaGVtaWMgc3Ryb2tlLiBOZXVyYWxzdGVtLCBJbmMuIHdhcyBmb3VuZGVkIGluIDE5OTYgYW5kIGlzIGhlYWRxdWFydGVyZWQgaW4gR2VybWFudG93biwgTWFyeWxhbmQuAOUP74QUCdYIMV5RhxQJ1gg8Q0lRLk5BU0RBUUNNOkJZU0kuSVFfRUFSTklOR19DTy5DWTIwMTcuNi8zMC8yMDE4LkxGUi5GLlVTRC5IAQAAAEfPbBgCAAAABy05Ni4zODgBCAAAAAUAAAABMQEAAAAKMTg4MTIzMDcwNAMAAAADMTYwAgAAAAE3BAAAAAEwBwAAAAk2LzMwLzIwMTgIAAAACjEyLzMxLzIwMTcJAAAAATBiknSFFAnWCEVJXYcUCdYIP0NJUS4oSU5WQUxJRCBJREVOVElGSUVSKS5JUV9UT1RBTF9DQS4yMDAwLjYvMzAvMjAxOC5MRlIuRi5VU0QuSAUAAAAAAAAACAAAABQoSW52YWxpZCBJZGVudGlmaWVyKeUP74QUCdYIMV5RhxQJ1gg4Q0lRLk5BU0RBUUdTOlpGR04uSVFfRUJJVERBLkNZMjAxNi42LzMwLzIwMTguTEZSLkYuVVNELkgBAAAAl8C6AQIAAAAGLTU2LjYxAQgAAAAFAAAAATEBAAAACjE4Nzg3</t>
  </si>
  <si>
    <t>ODkzNzADAAAAAzE2MAIAAAAENDA1MQQAAAABMAcAAAAJNi8zMC8yMDE4CAAAAAoxMi8zMS8yMDE2CQAAAAEwxiXjhBQJ1ginhFiHFAnWCCdDSVEuTkFTREFRQ006Q09SVC5JUV9CRVRBXzVZUi42LzMwLzIwMTgBAAAA0rkVAAIAAAAQMS44NDgwNDQ5MzY1NTE4NABiknSFFAnWCJSrX4cUCdYIIkNJUS5JUVRSMTE3ODAzOTIwLklRX1RSX1RPVEFMX0NBU0gBAAAAkIsFBwIAAAADNTAwAQYAAAAFAAAAAjU0AQAAAAYxMDEwNTYCAAAACTExNzgwMzkyMAMAAAAJMTE3ODA0MDIzBAAAAAMxNjAGAAAABUZhbHNl5jtFghQJ1gh70maHFAnWCCVDSVEuSVFUUjExNzgwMzkyMC5JUV9QUklNQVJZX0lORFVTVFJZAQAAAMf12AEDAAAADUJpb3RlY2hub2xvZ3kA5jtFghQJ1gh70maHFAnWCD1DSVEuTkFTREFRR1M6SUNQVC5JUV9SRVZFTlVFX0VTVC5DWTIwMTguNi8zMC8yMDE4LkNPTi5GLlVTRC5IAQAAAIKvrQACAAAACTE3OS4xMTI2NAEOAAAABQAAAAIxMQEAAAABMAIAAAAKMTAwMTY2NTYwNAMAAAAGMTAwMTgwBAAAAAEyBgAAAAEwBwAAAAMxNjAIAAAAATAJAAAAATEKAAAAATALAAAACzEwOTQ1NTcxNjEyDAAAAAE3DQAAAAg3LzEvMjAxOBAAAAAJNi8zMC8yMDE46W1ZhhQJ1ggvcGSHFAnWCDpDSVEuQ1BTRTpaRUFMLklRX1RPVEFMX0VRVUlUWS5DWTIwMTYuNi8zMC8yMDE4LkxGUi5GLlVTRC5IAQAAACJbEwAC</t>
  </si>
  <si>
    <t>AAAACTM5LjQ5OTg2NgEIAAAABQAAAAExAQAAAAoxODc4MDU5NjkyAwAAAAMxNjACAAAABDEyNzUEAAAAATAHAAAACTYvMzAvMjAxOAgAAAAKMTIvMzEvMjAxNgkAAAABMGKSdIUUCdYI4A1ihxQJ1gg8Q0lRLk5BU0RBUUdTOlhFUlMuSVFfVE9UQUxfRVFVSVRZLjE5OTYuNi8zMC8yMDE4LkxGUi5GLlVTRC5IAQAAAODuTwYDAAAAAADGJeOEFAnWCGfnWocUCdYIRUNJUS5DUFNFOk5PVk8gQi5JUV9NSU5PUklUWV9JTlRFUkVTVF9UT1RBTC4yMDAwLjMvMzEvMjAxOC5MRlIuRi5VU0QuSAEAAAB87wQAAwAAAAAAlAtXhhQJ1ggvcGSHFAnWCENDSVEuT1RDUEs6RU1JUy5JUV9UT1RBTF9SRVZfM1lSX0FOTl9DQUdSLjIwMDAuNi8zMC8yMDE4LkxGUi5GLlVTRC5IAQAAAD79AwADAAAAAACvhuWEFAnWCIbAU4cUCdYINkNJUS5PVENQSzpORVhTLklRX1RPVEFMX1JFVi4yMDAwLjYvMzAvMjAxOC5MRlIuRi5VU0QuSAEAAAAdvU4UAwAAAAAA5Q/vhBQJ1ggxXlGHFAnWCDRDSVEuU0VISzoyMTg2LklRX1RPVEFMX0NBLjE5OTIuNi8zMC8yMDE4LkxGUi5GLlVTRC5IAQAAAMKBmAACAAAACjc4MS4xMjM0NTIBCAAAAAUAAAABMQEAAAAKMTgzODg1NTI4OQMAAAADMTYwAgAAAAQxMDA4BAAAAAEwBwAAAAk2LzMwLzIwMTgIAAAACjEyLzMxLzIwMTUJAAAAATCUC1eGFAnWCC9wZIcUCdYIOUNJUS5OQVNEQVFHUzpaRkdO</t>
  </si>
  <si>
    <t>LklRX1RPVEFMX1JFVi4yMDAwLjYvMzAvMjAxOC5MRlIuRi5VU0QuSAEAAACXwLoBAwAAAAAAxiXjhBQJ1ginhFiHFAnWCEdDSVEuTkFTREFRR1M6WkZHTi5JUV9NSU5PUklUWV9JTlRFUkVTVF9UT1RBTC4yMDAwLjMvMzEvMjAxOC5MRlIuRi5VU0QuSAEAAACXwLoBAwAAAAAAxiXjhBQJ1ginhFiHFAnWCDRDSVEuU0VISzozOTMzLklRX1RPVEFMX0NMLjE5OTIuNi8zMC8yMDE4LkxGUi5GLlVTRC5IAQAAAE3aEQICAAAACzEwOTEuMzQzNzE2AQgAAAAFAAAAATEBAAAACjE4Mzg4MDc2OTADAAAAAzE2MAIAAAAEMTAwOQQAAAABMAcAAAAJNi8zMC8yMDE4CAAAAAoxMi8zMS8yMDE1CQAAAAEw6W1ZhhQJ1gjgDWKHFAnWCD1DSVEuTkFTREFRQ006QllTSS5JUV9SRVZFTlVFX0VTVC5DWTIwMTguNi8zMC8yMDE4LkNPTi5GLlVTRC5IAQAAAEfPbBgCAAAAATABDgAAAAUAAAACMTEBAAAAATACAAAACjEwMDM2Nzk0NzADAAAABjEwMDE4MAQAAAABMgYAAAABMAcAAAADMTYwCAAAAAEwCQAAAAExCgAAAAEwCwAAAAsxMDk0MDAzODIzMgwAAAABNw0AAAAINy8xLzIwMTgQAAAACTYvMzAvMjAxOGKSdIUUCdYIRUldhxQJ1gg1Q0lRLk5ZU0U6TVlPVi5JUV9UT1RBTF9SRVYuMTk5Ni42LzMwLzIwMTguTEZSLkYuVVNELkgBAAAAl9oLGAMAAAAAAGKSdIUUCdYIlKtfhxQJ1gg4Q0lRLk9UQ1BLOk5FWFMuSVFfRUJJVF9N</t>
  </si>
  <si>
    <t>QVJHSU4uMjAwMC42LzMwLzIwMTguTEZSLkYuVVNELkgBAAAAHb1OFAMAAAAAAOUP74QUCdYIMV5RhxQJ1gg+Q0lRLk5BU0RBUUNNOkNPUlQuSVFfQ0FTSF9TVF9JTlZFU1QuMjAwMC4zLzMxLzIwMTguTEZSLkYuVVNELkgBAAAA0rkVAAIAAAAGODguNzQ0AQgAAAAFAAAAATEBAAAACjE4NzcxMTEyNzcDAAAAAzE2MAIAAAAEMTAwMgQAAAABMAcAAAAJMy8zMS8yMDE4CAAAAAoxMi8zMS8yMDE3CQAAAAEwYpJ0hRQJ1giUq1+HFAnWCDdDSVEuQU1FWDpCVFguSVFfRUJJVERBX0VTVC5DWTIwMTkuNi8zMC8yMDE4LkNPTi5GLlVTRC5IAQAAABZkAAADAAAAAACvhuWEFAnWCGUiVocUCdYIKkNJUS5FTlhUUEE6RVJZUC5JUV9MQVNUU0FMRVBSSUNFLjMvMzEvMjAxOAEAAADYingBAgAAAAkyMC45NDM2OTgA5Q/vhBQJ1ggxXlGHFAnWCD1DSVEuTkFTREFRR1M6SVRDSS5JUV9SRVZFTlVFX0VTVC5DWTIwMTguNi8zMC8yMDE4LkNPTi5GLlVTRC5IAQAAAHfRjwACAAAABjAuMDk3MQEOAAAABQAAAAIxMQEAAAABMAIAAAAKMTAwMjAyMTE5OQMAAAAGMTAwMTgwBAAAAAEyBgAAAAEwBwAAAAMxNjAIAAAAATAJAAAAATEKAAAAATALAAAACzEwODcyNjE3NjM4DAAAAAE3DQAAAAg3LzEvMjAxOBAAAAAJNi8zMC8yMDE4YpJ0hRQJ1ghn51qHFAnWCDpDSVEuTkFTREFRR1M6TFhSWC5JUV9UT1RBTF9ERUJULjIwMDAuMy8z</t>
  </si>
  <si>
    <t>MS8yMDE4LkxGUi5GLlVTRC5IAQAAAD14AAACAAAABjI0NS42NwEIAAAABQAAAAExAQAAAAoxODc3MTMzOTc0AwAAAAMxNjACAAAABDQxNzMEAAAAATAHAAAACTMvMzEvMjAxOAgAAAAKMTIvMzEvMjAxNwkAAAABMGKSdIUUCdYIRUldhxQJ1gg1Q0lRLk5BU0RBUUNNOkJZU0kuSVFfREFfQ0YuMjAwMC42LzMwLzIwMTguTEZSLkYuVVNELkgBAAAAR89sGAIAAAAFMC4wMzgBCAAAAAUAAAABMQEAAAAKMTg5Mzk3MzM4OQMAAAADMTYwAgAAAAQyMTYwBAAAAAEwBwAAAAk2LzMwLzIwMTgIAAAACTMvMzEvMjAxOAkAAAABMGKSdIUUCdYIxDRphxQJ1ggxQ0lRLlNFSEs6MTUzMC5JUV9DQVBFWC4xOTk2LjYvMzAvMjAxOC5MRlIuRi5VU0QuSAEAAADvuHABAgAAAAotMTYuNzY5NzM4AQgAAAAFAAAAATEBAAAACjE4ODYwOTk4MjIDAAAAAzE2MAIAAAAEMjAyMQQAAAABMAcAAAAJNi8zMC8yMDE4CAAAAAoxMi8zMS8yMDE2CQAAAAEwlAtXhhQJ1ggvcGSHFAnWCCtDSVEuSVFUUjI3MDA3NDc1NC5JUV9UUl9JTVBMSUVEX0VWX0VCSVRfRldEAQAAAIIDGRACAAAAAADmO0WCFAnWCHvSZocUCdYINUNJUS5OQVNEQVFHUzpPRFQuSVFfRUJJVERBLjE5OTIuNi8zMC8yMDE4LkxGUi5GLlVTRC5IAQAAABoaRSADAAAAAADGJeOEFAnWCGfnWocUCdYIKENJUS5OQVNEQVFHUzpMWFJYLklRX1RFVi42LzMwLzIwMTguVVNELkgB</t>
  </si>
  <si>
    <t>AAAAPXgAAAIAAAALMTI1My4xMDY0MTYBBgAAAAUAAAABMQEAAAAKMTg4NjUzNjk0MAMAAAADMTYwAgAAAAYxMDAwNjAEAAAAATAHAAAACTYvMzAvMjAxOGKSdIUUCdYIlKtfhxQJ1gghQ0lRLklRNDA5Nzg0MTM1LklRX0NPTVBBTllfVElDS0VSAQAAAEfPbBgDAAAADU5hc2RhcUNNOkJZU0kA5jtFghQJ1gjgIa6CFAnWCDlDSVEuTkFTREFRR006UllUTS5JUV9UT1RBTF9SRVYuMTk5Mi42LzMwLzIwMTguTEZSLkYuVVNELkgBAAAAGMltEgMAAAAAAGKSdIUUCdYIRUldhxQJ1gglQ0lRLklRVFIxNzE5MzA1MzQuSVFfUFJJTUFSWV9JTkRVU1RSWQEAAAAkeU0BAwAAAA9QaGFybWFjZXV0aWNhbHMA5jtFghQJ1gh70maHFAnWCDhDSVEuTkFTREFRQ006QllTSS5JUV9FQklUREEuQ1kyMDE2LjYvMzAvMjAxOC5MRlIuRi5VU0QuSAEAAABHz2wYAgAAAAYtMTIuMzUBCAAAAAUAAAABMQEAAAAKMTg4MTIzMDY3NAMAAAADMTYwAgAAAAQ0MDUxBAAAAAEwBwAAAAk2LzMwLzIwMTgIAAAACjEyLzMxLzIwMTYJAAAAATBiknSFFAnWCEVJXYcUCdYILENJUS5JUVRSMzQwNzA0ODY1LklRX1RSX1RPVEFMX0dST1NTX1RWLlVTRC5IBQAAAAAAAAAIAAAAGihJbnZhbGlkIEN1cnJlbmN5IFJlcXVlc3Qp5jtFghQJ1gh70maHFAnWCCZDSVEuU0hTRTo2MDA4NjcuSVFfVEVWLjYvMzAvMjAxOC5VU0QuSAEAAADYPq4AAgAAAAs3</t>
  </si>
  <si>
    <t>MzY1LjcxMzgxNwEGAAAABQAAAAExAQAAAAoxODg1MTQ2MTU2AwAAAAMxNjACAAAABjEwMDA2MAQAAAABMAcAAAAJNi8zMC8yMDE4YpJ0hRQJ1gjgDWKHFAnWCERDSVEuKElOVkFMSUQgSURFTlRJRklFUikuSVFfRUJJVERBX01BUkdJTi4yMDAwLjYvMzAvMjAxOC5MRlIuRi5VU0QuSAUAAAAAAAAACAAAABQoSW52YWxpZCBJZGVudGlmaWVyKeUP74QUCdYIMV5RhxQJ1gg9Q0lRLk5BU0RBUUNNOkNPUlQuSVFfUkVWRU5VRV9FU1QuQ1kyMDIwLjYvMzAvMjAxOC5DT04uRi5VU0QuSAEAAADSuRUAAgAAAAk1NjguMzQyNjcBDgAAAAUAAAACMTEBAAAAATACAAAACjEwMDA5NTQ1NjcDAAAABjEwMDE4MAQAAAABMgYAAAABMAcAAAADMTYwCAAAAAEwCQAAAAExCgAAAAEwCwAAAAsxMDkyMjI5Nzg1MAwAAAABNw0AAAAINy8xLzIwMTgQAAAACTYvMzAvMjAxOGKSdIUUCdYIlKtfhxQJ1ggsQ0lRLk5BU0RBUUdTOk5JVEUuSVFfTEFTVFNBTEVQUklDRS4zLzMxLzIwMTgBAAAADNMYEAIAAAAFMTQuMzEAxiXjhBQJ1ginhFiHFAnWCENDSVEuTkFTREFRR1M6WEVSUy5JUV9FQklUREFfNVlSX0FOTl9DQUdSLjIwMDAuNi8zMC8yMDE4LkxGUi5GLlVTRC5IAQAAAODuTwYDAAAAAADGJeOEFAnWCGfnWocUCdYIOENJUS5OQVNEQVFHUzpDWVRLLklRX1RPVEFMX0NBLjE5OTIuNi8zMC8yMDE4LkxGUi5GLlVTRC5IAQAAALNq</t>
  </si>
  <si>
    <t>AAACAAAABzEwNi4xMTgBCAAAAAUAAAABMQEAAAAKMTg0MDQ5MTYwNQMAAAADMTYwAgAAAAQxMDA4BAAAAAEwBwAAAAk2LzMwLzIwMTgIAAAACTMvMzEvMjAxNgkAAAABMMYl44QUCdYIZSJWhxQJ1gg3Q0lRLk9UQ1BLOk5FWFMuSVFfVE9UQUxfREVCVC4yMDAwLjMvMzEvMjAxOC5MRlIuRi5VU0QuSAEAAAAdvU4UAgAAAAgwLjM2NzUxNwEIAAAABQAAAAExAQAAAAoxODYyODYzMDkzAwAAAAMxNjACAAAABDQxNzMEAAAAATAHAAAACTMvMzEvMjAxOAgAAAAJNS8zMS8yMDE3CQAAAAEw5Q/vhBQJ1ggxXlGHFAnWCDhDSVEuTllTRTpNWU9WLklRX1RPVEFMX0VRVUlUWS4xOTkyLjYvMzAvMjAxOC5MRlIuRi5VU0QuSAEAAACX2gsYAwAAAAAAYpJ0hRQJ1giUq1+HFAnWCDhDSVEuTkFTREFRQ006QllTSS5JUV9FQklUREEuQ1kyMDE3LjYvMzAvMjAxOC5MRlIuRi5VU0QuSAEAAABHz2wYAgAAAActOTcuOTQ5AQgAAAAFAAAAATEBAAAACjE4ODEyMzA3MDQDAAAAAzE2MAIAAAAENDA1MQQAAAABMAcAAAAJNi8zMC8yMDE4CAAAAAoxMi8zMS8yMDE3CQAAAAEwYpJ0hRQJ1ghFSV2HFAnWCD9DSVEuTllTRTpNWU9WLklRX0VCSVREQV8zWVJfQU5OX0NBR1IuMjAwMC42LzMwLzIwMTguTEZSLkYuVVNELkgBAAAAl9oLGAMAAAAAAGKSdIUUCdYIlKtfhxQJ1ggsQ0lRLk5BU0RBUUdTOkNCQVkuSVFfTEFTVFNBTEVQUklD</t>
  </si>
  <si>
    <t>RS4zLzMxLzIwMTgBAAAAwHoAAAIAAAAFMTIuOTkAYpJ0hRQJ1ghn51qHFAnWCDZDSVEuT1RDUEs6TkVYUy5JUV9UT1RBTF9SRVYuMTk5Ni42LzMwLzIwMTguTEZSLkYuVVNELkgBAAAAHb1OFAMAAAAAAOUP74QUCdYIMV5RhxQJ1gguQ0lRLk5BU0RBUUdTOklUQ0kuSVFfTUFSS0VUQ0FQLjMvMzEvMjAxOC5VU0QuSAEAAAB30Y8AAgAAAAsxMTUxLjAyMzUxNQEGAAAABQAAAAExAQAAAAoxODc3MjA3ODQ0AwAAAAMxNjACAAAABjEwMDA1NAQAAAABMAcAAAAJMy8zMS8yMDE4YpJ0hRQJ1ghn51qHFAnWCDdDSVEuT1RDUEs6QlRIRS5JUV9UT1RBTF9ERUJULjIwMDAuNi8zMC8yMDE4LkxGUi5GLlVTRC5IAQAAAG+duQUCAAAACDEuOTk2MzQyAQgAAAAFAAAAATEBAAAACjE4ODg2NjM3NDIDAAAAAzE2MAIAAAAENDE3MwQAAAABMAcAAAAJNi8zMC8yMDE4CAAAAAkzLzMxLzIwMTgJAAAAATDlD++EFAnWCIbAU4cUCdYIL0NJUS5JUVRSMjEyNzMxODc3LklRX1RSX0lNUExJRURfRVZfRklOQUwuLlVTRC5IAQAAAOUHrgwCAAAACzY2NTcuMDkzODE4AQYAAAAFAAAAAjU0AQAAAAYxMDIwNDUCAAAACTIxMjczMTg3NwMAAAAJMjEyNzMyMzY4BAAAAAMxNjAGAAAABUZhbHNl5jtFghQJ1gh70maHFAnWCDtDSVEuRU5YVFBBOkVSWVAuSVFfUkVWRU5VRV9FU1QuQ1kyMDE5LjYvMzAvMjAxOC5DT04uRi5VU0QuSAEAAADY</t>
  </si>
  <si>
    <t>ingBAgAAAA84LjMxNzM0OTIwMTM4NjQBDgAAAAUAAAACMTEBAAAAATACAAAACjEwMDI4MzU5MjYDAAAABjEwMDE4MAQAAAABMwYAAAABMAcAAAADMTYwCAAAAAEwCQAAAAExCgAAAAEwCwAAAAsxMDk1MTI0NTYwOQwAAAABNw0AAAAINy8xLzIwMTgQAAAACTYvMzAvMjAxOOUP74QUCdYIMV5RhxQJ1gg4Q0lRLk5BU0RBUUdTOlpGR04uSVFfVE9UQUxfQ0EuMjAwMC42LzMwLzIwMTguTEZSLkYuVVNELkgBAAAAl8C6AQIAAAAGOTEuNDIyAQgAAAAFAAAAATEBAAAACjE4ODk4OTUzODEDAAAAAzE2MAIAAAAEMTAwOAQAAAABMAcAAAAJNi8zMC8yMDE4CAAAAAkzLzMxLzIwMTgJAAAAATDGJeOEFAnWCKeEWIcUCdYIK0NJUS5JUVRSMzA2NzUxMDk2LklRX1RSX0lNUExJRURfRVZfRUJJVF9GV0QBAAAAeKZIEgMAAAACTk0A5jtFghQJ1gh70maHFAnWCDxDSVEuTkFTREFRR1M6Q0JBWS5JUV9UT1RBTF9FUVVJVFkuMTk5Ni42LzMwLzIwMTguTEZSLkYuVVNELkgBAAAAwHoAAAIAAAAFOS4yMjcBCAAAAAUAAAABMQEAAAAKMTg4NzQ0NTA4MgMAAAADMTYwAgAAAAQxMjc1BAAAAAEwBwAAAAk2LzMwLzIwMTgIAAAACTMvMzEvMjAxNwkAAAABMGKSdIUUCdYIZ+dahxQJ1gg6Q0lRLlNFSEs6MjE4Ni5JUV9DQVNIX1NUX0lOVkVTVC4yMDAwLjYvMzAvMjAxOC5MRlIuRi5VU0QuSAEAAADCgZgAAgAAAAo0MTkuNDQwMTE1</t>
  </si>
  <si>
    <t>AQgAAAAFAAAAATEBAAAACjE4ODU0OTUwMDYDAAAAAzE2MAIAAAAEMTAwMgQAAAABMAcAAAAJNi8zMC8yMDE4CAAAAAoxMi8zMS8yMDE3CQAAAAEwlAtXhhQJ1ggvcGSHFAnWCDZDSVEuT1RDUEs6RU1JUy5JUV9OSV9NQVJHSU4uMjAwMC42LzMwLzIwMTguTEZSLkYuVVNELkgBAAAAPv0DAAIAAAAJLTIwNS43NDcxAQgAAAAFAAAAATEBAAAACjE4NDE4OTg1MzUDAAAAAzE2MAIAAAAENDA5NAQAAAABMAcAAAAJNi8zMC8yMDE4CAAAAAkzLzMxLzIwMTcJAAAAATCvhuWEFAnWCGUiVocUCdYILUNJUS5PVENQSzpCVEhFLklRX0xBU1RTQUxFUFJJQ0UuNi8zMC8yMDE4LlVTRAEAAABvnbkFAgAAAAUwLjA3NQDlD++EFAnWCIbAU4cUCdYII0NJUS5OWVNFOk1ZT1YuSVFfUEVSSU9EREFURV9JUy4xMDAwAQAAAJfaCxgFAAAACTMvMzEvMjAxOABiknSFFAnWCJSrX4cUCdYINUNJUS5TRUhLOjE1MzAuSVFfVE9UQUxfUkVWLjIwMDAuNi8zMC8yMDE4LkxGUi5GLlVTRC5IAQAAAO+4cAECAAAACjU3My45MjEzNDIBCAAAAAUAAAABMQEAAAAKMTg4NjA5OTg2MgMAAAADMTYwAgAAAAIyOAQAAAABMAcAAAAJNi8zMC8yMDE4CAAAAAoxMi8zMS8yMDE3CQAAAAEwlAtXhhQJ1ggvcGSHFAnWCDBDSVEuSVFUUjM3MDA3MjM1My5JUV9UUl9UQVJHRVRfRUJJVERBX0VTVC4uVVNELkgBAAAAIdsOFgIAAAAKLTExLjQzNjYwOQDm</t>
  </si>
  <si>
    <t>O0WCFAnWCHvSZocUCdYIOkNJUS5OQVNEQVFDTTpCWVNJLklRX1RPVEFMX0RFQlQuMjAwMC42LzMwLzIwMTguTEZSLkYuVVNELkgBAAAAR89sGAIAAAABMAEIAAAABQAAAAExAQAAAAoxODkzOTczMzg5AwAAAAMxNjACAAAABDQxNzMEAAAAATAHAAAACTYvMzAvMjAxOAgAAAAJMy8zMS8yMDE4CQAAAAEwYpJ0hRQJ1ghFSV2HFAnWCENDSVEuTkFTREFRR1M6WEVSUy5JUV9FQklUREFfM1lSX0FOTl9DQUdSLjIwMDAuNi8zMC8yMDE4LkxGUi5GLlVTRC5IAQAAAODuTwYDAAAAAADGJeOEFAnWCGfnWocUCdYINUNJUS5DUFNFOlpFQUwuSVFfVE9UQUxfUkVWLjIwMDAuNi8zMC8yMDE4LkxGUi5GLlVTRC5IAQAAACJbEwACAAAACTEyLjA2MzA5OAEIAAAABQAAAAExAQAAAAoxODg5OTEzMTAwAwAAAAMxNjACAAAAAjI4BAAAAAEwBwAAAAk2LzMwLzIwMTgIAAAACTMvMzEvMjAxOAkAAAABMGKSdIUUCdYI4A1ihxQJ1ghAQ0lRLihJTlZBTElEIElERU5USUZJRVIpLklRX05JX01BUkdJTi4yMDAwLjYvMzAvMjAxOC5MRlIuRi5VU0QuSAUAAAAAAAAACAAAABQoSW52YWxpZCBJZGVudGlmaWVyKeUP74QUCdYIMV5RhxQJ1ggiQ0lRLklRVFIxNzI2MjE0NzEuSVFfVFJfVEFSR0VUTkFNRQEAAACf/kkKAwAAABZMdXllIFBoYXJtYSBHcm91cCBMdGQuAOY7RYIUCdYIe9JmhxQJ1gg0Q0lRLlNFSEs6MTUzMC5JUV9UT1RB</t>
  </si>
  <si>
    <t>TF9DQS4yMDAwLjYvMzAvMjAxOC5MRlIuRi5VU0QuSAEAAADvuHABAgAAAAo4MTAuODg5Njk3AQgAAAAFAAAAATEBAAAACjE4ODYwOTk4NjIDAAAAAzE2MAIAAAAEMTAwOAQAAAABMAcAAAAJNi8zMC8yMDE4CAAAAAoxMi8zMS8yMDE3CQAAAAEwlAtXhhQJ1ggvcGSHFAnWCDlDSVEuVFNYVjpDT0IuVS5JUV9FQVJOSU5HX0NPLkNZMjAxNi42LzMwLzIwMTguTEZSLkYuVVNELkgBAAAAv/sACAIAAAAJLTYuMDc0OTk5AQgAAAAFAAAAATEBAAAACjE4ODExNzI1NjUDAAAAAzE2MAIAAAABNwQAAAABMAcAAAAJNi8zMC8yMDE4CAAAAAoxMi8zMS8yMDE2CQAAAAEwr4blhBQJ1giGwFOHFAnWCDlDSVEuRU5YVFBBOkVSWVAuSVFfUFJFRl9FUVVJVFkuMjAwMC4zLzMxLzIwMTguTEZSLkYuVVNELkgBAAAA2Ip4AQMAAAAAAOUP74QUCdYIMV5RhxQJ1ggyQ0lRLlNFSEs6MjE4Ni5JUV9FQklUREEuMjAwMC42LzMwLzIwMTguTEZSLkYuVVNELkgBAAAAwoGYAAIAAAAKMTgzLjE4NTE3OAEIAAAABQAAAAExAQAAAAoxODg1NDk1MDA2AwAAAAMxNjACAAAABDQwNTEEAAAAATAHAAAACTYvMzAvMjAxOAgAAAAKMTIvMzEvMjAxNwkAAAABMJQLV4YUCdYIL3BkhxQJ1gg6Q0lRLk5BU0RBUUdTOlpGR04uSVFfRUFSTklOR19DTy4yMDAwLjYvMzAvMjAxOC5MRlIuRi5VU0QuSAEAAACXwLoBAgAAAActNTQuOTczAQgAAAAFAAAA</t>
  </si>
  <si>
    <t>ATEBAAAACjE4ODk4OTUzODEDAAAAAzE2MAIAAAABNwQAAAABMAcAAAAJNi8zMC8yMDE4CAAAAAkzLzMxLzIwMTgJAAAAATDGJeOEFAnWCKeEWIcUCdYII0NJUS5JUVRSNTUyNzIwMjA3LklRX1RSX1RPVEFMX1NUT0NLAQAAAE/X8SACAAAABTEuMDI1AQYAAAAFAAAAAjU0AQAAAAYxMDEwNTcCAAAACTU1MjcyMDIwNwMAAAAJNTUyNzI2MTk2BAAAAAMxNjAGAAAABUZhbHNl5jtFghQJ1gh70maHFAnWCDRDSVEuT1RDUEs6TkVYUy5JUV9QRVJJT0REQVRFX0lTLjIwMDAuNi8zMC8yMDE4LkxGUi5GAQAAAB29ThQFAAAACTUvMzEvMjAxNwDlD++EFAnWCDFeUYcUCdYIOkNJUS5OQVNEQVFHUzpMWFJYLklRX0VBUk5JTkdfQ08uMjAwMC42LzMwLzIwMTguTEZSLkYuVVNELkgBAAAAPXgAAAIAAAAILTEzNi4yMzQBCAAAAAUAAAABMQEAAAAKMTg4NjU0Mzg3NQMAAAADMTYwAgAAAAE3BAAAAAEwBwAAAAk2LzMwLzIwMTgIAAAACTMvMzEvMjAxOAkAAAABMGKSdIUUCdYIRUldhxQJ1gg3Q0lRLlNIU0U6NjAwODY3LklRX1RPVEFMX1JFVi4yMDAwLjYvMzAvMjAxOC5MRlIuRi5VU0QuSAEAAADYPq4AAgAAAAo0MzAuMjgzNzM3AQgAAAAFAAAAATEBAAAACjE4ODUxNDYyNzMDAAAAAzE2MAIAAAACMjgEAAAAATAHAAAACTYvMzAvMjAxOAgAAAAJMy8zMS8yMDE4CQAAAAEwYpJ0hRQJ1gjgDWKHFAnWCCBDSVEuSVEyOTAx</t>
  </si>
  <si>
    <t>NjIxNS5JUV9DT01QQU5ZX1RJQ0tFUgEAAACXwLoBAwAAAA1OYXNkYXFHUzpaRkdOAOY7RYIUCdYI9+WyghQJ1ghCQ0lRLlNFSEs6MzkzMy5JUV9UT1RBTF9SRVZfNVlSX0FOTl9DQUdSLjIwMDAuNi8zMC8yMDE4LkxGUi5GLlVTRC5IAQAAAE3aEQICAAAABjMuMTQ1NQEIAAAABQAAAAExAQAAAAoxODg1NzM5MjAyAwAAAAIzMgIAAAAENDIzMwQAAAABMAcAAAAJNi8zMC8yMDE4CAAAAAoxMi8zMS8yMDE3CQAAAAEw6W1ZhhQJ1gjgDWKHFAnWCENDSVEuTkFTREFRR1M6QVBUWC5JUV9FQklUREFfNVlSX0FOTl9DQUdSLjIwMDAuNi8zMC8yMDE4LkxGUi5GLlVTRC5IAQAAAC8pDBQDAAAAAABiknSFFAnWCEVJXYcUCdYIPkNJUS5OQVNEQVFHUzpJVENJLklRX1RPVEFMX0VRVUlUWS5DWTIwMTYuNi8zMC8yMDE4LkxGUi5GLlVTRC5IAQAAAHfRjwACAAAACjM3NS41MDI1MzkBCAAAAAUAAAABMQEAAAAKMTg3NzIwNzc5OQMAAAADMTYwAgAAAAQxMjc1BAAAAAEwBwAAAAk2LzMwLzIwMTgIAAAACjEyLzMxLzIwMTYJAAAAATBiknSFFAnWCGfnWocUCdYINkNJUS5OQVNEQVFHTTpWVFZULklRX0VCSVREQS4xOTkyLjYvMzAvMjAxOC5MRlIuRi5VU0QuSAEAAAAdox8SAgAAAActNDEuNTE0AQgAAAAFAAAAATEBAAAACjE4Mzk4ODA0NDgDAAAAAzE2MAIAAAAENDA1MQQAAAABMAcAAAAJNi8zMC8yMDE4CAAAAAkzLzMx</t>
  </si>
  <si>
    <t>LzIwMTYJAAAAATDlD++EFAnWCIbAU4cUCdYIIkNJUS5JUVRSMzQwNzA0ODY1LklRX1RSX1RBUkdFVE5BTUUBAAAAYb5OFAMAAABOTmV4dXMgQmlvUGhhcm1hLCBJbmMuIFByaW9yIHRvIFJldmVyc2UgbWVyZ2VyIHdpdGggTmV4dXMgQmlvUGhhcm1hIENvcnBvcmF0aW9uAOY7RYIUCdYIe9JmhxQJ1gg5Q0lRLk9UQ1BLOkVNSVMuSVFfRUFSTklOR19DTy5DWTIwMTcuNi8zMC8yMDE4LkxGUi5GLlVTRC5IAQAAAD79AwADAAAAAACvhuWEFAnWCGUiVocUCdYIPENJUS5OQVNEQVFHTTpNTk9WLklRX0VBUk5JTkdfQ08uQ1kyMDE3LjYvMzAvMjAxOC5MRlIuRi5VU0QuSAEAAAC4VI0AAgAAAAotMTEuMTYzMTM2AQgAAAAFAAAAATEBAAAACjE4NzQwMjUxMDMDAAAAAzE2MAIAAAABNwQAAAABMAcAAAAJNi8zMC8yMDE4CAAAAAoxMi8zMS8yMDE3CQAAAAEwxiXjhBQJ1ginhFiHFAnWCDNDSVEuQ1BTRTpaRUFMLklRX1BFUklPRERBVEVfSVMuMjAwMC42LzMwLzIwMTguTEZSLkYBAAAAIlsTAAUAAAAJMy8zMS8yMDE4AOltWYYUCdYI4A1ihxQJ1ggiQ0lRLlNIU0U6NjAwODY3LklRX0VGRkVDVF9UQVhfUkFURQEAAADYPq4AAgAAAAcxMy42NTQ1AQgAAAAFAAAAAjI5AgAAAAQ0Mzc2AQAAAAoxOTAwNTcyNDQ4AwAAAAIzMgQAAAABMAcAAAAJOC8yMy8yMDE4CAAAAAk2LzMwLzIwMTgJAAAAATBiknSFFAnWCOANYocU</t>
  </si>
  <si>
    <t>CdYIPkNJUS5OQVNEQVFDTTpDT1JULklRX1RPVEFMX0VRVUlUWS5DWTIwMTcuNi8zMC8yMDE4LkxGUi5GLlVTRC5IAQAAANK5FQACAAAABzE5MC45NjgBCAAAAAUAAAABMQEAAAAKMTg3NzExMTI3NwMAAAADMTYwAgAAAAQxMjc1BAAAAAEwBwAAAAk2LzMwLzIwMTgIAAAACjEyLzMxLzIwMTcJAAAAATBiknSFFAnWCJSrX4cUCdYIOUNJUS5PVENQSzpCVEhFLklRX1RPVEFMX0VRVUlUWS4yMDAwLjYvMzAvMjAxOC5MRlIuRi5VU0QuSAEAAABvnbkFAgAAAAktMy41NzY4MzEBCAAAAAUAAAABMQEAAAAKMTg4ODY2Mzc0MgMAAAADMTYwAgAAAAQxMjc1BAAAAAEwBwAAAAk2LzMwLzIwMTgIAAAACTMvMzEvMjAxOAkAAAABMOUP74QUCdYIhsBThxQJ1gguQ0lRLk5BU0RBUUdTOlhFUlMuSVFfTUFSS0VUQ0FQLjMvMzEvMjAxOC5VU0QuSAEAAADg7k8GAwAAAAAAxiXjhBQJ1ghn51qHFAnWCDtDSVEuTkFTREFRQ006QVZFTy5JUV9QUkVGX0VRVUlUWS4yMDAwLjMvMzEvMjAxOC5MRlIuRi5VU0QuSAEAAAD0Fh0AAwAAAAAAxiXjhBQJ1ghlIlaHFAnWCDtDSVEuTkFTREFRR006TU5PVi5JUV9UT1RBTF9SRVYuQ1kyMDE3LjYvMzAvMjAxOC5MRlIuRi5VU0QuSAEAAAC4VI0AAwAAAAAAxiXjhBQJ1gjENGmHFAnWCDhDSVEuU0VISzoyMTg2LklRX1RPVEFMX0VRVUlUWS4xOTkyLjYvMzAvMjAxOC5MRlIuRi5VU0QuSAEA</t>
  </si>
  <si>
    <t>AADCgZgAAgAAAAo4OTMuMjY2MjMyAQgAAAAFAAAAATEBAAAACjE4Mzg4NTUyODkDAAAAAzE2MAIAAAAEMTI3NQQAAAABMAcAAAAJNi8zMC8yMDE4CAAAAAoxMi8zMS8yMDE1CQAAAAEw6W1ZhhQJ1ggvcGSHFAnWCDVDSVEuTkFTREFRQ006VktUWC5JUV9DQVBFWC4xOTk2LjYvMzAvMjAxOC5MRlIuRi5VU0QuSAEAAADyvLUOAwAAAAAAxiXjhBQJ1ghn51qHFAnWCDhDSVEuTkFTREFRR1M6WEVSUy5JUV9FQklUREEuQ1kyMDE2LjYvMzAvMjAxOC5MRlIuRi5VU0QuSAEAAADg7k8GAgAAAActMTMuMTE1AQgAAAAFAAAAATEBAAAACjE4OTA5NjE2MzIDAAAAAzE2MAIAAAAENDA1MQQAAAABMAcAAAAJNi8zMC8yMDE4CAAAAAoxMi8zMS8yMDE2CQAAAAEwxiXjhBQJ1ghn51qHFAnWCDpDSVEuTkFTREFRR006TU5PVi5JUV9FQVJOSU5HX0NPLjE5OTYuNi8zMC8yMDE4LkxGUi5GLlVTRC5IAQAAALhUjQACAAAACi0xMC41MDA5MDUBCAAAAAUAAAABMQEAAAAKMTg4NDY0NDIxNAMAAAADMTYwAgAAAAE3BAAAAAEwBwAAAAk2LzMwLzIwMTgIAAAACTMvMzEvMjAxNwkAAAABMMYl44QUCdYIp4RYhxQJ1ghBQ0lRLkVOWFRQQTpFUllQLklRX0VCSVREQV81WVJfQU5OX0NBR1IuMjAwMC42LzMwLzIwMTguTEZSLkYuVVNELkgBAAAA2Ip4AQMAAAACTk0BCAAAAAUAAAABMQEAAAAKMTg4NTIwNDIxOQMAAAACNTACAAAABDQy</t>
  </si>
  <si>
    <t>MzUEAAAAATAHAAAACTYvMzAvMjAxOAgAAAAKMTIvMzEvMjAxNwkAAAABMOUP74QUCdYIMV5RhxQJ1gg0Q0lRLlNFSEs6MjE4Ni5JUV9UT1RBTF9DTC4xOTkyLjYvMzAvMjAxOC5MRlIuRi5VU0QuSAEAAADCgZgAAgAAAAoxNjEuMDIwNzE3AQgAAAAFAAAAATEBAAAACjE4Mzg4NTUyODkDAAAAAzE2MAIAAAAEMTAwOQQAAAABMAcAAAAJNi8zMC8yMDE4CAAAAAoxMi8zMS8yMDE1CQAAAAEwlAtXhhQJ1ggvcGSHFAnWCBVDSVEuLklRX1RSX1BDVF9TT1VHSFQFAAAAAQAAAAgAAAAUKEludmFsaWQgSWRlbnRpZmllcimUC1eGFAnWCJQLV4YUCdYIL0NJUS5JUVRSNTUyNzIwMjA3LklRX1RSX0lNUExJRURfRVZfRklOQUwuLlVTRC5IAQAAAE/X8SACAAAACDEuOTUzNzk1AQYAAAAFAAAAAjU0AQAAAAYxMDIwNDUCAAAACTU1MjcyMDIwNwMAAAAJNTUyNzI2MTk2BAAAAAMxNjAGAAAABUZhbHNl5jtFghQJ1gh70maHFAnWCCRDSVEuT1RDUEs6UlpMVC5JUV9QRVJJT0REQVRFX0lTLjEwMDABAAAAIQmbCgUAAAAJNi8zMC8yMDE3AOUP74QUCdYIhsBThxQJ1ghEQ0lRLihJTlZBTElEIElERU5USUZJRVIpLklRX1JFVkVOVUVfRVNULkNZMjAyMC42LzMwLzIwMTguQ09OLkYuVVNELkgFAAAAAAAAAAgAAAAUKEludmFsaWQgSWRlbnRpZmllcinlD++EFAnWCDFeUYcUCdYIQkNJUS5OQVNEQVFHUzpPRFQuSVFfRUJJVERB</t>
  </si>
  <si>
    <t>XzVZUl9BTk5fQ0FHUi4yMDAwLjYvMzAvMjAxOC5MRlIuRi5VU0QuSAEAAAAaGkUgAwAAAAAAxiXjhBQJ1ginhFiHFAnWCEZDSVEuTkFTREFRR1M6SUNQVC5JUV9UT1RBTF9SRVZfM1lSX0FOTl9DQUdSLjIwMDAuNi8zMC8yMDE4LkxGUi5GLlVTRC5IAQAAAIKvrQACAAAACDI3NC4zMDQ0AQgAAAAFAAAAATEBAAAACjE4ODg2MTU1NDADAAAAAzE2MAIAAAAENDIyMAQAAAABMAcAAAAJNi8zMC8yMDE4CAAAAAkzLzMxLzIwMTgJAAAAATDpbVmGFAnWCC9wZIcUCdYIKkNJUS5TRUhLOjM5MzMuSVFfTUFSS0VUQ0FQLjMvMzEvMjAxOC5VU0QuSAEAAABN2hECAgAAAAsxNjg1LjE1MjY3NwEGAAAABQAAAAExAQAAAAoxODgwMzI1OTA5AwAAAAMxNjACAAAABjEwMDA1NAQAAAABMAcAAAAJMy8zMS8yMDE4lAtXhhQJ1gjgDWKHFAnWCCFDSVEuSVFUUjU1MjcyMDIwNy5JUV9UUl9CVVlFUk5BTUUBAAAAT9fxIAMAAAAZQm9zdG9uIFRoZXJhcGV1dGljcywgSW5jLgDmO0WCFAnWCHvSZocUCdYIM0NJUS5TSFNFOjYwMDg2Ny5JUV9DQVBFWC4yMDAwLjYvMzAvMjAxOC5MRlIuRi5VU0QuSAEAAADYPq4AAgAAAAotMjkuODQzNzE1AQgAAAAFAAAAATEBAAAACjE4ODUxNDYyNzMDAAAAAzE2MAIAAAAEMjAyMQQAAAABMAcAAAAJNi8zMC8yMDE4CAAAAAkzLzMxLzIwMTgJAAAAATBiknSFFAnWCOANYocUCdYIKENJUS5JUTc3</t>
  </si>
  <si>
    <t>Mjg4ODEuSVFfR1AuMjAwMC42LzMwLzIwMTguLi5VU0QBAAAA8e51AAIAAAAEMC4yNgEIAAAABQAAAAExAQAAAAoxODg4ODczMjE5AwAAAAMxNjACAAAAAjEwBAAAAAEwBwAAAAk2LzMwLzIwMTgIAAAACTMvMzEvMjAxOAkAAAABMOY7RYIUCdYIe9JmhxQJ1ghFQ0lRLihJTlZBTElEIElERU5USUZJRVIpLklRX1RPVEFMX0VRVUlUWS5DWTIwMTYuNi8zMC8yMDE4LkxGUi5GLlVTRC5IBQAAAAAAAAAIAAAAFChJbnZhbGlkIElkZW50aWZpZXIp5Q/vhBQJ1ggxXlGHFAnWCDhDSVEuTkFTREFRR1M6QVBUWC5JUV9FQklUREEuQ1kyMDE3LjYvMzAvMjAxOC5MRlIuRi5VU0QuSAEAAAAvKQwUAgAAAActMzEuODI4AQgAAAAFAAAAATEBAAAACjE4OTA4NTEzODEDAAAAAzE2MAIAAAAENDA1MQQAAAABMAcAAAAJNi8zMC8yMDE4CAAAAAoxMi8zMS8yMDE3CQAAAAEwYpJ0hRQJ1ghFSV2HFAnWCEZDSVEuTkFTREFRR1M6Q0JBWS5JUV9UT1RBTF9SRVZfMllSX0FOTl9DQUdSLjIwMDAuNi8zMC8yMDE4LkxGUi5GLlVTRC5IAQAAAMB6AAADAAAAAABiknSFFAnWCGfnWocUCdYINkNJUS5FTlhUUEE6RVJZUC5JUV9UT1RBTF9DTC4yMDAwLjYvMzAvMjAxOC5MRlIuRi5VU0QuSAEAAADYingBAgAAAAkxMy45MzYxMTkBCAAAAAUAAAABMQEAAAAKMTg4NTIwNDIxOQMAAAADMTYwAgAAAAQxMDA5BAAAAAEwBwAAAAk2LzMwLzIw</t>
  </si>
  <si>
    <t>MTgIAAAACjEyLzMxLzIwMTcJAAAAATDlD++EFAnWCDFeUYcUCdYINUNJUS5PVENQSzpSWkxULklRX1RPVEFMX0NMLjIwMDAuNi8zMC8yMDE4LkxGUi5GLlVTRC5IAQAAACEJmwoCAAAACDQuMzcwOTk5AQgAAAAFAAAAATEBAAAACjE4ODkxMDUxMjQDAAAAAzE2MAIAAAAEMTAwOQQAAAABMAcAAAAJNi8zMC8yMDE4CAAAAAkzLzMxLzIwMTgJAAAAATDlD++EFAnWCIbAU4cUCdYINkNJUS5OQVNEQVFHUzpDQkFZLklRX0VCSVREQS4yMDAwLjYvMzAvMjAxOC5MRlIuRi5VU0QuSAEAAADAegAAAgAAAActMjguNTg4AQgAAAAFAAAAATEBAAAACjE4ODc0NDUwODQDAAAAAzE2MAIAAAAENDA1MQQAAAABMAcAAAAJNi8zMC8yMDE4CAAAAAkzLzMxLzIwMTgJAAAAATBiknSFFAnWCEVJXYcUCdYIRkNJUS5OQVNEQVFHUzpJVENJLklRX1RPVEFMX1JFVl81WVJfQU5OX0NBR1IuMjAwMC42LzMwLzIwMTguTEZSLkYuVVNELkgBAAAAd9GPAAIAAAAILTQzLjc4MDUBCAAAAAUAAAABMQEAAAAKMTg4NjYxNzMyMgMAAAADMTYwAgAAAAQ0MjMzBAAAAAEwBwAAAAk2LzMwLzIwMTgIAAAACTMvMzEvMjAxOAkAAAABMGKSdIUUCdYIZ+dahxQJ1gg+Q0lRLk5BU0RBUUdTOkNCQVkuSVFfVE9UQUxfRVFVSVRZLkNZMjAxNy42LzMwLzIwMTguTEZSLkYuVVNELkgBAAAAwHoAAAIAAAAGODQuOTQ3AQgAAAAFAAAAATEBAAAACjE4Nzg1</t>
  </si>
  <si>
    <t>MjQwODgDAAAAAzE2MAIAAAAEMTI3NQQAAAABMAcAAAAJNi8zMC8yMDE4CAAAAAoxMi8zMS8yMDE3CQAAAAEwYpJ0hRQJ1ghn51qHFAnWCDVDSVEuU0VISzoyMTg2LklRX05JX01BUkdJTi4yMDAwLjYvMzAvMjAxOC5MRlIuRi5VU0QuSAEAAADCgZgAAgAAAAcyNS43MjUxAQgAAAAFAAAAATEBAAAACjE4ODU0OTUwMDYDAAAAAjMyAgAAAAQ0MDk0BAAAAAEwBwAAAAk2LzMwLzIwMTgIAAAACjEyLzMxLzIwMTcJAAAAATCUC1eGFAnWCC9wZIcUCdYINUNJUS5OQVNEQVFHTTpNTk9WLklRX0RBX0NGLjIwMDAuNi8zMC8yMDE4LkxGUi5GLlVTRC5IAQAAALhUjQACAAAABzAuMDI3NTcBCAAAAAUAAAABMQEAAAAKMTg4NDY0NDIyOAMAAAADMTYwAgAAAAQyMTYwBAAAAAEwBwAAAAk2LzMwLzIwMTgIAAAACTMvMzEvMjAxOAkAAAABMMYl44QUCdYIxDRphxQJ1ghFQ0lRLihJTlZBTElEIElERU5USUZJRVIpLklRX1RPVEFMX0VRVUlUWS5DWTIwMTcuNi8zMC8yMDE4LkxGUi5GLlVTRC5IBQAAAAAAAAAIAAAAFChJbnZhbGlkIElkZW50aWZpZXIp5Q/vhBQJ1ghg+06HFAnWCCJDSVEuSVFUUjMxMDIyOTE4OC5JUV9UUl9QQ1RfU09VR0hUAQAAAMS4fRICAAAAAzEwMADmO0WCFAnWCHvSZocUCdYIOENJUS5PVENQSzpCVEhFLklRX1RPVEFMX1JFVi5DWTIwMTYuNi8zMC8yMDE4LkxGUi5GLlVTRC5IAQAAAG+duQUCAAAA</t>
  </si>
  <si>
    <t>CDAuMDk4ODc4AQgAAAAFAAAAATEBAAAACjE4ODAxMDU2MjIDAAAAAzE2MAIAAAACMjgEAAAAATAHAAAACTYvMzAvMjAxOAgAAAAKMTIvMzEvMjAxNgkAAAABMOUP74QUCdYIhsBThxQJ1gg+Q0lRLk5BU0RBUUdTOkNCQVkuSVFfVE9UQUxfRVFVSVRZLkNZMjAxNi42LzMwLzIwMTguTEZSLkYuVVNELkgBAAAAwHoAAAIAAAAFMy45MzcBCAAAAAUAAAABMQEAAAAKMTg3ODUyNDA4NQMAAAADMTYwAgAAAAQxMjc1BAAAAAEwBwAAAAk2LzMwLzIwMTgIAAAACjEyLzMxLzIwMTYJAAAAATBiknSFFAnWCGfnWocUCdYIJ0NJUS5OQVNEQVFHTTpWVFZULklRX0JFVEFfMVlSLjYvMzAvMjAxOAEAAAAdox8SAgAAAA8xLjk2MzI5NzE1NzQ3MjcA5Q/vhBQJ1giGwFOHFAnWCDlDSVEuU0hTRTo2MDA4NjcuSVFfRUJJVF9NQVJHSU4uMjAwMC42LzMwLzIwMTguTEZSLkYuVVNELkgBAAAA2D6uAAIAAAAHMzguNTk4NgEIAAAABQAAAAExAQAAAAoxODg1MTQ2MjczAwAAAAIzMgIAAAAENDA1MwQAAAABMAcAAAAJNi8zMC8yMDE4CAAAAAkzLzMxLzIwMTgJAAAAATBiknSFFAnWCOANYocUCdYIIUNJUS5OQVNEQVFHUzpDQkFZLklRX0NPTVBBTllfTkFNRQEAAADAegAAAwAAABpDeW1hQmF5IFRoZXJhcGV1dGljcywgSW5jLgBiknSFFAnWCEVJXYcUCdYIP0NJUS5TRUhLOjM5MzMuSVFfRUJJVERBXzJZUl9BTk5fQ0FHUi4yMDAw</t>
  </si>
  <si>
    <t>LjYvMzAvMjAxOC5MRlIuRi5VU0QuSAEAAABN2hECAgAAAAYyLjgxNTUBCAAAAAUAAAABMQEAAAAKMTg4NTczOTIwMgMAAAACMzICAAAABDQyMDkEAAAAATAHAAAACTYvMzAvMjAxOAgAAAAKMTIvMzEvMjAxNwkAAAABMOltWYYUCdYI4A1ihxQJ1ghCQ0lRLlNFSEs6MzkzMy5JUV9UT1RBTF9SRVZfM1lSX0FOTl9DQUdSLjIwMDAuNi8zMC8yMDE4LkxGUi5GLlVTRC5IAQAAAE3aEQICAAAABjAuNjkxOAEIAAAABQAAAAExAQAAAAoxODg1NzM5MjAyAwAAAAIzMgIAAAAENDIyMAQAAAABMAcAAAAJNi8zMC8yMDE4CAAAAAoxMi8zMS8yMDE3CQAAAAEw6W1ZhhQJ1gjgDWKHFAnWCDZDSVEuQ1BTRTpOT1ZPIEIuSVFfVE9UQUxfQ0EuMTk5Ni42LzMwLzIwMTguTEZSLkYuVVNELkgBAAAAfO8EAAIAAAAKODAwMS42Njc5OQEIAAAABQAAAAExAQAAAAoxODkyNjIzOTMwAwAAAAMxNjACAAAABDEwMDgEAAAAATAHAAAACTYvMzAvMjAxOAgAAAAJMy8zMS8yMDE3CQAAAAEwlAtXhhQJ1gh70maHFAnWCERDSVEuKElOVkFMSUQgSURFTlRJRklFUikuSVFfUkVWRU5VRV9FU1QuQ1kyMDE5LjYvMzAvMjAxOC5DT04uRi5VU0QuSAUAAAAAAAAACAAAABQoSW52YWxpZCBJZGVudGlmaWVyKeUP74QUCdYIMV5RhxQJ1gg+Q0lRLk5BU0RBUUdTOklDUFQuSVFfVE9UQUxfRVFVSVRZLkNZMjAxNi42LzMwLzIwMTguTEZSLkYuVVNE</t>
  </si>
  <si>
    <t>LkgBAAAAgq+tAAIAAAAHMzE0LjkzMgEIAAAABQAAAAExAQAAAAoxODc3MDExNDYwAwAAAAMxNjACAAAABDEyNzUEAAAAATAHAAAACTYvMzAvMjAxOAgAAAAKMTIvMzEvMjAxNgkAAAABMOltWYYUCdYIL3BkhxQJ1ghGQ0lRLk5BU0RBUUdNOk1OT1YuSVFfVE9UQUxfUkVWXzVZUl9BTk5fQ0FHUi4yMDAwLjYvMzAvMjAxOC5MRlIuRi5VU0QuSAEAAAC4VI0AAwAAAAAAxiXjhBQJ1ginhFiHFAnWCDZDSVEuTkFTREFRR1M6WkZHTi5JUV9FQklUREEuMTk5Ni42LzMwLzIwMTguTEZSLkYuVVNELkgBAAAAl8C6AQIAAAAHLTUyLjAyNwEIAAAABQAAAAExAQAAAAoxODg5ODk1MzU1AwAAAAMxNjACAAAABDQwNTEEAAAAATAHAAAACTYvMzAvMjAxOAgAAAAJMy8zMS8yMDE3CQAAAAEwxiXjhBQJ1ginhFiHFAnWCDBDSVEuTkFTREFRR006VlRWVC5JUV9MQVNUU0FMRVBSSUNFLjYvMzAvMjAxOC5VU0QBAAAAHaMfEgIAAAAEMS41NADGJeOEFAnWCIbAU4cUCdYIR0NJUS5OQVNEQVFHUzpJVENJLklRX01JTk9SSVRZX0lOVEVSRVNUX1RPVEFMLjIwMDAuMy8zMS8yMDE4LkxGUi5GLlVTRC5IAQAAAHfRjwADAAAAAABiknSFFAnWCGfnWocUCdYIMUNJUS5TRUhLOjE1MzAuSVFfQ0FQRVguMjAwMC42LzMwLzIwMTguTEZSLkYuVVNELkgBAAAA77hwAQIAAAAKLTIxLjI3OTkxMQEIAAAABQAAAAExAQAAAAoxODg2MDk5ODYy</t>
  </si>
  <si>
    <t>AwAAAAMxNjACAAAABDIwMjEEAAAAATAHAAAACTYvMzAvMjAxOAgAAAAKMTIvMzEvMjAxNwkAAAABMJQLV4YUCdYIL3BkhxQJ1ggyQ0lRLkNQU0U6WkVBTC5JUV9FQklUREEuMjAwMC42LzMwLzIwMTguTEZSLkYuVVNELkgBAAAAIlsTAAIAAAAJLTUzLjA1MjU1AQgAAAAFAAAAATEBAAAACjE4ODk5MTMxMDADAAAAAzE2MAIAAAAENDA1MQQAAAABMAcAAAAJNi8zMC8yMDE4CAAAAAkzLzMxLzIwMTgJAAAAATBiknSFFAnWCOANYocUCdYIIkNJUS5JUVRSMjcwMDc0NzU0LklRX1RSX1RBUkdFVE5BTUUBAAAAggMZEAMAAAAoTWFubktpbmQgQ29ycC4sIEdsb2JhbCBSaWdodHMgb2YgQWZyZXp6YQDmO0WCFAnWCHvSZocUCdYIMUNJUS5TRUhLOjIxODYuSVFfQ0FQRVguMjAwMC42LzMwLzIwMTguTEZSLkYuVVNELkgBAAAAwoGYAAIAAAAJLTc3Ljk2OTE3AQgAAAAFAAAAATEBAAAACjE4ODU0OTUwMDYDAAAAAzE2MAIAAAAEMjAyMQQAAAABMAcAAAAJNi8zMC8yMDE4CAAAAAoxMi8zMS8yMDE3CQAAAAEw6W1ZhhQJ1ggvcGSHFAnWCDtDSVEuTkFTREFRR1M6TFhSWC5JUV9FQklUX01BUkdJTi4yMDAwLjYvMzAvMjAxOC5MRlIuRi5VU0QuSAEAAAA9eAAAAgAAAAktMTM1LjkwMDYBCAAAAAUAAAABMQEAAAAKMTg4NjU0Mzg3NQMAAAADMTYwAgAAAAQ0MDUzBAAAAAEwBwAAAAk2LzMwLzIwMTgIAAAACTMvMzEvMjAx</t>
  </si>
  <si>
    <t>OAkAAAABMGKSdIUUCdYIlKtfhxQJ1gg1Q0lRLk5BU0RBUUdTOkxYUlguSVFfQ0FQRVguMTk5Mi42LzMwLzIwMTguTEZSLkYuVVNELkgBAAAAPXgAAAIAAAAGLTAuOTQ3AQgAAAAFAAAAATEBAAAACjE4NDA1MTc5MDUDAAAAAzE2MAIAAAAEMjAyMQQAAAABMAcAAAAJNi8zMC8yMDE4CAAAAAkzLzMxLzIwMTYJAAAAATBiknSFFAnWCJSrX4cUCdYIO0NJUS5OQVNEQVFHUzpaRkdOLklRX1RPVEFMX1JFVi5DWTIwMTcuNi8zMC8yMDE4LkxGUi5GLlVTRC5IAQAAAJfAugEDAAAAAADGJeOEFAnWCMQ0aYcUCdYILkNJUS5OQVNEQVFHUzpDWVRLLklRX01BUktFVENBUC4zLzMxLzIwMTguVVNELkgBAAAAs2oAAAIAAAAKMzg4Ljg1ODQxNAEGAAAABQAAAAExAQAAAAoxODc3NjY4MzMwAwAAAAMxNjACAAAABjEwMDA1NAQAAAABMAcAAAAJMy8zMS8yMDE4xiXjhBQJ1ghlIlaHFAnWCDhDSVEuTkFTREFRR1M6TFhSWC5JUV9UT1RBTF9DQS4xOTk2LjYvMzAvMjAxOC5MRlIuRi5VU0QuSAEAAAA9eAAAAgAAAAcyNzkuMDg4AQgAAAAFAAAAATEBAAAACjE4ODY1NDM4MjADAAAAAzE2MAIAAAAEMTAwOAQAAAABMAcAAAAJNi8zMC8yMDE4CAAAAAkzLzMxLzIwMTcJAAAAATBiknSFFAnWCJSrX4cUCdYII0NJUS5JUVRSMjEyNzMxODc3LklRX1RSX0NMT1NFRF9EQVRFAQAAAOUHrgwFAAAACDgvNy8yMDEyAOY7RYIUCdYIv1rI</t>
  </si>
  <si>
    <t>ghQJ1gg9Q0lRLk5BU0RBUUdTOklDUFQuSVFfRUJJVERBX01BUkdJTi4yMDAwLjYvMzAvMjAxOC5MRlIuRi5VU0QuSAEAAACCr60AAgAAAAktMjE3LjE4OTEBCAAAAAUAAAABMQEAAAAKMTg4ODYxNTU0MAMAAAADMTYwAgAAAAQ0MDQ3BAAAAAEwBwAAAAk2LzMwLzIwMTgIAAAACTMvMzEvMjAxOAkAAAABMOltWYYUCdYIL3BkhxQJ1ghDQ0lRLk5BU0RBUUNNOkJZU0kuSVFfRUJJVERBXzJZUl9BTk5fQ0FHUi4yMDAwLjYvMzAvMjAxOC5MRlIuRi5VU0QuSAEAAABHz2wYAwAAAAJOTQEIAAAABQAAAAExAQAAAAoxODkzOTczMzg5AwAAAAMxNjACAAAABDQyMDkEAAAAATAHAAAACTYvMzAvMjAxOAgAAAAJMy8zMS8yMDE4CQAAAAEwYpJ0hRQJ1ghFSV2HFAnWCB1DSVEuTkFTREFRR006TU5PVi5JUV9FWENIQU5HRQEAAAC4VI0AAwAAAAhOYXNkYXFHTQDGJeOEFAnWCKeEWIcUCdYIOUNJUS5TRUhLOjM5MzMuSVFfUkVWRU5VRV9FU1QuQ1kyMDIwLjYvMzAvMjAxOC5DT04uRi5VU0QuSAEAAABN2hECAgAAABAxNDE0Ljg2MDg2NjgwNTMzAQ4AAAAFAAAAAjExAQAAAAEwAgAAAAoxMDAxMzE1MDQ2AwAAAAYxMDAxODAEAAAAATMGAAAAATAHAAAAAzE2MAgAAAABMAkAAAABMQoAAAABMAsAAAALMTA5MTMxMDE2MzkMAAAAATcNAAAACDcvMS8yMDE4EAAAAAk2LzMwLzIwMTjpbVmGFAnWCC9wZIcUCdYIO0NJUS5OQVNE</t>
  </si>
  <si>
    <t>QVFHUzpJVENJLklRX1BSRUZfRVFVSVRZLjIwMDAuNi8zMC8yMDE4LkxGUi5GLlVTRC5IAQAAAHfRjwADAAAAAABiknSFFAnWCGfnWocUCdYIJENJUS4wLklRX1RSX1RBUkdFVF9FQklUREFfRVNULi5VU0QuSAUAAAAAAAAACAAAABgoSW52YWxpZCBUcmFuc2FjdGlvbiBJZCnmO0WCFAnWCMQ0aYcUCdYIR0NJUS5OQVNEQVFDTTpCWVNJLklRX01JTk9SSVRZX0lOVEVSRVNUX1RPVEFMLjIwMDAuMy8zMS8yMDE4LkxGUi5GLlVTRC5IAQAAAEfPbBgCAAAABTEuMzU2AQgAAAAFAAAAATEBAAAACjE4NjU0OTY4OTUDAAAAAzE2MAIAAAAEMTMxMgQAAAABMAcAAAAJMy8zMS8yMDE4CAAAAAk5LzMwLzIwMTcJAAAAATBiknSFFAnWCEVJXYcUCdYIPkNJUS5BTUVYOkJUWC5JUV9FQklUREFfNVlSX0FOTl9DQUdSLjIwMDAuNi8zMC8yMDE4LkxGUi5GLlVTRC5IAQAAABZkAAADAAAAAk5NAQgAAAAFAAAAATEBAAAACjE4ODc5ODAxNjUDAAAAAzE2MAIAAAAENDIzNQQAAAABMAcAAAAJNi8zMC8yMDE4CAAAAAkzLzMxLzIwMTgJAAAAATDGJeOEFAnWCGUiVocUCdYIOkNJUS5OQVNEQVFHTTpSWVRNLklRX0VBUk5JTkdfQ08uMTk5Mi42LzMwLzIwMTguTEZSLkYuVVNELkgBAAAAGMltEgIAAAAHLTE1LjU1MwEIAAAABQAAAAExAQAAAAoxODU5MjYwNTc1AwAAAAMxNjACAAAAATcEAAAAATAHAAAACTYvMzAvMjAxOAgAAAAJ</t>
  </si>
  <si>
    <t>My8zMS8yMDE2CQAAAAEwYpJ0hRQJ1ghFSV2HFAnWCCxDSVEuTkFTREFRR006TU5LRC5JUV9MQVNUU0FMRVBSSUNFLjMvMzEvMjAxOAEAAABmpY0AAgAAAAQyLjI4AOltWYYUCdYI4A1ihxQJ1gg7Q0lRLk5BU0RBUUdTOk5JVEUuSVFfUFJFRl9FUVVJVFkuMjAwMC42LzMwLzIwMTguTEZSLkYuVVNELkgBAAAADNMYEAMAAAAAAMYl44QUCdYIp4RYhxQJ1ggqQ0lRLlNFSEs6MTUzMC5JUV9NQVJLRVRDQVAuNi8zMC8yMDE4LlVTRC5IAQAAAO+4cAECAAAACzU3NjUuOTI2MzA3AQYAAAAFAAAAATEBAAAACjE4ODYwOTk4NjADAAAAAzE2MAIAAAAGMTAwMDU0BAAAAAEwBwAAAAk2LzMwLzIwMTiUC1eGFAnWCC9wZIcUCdYIQ0NJUS5UU1hWOkNPQi5VLklRX1RPVEFMX1JFVl8yWVJfQU5OX0NBR1IuMjAwMC42LzMwLzIwMTguTEZSLkYuVVNELkgBAAAAv/sACAMAAAAAAK+G5YQUCdYIhsBThxQJ1gg4Q0lRLk5BU0RBUUdNOk1OS0QuSVFfRUJJVERBLkNZMjAxNi42LzMwLzIwMTguTEZSLkYuVVNELkgBAAAAZqWNAAIAAAAGNjQuOTIyAQgAAAAFAAAAATEBAAAACjE4NzYyMzg5MzYDAAAAAzE2MAIAAAAENDA1MQQAAAABMAcAAAAJNi8zMC8yMDE4CAAAAAoxMi8zMS8yMDE2CQAAAAEw6W1ZhhQJ1gjgDWKHFAnWCB9DSVEuMC5JUV9UUl9UT1RBTF9HUk9TU19UVi4uVVNEBQAAAAAAAAAIAAAAGChJbnZhbGlkIFRyYW5z</t>
  </si>
  <si>
    <t>YWN0aW9uIElkKeY7RYIUCdYIxDRphxQJ1gg9Q0lRLk5BU0RBUUdNOk1OT1YuSVFfUkVWRU5VRV9FU1QuQ1kyMDE5LjYvMzAvMjAxOC5DT04uRi5VU0QuSAEAAAC4VI0AAgAAAAEwAQ4AAAAFAAAAAjExAQAAAAEwAgAAAAoxMDAwNTkzNjE1AwAAAAYxMDAxODAEAAAAATIGAAAAATAHAAAAAzE2MAgAAAABMAkAAAABMQoAAAABMAsAAAALMTA5NTAwNTQwNjQMAAAAATcNAAAACDcvMS8yMDE4EAAAAAk2LzMwLzIwMTivhuWEFAnWCKeEWIcUCdYIJUNJUS5PVENQSzpSWkxULklRX1RFVi42LzMwLzIwMTguVVNELkgBAAAAIQmbCgIAAAAJMjguODIxNDIzAQYAAAAFAAAAATEBAAAACjE4ODkxMDQ5MTEDAAAAAzE2MAIAAAAGMTAwMDYwBAAAAAEwBwAAAAk2LzMwLzIwMTjlD++EFAnWCIbAU4cUCdYIK0NJUS5JUVRSMzg0MDI4NDk2LklRX1RSX0lNUExJRURfRVZfRUJJVF9GV0QBAAAAUM/jFgMAAAACTk0A5jtFghQJ1gh70maHFAnWCENDSVEuU0VISzoxNTMwLklRX01JTk9SSVRZX0lOVEVSRVNUX1RPVEFMLjIwMDAuMy8zMS8yMDE4LkxGUi5GLlVTRC5IAQAAAO+4cAECAAAACTM1LjQ5MjcyMQEIAAAABQAAAAExAQAAAAoxODYwNDA3MDQyAwAAAAMxNjACAAAABDEzMTIEAAAAATAHAAAACTMvMzEvMjAxOAgAAAAJNi8zMC8yMDE3CQAAAAEwlAtXhhQJ1ggvcGSHFAnWCDZDSVEuTkFTREFRR1M6SVRDSS5JUV9FQklU</t>
  </si>
  <si>
    <t>REEuMjAwMC42LzMwLzIwMTguTEZSLkYuVVNELkgBAAAAd9GPAAIAAAALLTExMS45MjQyNTcBCAAAAAUAAAABMQEAAAAKMTg4NjYxNzMyMgMAAAADMTYwAgAAAAQ0MDUxBAAAAAEwBwAAAAk2LzMwLzIwMTgIAAAACTMvMzEvMjAxOAkAAAABMGKSdIUUCdYIZ+dahxQJ1gg8Q0lRLk5BU0RBUUNNOkNPUlQuSVFfRUJJVERBX0VTVC5DWTIwMTkuNi8zMC8yMDE4LkNPTi5GLlVTRC5IAQAAANK5FQACAAAACTE5Mi44NDk0NAEOAAAABQAAAAIxMQEAAAABMAIAAAAKMTAwMDk1NDU2NgMAAAAGMTAwMTg3BAAAAAEyBgAAAAEwBwAAAAMxNjAIAAAAATAJAAAAATEKAAAAATALAAAACzEwOTUwMDU0NTAwDAAAAAE3DQAAAAg3LzEvMjAxOBAAAAAJNi8zMC8yMDE4YpJ0hRQJ1giUq1+HFAnWCDZDSVEuTkFTREFRR006UllUTS5JUV9FQklUREEuMjAwMC42LzMwLzIwMTguTEZSLkYuVVNELkgBAAAAGMltEgIAAAAHLTQyLjc5NAEIAAAABQAAAAExAQAAAAoxODg4OTExNDcwAwAAAAMxNjACAAAABDQwNTEEAAAAATAHAAAACTYvMzAvMjAxOAgAAAAJMy8zMS8yMDE4CQAAAAEwYpJ0hRQJ1ghFSV2HFAnWCEFDSVEuKElOVkFMSUQgSURFTlRJRklFUikuSVFfRUFSTklOR19DTy4yMDAwLjYvMzAvMjAxOC5MRlIuRi5VU0QuSAUAAAAAAAAACAAAABQoSW52YWxpZCBJZGVudGlmaWVyKeUP74QUCdYIMV5RhxQJ1gg1Q0lRLk9UQ1BL</t>
  </si>
  <si>
    <t>OkVNSVMuSVFfVE9UQUxfQ0wuMTk5Mi42LzMwLzIwMTguTEZSLkYuVVNELkgBAAAAPv0DAAIAAAAGMTcuNTk3AQgAAAAFAAAAATEBAAAACjE3OTIxNjM3ODkDAAAAAzE2MAIAAAAEMTAwOQQAAAABMAcAAAAJNi8zMC8yMDE4CAAAAAkzLzMxLzIwMTUJAAAAATCvhuWEFAnWCGUiVocUCdYIOENJUS5OQVNEQVFHTTpGT0xELklRX0VCSVREQS5DWTIwMTcuNi8zMC8yMDE4LkxGUi5GLlVTRC5IAQAAAFb2agACAAAACC0xOTguNzg3AQgAAAAFAAAAATEBAAAACjE4NzcyNzE3ODADAAAAAzE2MAIAAAAENDA1MQQAAAABMAcAAAAJNi8zMC8yMDE4CAAAAAoxMi8zMS8yMDE3CQAAAAEwYpJ0hRQJ1giUq1+HFAnWCCVDSVEuT1RDUEs6RU1JUy5JUV9URVYuNi8zMC8yMDE4LlVTRC5IAQAAAD79AwACAAAACjIwOS40OTU5NDcBBgAAAAUAAAABMQEAAAAKMTg0MTg5ODI3NQMAAAADMTYwAgAAAAYxMDAwNjAEAAAAATAHAAAACTYvMzAvMjAxOMYl44QUCdYIZSJWhxQJ1gg7Q0lRLk5BU0RBUUdNOk1OS0QuSVFfUFJFRl9FUVVJVFkuMjAwMC4zLzMxLzIwMTguTEZSLkYuVVNELkgBAAAAZqWNAAMAAAAAAOltWYYUCdYI4A1ihxQJ1gglQ0lRLklRVFIxMTc4MDM5MjAuSVFfVFJfTUFKX01JTl9TVEFLRQEAAACQiwUHAwAAAAhNYWpvcml0eQDmO0WCFAnWCHvSZocUCdYIOUNJUS5OQVNEQVFDTTpDVVIuSVFfVE9UQUxfREVCVC4y</t>
  </si>
  <si>
    <t>MDAwLjMvMzEvMjAxOC5MRlIuRi5VU0QuSAEAAADx7nUAAgAAAAEwAQgAAAAFAAAAATEBAAAACjE4NjQ1NjY1MTcDAAAAAzE2MAIAAAAENDE3MwQAAAABMAcAAAAJMy8zMS8yMDE4CAAAAAk5LzMwLzIwMTcJAAAAATDlD++EFAnWCDFeUYcUCdYIL0NJUS5JUVRSMTE3ODAzOTIwLklRX1RSX0lNUExJRURfRVZfRklOQUwuLlVTRC5IAQAAAJCLBQcCAAAAAzUwMAEGAAAABQAAAAI1NAEAAAAGMTAyMDQ1AgAAAAkxMTc4MDM5MjADAAAACTExNzgwNDAyMwQAAAADMTYwBgAAAAVGYWxzZeY7RYIUCdYIe9JmhxQJ1ggiQ0lRLkVOWFRQQTpFUllQLklRX0VGRkVDVF9UQVhfUkFURQEAAADYingBAwAAAAJOTQEIAAAABQAAAAExAQAAAAoxODg1MjA0MjE5AwAAAAI1MAIAAAAENDM3NgQAAAABMAcAAAAJOC8yMy8yMDE4CAAAAAoxMi8zMS8yMDE3CQAAAAEw5Q/vhBQJ1ggxXlGHFAnWCEdDSVEuTkFTREFRR006Rk9MRC5JUV9NSU5PUklUWV9JTlRFUkVTVF9UT1RBTC4yMDAwLjMvMzEvMjAxOC5MRlIuRi5VU0QuSAEAAABW9moAAwAAAAAAYpJ0hRQJ1giUq1+HFAnWCENDSVEuVFNYVjpDT0IuVS5JUV9UT1RBTF9SRVZfNVlSX0FOTl9DQUdSLjIwMDAuNi8zMC8yMDE4LkxGUi5GLlVTRC5IAQAAAL/7AAgDAAAAAACvhuWEFAnWCIbAU4cUCdYINUNJUS5OQVNEQVFHUzpJVENJLklRX0NBUEVYLjE5OTYuNi8zMC8yMDE4LkxG</t>
  </si>
  <si>
    <t>Ui5GLlVTRC5IAQAAAHfRjwACAAAACS0wLjA3MzU4OAEIAAAABQAAAAExAQAAAAoxODg2NjE3MzYyAwAAAAMxNjACAAAABDIwMjEEAAAAATAHAAAACTYvMzAvMjAxOAgAAAAJMy8zMS8yMDE3CQAAAAEwYpJ0hRQJ1ghn51qHFAnWCChDSVEuTkFTREFRR006Rk9MRC5JUV9URVYuNi8zMC8yMDE4LlVTRC5IAQAAAFb2agACAAAACzI1NDguMTcxMzc3AQYAAAAFAAAAATEBAAAACjE4ODg0ODMyNTgDAAAAAzE2MAIAAAAGMTAwMDYwBAAAAAEwBwAAAAk2LzMwLzIwMThiknSFFAnWCJSrX4cUCdYINENJUS5OWVNFOk1ZT1YuSVFfVE9UQUxfQ0EuMTk5Ni42LzMwLzIwMTguTEZSLkYuVVNELkgBAAAAl9oLGAIAAAAHMTg0LjE2NAEIAAAABQAAAAExAQAAAAoxODkyODM0NzI0AwAAAAMxNjACAAAABDEwMDgEAAAAATAHAAAACTYvMzAvMjAxOAgAAAAJMy8zMS8yMDE3CQAAAAEwYpJ0hRQJ1giUq1+HFAnWCC1DSVEuTkFTREFRR1M6T0RULklRX01BUktFVENBUC4zLzMxLzIwMTguVVNELkgBAAAAGhpFIAIAAAAKNTc4Ljg3OTY2NgEGAAAABQAAAAExAQAAAAoxODc0MTY3MjMyAwAAAAMxNjACAAAABjEwMDA1NAQAAAABMAcAAAAJMy8zMS8yMDE4xiXjhBQJ1ginhFiHFAnWCDtDSVEuT1RDUEs6UlpMVC5JUV9UT1RBTF9FUVVJVFkuQ1kyMDE3LjYvMzAvMjAxOC5MRlIuRi5VU0QuSAEAAAAhCZsKAgAAAAgzLjgwMTc5OAEI</t>
  </si>
  <si>
    <t>AAAABQAAAAExAQAAAAoxODc0MTk0MDQzAwAAAAMxNjACAAAABDEyNzUEAAAAATAHAAAACTYvMzAvMjAxOAgAAAAKMTIvMzEvMjAxNwkAAAABMOUP74QUCdYIhsBThxQJ1ggyQ0lRLk9UQ1BLOlJaTFQuSVFfREFfQ0YuMjAwMC42LzMwLzIwMTguTEZSLkYuVVNELkgBAAAAIQmbCgIAAAAIMS4wODUwODYBCAAAAAUAAAABMQEAAAAKMTg4OTEwNTEyNAMAAAADMTYwAgAAAAQyMTYwBAAAAAEwBwAAAAk2LzMwLzIwMTgIAAAACTMvMzEvMjAxOAkAAAABMOUP74QUCdYIxDRphxQJ1gglQ0lRLklRVFIzMTAyMjkxODguSVFfVFJfTUFKX01JTl9TVEFLRQEAAADEuH0SAwAAAAhNYWpvcml0eQDmO0WCFAnWCHvSZocUCdYIQUNJUS5TSFNFOjYwMDg2Ny5JUV9FQklUREFfM1lSX0FOTl9DQUdSLjIwMDAuNi8zMC8yMDE4LkxGUi5GLlVTRC5IAQAAANg+rgACAAAABzMyLjY5MjYBCAAAAAUAAAABMQEAAAAKMTg4NTE0NjI3MwMAAAACMzICAAAABDQyMjIEAAAAATAHAAAACTYvMzAvMjAxOAgAAAAJMy8zMS8yMDE4CQAAAAEwYpJ0hRQJ1giUq1+HFAnWCDhDSVEuTkFTREFRR006Rk9MRC5JUV9FQklUREEuQ1kyMDE2LjYvMzAvMjAxOC5MRlIuRi5VU0QuSAEAAABW9moAAgAAAAgtMTcxLjgxOQEIAAAABQAAAAExAQAAAAoxODc3MjcxNjkyAwAAAAMxNjACAAAABDQwNTEEAAAAATAHAAAACTYvMzAvMjAxOAgAAAAKMTIvMzEv</t>
  </si>
  <si>
    <t>MjAxNgkAAAABMGKSdIUUCdYIlKtfhxQJ1gg7Q0lRLk5BU0RBUUdTOklDUFQuSVFfRUJJVF9NQVJHSU4uMjAwMC42LzMwLzIwMTguTEZSLkYuVVNELkgBAAAAgq+tAAIAAAAJLTIyMC42Nzc4AQgAAAAFAAAAATEBAAAACjE4ODg2MTU1NDADAAAAAzE2MAIAAAAENDA1MwQAAAABMAcAAAAJNi8zMC8yMDE4CAAAAAkzLzMxLzIwMTgJAAAAATDpbVmGFAnWCC9wZIcUCdYIO0NJUS5FTlhUUEE6RVJZUC5JUV9FQklUREFfTUFSR0lOLjIwMDAuNi8zMC8yMDE4LkxGUi5GLlVTRC5IAQAAANiKeAEDAAAAAk5NAQgAAAAFAAAAATEBAAAACjE4ODUyMDQyMTkDAAAAAjUwAgAAAAQ0MDQ3BAAAAAEwBwAAAAk2LzMwLzIwMTgIAAAACjEyLzMxLzIwMTcJAAAAATDlD++EFAnWCDFeUYcUCdYIR0NJUS5OQVNEQVFDTTpCWVNJLklRX01JTk9SSVRZX0lOVEVSRVNUX1RPVEFMLjIwMDAuNi8zMC8yMDE4LkxGUi5GLlVTRC5IAQAAAEfPbBgCAAAABTAuNTY4AQgAAAAFAAAAATEBAAAACjE4OTM5NzMzODkDAAAAAzE2MAIAAAAEMTMxMgQAAAABMAcAAAAJNi8zMC8yMDE4CAAAAAkzLzMxLzIwMTgJAAAAATBiknSFFAnWCEVJXYcUCdYIOENJUS5OQVNEQVFHTTpNTktELklRX1RPVEFMX0NMLjIwMDAuNi8zMC8yMDE4LkxGUi5GLlVTRC5IAQAAAGaljQACAAAABjgwLjY2OQEIAAAABQAAAAExAQAAAAoxODg5Nzc1OTkzAwAAAAMxNjAC</t>
  </si>
  <si>
    <t>AAAABDEwMDkEAAAAATAHAAAACTYvMzAvMjAxOAgAAAAJMy8zMS8yMDE4CQAAAAEw6W1ZhhQJ1gjgDWKHFAnWCDxDSVEuTkFTREFRR006TU5LRC5JUV9FQklUREFfRVNULkNZMjAxOS42LzMwLzIwMTguQ09OLkYuVVNELkgBAAAAZqWNAAMAAAAAAOltWYYUCdYI4A1ihxQJ1gg6Q0lRLk5BU0RBUUNNOkNPUlQuSVFfRUFSTklOR19DTy4xOTk2LjYvMzAvMjAxOC5MRlIuRi5VU0QuSAEAAADSuRUAAgAAAAYxMi41NDcBCAAAAAUAAAABMQEAAAAKMTg4ODA5OTUzMgMAAAADMTYwAgAAAAE3BAAAAAEwBwAAAAk2LzMwLzIwMTgIAAAACTMvMzEvMjAxNwkAAAABMGKSdIUUCdYIlKtfhxQJ1gg1Q0lRLlRTWFY6Q09CLlUuSVFfVE9UQUxfQ0wuMjAwMC42LzMwLzIwMTguTEZSLkYuVVNELkgBAAAAv/sACAIAAAAIMS4yNDQwMTEBCAAAAAUAAAABMQEAAAAKMTg4OTA2MjA3NAMAAAADMTYwAgAAAAQxMDA5BAAAAAEwBwAAAAk2LzMwLzIwMTgIAAAACTMvMzEvMjAxOAkAAAABMK+G5YQUCdYIhsBThxQJ1ggiQ0lRLklRVFIxMTc4MDM5MjAuSVFfVFJfUENUX1NPVUdIVAEAAACQiwUHAgAAAAMxMDAA5jtFghQJ1gh70maHFAnWCDhDSVEuTkFTREFRR1M6TklURS5JUV9UT1RBTF9DTC4yMDAwLjYvMzAvMjAxOC5MRlIuRi5VU0QuSAEAAAAM0xgQAgAAAAYxMC4xMjgBCAAAAAUAAAABMQEAAAAKMTg5MzQ5Njc0NQMAAAADMTYw</t>
  </si>
  <si>
    <t>AgAAAAQxMDA5BAAAAAEwBwAAAAk2LzMwLzIwMTgIAAAACTMvMzEvMjAxOAkAAAABMMYl44QUCdYIp4RYhxQJ1gg2Q0lRLk5BU0RBUUdNOlZUVlQuSVFfRUJJVERBLjIwMDAuNi8zMC8yMDE4LkxGUi5GLlVTRC5IAQAAAB2jHxICAAAABy00NS44NzUBCAAAAAUAAAABMQEAAAAKMTg4OTA1NjUzNwMAAAADMTYwAgAAAAQ0MDUxBAAAAAEwBwAAAAk2LzMwLzIwMTgIAAAACTMvMzEvMjAxOAkAAAABMOUP74QUCdYIhsBThxQJ1ggjQ0lRLklRVFIxMTc4MDM5MjAuSVFfVFJfVE9UQUxfU1RPQ0sBAAAAkIsFBwIAAAAAAOY7RYIUCdYIe9JmhxQJ1ggiQ0lRLklRVFIyNDk5ODE1NjQuSVFfVFJfVEFSR0VUTkFNRQEAAAB8auYOAwAAAA5TYW50YXJ1cywgSW5jLgDmO0WCFAnWCHvSZocUCdYIOENJUS5PVENQSzpSWkxULklRX1RPVEFMX1JFVi5DWTIwMTYuNi8zMC8yMDE4LkxGUi5GLlVTRC5IAQAAACEJmwoDAAAAAADlD++EFAnWCIbAU4cUCdYIPENJUS5OQVNEQVFHUzpMWFJYLklRX1RPVEFMX0VRVUlUWS4xOTkyLjYvMzAvMjAxOC5MRlIuRi5VU0QuSAEAAAA9eAAAAgAAAAcyNTIuODgxAQgAAAAFAAAAATEBAAAACjE4NDA1MTc5MDUDAAAAAzE2MAIAAAAEMTI3NQQAAAABMAcAAAAJNi8zMC8yMDE4CAAAAAkzLzMxLzIwMTYJAAAAATBiknSFFAnWCEVJXYcUCdYIMENJUS5OQVNEQVFHTTpGT0xELklRX0xBU1RTQUxF</t>
  </si>
  <si>
    <t>UFJJQ0UuNi8zMC8yMDE4LlVTRAEAAABW9moAAgAAAAUxNS42MgBiknSFFAnWCJSrX4cUCdYIOUNJUS5BTUVYOkJUWC5JUV9DQVNIX1NUX0lOVkVTVC4yMDAwLjYvMzAvMjAxOC5MRlIuRi5VU0QuSAEAAAAWZAAAAgAAAAYzMS4zNzkBCAAAAAUAAAABMQEAAAAKMTg4Nzk4MDE2NQMAAAADMTYwAgAAAAQxMDAyBAAAAAEwBwAAAAk2LzMwLzIwMTgIAAAACTMvMzEvMjAxOAkAAAABMMYl44QUCdYIZSJWhxQJ1gg6Q0lRLk5BU0RBUUdTOkFQVFguSVFfRUFSTklOR19DTy4xOTkyLjYvMzAvMjAxOC5MRlIuRi5VU0QuSAEAAAAvKQwUAwAAAAAAYpJ0hRQJ1ghFSV2HFAnWCDdDSVEuTkFTREFRQ006VktUWC5JUV9QRVJJT0REQVRFX0lTLjIwMDAuNi8zMC8yMDE4LkxGUi5GAQAAAPK8tQ4FAAAACTMvMzEvMjAxOABiknSFFAnWCGfnWocUCdYIO0NJUS5FTlhUUEE6RVJZUC5JUV9SRVZFTlVFX0VTVC5DWTIwMjAuNi8zMC8yMDE4LkNPTi5GLlVTRC5IAQAAANiKeAECAAAAEDUuODcxMzQ1MjM0MzQ2OTkBDgAAAAUAAAACMTEBAAAAATACAAAACjEwMDI4MjU0MDcDAAAABjEwMDE4MAQAAAABMwYAAAABMAcAAAADMTYwCAAAAAEwCQAAAAExCgAAAAEwCwAAAAsxMDk1MTI0NTczNQwAAAABNw0AAAAINy8xLzIwMTgQAAAACTYvMzAvMjAxOOUP74QUCdYIMV5RhxQJ1gghQ0lRLlRTWFY6Q09CLlUuSVFfRUZGRUNUX1RBWF9S</t>
  </si>
  <si>
    <t>QVRFAQAAAL/7AAgDAAAAAACvhuWEFAnWCIbAU4cUCdYIJUNJUS5JUVRSMzcwMDcyMzUzLklRX1RSX01BSl9NSU5fU1RBS0UBAAAAIdsOFgMAAAAITWFqb3JpdHkA5jtFghQJ1gh70maHFAnWCC5DSVEuTkFTREFRR006TU5LRC5JUV9NQVJLRVRDQVAuNi8zMC8yMDE4LlVTRC5IAQAAAGaljQACAAAACjI2Ni4wNDgyNTQBBgAAAAUAAAABMQEAAAAKMTg4OTc3NDg3MwMAAAADMTYwAgAAAAYxMDAwNTQEAAAAATAHAAAACTYvMzAvMjAxOJQLV4YUCdYI4A1ihxQJ1ggzQ0lRLk9UQ1BLOkVNSVMuSVFfRUJJVERBLjIwMDAuNi8zMC8yMDE4LkxGUi5GLlVTRC5IAQAAAD79AwACAAAABi02LjIwNwEIAAAABQAAAAExAQAAAAoxODQxODk4NTM1AwAAAAMxNjACAAAABDQwNTEEAAAAATAHAAAACTYvMzAvMjAxOAgAAAAJMy8zMS8yMDE3CQAAAAEwr4blhBQJ1ghlIlaHFAnWCClDSVEuSVFUUjE3MjYyMTQ3MS5JUV9UUl9JTVBMSUVEX0VRX05JX0xUTQEAAACf/kkKAgAAAAAA5jtFghQJ1gh70maHFAnWCC5DSVEuKElOVkFMSUQgSURFTlRJRklFUikuSVFfUEVSSU9EREFURV9JUy4xMDAwBQAAAAAAAAAIAAAAFChJbnZhbGlkIElkZW50aWZpZXIp5Q/vhBQJ1ggxXlGHFAnWCDxDSVEuTkFTREFRQ006QllTSS5JUV9UT1RBTF9FUVVJVFkuMjAwMC42LzMwLzIwMTguTEZSLkYuVVNELkgBAAAAR89sGAIAAAAGMTguMDkxAQgA</t>
  </si>
  <si>
    <t>AAAFAAAAATEBAAAACjE4OTM5NzMzODkDAAAAAzE2MAIAAAAEMTI3NQQAAAABMAcAAAAJNi8zMC8yMDE4CAAAAAkzLzMxLzIwMTgJAAAAATBiknSFFAnWCEVJXYcUCdYINENJUS5OWVNFOk1ZT1YuSVFfRUJJVERBLkNZMjAxNy42LzMwLzIwMTguTEZSLkYuVVNELkgBAAAAl9oLGAIAAAAILTExNi40NDMBCAAAAAUAAAABMQEAAAAKMTg3NDA0MzY0MQMAAAADMTYwAgAAAAQ0MDUxBAAAAAEwBwAAAAk2LzMwLzIwMTgIAAAACjEyLzMxLzIwMTcJAAAAATBiknSFFAnWCJSrX4cUCdYILENJUS5JUVRSMTcxOTMwNTM0LklRX1RSX1RBUkdFVF9FQklUREEuLlVTRC5IAQAAAKZzPwoCAAAAAADmO0WCFAnWCHvSZocUCdYIJENJUS5OQVNEQVFHUzpBUFRYLklRX0VGRkVDVF9UQVhfUkFURQEAAAAvKQwUAwAAAAAAYpJ0hRQJ1ghFSV2HFAnWCD1DSVEuTkFTREFRQ006Q1VSLklRX1RPVEFMX0VRVUlUWS5DWTIwMTYuNi8zMC8yMDE4LkxGUi5GLlVTRC5IAQAAAPHudQACAAAACTExLjMzMDc3OAEIAAAABQAAAAExAQAAAAoxODgxMDY1NjkzAwAAAAMxNjACAAAABDEyNzUEAAAAATAHAAAACTYvMzAvMjAxOAgAAAAKMTIvMzEvMjAxNgkAAAABMOUP74QUCdYIMV5RhxQJ1gg7Q0lRLk5BU0RBUUdTOlpGR04uSVFfUFJFRl9FUVVJVFkuMjAwMC42LzMwLzIwMTguTEZSLkYuVVNELkgBAAAAl8C6AQMAAAAAAMYl44QUCdYIp4RY</t>
  </si>
  <si>
    <t>hxQJ1gg6Q0lRLk5BU0RBUUdNOkZPTEQuSVFfRUFSTklOR19DTy4xOTkyLjYvMzAvMjAxOC5MRlIuRi5VU0QuSAEAAABW9moAAgAAAAgtMTUxLjUyMQEIAAAABQAAAAExAQAAAAoxODQxNDQ3NTczAwAAAAMxNjACAAAAATcEAAAAATAHAAAACTYvMzAvMjAxOAgAAAAJMy8zMS8yMDE2CQAAAAEwYpJ0hRQJ1giUq1+HFAnWCDhDSVEuU0VISzozOTMzLklRX1RPVEFMX0VRVUlUWS4xOTkyLjYvMzAvMjAxOC5MRlIuRi5VU0QuSAEAAABN2hECAgAAAAo4NjYuOTEwMzIyAQgAAAAFAAAAATEBAAAACjE4Mzg4MDc2OTADAAAAAzE2MAIAAAAEMTI3NQQAAAABMAcAAAAJNi8zMC8yMDE4CAAAAAoxMi8zMS8yMDE1CQAAAAEw6W1ZhhQJ1gjgDWKHFAnWCDtDSVEuTkFTREFRR1M6Q1lUSy5JUV9QUkVGX0VRVUlUWS4yMDAwLjMvMzEvMjAxOC5MRlIuRi5VU0QuSAEAAACzagAAAwAAAAAAr4blhBQJ1ghlIlaHFAnWCD1DSVEuTkFTREFRQ006VktUWC5JUV9SRVZFTlVFX0VTVC5DWTIwMjAuNi8zMC8yMDE4LkNPTi5GLlVTRC5IAQAAAPK8tQ4CAAAAATABDgAAAAUAAAACMTEBAAAAATACAAAACjEwMDMwOTczNjQDAAAABjEwMDE4MAQAAAABMgYAAAABMAcAAAADMTYwCAAAAAEwCQAAAAExCgAAAAEwCwAAAAsxMDk0NTU2NzIxMgwAAAABNw0AAAAINy8xLzIwMTgQAAAACTYvMzAvMjAxOK+G5YQUCdYIZ+dahxQJ1gg0Q0lRLlNF</t>
  </si>
  <si>
    <t>SEs6MjE4Ni5JUV9FQklUREEuQ1kyMDE3LjYvMzAvMjAxOC5MRlIuRi5VU0QuSAEAAADCgZgAAgAAAAoxODMuMTg1MTc4AQgAAAAFAAAAATEBAAAACjE4ODU0OTUwMDYDAAAAAzE2MAIAAAAENDA1MQQAAAABMAcAAAAJNi8zMC8yMDE4CAAAAAoxMi8zMS8yMDE3CQAAAAEwlAtXhhQJ1ggvcGSHFAnWCD1DSVEuTkFTREFRQ006QVZFTy5JUV9SRVZFTlVFX0VTVC5DWTIwMTkuNi8zMC8yMDE4LkNPTi5GLlVTRC5IAQAAAPQWHQACAAAABzE5LjQyMzUBDgAAAAUAAAACMTEBAAAAATACAAAACjEwMDA3NDgwNzgDAAAABjEwMDE4MAQAAAABMgYAAAABMAcAAAADMTYwCAAAAAEwCQAAAAExCgAAAAEwCwAAAAsxMDg3MTYwOTA1NgwAAAABNw0AAAAINy8xLzIwMTgQAAAACTYvMzAvMjAxOK+G5YQUCdYIZSJWhxQJ1gg4Q0lRLk5BU0RBUUNNOkFWRU8uSVFfVE9UQUxfQ0EuMjAwMC42LzMwLzIwMTguTEZSLkYuVVNELkgBAAAA9BYdAAIAAAAGNDMuNjAyAQgAAAAFAAAAATEBAAAACjE4ODcyMzQyOTUDAAAAAzE2MAIAAAAEMTAwOAQAAAABMAcAAAAJNi8zMC8yMDE4CAAAAAkzLzMxLzIwMTgJAAAAATDGJeOEFAnWCGUiVocUCdYIPENJUS5OQVNEQVFDTTpDT1JULklRX0VBUk5JTkdfQ08uQ1kyMDE2LjYvMzAvMjAxOC5MRlIuRi5VU0QuSAEAAADSuRUAAgAAAAQ4LjE0AQgAAAAFAAAAATEBAAAACjE4NzcxMTEyNTMDAAAA</t>
  </si>
  <si>
    <t>AzE2MAIAAAABNwQAAAABMAcAAAAJNi8zMC8yMDE4CAAAAAoxMi8zMS8yMDE2CQAAAAEwYpJ0hRQJ1giUq1+HFAnWCCxDSVEuSVFUUjExNzgwMzkyMC5JUV9UUl9UT1RBTF9HUk9TU19UVi5VU0QuSAUAAAAAAAAACAAAABooSW52YWxpZCBDdXJyZW5jeSBSZXF1ZXN0KeY7RYIUCdYIe9JmhxQJ1ggaQ0lRLk9UQ1BLOk5FWFMuSVFfRVhDSEFOR0UBAAAAHb1OFAMAAAAFT1RDUEsA5Q/vhBQJ1ggxXlGHFAnWCDJDSVEuT1RDUEs6RU1JUy5JUV9DQVBFWC4xOTkyLjYvMzAvMjAxOC5MRlIuRi5VU0QuSAEAAAA+/QMAAwAAAAAAr4blhBQJ1ghlIlaHFAnWCDtDSVEuTkFTREFRR006Rk9MRC5JUV9FQklUX01BUkdJTi4yMDAwLjYvMzAvMjAxOC5MRlIuRi5VU0QuSAEAAABW9moAAwAAAAJOTQEIAAAABQAAAAExAQAAAAoxODg4NDg0NjUxAwAAAAMxNjACAAAABDQwNTMEAAAAATAHAAAACTYvMzAvMjAxOAgAAAAJMy8zMS8yMDE4CQAAAAEwYpJ0hRQJ1giUq1+HFAnWCDRDSVEuQ1BTRTpOT1ZPIEIuSVFfRUJJVERBLjE5OTIuNi8zMC8yMDE4LkxGUi5GLlVTRC5IAQAAAHzvBAACAAAACzc2ODMuOTU5NTIxAQgAAAAFAAAAATEBAAAACjE4NDAwNjk2NTcDAAAAAzE2MAIAAAAENDA1MQQAAAABMAcAAAAJNi8zMC8yMDE4CAAAAAkzLzMxLzIwMTYJAAAAATCUC1eGFAnWCHvSZocUCdYIKENJUS5OQVNEQVFDTTpDT1JULklR</t>
  </si>
  <si>
    <t>X1RFVi42LzMwLzIwMTguVVNELkgBAAAA0rkVAAIAAAALMTY4Ni4xMzI0MDQBBgAAAAUAAAABMQEAAAAKMTg4ODA5ODgyMAMAAAADMTYwAgAAAAYxMDAwNjAEAAAAATAHAAAACTYvMzAvMjAxOGKSdIUUCdYIlKtfhxQJ1ghDQ0lRLk5ZU0U6TVlPVi5JUV9NSU5PUklUWV9JTlRFUkVTVF9UT1RBTC4yMDAwLjMvMzEvMjAxOC5MRlIuRi5VU0QuSAEAAACX2gsYAwAAAAAAYpJ0hRQJ1giUq1+HFAnWCDZDSVEuTkFTREFRR1M6SVRDSS5JUV9FQklUREEuMTk5Ni42LzMwLzIwMTguTEZSLkYuVVNELkgBAAAAd9GPAAIAAAALLTExNy4zMTU4NjEBCAAAAAUAAAABMQEAAAAKMTg4NjYxNzM2MgMAAAADMTYwAgAAAAQ0MDUxBAAAAAEwBwAAAAk2LzMwLzIwMTgIAAAACTMvMzEvMjAxNwkAAAABMGKSdIUUCdYIZ+dahxQJ1gg9Q0lRLk5BU0RBUUdTOkxYUlguSVFfRUJJVERBX01BUkdJTi4yMDAwLjYvMzAvMjAxOC5MRlIuRi5VU0QuSAEAAAA9eAAAAgAAAAktMTMyLjEwNjIBCAAAAAUAAAABMQEAAAAKMTg4NjU0Mzg3NQMAAAADMTYwAgAAAAQ0MDQ3BAAAAAEwBwAAAAk2LzMwLzIwMTgIAAAACTMvMzEvMjAxOAkAAAABMGKSdIUUCdYIlKtfhxQJ1ggpQ0lRLklRVFI0MDIxMDM5MTkuSVFfQlVTSU5FU1NfREVTQ1JJUFRJT04BAAAAtn09EAMAAADLBUFzIG9mIE1heSAzLCAyMDE2IFZhbGVyaXRhcyBIb2xkaW5ncywgSW5j</t>
  </si>
  <si>
    <t>LiB3YXMgYWNxdWlyZWQgYnkgVmFsZXJpdGFzLCBJbmMuIGluIGEgcmV2ZXJzZSBtZXJnZXIgdHJhbnNhY3Rpb24uIFZhbGVyaXRhcyBIb2xkaW5ncywgSW5jLiwgYSBjb21tZXJjaWFsLXN0YWdlIG1lZGljYWwgdGVjaG5vbG9neSBjb21wYW55LCBkZXZlbG9wcyB0ZWNobm9sb2dpZXMgdG8gdHJlYXQgVHlwZSAyIGRpYWJldGVzLiBUaGUgY29tcGFueeKAmXMgcHJvZHVjdHMgaW5jbHVkZSBWLUdvLCBhIGRpc3Bvc2FibGUgaW5zdWxpbiBkZWxpdmVyeSBkZXZpY2UgdGhhdCBhIHBhdGllbnQgYWRoZXJlcyB0byBza2luIGV2ZXJ5IDI0IGhvdXJzOyBhbmQgaC1QYXRjaCwgYSBjb250cm9sbGVkIGRlbGl2ZXJ5IHRlY2hub2xvZ3kgcGxhdGZvcm0gdXNlZCBpbiBpdHMgVi1HbyBkZXZpY2VzLiBJdCBhbHNvIHByb3ZpZGVzIE1pbmktSmVjdCwgYSBkaXNwb3NhYmxlIG5lZWRsZS1mcmVlIGluamVjdGlvbiBzeXN0ZW0gdGhhdCBvZmZlcnMgYSByYW5nZSBvZiBwcmUtZmlsbGVkIG9wdGlvbnM7IGFuZCBNaWNyby1UcmFucywgYSBtaWNyb25lZWRsZSBhcnJheSBwYXRjaCB0byBkZWxpdmVyIGRydWdzIGludG8gdGhlIGRlcm1pcyBsYXllciBvZiB0aGUgc2tpbi4gVGhlIGNvbXBhbnkgd2FzIGZvdW5kZWQgaW4gMjAwNiBhbmQgaXMgYmFzZWQgaW4gQnJpZGdld2F0ZXIsIE5ldyBKZXJzZXkuDQoA5jtFghQJ</t>
  </si>
  <si>
    <t>1gh70maHFAnWCDlDSVEuTkFTREFRR006TU5LRC5JUV9UT1RBTF9SRVYuMjAwMC42LzMwLzIwMTguTEZSLkYuVVNELkgBAAAAZqWNAAIAAAAGMTEuNjAxAQgAAAAFAAAAATEBAAAACjE4ODk3NzU5OTMDAAAAAzE2MAIAAAACMjgEAAAAATAHAAAACTYvMzAvMjAxOAgAAAAJMy8zMS8yMDE4CQAAAAEw6W1ZhhQJ1gjgDWKHFAnWCEBDSVEuT1RDUEs6UlpMVC5JUV9FQklUREFfNVlSX0FOTl9DQUdSLjIwMDAuNi8zMC8yMDE4LkxGUi5GLlVTRC5IAQAAACEJmwoDAAAAAADlD++EFAnWCIbAU4cUCdYIOUNJUS5DUFNFOk5PVk8gQi5JUV9QUkVGX0VRVUlUWS4yMDAwLjYvMzAvMjAxOC5MRlIuRi5VU0QuSAEAAAB87wQAAwAAAAAAlAtXhhQJ1gh70maHFAnWCDBDSVEuQU1FWDpCVFguSVFfQ0FQRVguMTk5Mi42LzMwLzIwMTguTEZSLkYuVVNELkgBAAAAFmQAAAIAAAAGLTUuODExAQgAAAAFAAAAATEBAAAACjE4NDExODAxNjMDAAAAAzE2MAIAAAAEMjAyMQQAAAABMAcAAAAJNi8zMC8yMDE4CAAAAAkzLzMxLzIwMTYJAAAAATDGJeOEFAnWCGUiVocUCdYIOUNJUS5OQVNEQVFHUzpYRVJTLklRX1RPVEFMX1JFVi4yMDAwLjYvMzAvMjAxOC5MRlIuRi5VU0QuSAEAAADg7k8GAgAAAAUxLjQ2NQEIAAAABQAAAAExAQAAAAoxODkwOTYxNjU1AwAAAAMxNjACAAAAAjI4BAAAAAEwBwAAAAk2LzMwLzIwMTgIAAAACTMvMzEv</t>
  </si>
  <si>
    <t>MjAxOAkAAAABMMYl44QUCdYIZ+dahxQJ1gg9Q0lRLk5BU0RBUUdTOkNZVEsuSVFfUkVWRU5VRV9FU1QuQ1kyMDIwLjYvMzAvMjAxOC5DT04uRi5VU0QuSAEAAACzagAAAgAAAAQzNS45AQ4AAAAFAAAAAjExAQAAAAEwAgAAAAoxMDAxNTg4MTMxAwAAAAYxMDAxODAEAAAAATIGAAAAATAHAAAAAzE2MAgAAAABMAkAAAABMQoAAAABMAsAAAALMTA5NDY0NDUzNjIMAAAAATcNAAAACDcvMS8yMDE4EAAAAAk2LzMwLzIwMTivhuWEFAnWCGUiVocUCdYIIkNJUS5JUVRSNTUyNzIwMjA3LklRX1RSX1RPVEFMX0NBU0gBAAAAT9fxIAIAAAAAAOY7RYIUCdYIe9JmhxQJ1gglQ0lRLklRVFI1NTI3MjAyMDcuSVFfVFJfTUFKX01JTl9TVEFLRQEAAABP1/EgAwAAAAhNYWpvcml0eQDmO0WCFAnWCHvSZocUCdYIPENJUS5OQVNEQVFDTTpCWVNJLklRX0VCSVREQV9FU1QuQ1kyMDE5LjYvMzAvMjAxOC5DT04uRi5VU0QuSAEAAABHz2wYAgAAAAUtNzYuNgEOAAAABQAAAAIxMQEAAAABMAIAAAAKMTAwMzY3OTQ3NQMAAAAGMTAwMTg3BAAAAAEyBgAAAAEwBwAAAAMxNjAIAAAAATAJAAAAATEKAAAAATALAAAACzEwOTM3MTU1Mzc0DAAAAAE3DQAAAAg3LzEvMjAxOBAAAAAJNi8zMC8yMDE4YpJ0hRQJ1ghFSV2HFAnWCDZDSVEuRU5YVFBBOkVSWVAuSVFfRUJJVERBLkNZMjAxNy42LzMwLzIwMTguTEZSLkYuVVNELkgBAAAA2Ip4</t>
  </si>
  <si>
    <t>AQIAAAAJLTM2LjQ1MjkzAQgAAAAFAAAAATEBAAAACjE4ODUyMDQyMTkDAAAAAzE2MAIAAAAENDA1MQQAAAABMAcAAAAJNi8zMC8yMDE4CAAAAAoxMi8zMS8yMDE3CQAAAAEw5Q/vhBQJ1ggxXlGHFAnWCDRDSVEuU0VISzoxNTMwLklRX1RPVEFMX0NBLjE5OTIuNi8zMC8yMDE4LkxGUi5GLlVTRC5IAQAAAO+4cAECAAAACjQyNS41NjI4ODEBCAAAAAUAAAABMQEAAAAKMTgzODE5NzYxNAMAAAADMTYwAgAAAAQxMDA4BAAAAAEwBwAAAAk2LzMwLzIwMTgIAAAACjEyLzMxLzIwMTUJAAAAATCUC1eGFAnWCC9wZIcUCdYILkNJUS5JUVRSMzQwNzA0ODY1LklRX1RSX1RBUkdFVF9TVE9DS1BSRU1JVU1fMVcBAAAAYb5OFAIAAAAAAOY7RYIUCdYIe9JmhxQJ1gg4Q0lRLk5BU0RBUUdTOkxYUlguSVFfVE9UQUxfQ0wuMTk5Ni42LzMwLzIwMTguTEZSLkYuVVNELkgBAAAAPXgAAAIAAAAHMTM3LjA2MQEIAAAABQAAAAExAQAAAAoxODg2NTQzODIwAwAAAAMxNjACAAAABDEwMDkEAAAAATAHAAAACTYvMzAvMjAxOAgAAAAJMy8zMS8yMDE3CQAAAAEwYpJ0hRQJ1giUq1+HFAnWCDlDSVEuTkFTREFRQ006QVZFTy5JUV9OSV9NQVJHSU4uMjAwMC42LzMwLzIwMTguTEZSLkYuVVNELkgBAAAA9BYdAAMAAAACTk0BCAAAAAUAAAABMQEAAAAKMTg4NzIzNDI5NQMAAAADMTYwAgAAAAQ0MDk0BAAAAAEwBwAAAAk2LzMwLzIwMTgI</t>
  </si>
  <si>
    <t>AAAACTMvMzEvMjAxOAkAAAABMMYl44QUCdYIZSJWhxQJ1gg3Q0lRLk5BU0RBUUdTOk9EVC5JUV9UT1RBTF9DQS4xOTkyLjYvMzAvMjAxOC5MRlIuRi5VU0QuSAEAAAAaGkUgAwAAAAAAxiXjhBQJ1ginhFiHFAnWCDtDSVEuTkFTREFRQ006QllTSS5JUV9UT1RBTF9SRVYuQ1kyMDE3LjYvMzAvMjAxOC5MRlIuRi5VU0QuSAEAAABHz2wYAwAAAAAAYpJ0hRQJ1gjENGmHFAnWCDpDSVEuTkFTREFRR1M6WkZHTi5JUV9FQVJOSU5HX0NPLjE5OTIuNi8zMC8yMDE4LkxGUi5GLlVTRC5IAQAAAJfAugECAAAABi03OC41NQEIAAAABQAAAAExAQAAAAoxODQwOTM1OTYzAwAAAAMxNjACAAAAATcEAAAAATAHAAAACTYvMzAvMjAxOAgAAAAJMy8zMS8yMDE2CQAAAAEwxiXjhBQJ1ginhFiHFAnWCDZDSVEuQ1BTRTpOT1ZPIEIuSVFfVE9UQUxfQ0wuMTk5Ni42LzMwLzIwMTguTEZSLkYuVVNELkgBAAAAfO8EAAIAAAALNzAzMS43OTkzNDEBCAAAAAUAAAABMQEAAAAKMTg5MjYyMzkzMAMAAAADMTYwAgAAAAQxMDA5BAAAAAEwBwAAAAk2LzMwLzIwMTgIAAAACTMvMzEvMjAxNwkAAAABMJQLV4YUCdYIe9JmhxQJ1ggtQ0lRLk5BU0RBUUdTOkFQVFguSVFfRElWSURFTkRfWUlFTEQuNi8zMC8yMDE4AQAAAC8pDBQDAAAAAABiknSFFAnWCEVJXYcUCdYIKUNJUS5JUVRSMzcwMDcyMzUzLklRX1RSX0lNUExJRURfRVFfTklfTFRN</t>
  </si>
  <si>
    <t>AQAAACHbDhYDAAAAAk5NAOY7RYIUCdYIe9JmhxQJ1gg1Q0lRLk9UQ1BLOkVNSVMuSVFfVE9UQUxfQ0wuMTk5Ni42LzMwLzIwMTguTEZSLkYuVVNELkgBAAAAPv0DAAIAAAAGMjEuNjkxAQgAAAAFAAAAATEBAAAACjE4NDE4OTg1MjYDAAAAAzE2MAIAAAAEMTAwOQQAAAABMAcAAAAJNi8zMC8yMDE4CAAAAAkzLzMxLzIwMTYJAAAAATCvhuWEFAnWCGUiVocUCdYINUNJUS5OQVNEQVFHTTpNTk9WLklRX0NBUEVYLjE5OTIuNi8zMC8yMDE4LkxGUi5GLlVTRC5IAQAAALhUjQACAAAACS0wLjAyNDMyNQEIAAAABQAAAAExAQAAAAoxODM3OTcxMjczAwAAAAMxNjACAAAABDIwMjEEAAAAATAHAAAACTYvMzAvMjAxOAgAAAAJMy8zMS8yMDE2CQAAAAEwxiXjhBQJ1ginhFiHFAnWCENDSVEuTkFTREFRQ006VktUWC5JUV9FQklUREFfMllSX0FOTl9DQUdSLjIwMDAuNi8zMC8yMDE4LkxGUi5GLlVTRC5IAQAAAPK8tQ4DAAAAAADGJeOEFAnWCGfnWocUCdYIK0NJUS5JUVRSMzcwMDcyMzUzLklRX1RSX1RPVEFMX0dST1NTX1RWLi5VU0QBAAAAIdsOFgIAAAAJNTkuODA2OTIyAQYAAAAFAAAAAjU0AQAAAAYxMDIwODgCAAAACTM3MDA3MjM1MwMAAAAJMzcwMDczNDU3BAAAAAMxNjAGAAAABUZhbHNl5jtFghQJ1gh70maHFAnWCCNDSVEuU0VISzoyMTg2LklRX0JFVEFfNVlSLjYvMzAvMjAxOAEAAADCgZgAAgAAABEwLjgw</t>
  </si>
  <si>
    <t>NDQyMzkzODgyMzkxOADpbVmGFAnWCC9wZIcUCdYIPENJUS5OQVNEQVFHTTpSWVRNLklRX1RPVEFMX0VRVUlUWS4yMDAwLjYvMzAvMjAxOC5MRlIuRi5VU0QuSAEAAAAYyW0SAgAAAAcxMzMuNjU4AQgAAAAFAAAAATEBAAAACjE4ODg5MTE0NzADAAAAAzE2MAIAAAAEMTI3NQQAAAABMAcAAAAJNi8zMC8yMDE4CAAAAAkzLzMxLzIwMTgJAAAAATBiknSFFAnWCEVJXYcUCdYIM0NJUS5BTUVYOkJUWC5JUV9UT1RBTF9DTC4xOTk2LjYvMzAvMjAxOC5MRlIuRi5VU0QuSAEAAAAWZAAAAgAAAAQ4LjgyAQgAAAAFAAAAATEBAAAACjE4ODc5ODAxNTcDAAAAAzE2MAIAAAAEMTAwOQQAAAABMAcAAAAJNi8zMC8yMDE4CAAAAAkzLzMxLzIwMTcJAAAAATDGJeOEFAnWCGUiVocUCdYIJUNJUS5JUVRSMzg0MDI4NDk2LklRX1BSSU1BUllfSU5EVVNUUlkBAAAAH00pAAMAAAANQmlvdGVjaG5vbG9neQDmO0WCFAnWCHvSZocUCdYINUNJUS5PVENQSzpCVEhFLklRX1RPVEFMX0NBLjE5OTIuNi8zMC8yMDE4LkxGUi5GLlVTRC5IAQAAAG+duQUCAAAACDAuMjI1MzI4AQgAAAAFAAAAATEBAAAACjE4NDEzNDc2NzADAAAAAzE2MAIAAAAEMTAwOAQAAAABMAcAAAAJNi8zMC8yMDE4CAAAAAkzLzMxLzIwMTYJAAAAATDlD++EFAnWCIbAU4cUCdYII0NJUS5TRUhLOjM5MzMuSVFfQkVUQV8xWVIuNi8zMC8yMDE4AQAAAE3aEQICAAAA</t>
  </si>
  <si>
    <t>ETAuNTk2NTI5NjExNzQ0MzgyAOltWYYUCdYI4A1ihxQJ1ghFQ0lRLlNIU0U6NjAwODY3LklRX01JTk9SSVRZX0lOVEVSRVNUX1RPVEFMLjIwMDAuNi8zMC8yMDE4LkxGUi5GLlVTRC5IAQAAANg+rgACAAAACDEuNDk1Nzk0AQgAAAAFAAAAATEBAAAACjE4ODUxNDYyNzMDAAAAAzE2MAIAAAAEMTMxMgQAAAABMAcAAAAJNi8zMC8yMDE4CAAAAAkzLzMxLzIwMTgJAAAAATBiknSFFAnWCOANYocUCdYINUNJUS5OQVNEQVFHTTpNTk9WLklRX0NBUEVYLjIwMDAuNi8zMC8yMDE4LkxGUi5GLlVTRC5IAQAAALhUjQACAAAACS0wLjAwODU4NAEIAAAABQAAAAExAQAAAAoxODg0NjQ0MjI4AwAAAAMxNjACAAAABDIwMjEEAAAAATAHAAAACTYvMzAvMjAxOAgAAAAJMy8zMS8yMDE4CQAAAAEwxiXjhBQJ1ginhFiHFAnWCD5DSVEuTkFTREFRQ006QVZFTy5JUV9UT1RBTF9FUVVJVFkuQ1kyMDE2LjYvMzAvMjAxOC5MRlIuRi5VU0QuSAEAAAD0Fh0AAgAAAAYtMS45MjMBCAAAAAUAAAABMQEAAAAKMTg3ODA4MjY1MAMAAAADMTYwAgAAAAQxMjc1BAAAAAEwBwAAAAk2LzMwLzIwMTgIAAAACjEyLzMxLzIwMTYJAAAAATDGJeOEFAnWCGUiVocUCdYIK0NJUS5JUVRSMTcxOTMwNTM0LklRX1RSX1RPVEFMX0dST1NTX1RWLi5VU0QBAAAApnM/CgIAAAAAAOY7RYIUCdYIe9JmhxQJ1gg9Q0lRLk5BU0RBUUdTOk9EVC5JUV9DQVNI</t>
  </si>
  <si>
    <t>X1NUX0lOVkVTVC4yMDAwLjYvMzAvMjAxOC5MRlIuRi5VU0QuSAEAAAAaGkUgAgAAAAcxOTUuMjQ2AQgAAAAFAAAAATEBAAAACjE4ODYzMDE0OTgDAAAAAzE2MAIAAAAEMTAwMgQAAAABMAcAAAAJNi8zMC8yMDE4CAAAAAkzLzMxLzIwMTgJAAAAATDGJeOEFAnWCGfnWocUCdYIQkNJUS4oSU5WQUxJRCBJREVOVElGSUVSKS5JUV9UT1RBTF9SRVYuQ1kyMDE3LjYvMzAvMjAxOC5MRlIuRi5VU0QuSAUAAAAAAAAACAAAABQoSW52YWxpZCBJZGVudGlmaWVyKeUP74QUCdYIMV5RhxQJ1gg4Q0lRLkVOWFRQQTpFUllQLklRX0VBUk5JTkdfQ08uMTk5Ni42LzMwLzIwMTguTEZSLkYuVVNELkgBAAAA2Ip4AQIAAAAJLTIzLjEzMjA2AQgAAAAFAAAAATEBAAAACjE4ODUyMDQzNjkDAAAAAzE2MAIAAAABNwQAAAABMAcAAAAJNi8zMC8yMDE4CAAAAAoxMi8zMS8yMDE2CQAAAAEw5Q/vhBQJ1ggxXlGHFAnWCDRDSVEuU0VISzozOTMzLklRX1RPVEFMX0NBLjE5OTYuNi8zMC8yMDE4LkxGUi5GLlVTRC5IAQAAAE3aEQICAAAACTgyOS4xNjkxNAEIAAAABQAAAAExAQAAAAoxODg1NzM5MTk5AwAAAAMxNjACAAAABDEwMDgEAAAAATAHAAAACTYvMzAvMjAxOAgAAAAKMTIvMzEvMjAxNgkAAAABMOltWYYUCdYI4A1ihxQJ1ghAQ0lRLihJTlZBTElEIElERU5USUZJRVIpLklRX1RPVEFMX1JFVi4yMDAwLjYvMzAvMjAxOC5MRlIu</t>
  </si>
  <si>
    <t>Ri5VU0QuSAUAAAAAAAAACAAAABQoSW52YWxpZCBJZGVudGlmaWVyKeUP74QUCdYIMV5RhxQJ1gg1Q0lRLkVOWFRQQTpFUllQLklRX1BFUklPRERBVEVfSVMuMjAwMC42LzMwLzIwMTguTEZSLkYBAAAA2Ip4AQUAAAAKMTIvMzEvMjAxNwDlD++EFAnWCDFeUYcUCdYILENJUS5JUVRSMzcwMDcyMzUzLklRX1RSX1RPVEFMX0dST1NTX1RWLlVTRC5IBQAAAAAAAAAIAAAAGihJbnZhbGlkIEN1cnJlbmN5IFJlcXVlc3Qp5jtFghQJ1gh70maHFAnWCDhDSVEuTkFTREFRR1M6WkZHTi5JUV9FQklUREEuQ1kyMDE3LjYvMzAvMjAxOC5MRlIuRi5VU0QuSAEAAACXwLoBAgAAAActNTIuODExAQgAAAAFAAAAATEBAAAACjE4Nzg3ODk0MTQDAAAAAzE2MAIAAAAENDA1MQQAAAABMAcAAAAJNi8zMC8yMDE4CAAAAAoxMi8zMS8yMDE3CQAAAAEwxiXjhBQJ1ginhFiHFAnWCDVDSVEuTkFTREFRR006Rk9MRC5JUV9DQVBFWC4xOTk2LjYvMzAvMjAxOC5MRlIuRi5VU0QuSAEAAABW9moAAgAAAAYtMy44MDUBCAAAAAUAAAABMQEAAAAKMTg4ODQ4NDYxOQMAAAADMTYwAgAAAAQyMDIxBAAAAAEwBwAAAAk2LzMwLzIwMTgIAAAACTMvMzEvMjAxNwkAAAABMGKSdIUUCdYIlKtfhxQJ1ggnQ0lRLk5BU0RBUUdTOlpGR04uSVFfUEVSSU9EREFURV9JUy4xMDAwAQAAAJfAugEFAAAACjEyLzMxLzIwMTcAxiXjhBQJ1ginhFiHFAnWCCVD</t>
  </si>
  <si>
    <t>SVEuSVFUUjE3MTkzMDUzNC5JUV9UUl9JTVBMSUVEX0VRX0JWAQAAAKZzPwoCAAAAAADmO0WCFAnWCHvSZocUCdYIHUNJUS5TRUhLOjM5MzMuSVFfQ09NUEFOWV9OQU1FAQAAAE3aEQIDAAAANlRoZSBVbml0ZWQgTGFib3JhdG9yaWVzIEludGVybmF0aW9uYWwgSG9sZGluZ3MgTGltaXRlZACUC1eGFAnWCC9wZIcUCdYIPENJUS5OQVNEQVFHUzpaRkdOLklRX0VCSVREQV9FU1QuQ1kyMDE5LjYvMzAvMjAxOC5DT04uRi5VU0QuSAEAAACXwLoBAwAAAAAAr4blhBQJ1ginhFiHFAnWCDlDSVEuTkFTREFRQ006Q09SVC5JUV9OSV9NQVJHSU4uMjAwMC42LzMwLzIwMTguTEZSLkYuVVNELkgBAAAA0rkVAAIAAAAHNzUuMTMwNgEIAAAABQAAAAExAQAAAAoxODg4MDk5NTQ0AwAAAAMxNjACAAAABDQwOTQEAAAAATAHAAAACTYvMzAvMjAxOAgAAAAJMy8zMS8yMDE4CQAAAAEwYpJ0hRQJ1giUq1+HFAnWCCRDSVEuQU1FWDpCVFguSVFfQlVTSU5FU1NfREVTQ1JJUFRJT04BAAAAFmQAAAMAAADLDUJpb1RpbWUsIEluYy4sIGEgY2xpbmljYWwtc3RhZ2UgYmlvdGVjaG5vbG9neSBjb21wYW55LCBmb2N1c2VzIG9uIGRldmVsb3BpbmcgYW5kIGNvbW1lcmNpYWxpemluZyBwcm9kdWN0cyBhZGRyZXNzaW5nIGRlZ2VuZXJhdGl2ZSBkaXNlYXNlcyBiYXNlZCBvbiBwbHVyaXBvdGVudCBzdGVtIGNlbGxzIGFuZCBIeVN0ZW0g</t>
  </si>
  <si>
    <t>Y2VsbC9kcnVnIGRlbGl2ZXJ5IHBsYXRmb3JtIHRlY2hub2xvZ2llcyBwcmltYXJpbHkgaW4gdGhlIFVuaXRlZCBTdGF0ZXMgYW5kIElzcmFlbC4gVGhlIGNvbXBhbnnigJlzIGxlYWQgcHJvZHVjdCBjYW5kaWRhdGVzIGluY2x1ZGUgT3BSZWdlbiwgYSByZXRpbmFsIHBpZ21lbnQgZXBpdGhlbGl1bSBjZWxsIHJlcGxhY2VtZW50IHRoZXJhcHksIHdoaWNoIGlzIGluIFBoYXNlIEkvSUlhIG11bHRpY2VudGVyIHRyaWFsIGZvciB0aGUgdHJlYXRtZW50IG9mIHRoZSBkcnkgYWdlLXJlbGF0ZWQgbWFjdWxhciBkZWdlbmVyYXRpb247IGFuZCBSZW5ldmlhLCBhIGZhY2lhbCBhZXN0aGV0aWNzIHByb2R1Y3QgdGhhdCBpcyBpbiBwaXZvdGFsIGNsaW5pY2FsIHRyaWFsIGZvciB0aGUgdHJlYXRtZW50IG9mIEhJVi1hc3NvY2lhdGVkIGZhY2lhbCBsaXBvYXRyb3BoeS4gSXQgYWxzbyBkZXZlbG9wcyBQcmVtdmlhLCBhIEh5U3RlbSBoeWRyb2dlbCBmb3JtdWxhdGlvbiBmb3IgdXNlIGluIHRoZSB0cmVhdG1lbnQgb2YgYWdlLXJlbGF0ZWQgZmFjaWFsIGxpcG9hdHJvcGh5LCBhcyB3ZWxsIGFzIGZvciB0aGUgbWFuYWdlbWVudCBvZiB3b3VuZHMsIGluY2x1ZGluZyBwYXJ0aWFsIGFuZCBmdWxsLXRoaWNrbmVzcyB3b3VuZHMsIHVsY2VycywgdHVubmVsZWQvdW5kZXJtaW5lZCB3b3VuZHMsIHN1cmdpY2FsIHdv</t>
  </si>
  <si>
    <t>dW5kcywgYW5kIGJ1cm5zOyBhbmQgUmVHbHlkZSwgYSBIeVN0ZW0gcHJvZHVjdCBpbiBwcmVjbGluaWNhbCBkZXZlbG9wbWVudCBhcyBhIGRldmljZSBmb3IgdmlzY29zdXBwbGVtZW50YXRpb24sIGFuZCBhcyBhIHBsYXRmb3JtIGZvciBpbnRyYWFydGljdWxhciBkcnVnIGRlbGl2ZXJ5IGluIG9zdGVvYXJ0aHJpdGlzLiBJbiBhZGRpdGlvbiwgdGhlIGNvbXBhbnkgdGhyb3VnaCBpdHMgc3Vic2lkaWFyeSwgQWdlWCBUaGVyYXBldXRpY3MsIEluYy4sIGRldmVsb3BzIEFHRVgtQkFUMSB0aGF0IGNvbnNpc3RzIG9mIHBsdXJpcG90ZW50IHN0ZW0gY2VsbC1kZXJpdmVkIGJyb3duIGFkaXBvY3l0ZXMgZm9yIHRoZSB0cmVhdG1lbnQgb2YgdHlwZSAyIGRpYWJldGVzOyBBR0VYLVZBU0MxLCB3aGljaCBjb25zaXN0cyBvZiB2YXNjdWxhciBwcm9nZW5pdG9ycyB0YXJnZXRpbmcgY2FyZGlhYyBpc2NoZW1pYTsgYW5kIGluZHVjZWQgdGlzc3VlIHJlZ2VuZXJhdGlvbiwgYSBzeXN0ZW1pYyB0aGVyYXB5IGZvciBpbmR1Y2luZyB0aGUgc2NhciBsZXNzIHJlZ2VuZXJhdGlvbiBvZiB0aXNzdWVzLiBGdXJ0aGVyLCBpdCBtYXJrZXRzIEdlbmVDYXJkcywgYSBodW1hbiBnZW5lIGRhdGFiYXNlOyBNYWxhQ2FyZHMsIGEgaHVtYW4gZGlzZWFzZSBkYXRhYmFzZTsgYW5kIEhleHRlbmQsIGEgcGxhc21hIHZvbHVtZSBl</t>
  </si>
  <si>
    <t>eHBhbmRlciB1c2VkIHRvIHRyZWF0IG9yIHByZXZlbnQgaHlwb3ZvbGVtaWEsIGluY2x1ZGluZyBhbGJ1bWluLCBnZW5lcmljIDYlIGhldGFzdGFyY2ggc29sdXRpb25zLCBhbmQgY3J5c3RhbGxvaWQgc29sdXRpb25zLiBCaW9UaW1lLCBJbmMuIHdhcyBmb3VuZGVkIGluIDE5OTAgYW5kIGlzIGJhc2VkIGluIEFsYW1lZGEsIENhbGlmb3JuaWEuAMYl44QUCdYIZSJWhxQJ1ggjQ0lRLklRVFIzMDY3NTEwOTYuSVFfVFJfQ0xPU0VEX0RBVEUBAAAAeKZIEgUAAAAJOC8yNy8yMDE1AOY7RYIUCdYIv1rIghQJ1gg7Q0lRLk5BU0RBUUdTOlhFUlMuSVFfVE9UQUxfUkVWLkNZMjAxNy42LzMwLzIwMTguTEZSLkYuVVNELkgBAAAA4O5PBgIAAAAFMS41NTYBCAAAAAUAAAABMQEAAAAKMTg5MDk2MTY0NwMAAAADMTYwAgAAAAIyOAQAAAABMAcAAAAJNi8zMC8yMDE4CAAAAAoxMi8zMS8yMDE3CQAAAAEwxiXjhBQJ1ghn51qHFAnWCDNDSVEuQ1BTRTpOT1ZPIEIuSVFfQ0FQRVguMTk5Ni42LzMwLzIwMTguTEZSLkYuVVNELkgBAAAAfO8EAAIAAAAMLTEwOTAuMDc3NzIxAQgAAAAFAAAAATEBAAAACjE4OTI2MjM5MzADAAAAAzE2MAIAAAAEMjAyMQQAAAABMAcAAAAJNi8zMC8yMDE4CAAAAAkzLzMxLzIwMTcJAAAAATCUC1eGFAnWCHvSZocUCdYIOUNJUS5OQVNEQVFHUzpOSVRFLklRX1RPVEFMX1JFVi4yMDAwLjYvMzAv</t>
  </si>
  <si>
    <t>MjAxOC5MRlIuRi5VU0QuSAEAAAAM0xgQAwAAAAAAxiXjhBQJ1ginhFiHFAnWCEBDSVEuKElOVkFMSUQgSURFTlRJRklFUikuSVFfVE9UQUxfUkVWLjE5OTYuNi8zMC8yMDE4LkxGUi5GLlVTRC5IBQAAAAAAAAAIAAAAFChJbnZhbGlkIElkZW50aWZpZXIp5Q/vhBQJ1ggxXlGHFAnWCDdDSVEuT1RDUEs6TkVYUy5JUV9FQVJOSU5HX0NPLjE5OTIuNi8zMC8yMDE4LkxGUi5GLlVTRC5IAQAAAB29ThQDAAAAAADlD++EFAnWCDFeUYcUCdYINUNJUS5OQVNEQVFHUzpBUFRYLklRX0RBX0NGLjIwMDAuNi8zMC8yMDE4LkxGUi5GLlVTRC5IAQAAAC8pDBQCAAAABDAuNDUBCAAAAAUAAAABMQEAAAAKMTg5MDg1MTM5MQMAAAADMTYwAgAAAAQyMTYwBAAAAAEwBwAAAAk2LzMwLzIwMTgIAAAACTMvMzEvMjAxOAkAAAABMGKSdIUUCdYIRUldhxQJ1gg9Q0lRLk5BU0RBUUdNOk1OT1YuSVFfUkVWRU5VRV9FU1QuQ1kyMDE4LjYvMzAvMjAxOC5DT04uRi5VU0QuSAEAAAC4VI0AAgAAAAEwAQ4AAAAFAAAAAjExAQAAAAEwAgAAAAoxMDAwNTkzNjE0AwAAAAYxMDAxODAEAAAAATIGAAAAATAHAAAAAzE2MAgAAAABMAkAAAABMQoAAAABMAsAAAALMTA5NTAwNTQxMDAMAAAAATcNAAAACDcvMS8yMDE4EAAAAAk2LzMwLzIwMTivhuWEFAnWCKeEWIcUCdYIPENJUS5OQVNEQVFHTTpWVFZULklRX0VCSVREQV9FU1QuQ1kyMDE5LjYv</t>
  </si>
  <si>
    <t>MzAvMjAxOC5DT04uRi5VU0QuSAEAAAAdox8SAwAAAAAA5Q/vhBQJ1giGwFOHFAnWCDlDSVEuTkFTREFRR1M6Q0JBWS5JUV9OSV9NQVJHSU4uMjAwMC42LzMwLzIwMTguTEZSLkYuVVNELkgBAAAAwHoAAAMAAAACTk0BCAAAAAUAAAABMQEAAAAKMTg4NzQ0NTA4NAMAAAADMTYwAgAAAAQ0MDk0BAAAAAEwBwAAAAk2LzMwLzIwMTgIAAAACTMvMzEvMjAxOAkAAAABMGKSdIUUCdYIZ+dahxQJ1ggpQ0lRLk9UQ1BLOkJUSEUuSVFfTEFTVFNBTEVQUklDRS4zLzMxLzIwMTgBAAAAb525BQIAAAAFMC4wNzgA5Q/vhBQJ1giGwFOHFAnWCDlDSVEuTkFTREFRR1M6WkZHTi5JUV9UT1RBTF9SRVYuMTk5Mi42LzMwLzIwMTguTEZSLkYuVVNELkgBAAAAl8C6AQMAAAAAAMYl44QUCdYIp4RYhxQJ1ghGQ0lRLk5BU0RBUUdTOk5JVEUuSVFfVE9UQUxfUkVWXzJZUl9BTk5fQ0FHUi4yMDAwLjYvMzAvMjAxOC5MRlIuRi5VU0QuSAEAAAAM0xgQAwAAAAAAxiXjhBQJ1ginhFiHFAnWCDhDSVEuTkFTREFRR006TU5LRC5JUV9UT1RBTF9DQS4xOTkyLjYvMzAvMjAxOC5MRlIuRi5VU0QuSAEAAABmpY0AAgAAAAY0NC4xNDMBCAAAAAUAAAABMQEAAAAKMTg0MTE3MTIyOAMAAAADMTYwAgAAAAQxMDA4BAAAAAEwBwAAAAk2LzMwLzIwMTgIAAAACTMvMzEvMjAxNgkAAAABMOltWYYUCdYI4A1ihxQJ1ggxQ0lRLklRVFIzODQwMjg0OTYu</t>
  </si>
  <si>
    <t>SVFfVFJfVEFSR0VUX1JFVkVOVUVfRVNULi5VU0QuSAEAAABQz+MWAgAAAAYwLjEzNDUA5jtFghQJ1gh70maHFAnWCClDSVEuTkFTREFRR1M6Q0JBWS5JUV9CVVNJTkVTU19ERVNDUklQVElPTgEAAADAegAAAwAAAM8KQ3ltYUJheSBUaGVyYXBldXRpY3MsIEluYy4sIGEgY2xpbmljYWwtc3RhZ2UgYmlvcGhhcm1hY2V1dGljYWwgY29tcGFueSwgZm9jdXNlcyBvbiBkZXZlbG9waW5nIGFuZCBwcm92aWRpbmcgdGhlcmFwaWVzIHRvIHRyZWF0IGxpdmVyIGFuZCBvdGhlciBjaHJvbmljIGRpc2Vhc2VzLiBJdHMgbGVhZCBwcm9kdWN0IGNhbmRpZGF0ZSBpcyBzZWxhZGVscGFyLCBhIHNlbGVjdGl2ZSBhZ29uaXN0IG9mIHBlcm94aXNvbWUgcHJvbGlmZXJhdG9yLWFjdGl2YXRlZCByZWNlcHRvciBkZWx0YSwgd2hpY2ggaGFzIGNvbXBsZXRlZCBQaGFzZSBJSSBjbGluaWNhbCBzdHVkeSBmb3IgdGhlIHRyZWF0bWVudCBvZiBwcmltYXJ5IGJpbGlhcnkgY2hvbGFuZ2l0aXMsIGFzIHdlbGwgYXMgcGF0aWVudHMgd2l0aCBub25hbGNvaG9saWMgc3RlYXRvaGVwYXRpdGlzLiBUaGUgY29tcGFueSBhbHNvIGRldmVsb3BzIGFyaGFsb2ZlbmF0ZSwgd2hpY2ggaGFzIGNvbXBsZXRlZCBmaXZlIFBoYXNlIElJIGNsaW5pY2FsIHRyaWFscyBmb3IgdGhlIHRyZWF0bWVudCBvZiBwYXRpZW50cyB3aXRoIGdvdXQ7IGFu</t>
  </si>
  <si>
    <t>ZCBNQlgtMjk4MiwgYW4gb3JhbCBHLXByb3RlaW4gY291cGxlZCByZWNlcHRvciBhZ29uaXN0IHRoYXQgaGFzIGNvbXBsZXRlZCBvbmUgUGhhc2UgSUkgY2xpbmljYWwgdHJpYWwgZm9yIHRoZXJhcGV1dGljIGluZGljYXRpb25zLiBJdCBoYXMgbGljZW5zaW5nIGFncmVlbWVudCB3aXRoIEtvd2EgUGhhcm1hY2V1dGljYWxzIEFtZXJpY2EsIEluYy4gZm9yIHRoZSBkZXZlbG9wbWVudCBhbmQgY29tbWVyY2lhbGl6YXRpb24gb2YgYXJoYWxvZmVuYXRlIGluIHRoZSBVbml0ZWQgU3RhdGVzOyBhbmQgSmFuc3NlbiBQaGFybWFjZXV0aWNhbHMsIEluYy4gdG8gZGV2ZWxvcCBhbmQgZGlzY292ZXIgdW5kaXNjbG9zZWQgbWV0YWJvbGljIGRpc2Vhc2UgdGFyZ2V0IGFnb25pc3RzIGZvciB0aGUgdHJlYXRtZW50IG9mIHR5cGUgSUkgZGlhYmV0ZXMgYW5kIG90aGVyIGRpc29yZGVycywgYXMgd2VsbCBhcyBhIGxpY2Vuc2UgYW5kIGRldmVsb3BtZW50IGFncmVlbWVudCB3aXRoIERpYVRleCwgSW5jLiB0byBkZXZlbG9wIGFuZCBjb21tZXJjaWFsaXplIHRoZXJhcGV1dGljIHByb2R1Y3RzIGNvbXJwcmlzaW5nIGhhbG9mZW5hdGUgYW5kIGl0cyBlbmFudGlvbWVycywgZGVyaXZhdGl2ZXMsIGFuZCBhbmFsb2dzIGZvciB0aGUgdHJlYXRtZW50IG9mIGRpc2Vhc2VzLiBUaGUgY29tcGFueSB3YXMgZm9ybWVybHkg</t>
  </si>
  <si>
    <t>a25vd24gYXMgTWV0YWJvbGV4LCBJbmMuIEN5bWFCYXkgVGhlcmFwZXV0aWNzLCBJbmMuIHdhcyBpbmNvcnBvcmF0ZWQgaW4gMTk4OCBhbmQgaXMgaGVhZHF1YXJ0ZXJlZCBpbiBOZXdhcmssIENhbGlmb3JuaWEuAGKSdIUUCdYIZ+dahxQJ1ggnQ0lRLk5BU0RBUUNNOlZLVFguSVFfUEVSSU9EREFURV9JUy4xMDAwAQAAAPK8tQ4FAAAACjEyLzMxLzIwMTcAYpJ0hRQJ1ghn51qHFAnWCClDSVEuSVFUUjE3MjYyMTQ3MS5JUV9CVVNJTkVTU19ERVNDUklQVElPTgEAAADCgZgAAwAAAL8PTHV5ZSBQaGFybWEgR3JvdXAgTHRkLiwgYW4gaW52ZXN0bWVudCBob2xkaW5nIGNvbXBhbnksIGRldmVsb3BzLCBwcm9kdWNlcywgbWFya2V0cywgYW5kIHNlbGxzIHBoYXJtYWNldXRpY2FsIHByb2R1Y3RzLiBUaGUgY29tcGFueSBvZmZlcnMgTWFpdG9uZ25hIGZvciBjZXJlYnJhbCBlZGVtYSBhbmQgZWRlbWEgY2F1c2VkIGJ5IHRyYXVtYTsgWHVlemhpa2FuZywgYSBibG9vZCBsaXBpZCByZWd1bGF0b3IgY2Fwc3VsZTsgVGlhbmRpZGEgZm9yIG92YXJpYW4gb3Igbm9uLXNtYWxsIGNlbGwgbHVuZyBjYW5jZXI7IFlpdGFpZGEgZm9yIGFjdXRlIHByb215ZWxvY3l0aWMgbGV1a2VtaWEgYW5kIGxpdmVyIGNhbmNlcjsgQ01OYSBmb3IgdHVtb3IgcmFkaW90aGVyYXB5OyBMSVBVU1UgZm9yIG92YXJpYW4sIG1ldGFzdGF0</t>
  </si>
  <si>
    <t>aWMgb3ZhcmlhbiwgYnJlYXN0LCBhbmQgbm9uLXNtYWxsLWNlbGwgbHVuZyBjYW5jZXIgcGF0aWVudDsgTnVvc2VuIGZvciBhY3V0ZSB1cHBlciBkaWdlc3RpdmUgdHJhY3QgaGVtb3JyaGFnZTsgQmVpIFRhbmcgTmluZywgYSBjYXBzdWxlIHRvIGNvbnRyb2wgYmxvb2QgZ2x1Y29zZSBpbiBwYXRpZW50cyB3aXRoIHR5cGUgMiBkaWFiZXRlczsgQmVpIFhpLCBhbiBhY2FyYm9zZSBjYXBzdWxlIGZvciBkaWFiZXRlczsgYW5kIExVVElOR05VTywgcmVkdWNlZCBnbHV0YXRoaW9uZSBpbmplY3Rpb24gZm9yIHRveGljaXR5LCBhbmQgaW5qdXJpZXMgY2F1c2VkIGJ5IGlvbml6aW5nIHJhZGlhdGlvbiwgYXMgd2VsbCBhcyBmb3IgaHlwb3hlbWlhLiBJdCBhbHNvIHByb3ZpZGVzIEdsdWNvc2FtaW5lIEh5ZHJvY2hsb3JpZGUgdGFibGV0cyBmb3Igb3N0ZW9hcnRocml0aXM7IFhpIE1pbmcgVGluZyBsYXJnZXRyaWZvbGlvbGlvdXMgYnVnYmFuZSByaGl6b21lIHRvdGFsIHNhcG9uaW4gdGFibGV0cyBmb3IgaW52aWdvcmF0aW5nIHNwbGVuaWMgeWFuZyBhbmQgcmVsaWV2aW5nIGRlcHJlc3Npb24sIGFuZCB0cmVhdGluZyBwZXJpbWVub3BhdXNhbCBzeW5kcm9tZSBpbiBmZW1hbGVzLCBhcyB3ZWxsIGFzIGltcHJvdmluZyB0aGUgc3ltcHRvbXMgb2YgaG90IGZsYXNoZXMsIHN3ZWF0aW5nLCBpcnJpdGFiaWxp</t>
  </si>
  <si>
    <t>dHksIGluc29tbmlhLCBoeXBvY2hvbmRyaWFjIHBhaW4sIGRpenppbmVzcyBhbmQgdGlubml0dXMsIGFjaGluZyBwYWluIG9mIHdhaXN0IGFuZCBrbmVlLCBtZWxhbmNob2x5LCB1bmhhcHB5LCBldGMuIEluIGFkZGl0aW9uLCB0aGUgY29tcGFueSBwcm92aWRlcyBPdWthaSBzb2RpdW0gYWVzY2luYXRlIHRhYmxldHMgZm9yIHNvZnQgdGlzc3VlIHN3ZWxsaW5nIGFuZCB2ZW5vdXMgZWRlbWE7IE91bGFpLCBhIGNvbXBvdW5kIHNvZGl1bSBhZXNjaW5hdGUgZ2VsIGZvciBsb2NhbCBzd2VsbGluZyBpbmR1Y2VkIGJ5IGluZmxhbW1hdGlvbiwgZGVnZW5lcmF0aXZlIGxlc2lvbiwgYW5kIHRyYXVtYTsgU2lkaW51byBmb3Igb3N0ZW9wb3Jvc2lzIGFuZCByZWxpZXZpbmcgcGFpbiBpbmR1Y2VkIGJ5IG9zdGVvcG9yb3NpczsgT3V0b25nLCBhIGNhcHNhaWNpbiBnZWw7IGFuZCBKaW5zaXBpbmcgc2VsZWdpbGluZSBoeWRyb2NobG9yaWRlIHRhYmxldHMgZm9yIFBhcmtpbnNvbuKAmXMgZGlzZWFzZS4gRnVydGhlciwgaXQgZGlzdHJpYnV0ZXMsIHNlbGxzLCBhbmQgcmV0YWlscyBwaGFybWFjZXV0aWNhbCBkcnVnczsgbWFudWZhY3R1cmVzIGFuZCBzZWxscyBlZ2dzOyBhbmQgcHJvdmlkZXMgYnVzaW5lc3MgYW5kIGludmVzdG1lbnQgY29uc3VsdGF0aW9uLCBhcyB3ZWxsIGFzIGNvbnRyYWN0IHJlc2VhcmNo</t>
  </si>
  <si>
    <t>LCBwcm9jZXNzIGRldmVsb3BtZW50LCBhbmQgbWFudWZhY3R1cmluZyBzZXJ2aWNlcy4gVGhlIGNvbXBhbnkgaGFzIHN0cmF0ZWdpYyBjb2xsYWJvcmF0aW9uIHdpdGggRXhjZWwgQmlvUGhhcm0gTExDLiBUaGUgY29tcGFueSB3YXMgZm91bmRlZCBpbiAxOTk0IGFuZCBpcyBoZWFkcXVhcnRlcmVkIGluIFlhbnRhaSwgdGhlIFBlb3BsZeKAmXMgUmVwdWJsaWMgb2YgQ2hpbmEuAOY7RYIUCdYIe9JmhxQJ1gg5Q0lRLk5BU0RBUUdTOk9EVC5JUV9FQVJOSU5HX0NPLjE5OTYuNi8zMC8yMDE4LkxGUi5GLlVTRC5IAQAAABoaRSACAAAABi01LjcyNgEIAAAABQAAAAExAQAAAAoxODg2MzAxNDg1AwAAAAMxNjACAAAAATcEAAAAATAHAAAACTYvMzAvMjAxOAgAAAAJMy8zMS8yMDE3CQAAAAEwxiXjhBQJ1ginhFiHFAnWCCNDSVEuQ1BTRTpaRUFMLklRX0JFVEFfMVlSLjYvMzAvMjAxOAEAAAAiWxMAAgAAABEwLjYyMDM4OTg0Mzc2MDYyNgBiknSFFAnWCOANYocUCdYIJUNJUS5JUVRSMzA2NzUxMDk2LklRX1RSX01BSl9NSU5fU1RBS0UBAAAAeKZIEgMAAAAITWFqb3JpdHkA5jtFghQJ1gh70maHFAnWCDlDSVEuTkFTREFRR1M6WEVSUy5JUV9OSV9NQVJHSU4uMjAwMC42LzMwLzIwMTguTEZSLkYuVVNELkgBAAAA4O5PBgMAAAACTk0BCAAAAAUAAAABMQEAAAAKMTg5MDk2MTY1NQMAAAADMTYwAgAAAAQ0MDk0BAAA</t>
  </si>
  <si>
    <t>AAEwBwAAAAk2LzMwLzIwMTgIAAAACTMvMzEvMjAxOAkAAAABMMYl44QUCdYIZ+dahxQJ1ggpQ0lRLk5BU0RBUUNNOlZLVFguSVFfQlVTSU5FU1NfREVTQ1JJUFRJT04BAAAA8ry1DgMAAADTCFZpa2luZyBUaGVyYXBldXRpY3MsIEluYy4sIGEgY2xpbmljYWwtc3RhZ2UgYmlvcGhhcm1hY2V1dGljYWwgY29tcGFueSwgZm9jdXNlcyBvbiB0aGUgZGV2ZWxvcG1lbnQgb2Ygbm92ZWwgdGhlcmFwaWVzIGZvciBtZXRhYm9saWMgYW5kIGVuZG9jcmluZSBkaXNvcmRlcnMuIEl0cyBsZWFkIGNsaW5pY2FsIHByb2dyYW0sIFZLNTIxMSwgaXMgYW4gb3JhbGx5IGF2YWlsYWJsZSwgbm9uLXN0ZXJvaWRhbCBzZWxlY3RpdmUgYW5kcm9nZW4gcmVjZXB0b3IgbW9kdWxhdG9yIGluIFBoYXNlIElJIGRldmVsb3BtZW50IGZvciB0aGUgdHJlYXRtZW50IG9mIHBhdGllbnRzIHJlY292ZXJpbmcgZnJvbSBub24tZWxlY3RpdmUgaGlwIGZyYWN0dXJlIHN1cmdlcnk7IGluIFBoYXNlIEkgY2xpbmljYWwgdHJpYWxzIGZvciBpbXByb3ZpbmcgbGVhbiBib2R5IG1hc3M7IGFuZCBpbiBwcmUtY2xpbmljYWwgdHJpYWwgZm9yIGltcHJvdmluZyBib25lIG1pbmVyYWwgZGVuc2l0eSwgYm9uZSBtaW5lcmFsIGNvbnRlbnQsIGJvbmUgc3RyZW5ndGgsIGFuZCBvdGhlciBtZWFzdXJlcy4gVGhlIGNvbXBhbnkgaXMgYWxzbyBkZXZl</t>
  </si>
  <si>
    <t>bG9waW5nIFZLMjgwOSwgYW4gb3JhbGx5IGF2YWlsYWJsZSwgdGlzc3VlIGFuZCByZWNlcHRvci1zdWJ0eXBlIHNlbGVjdGl2ZSBhZ29uaXN0IG9mIHRoZSB0aHlyb2lkIGhvcm1vbmUgcmVjZXB0b3IgYmV0YSwgd2hpY2ggaXMgaW4gYSBQaGFzZSBJSSBjbGluaWNhbCB0cmlhbCBmb3IgdGhlIHRyZWF0bWVudCBvZiBwYXRpZW50cyB3aXRoIGh5cGVyY2hvbGVzdGVyb2xlbWlhIGFuZCBmYXR0eSBsaXZlciBkaXNlYXNlOyBhbmQgaW4gYSBQaGFzZSBJIGNsaW5pY2FsIHRyaWFsIHRvIHRyZWF0IHBhdGllbnRzIHdobyBzdWZmZXIgZnJvbSBnbHljb2dlbiBzdG9yYWdlIGRpc2Vhc2UgdHlwZSBJYS4gSW4gYWRkaXRpb24sIGl0IGlzIGRldmVsb3BpbmcgVkswMjE0IGZvciBYLWxpbmtlZCBhZHJlbm9sZXVrb2R5c3Ryb3BoeSwgd2hpY2ggaXMgaW4gcHJlLWNsaW5pY2FsIHN0YWdlLiBWaWtpbmcgVGhlcmFwZXV0aWNzLCBJbmMuIHdhcyBmb3VuZGVkIGluIDIwMTIgYW5kIGlzIGhlYWRxdWFydGVyZWQgaW4gU2FuIERpZWdvLCBDYWxpZm9ybmlhLgDGJeOEFAnWCGfnWocUCdYIOkNJUS5PVENQSzpSWkxULklRX1JFVkVOVUVfRVNULkNZMjAyMS42LzMwLzIwMTguQ09OLkYuVVNELkgBAAAAIQmbCgMAAAAAAOUP74QUCdYIhsBThxQJ1gg8Q0lRLk5BU0RBUUdTOlpGR04uSVFfR1JPU1NfTUFSR0lOLjIwMDAu</t>
  </si>
  <si>
    <t>Ni8zMC8yMDE4LkxGUi5GLlVTRC5IAQAAAJfAugEDAAAAAADGJeOEFAnWCKeEWIcUCdYIPENJUS5OQVNEQVFHUzpJVENJLklRX1RPVEFMX0VRVUlUWS4xOTkyLjYvMzAvMjAxOC5MRlIuRi5VU0QuSAEAAAB30Y8AAgAAAAo0NTIuNzQ0NDIxAQgAAAAFAAAAATEBAAAACjE4NDE3OTI2OTIDAAAAAzE2MAIAAAAEMTI3NQQAAAABMAcAAAAJNi8zMC8yMDE4CAAAAAkzLzMxLzIwMTYJAAAAATBiknSFFAnWCGfnWocUCdYINkNJUS5BTUVYOkJUWC5JUV9FQklUX01BUkdJTi4yMDAwLjYvMzAvMjAxOC5MRlIuRi5VU0QuSAEAAAAWZAAAAwAAAAJOTQEIAAAABQAAAAExAQAAAAoxODg3OTgwMTY1AwAAAAMxNjACAAAABDQwNTMEAAAAATAHAAAACTYvMzAvMjAxOAgAAAAJMy8zMS8yMDE4CQAAAAEwxiXjhBQJ1ghlIlaHFAnWCB1DSVEuTkFTREFRR1M6SVRDSS5JUV9FWENIQU5HRQEAAAB30Y8AAwAAAAhOYXNkYXFHUwBiknSFFAnWCGfnWocUCdYIK0NJUS5JUVRSMTcxOTMwNTM0LklRX1RSX0lNUExJRURfRVZfRUJJVF9GV0QBAAAApnM/CgIAAAAAAOY7RYIUCdYIe9JmhxQJ1gg5Q0lRLk5BU0RBUUdTOk9EVC5JUV9UT1RBTF9ERUJULjIwMDAuMy8zMS8yMDE4LkxGUi5GLlVTRC5IAQAAABoaRSACAAAAATABCAAAAAUAAAABMQEAAAAKMTg3NDE2NzIzOQMAAAADMTYwAgAAAAQ0MTczBAAAAAEwBwAAAAkzLzMxLzIwMTgI</t>
  </si>
  <si>
    <t>AAAACjEyLzMxLzIwMTcJAAAAATDGJeOEFAnWCKeEWIcUCdYILENJUS5JUVRSMjcwMDc0NzU0LklRX1RSX1RPVEFMX0dST1NTX1RWLlVTRC5IBQAAAAAAAAAIAAAAGihJbnZhbGlkIEN1cnJlbmN5IFJlcXVlc3Qp5jtFghQJ1gh70maHFAnWCCpDSVEuSVFUUjU1MjcyMDIwNy5JUV9UUl9UQVJHRVRfRUJJVC4uVVNELkgBAAAAT9fxIAIAAAAJLTAuNDk3NjQ0AQYAAAAFAAAAAjM3AQAAAAoxODg2NDIzODgxAgAAAAUyMTY3NQMAAAADMTYwBAAAAAEwBwAAAAgxLzEvMTkwMOY7RYIUCdYIe9JmhxQJ1gg7Q0lRLk5BU0RBUUdNOkZPTEQuSVFfVE9UQUxfUkVWLkNZMjAxNi42LzMwLzIwMTguTEZSLkYuVVNELkgBAAAAVvZqAAIAAAAFNC45NTgBCAAAAAUAAAABMQEAAAAKMTg3NzI3MTY5MgMAAAADMTYwAgAAAAIyOAQAAAABMAcAAAAJNi8zMC8yMDE4CAAAAAoxMi8zMS8yMDE2CQAAAAEwYpJ0hRQJ1giUq1+HFAnWCDxDSVEuTkFTREFRQ006QVZFTy5JUV9FQklUREFfRVNULkNZMjAyMC42LzMwLzIwMTguQ09OLkYuVVNELkgBAAAA9BYdAAMAAAAAAK+G5YQUCdYIZSJWhxQJ1ghHQ0lRLk5BU0RBUUdNOk1OS0QuSVFfTUlOT1JJVFlfSU5URVJFU1RfVE9UQUwuMjAwMC4zLzMxLzIwMTguTEZSLkYuVVNELkgBAAAAZqWNAAMAAAAAAOltWYYUCdYI4A1ihxQJ1ggzQ0lRLk9UQ1BLOk5FWFMuSVFfRUJJVERBLjE5OTYu</t>
  </si>
  <si>
    <t>Ni8zMC8yMDE4LkxGUi5GLlVTRC5IAQAAAB29ThQDAAAAAADlD++EFAnWCDFeUYcUCdYIGENJUS4uSVFfUFJJTUFSWV9JTkRVU1RSWQUAAAABAAAACAAAABQoSW52YWxpZCBJZGVudGlmaWVyKZQLV4YUCdYIlAtXhhQJ1gg3Q0lRLihJTlZBTElEIElERU5USUZJRVIpLklRX0xBU1RTQUxFUFJJQ0UuNi8zMC8yMDE4LlVTRAUAAAAAAAAACAAAABQoSW52YWxpZCBJZGVudGlmaWVyKeUP74QUCdYIMV5RhxQJ1ghCQ0lRLihJTlZBTElEIElERU5USUZJRVIpLklRX1BSRUZfRVFVSVRZLjIwMDAuNi8zMC8yMDE4LkxGUi5GLlVTRC5IBQAAAAAAAAAIAAAAFChJbnZhbGlkIElkZW50aWZpZXIp5Q/vhBQJ1ggxXlGHFAnWCDVDSVEuTkFTREFRQ006VktUWC5JUV9DQVBFWC4xOTkyLjYvMzAvMjAxOC5MRlIuRi5VU0QuSAEAAADyvLUOAwAAAAAAxiXjhBQJ1ghn51qHFAnWCCtDSVEuSVFUUjI0OTk4MTU2NC5JUV9UUl9UT1RBTF9HUk9TU19UVi4uVVNEAQAAAHxq5g4CAAAACzIxNTQuNDMyNjcyAQYAAAAFAAAAAjU0AQAAAAYxMDIwODgCAAAACTI0OTk4MTU2NAMAAAAJMjQ5OTgzNDM3BAAAAAMxNjAGAAAABUZhbHNl5jtFghQJ1gh70maHFAnWCCdDSVEuTkFTREFRR006TU5LRC5JUV9CRVRBXzJZUi42LzMwLzIwMTgBAAAAZqWNAAIAAAAQMi43Njk3NDM4OTY4MzgyOQDpbVmGFAnWCOANYocUCdYIQkNJUS5TRUhLOjE1</t>
  </si>
  <si>
    <t>MzAuSVFfVE9UQUxfUkVWXzJZUl9BTk5fQ0FHUi4yMDAwLjYvMzAvMjAxOC5MRlIuRi5VU0QuSAEAAADvuHABAgAAAAc0OS4zOTcxAQgAAAAFAAAAATEBAAAACjE4ODYwOTk4NjIDAAAAAjMyAgAAAAQ0MjA3BAAAAAEwBwAAAAk2LzMwLzIwMTgIAAAACjEyLzMxLzIwMTcJAAAAATCUC1eGFAnWCC9wZIcUCdYIMENJUS5OQVNEQVFHUzpJVENJLklRX0xBU1RTQUxFUFJJQ0UuNi8zMC8yMDE4LlVTRAEAAAB30Y8AAgAAAAUxNy42NwBiknSFFAnWCGfnWocUCdYISkNJUS4oSU5WQUxJRCBJREVOVElGSUVSKS5JUV9FQklUREFfNVlSX0FOTl9DQUdSLjIwMDAuNi8zMC8yMDE4LkxGUi5GLlVTRC5IBQAAAAAAAAAIAAAAFChJbnZhbGlkIElkZW50aWZpZXIp5Q/vhBQJ1ghg+06HFAnWCDxDSVEuTkFTREFRR1M6T0RULklRX0VCSVREQV9NQVJHSU4uMjAwMC42LzMwLzIwMTguTEZSLkYuVVNELkgBAAAAGhpFIAMAAAAAAMYl44QUCdYIp4RYhxQJ1gg9Q0lRLk5BU0RBUUdTOk5JVEUuSVFfRUJJVERBX01BUkdJTi4yMDAwLjYvMzAvMjAxOC5MRlIuRi5VU0QuSAEAAAAM0xgQAwAAAAAAxiXjhBQJ1ginhFiHFAnWCD5DSVEuTkFTREFRR1M6WkZHTi5JUV9DQVNIX1NUX0lOVkVTVC4yMDAwLjYvMzAvMjAxOC5MRlIuRi5VU0QuSAEAAACXwLoBAgAAAAU4OS4wNwEIAAAABQAAAAExAQAAAAoxODg5ODk1MzgxAwAAAAMxNjAC</t>
  </si>
  <si>
    <t>AAAABDEwMDIEAAAAATAHAAAACTYvMzAvMjAxOAgAAAAJMy8zMS8yMDE4CQAAAAEwxiXjhBQJ1ginhFiHFAnWCDlDSVEuT1RDUEs6TkVYUy5JUV9FQVJOSU5HX0NPLkNZMjAxNi42LzMwLzIwMTguTEZSLkYuVVNELkgBAAAAHb1OFAIAAAAJLTAuNjU2NDYxAQgAAAAFAAAAATEBAAAACjE4MzU1MTAxMjkDAAAAAzE2MAIAAAABNwQAAAABMAcAAAAJNi8zMC8yMDE4CAAAAAoxMS8zMC8yMDE2CQAAAAEw5Q/vhBQJ1ggxXlGHFAnWCDRDSVEuT1RDUEs6RU1JUy5JUV9QRVJJT0REQVRFX0lTLjIwMDAuNi8zMC8yMDE4LkxGUi5GAQAAAD79AwAFAAAACTMvMzEvMjAxNwCvhuWEFAnWCGUiVocUCdYIRkNJUS5OQVNEQVFHUzpOSVRFLklRX1RPVEFMX1JFVl81WVJfQU5OX0NBR1IuMjAwMC42LzMwLzIwMTguTEZSLkYuVVNELkgBAAAADNMYEAMAAAAAAMYl44QUCdYIp4RYhxQJ1ghDQ0lRLk5BU0RBUUdTOklUQ0kuSVFfRUJJVERBXzJZUl9BTk5fQ0FHUi4yMDAwLjYvMzAvMjAxOC5MRlIuRi5VU0QuSAEAAAB30Y8AAwAAAAJOTQEIAAAABQAAAAExAQAAAAoxODg2NjE3MzIyAwAAAAMxNjACAAAABDQyMDkEAAAAATAHAAAACTYvMzAvMjAxOAgAAAAJMy8zMS8yMDE4CQAAAAEwYpJ0hRQJ1ghn51qHFAnWCCJDSVEuSVFUUjM0MDcwNDg2NS5JUV9UUl9QQ1RfU09VR0hUAQAAAGG+ThQCAAAAAzEwMADmO0WCFAnWCHvSZocU</t>
  </si>
  <si>
    <t>CdYILkNJUS5OQVNEQVFHUzpBUFRYLklRX01BUktFVENBUC4zLzMxLzIwMTguVVNELkgBAAAALykMFAMAAAAAAGKSdIUUCdYIRUldhxQJ1gguQ0lRLk5BU0RBUUdTOkxYUlguSVFfTUFSS0VUQ0FQLjYvMzAvMjAxOC5VU0QuSAEAAAA9eAAAAgAAAAsxMjY5Ljk4MjQxNgEGAAAABQAAAAExAQAAAAoxODg2NTM2OTQwAwAAAAMxNjACAAAABjEwMDA1NAQAAAABMAcAAAAJNi8zMC8yMDE4YpJ0hRQJ1giUq1+HFAnWCDVDSVEuQU1FWDpCVFguSVFfRUFSTklOR19DTy4xOTk2LjYvMzAvMjAxOC5MRlIuRi5VU0QuSAEAAAAWZAAAAgAAAAY4OS42NDIBCAAAAAUAAAABMQEAAAAKMTg4Nzk4MDE1NwMAAAADMTYwAgAAAAE3BAAAAAEwBwAAAAk2LzMwLzIwMTgIAAAACTMvMzEvMjAxNwkAAAABMMYl44QUCdYIZSJWhxQJ1ggrQ0lRLklRVFIxNzI2MjE0NzEuSVFfVFJfVE9UQUxfR1JPU1NfVFYuLlVTRAEAAACf/kkKAgAAAAAA5jtFghQJ1gh70maHFAnWCDdDSVEuU0VISzoxNTMwLklRX0VCSVRfTUFSR0lOLjIwMDAuNi8zMC8yMDE4LkxGUi5GLlVTRC5IAQAAAO+4cAECAAAABzI5LjQxODEBCAAAAAUAAAABMQEAAAAKMTg4NjA5OTg2MgMAAAACMzICAAAABDQwNTMEAAAAATAHAAAACTYvMzAvMjAxOAgAAAAKMTIvMzEvMjAxNwkAAAABMJQLV4YUCdYIL3BkhxQJ1gglQ0lRLklRVFIyMTI3MzE4NzcuSVFfVFJfTUFKX01J</t>
  </si>
  <si>
    <t>Tl9TVEFLRQEAAADlB64MAwAAAAhNYWpvcml0eQDmO0WCFAnWCHvSZocUCdYIOkNJUS5TRUhLOjM5MzMuSVFfQ0FTSF9TVF9JTlZFU1QuMjAwMC42LzMwLzIwMTguTEZSLkYuVVNELkgBAAAATdoRAgIAAAAKMjQ0Ljk0MjU5NwEIAAAABQAAAAExAQAAAAoxODg1NzM5MjAyAwAAAAMxNjACAAAABDEwMDIEAAAAATAHAAAACTYvMzAvMjAxOAgAAAAKMTIvMzEvMjAxNwkAAAABMOltWYYUCdYIL3BkhxQJ1gg6Q0lRLk9UQ1BLOlJaTFQuSVFfRUJJVERBX01BUkdJTi4yMDAwLjYvMzAvMjAxOC5MRlIuRi5VU0QuSAEAAAAhCZsKAwAAAAAA5Q/vhBQJ1giGwFOHFAnWCDFDSVEuU0VISzoxNTMwLklRX0RBX0NGLjIwMDAuNi8zMC8yMDE4LkxGUi5GLlVTRC5IAQAAAO+4cAECAAAACTM3LjQ1MjkzMwEIAAAABQAAAAExAQAAAAoxODg2MDk5ODYyAwAAAAMxNjACAAAABDIxNjAEAAAAATAHAAAACTYvMzAvMjAxOAgAAAAKMTIvMzEvMjAxNwkAAAABMJQLV4YUCdYIL3BkhxQJ1ghDQ0lRLk5BU0RBUUdTOkNZVEsuSVFfRUJJVERBXzVZUl9BTk5fQ0FHUi4yMDAwLjYvMzAvMjAxOC5MRlIuRi5VU0QuSAEAAACzagAAAwAAAAJOTQEIAAAABQAAAAExAQAAAAoxODg4NDcwNjY2AwAAAAMxNjACAAAABDQyMzUEAAAAATAHAAAACTYvMzAvMjAxOAgAAAAJMy8zMS8yMDE4CQAAAAEwr4blhBQJ1ghlIlaHFAnWCEVDSVEuTkFTREFR</t>
  </si>
  <si>
    <t>Q006Q1VSLklRX1RPVEFMX1JFVl81WVJfQU5OX0NBR1IuMjAwMC42LzMwLzIwMTguTEZSLkYuVVNELkgBAAAA8e51AAIAAAAHLTUuOTgzNQEIAAAABQAAAAExAQAAAAoxODg4ODczMjE5AwAAAAMxNjACAAAABDQyMzMEAAAAATAHAAAACTYvMzAvMjAxOAgAAAAJMy8zMS8yMDE4CQAAAAEw5Q/vhBQJ1ggxXlGHFAnWCENDSVEuU0VISzoyMTg2LklRX01JTk9SSVRZX0lOVEVSRVNUX1RPVEFMLjIwMDAuNi8zMC8yMDE4LkxGUi5GLlVTRC5IAQAAAMKBmAACAAAACTE5LjU5NzE4NAEIAAAABQAAAAExAQAAAAoxODg1NDk1MDA2AwAAAAMxNjACAAAABDEzMTIEAAAAATAHAAAACTYvMzAvMjAxOAgAAAAKMTIvMzEvMjAxNwkAAAABMJQLV4YUCdYIL3BkhxQJ1gg8Q0lRLk5BU0RBUUdTOlpGR04uSVFfRUFSTklOR19DTy5DWTIwMTcuNi8zMC8yMDE4LkxGUi5GLlVTRC5IAQAAAJfAugECAAAABy01Mi4wMjgBCAAAAAUAAAABMQEAAAAKMTg3ODc4OTQxNAMAAAADMTYwAgAAAAE3BAAAAAEwBwAAAAk2LzMwLzIwMTgIAAAACjEyLzMxLzIwMTcJAAAAATDGJeOEFAnWCKeEWIcUCdYILENJUS5JUVRSNDAyMTAzOTE5LklRX1RSX1RPVEFMX0dST1NTX1RWLlVTRC5IBQAAAAAAAAAIAAAAGihJbnZhbGlkIEN1cnJlbmN5IFJlcXVlc3Qp5jtFghQJ1gh70maHFAnWCDpDSVEuTkFTREFRQ006QVZFTy5JUV9FQVJOSU5HX0NPLjE5</t>
  </si>
  <si>
    <t>OTYuNi8zMC8yMDE4LkxGUi5GLlVTRC5IAQAAAPQWHQACAAAABy0yOC4wMTcBCAAAAAUAAAABMQEAAAAKMTg4NzIzNDI5MQMAAAADMTYwAgAAAAE3BAAAAAEwBwAAAAk2LzMwLzIwMTgIAAAACTMvMzEvMjAxNwkAAAABMMYl44QUCdYIZSJWhxQJ1gghQ0lRLk5BU0RBUUdTOklDUFQuSVFfQ09NUEFOWV9OQU1FAQAAAIKvrQADAAAAH0ludGVyY2VwdCBQaGFybWFjZXV0aWNhbHMsIEluYy4AlAtXhhQJ1ggvcGSHFAnWCDhDSVEuTkFTREFRR006Rk9MRC5JUV9UT1RBTF9DQS4xOTkyLjYvMzAvMjAxOC5MRlIuRi5VU0QuSAEAAABW9moAAgAAAAcxNjguNTEzAQgAAAAFAAAAATEBAAAACjE4NDE0NDc1NzMDAAAAAzE2MAIAAAAEMTAwOAQAAAABMAcAAAAJNi8zMC8yMDE4CAAAAAkzLzMxLzIwMTYJAAAAATBiknSFFAnWCJSrX4cUCdYIJ0NJUS5OQVNEQVFHTTpWVFZULklRX0JFVEFfMllSLjYvMzAvMjAxOAEAAAAdox8SAgAAABAxLjg1NDc4MDI5NTMzNDcxAOUP74QUCdYIhsBThxQJ1gg1Q0lRLlNIU0U6NjAwODY3LklRX1BFUklPRERBVEVfSVMuMjAwMC42LzMwLzIwMTguTEZSLkYBAAAA2D6uAAUAAAAJMy8zMS8yMDE4AGKSdIUUCdYI4A1ihxQJ1ggtQ0lRLk5BU0RBUUNNOkFWRU8uSVFfRElWSURFTkRfWUlFTEQuNi8zMC8yMDE4AQAAAPQWHQADAAAAAADGJeOEFAnWCGUiVocUCdYIOENJUS5OQVNEQVFHUzpP</t>
  </si>
  <si>
    <t>RFQuSVFfVE9UQUxfUkVWLjE5OTIuNi8zMC8yMDE4LkxGUi5GLlVTRC5IAQAAABoaRSADAAAAAADGJeOEFAnWCGfnWocUCdYIOENJUS5OQVNEQVFHTTpWVFZULklRX1RPVEFMX0NBLjE5OTYuNi8zMC8yMDE4LkxGUi5GLlVTRC5IAQAAAB2jHxICAAAABjQ1LjkzMgEIAAAABQAAAAExAQAAAAoxODg5MDU2NTE0AwAAAAMxNjACAAAABDEwMDgEAAAAATAHAAAACTYvMzAvMjAxOAgAAAAJMy8zMS8yMDE3CQAAAAEw5Q/vhBQJ1giGwFOHFAnWCCFDSVEuSVFUUjM3MDA3MjM1My5JUV9UUl9CVVlFUk5BTUUBAAAAIdsOFgMAAAART1BLTyBIZWFsdGgsIEluYy4A5jtFghQJ1gh70maHFAnWCB1DSVEuSVEzMTQyNC5JUV9DT01QQU5ZX1RJQ0tFUgEAAADAegAAAwAAAA1OYXNkYXFHUzpDQkFZAOY7RYIUCdYI4CGughQJ1gg3Q0lRLlNFSEs6MTUzMC5JUV9QUkVGX0VRVUlUWS4yMDAwLjMvMzEvMjAxOC5MRlIuRi5VU0QuSAEAAADvuHABAwAAAAAAlAtXhhQJ1ggvcGSHFAnWCCJDSVEuSVFUUjEwODkwNjI3Ni5JUV9UUl9UT1RBTF9DQVNIAQAAACTHfQYCAAAAAADmO0WCFAnWCHvSZocUCdYIO0NJUS5OQVNEQVFDTTpDVVIuSVFfRUFSTklOR19DTy5DWTIwMTYuNi8zMC8yMDE4LkxGUi5GLlVTRC5IAQAAAPHudQACAAAACi0yMS4wNzQ2MTEBCAAAAAUAAAABMQEAAAAKMTg4MTA2NTY5MwMAAAADMTYwAgAAAAE3BAAAAAEw</t>
  </si>
  <si>
    <t>BwAAAAk2LzMwLzIwMTgIAAAACjEyLzMxLzIwMTYJAAAAATDlD++EFAnWCDFeUYcUCdYIJENJUS5PVENQSzpORVhTLklRX0JFVEFfMllSLjYvMzAvMjAxOAEAAAAdvU4UAgAAABAzLjc2OTMzMDc2NjkxNDIxAOUP74QUCdYIMV5RhxQJ1ggpQ0lRLk5BU0RBUUdTOkNZVEsuSVFfQlVTSU5FU1NfREVTQ1JJUFRJT04BAAAAs2oAAAMAAACrCEN5dG9raW5ldGljcywgSW5jb3Jwb3JhdGVkLCBhIGxhdGUtc3RhZ2UgYmlvcGhhcm1hY2V1dGljYWwgY29tcGFueSwgZm9jdXNlcyBvbiBkaXNjb3ZlcmluZywgZGV2ZWxvcGluZywgYW5kIGNvbW1lcmNpYWxpemluZyBtdXNjbGUgYWN0aXZhdG9ycyBhcyBwb3RlbnRpYWwgdHJlYXRtZW50cyBmb3IgZGViaWxpdGF0aW5nIGRpc2Vhc2VzIGluIHdoaWNoIG11c2NsZSBwZXJmb3JtYW5jZSBpcyBjb21wcm9taXNlZCBhbmQvb3IgZGVjbGluaW5nLiBJdCBpcyBkZXZlbG9waW5nIHNtYWxsIG1vbGVjdWxlIGRydWcgY2FuZGlkYXRlcyBwcmltYXJpbHkgZW5naW5lZXJlZCB0byBpbmNyZWFzZSBtdXNjbGUgZnVuY3Rpb24gYW5kIGNvbnRyYWN0aWxpdHkuIFRoZSBjb21wYW554oCZcyBkcnVnIGNhbmRpZGF0ZXMgaW5jbHVkZSBvbWVjYW10aXYgbWVjYXJiaWwsIGEgbm92ZWwgY2FyZGlhYyBteW9zaW4gYWN0aXZhdG9yIHRoYXQgaXMgaW4gcGhhc2UgSUlJIGNsaW5pY2Fs</t>
  </si>
  <si>
    <t>IHRyaWFscyBpbiBwYXRpZW50cyB3aXRoIGhlYXJ0IGZhaWx1cmU7IGFuZCByZWxkZXNlbXRpdiwgYSBmYXN0IHNrZWxldGFsIG11c2NsZSBhY3RpdmF0b3IsIHdoaWNoIGlzIGluIHR3byBwaGFzZSBJSSBjbGluaWNhbCB0cmlhbHMgaW4gcGF0aWVudHMgd2l0aCBzcGluYWwgbXVzY3VsYXIgYXRyb3BoeSBhbmQgYW15b3Ryb3BoaWMgbGF0ZXJhbCBzY2xlcm9zaXMuIEl0IGFsc28gZGV2ZWxvcHMgcmVsZGVzZW10aXYgdGhhdCBpcyBpbiBwaGFzZSBJSSBjbGluaWNhbCB0cmlhbHMgaW4gcGF0aWVudHMgd2l0aCBjaHJvbmljIG9ic3RydWN0aXZlIHB1bG1vbmFyeSBkaXNlYXNlLCBhcyB3ZWxsIGFzIGluIHBoYXNlIEliIGNsaW5pY2FsIHRyaWFscyBpbiBlbGRlcmx5IHN1YmplY3RzIHdpdGggbGltaXRlZCBtb2JpbGl0eS4gVGhlIGNvbXBhbnkgaGFzIHN0cmF0ZWdpYyBhbGxpYW5jZXMgd2l0aCBBc3RlbGxhcyBQaGFybWEgSW5jLiBhbmQgQW1nZW4gSW5jLiBUaGUgY29tcGFueSB3YXMgZm91bmRlZCBpbiAxOTk3IGFuZCBpcyBoZWFkcXVhcnRlcmVkIGluIFNvdXRoIFNhbiBGcmFuY2lzY28sIENhbGlmb3JuaWEuAMYl44QUCdYIZSJWhxQJ1gghQ0lRLklRVFIxMTc4MDM5MjAuSVFfVFJfQlVZRVJOQU1FAQAAAJCLBQcDAAAAEFJvY2hlIEhvbGRpbmcgQUcA5jtFghQJ1gh70maHFAnWCDhDSVEuTkFT</t>
  </si>
  <si>
    <t>REFRQ006Q09SVC5JUV9UT1RBTF9DTC4xOTk2LjYvMzAvMjAxOC5MRlIuRi5VU0QuSAEAAADSuRUAAgAAAAYyNS43NTkBCAAAAAUAAAABMQEAAAAKMTg4ODA5OTUzMgMAAAADMTYwAgAAAAQxMDA5BAAAAAEwBwAAAAk2LzMwLzIwMTgIAAAACTMvMzEvMjAxNwkAAAABMGKSdIUUCdYIlKtfhxQJ1ghGQ0lRLk5BU0RBUUdTOkxYUlguSVFfVE9UQUxfUkVWXzJZUl9BTk5fQ0FHUi4yMDAwLjYvMzAvMjAxOC5MRlIuRi5VU0QuSAEAAAA9eAAAAgAAAAgtMTYuODY3NQEIAAAABQAAAAExAQAAAAoxODg2NTQzODc1AwAAAAMxNjACAAAABDQyMDcEAAAAATAHAAAACTYvMzAvMjAxOAgAAAAJMy8zMS8yMDE4CQAAAAEwYpJ0hRQJ1ghFSV2HFAnWCEZDSVEuTkFTREFRQ006Q1VSLklRX01JTk9SSVRZX0lOVEVSRVNUX1RPVEFMLjIwMDAuMy8zMS8yMDE4LkxGUi5GLlVTRC5IAQAAAPHudQADAAAAAADlD++EFAnWCDFeUYcUCdYINENJUS5DUFNFOlpFQUwuSVFfVE9UQUxfQ0EuMTk5Mi42LzMwLzIwMTguTEZSLkYuVVNELkgBAAAAIlsTAAIAAAAJNzkuMDU5MzM4AQgAAAAFAAAAATEBAAAACjE4NDI3MzE0MzMDAAAAAzE2MAIAAAAEMTAwOAQAAAABMAcAAAAJNi8zMC8yMDE4CAAAAAkzLzMxLzIwMTYJAAAAATBiknSFFAnWCOANYocUCdYIOkNJUS5OQVNEQVFDTTpDT1JULklRX0VBUk5JTkdfQ08uMjAwMC42LzMwLzIwMTgu</t>
  </si>
  <si>
    <t>TEZSLkYuVVNELkgBAAAA0rkVAAIAAAAHMTQyLjE5MwEIAAAABQAAAAExAQAAAAoxODg4MDk5NTQ0AwAAAAMxNjACAAAAATcEAAAAATAHAAAACTYvMzAvMjAxOAgAAAAJMy8zMS8yMDE4CQAAAAEwYpJ0hRQJ1giUq1+HFAnWCDtDSVEuTkFTREFRQ006Q1VSLklRX0VBUk5JTkdfQ08uQ1kyMDE3LjYvMzAvMjAxOC5MRlIuRi5VU0QuSAEAAADx7nUAAgAAAAotMTUuNjY1OTgzAQgAAAAFAAAAATEBAAAACjE4ODEwNjU3MTMDAAAAAzE2MAIAAAABNwQAAAABMAcAAAAJNi8zMC8yMDE4CAAAAAoxMi8zMS8yMDE3CQAAAAEw5Q/vhBQJ1ggxXlGHFAnWCC5DSVEuTkFTREFRR1M6QVBUWC5JUV9NQVJLRVRDQVAuNi8zMC8yMDE4LlVTRC5IAQAAAC8pDBQCAAAACjgwOS42MDM3MzQBBgAAAAUAAAABMQEAAAAKMTg5MDg0OTg1NgMAAAADMTYwAgAAAAYxMDAwNTQEAAAAATAHAAAACTYvMzAvMjAxOGKSdIUUCdYIRUldhxQJ1gg9Q0lRLk5BU0RBUUdTOk5JVEUuSVFfUkVWRU5VRV9FU1QuQ1kyMDE5LjYvMzAvMjAxOC5DT04uRi5VU0QuSAEAAAAM0xgQAgAAAAEwAQ4AAAAFAAAAAjExAQAAAAEwAgAAAAoxMDAzODkyMzQ5AwAAAAYxMDAxODAEAAAAATIGAAAAATAHAAAAAzE2MAgAAAABMAkAAAABMQoAAAABMAsAAAALMTEwNDM3MTc1NzkMAAAAATcNAAAACDcvMS8yMDE4EAAAAAk2LzMwLzIwMTivhuWEFAnWCKeEWIcUCdYI</t>
  </si>
  <si>
    <t>NUNJUS5OQVNEQVFDTTpBVkVPLklRX0NBUEVYLjIwMDAuNi8zMC8yMDE4LkxGUi5GLlVTRC5IAQAAAPQWHQADAAAAAADGJeOEFAnWCGUiVocUCdYIMkNJUS5PVENQSzpCVEhFLklRX0NBUEVYLjIwMDAuNi8zMC8yMDE4LkxGUi5GLlVTRC5IAQAAAG+duQUCAAAACC0wLjAwMTM5AQgAAAAFAAAAATEBAAAACjE4ODg2NjM3NDIDAAAAAzE2MAIAAAAEMjAyMQQAAAABMAcAAAAJNi8zMC8yMDE4CAAAAAkzLzMxLzIwMTgJAAAAATDlD++EFAnWCIbAU4cUCdYINkNJUS5TRUhLOjIxODYuSVFfRUFSTklOR19DTy4xOTk2LjYvMzAvMjAxOC5MRlIuRi5VU0QuSAEAAADCgZgAAgAAAAoxMjguNzU0NjQ1AQgAAAAFAAAAATEBAAAACjE4ODU0OTQ4MzQDAAAAAzE2MAIAAAABNwQAAAABMAcAAAAJNi8zMC8yMDE4CAAAAAoxMi8zMS8yMDE2CQAAAAEw6W1ZhhQJ1ggvcGSHFAnWCCtDSVEuT1RDUEs6TkVYUy5JUV9NQVJLRVRDQVAuMy8zMS8yMDE4LlVTRC5IAQAAAB29ThQCAAAABjQuMjQzOAEGAAAABQAAAAExAQAAAAoxODYyODYzMDQ4AwAAAAMxNjACAAAABjEwMDA1NAQAAAABMAcAAAAJMy8zMS8yMDE45Q/vhBQJ1ggxXlGHFAnWCClDSVEuSVEzNjE4MzgxNi5JUV9MQVNUU0FMRVBSSUNFLjYvMzAvMjAxOAEAAAAIHygCAgAAAAQxLjkzAOY7RYIUCdYIxDRphxQJ1ggxQ0lRLklRVFIxMDg5MDYyNzYuSVFfVFJfVEFSR0VU</t>
  </si>
  <si>
    <t>X1JFVkVOVUVfRVNULi5VU0QuSAEAAAAkx30GAgAAAAAA5jtFghQJ1gjENGmHFAnWCENDSVEuTkFTREFRR006UllUTS5JUV9FQklUREFfMllSX0FOTl9DQUdSLjIwMDAuNi8zMC8yMDE4LkxGUi5GLlVTRC5IAQAAABjJbRIDAAAAAABiknSFFAnWCEVJXYcUCdYIOkNJUS5OQVNEQVFHTTpNTktELklRX0VBUk5JTkdfQ08uMTk5Mi42LzMwLzIwMTguTEZSLkYuVVNELkgBAAAAZqWNAAIAAAAHLTM2Mi42NgEIAAAABQAAAAExAQAAAAoxODQxMTcxMjI4AwAAAAMxNjACAAAAATcEAAAAATAHAAAACTYvMzAvMjAxOAgAAAAJMy8zMS8yMDE2CQAAAAEw6W1ZhhQJ1gjgDWKHFAnWCDxDSVEuTkFTREFRR006Rk9MRC5JUV9UT1RBTF9FUVVJVFkuMTk5Mi42LzMwLzIwMTguTEZSLkYuVVNELkgBAAAAVvZqAAIAAAAHMzExLjYzMgEIAAAABQAAAAExAQAAAAoxODQxNDQ3NTczAwAAAAMxNjACAAAABDEyNzUEAAAAATAHAAAACTYvMzAvMjAxOAgAAAAJMy8zMS8yMDE2CQAAAAEwYpJ0hRQJ1giUq1+HFAnWCCpDSVEuSVFUUjE3MTkzMDUzNC5JUV9UUl9UQVJHRVRfRUJJVC4uVVNELkgBAAAApnM/CgIAAAAAAOY7RYIUCdYIe9JmhxQJ1gguQ0lRLk5BU0RBUUNNOlZLVFguSVFfTUFSS0VUQ0FQLjMvMzEvMjAxOC5VU0QuSAEAAADyvLUOAgAAAAoyMjIuNDI3NzY1AQYAAAAFAAAAATEBAAAACjE4NzczMjM5NDEDAAAAAzE2MAIA</t>
  </si>
  <si>
    <t>AAAGMTAwMDU0BAAAAAEwBwAAAAkzLzMxLzIwMTjGJeOEFAnWCGfnWocUCdYINkNJUS5PVENQSzpFTUlTLklRX1RPVEFMX1JFVi4xOTkyLjYvMzAvMjAxOC5MRlIuRi5VU0QuSAEAAAA+/QMAAgAAAAUwLjAwNgEIAAAABQAAAAExAQAAAAoxNzkyMTYzNzg5AwAAAAMxNjACAAAAAjI4BAAAAAEwBwAAAAk2LzMwLzIwMTgIAAAACTMvMzEvMjAxNQkAAAABMK+G5YQUCdYIZSJWhxQJ1gg7Q0lRLk5BU0RBUUNNOkFWRU8uSVFfVE9UQUxfUkVWLkNZMjAxNy42LzMwLzIwMTguTEZSLkYuVVNELkgBAAAA9BYdAAIAAAAFNy41NzkBCAAAAAUAAAABMQEAAAAKMTg3ODA4MjY1MwMAAAADMTYwAgAAAAIyOAQAAAABMAcAAAAJNi8zMC8yMDE4CAAAAAoxMi8zMS8yMDE3CQAAAAEwxiXjhBQJ1ghlIlaHFAnWCD5DSVEuTkFTREFRR006UllUTS5JUV9UT1RBTF9FUVVJVFkuQ1kyMDE3LjYvMzAvMjAxOC5MRlIuRi5VU0QuSAEAAAAYyW0SAgAAAAcxNDQuNzg4AQgAAAAFAAAAATEBAAAACjE4OTM5MDU5NjEDAAAAAzE2MAIAAAAEMTI3NQQAAAABMAcAAAAJNi8zMC8yMDE4CAAAAAoxMi8zMS8yMDE3CQAAAAEwYpJ0hRQJ1ghFSV2HFAnWCCtDSVEuVFNYVjpDT0IuVS5JUV9NQVJLRVRDQVAuNi8zMC8yMDE4LlVTRC5IAQAAAL/7AAgCAAAACTIxMS44MTgzNQEGAAAABQAAAAExAQAAAAoxODg5MDYxODQxAwAAAAMxNjACAAAABjEw</t>
  </si>
  <si>
    <t>MDA1NAQAAAABMAcAAAAJNi8zMC8yMDE4xiXjhBQJ1giGwFOHFAnWCEZDSVEuTkFTREFRR006VlRWVC5JUV9UT1RBTF9SRVZfM1lSX0FOTl9DQUdSLjIwMDAuNi8zMC8yMDE4LkxGUi5GLlVTRC5IAQAAAB2jHxICAAAABzEzLjYyMjUBCAAAAAUAAAABMQEAAAAKMTg4OTA1NjUzNwMAAAADMTYwAgAAAAQ0MjIwBAAAAAEwBwAAAAk2LzMwLzIwMTgIAAAACTMvMzEvMjAxOAkAAAABMOUP74QUCdYIhsBThxQJ1gggQ0lRLklRMzYxODM4MzEuSVFfTEFTVFNBTEVQUklDRS4BAAAAFx8oAgIAAAADMi43AOltWYYUCdYI6W1ZhhQJ1ggjQ0lRLklRVFIxMTc4MDM5MjAuSVFfVFJfQ0xPU0VEX0RBVEUBAAAAkIsFBwUAAAAKMTIvMzAvMjAxMADmO0WCFAnWCHD4xYIUCdYIOENJUS5OQVNEQVFHUzpaRkdOLklRX1RPVEFMX0NMLjE5OTYuNi8zMC8yMDE4LkxGUi5GLlVTRC5IAQAAAJfAugECAAAABTguNTk3AQgAAAAFAAAAATEBAAAACjE4ODk4OTUzNTUDAAAAAzE2MAIAAAAEMTAwOQQAAAABMAcAAAAJNi8zMC8yMDE4CAAAAAkzLzMxLzIwMTcJAAAAATDGJeOEFAnWCKeEWIcUCdYILENJUS5JUVRSMzEwMjI5MTg4LklRX1RSX1RBUkdFVF9FQklUREEuLlVTRC5IAQAAAMS4fRICAAAAAADmO0WCFAnWCHvSZocUCdYIK0NJUS5JUVRSMzQwNzA0ODY1LklRX1RSX1RPVEFMX0dST1NTX1RWLi5VU0QBAAAAYb5OFAIAAAAAAOY7</t>
  </si>
  <si>
    <t>RYIUCdYIe9JmhxQJ1gg4Q0lRLk5BU0RBUUNNOkJZU0kuSVFfVE9UQUxfQ0wuMTk5Ni42LzMwLzIwMTguTEZSLkYuVVNELkgBAAAAR89sGAIAAAAEMS45MwEIAAAABQAAAAExAQAAAAoxODkzOTczMzgyAwAAAAMxNjACAAAABDEwMDkEAAAAATAHAAAACTYvMzAvMjAxOAgAAAAJMy8zMS8yMDE3CQAAAAEwYpJ0hRQJ1ghFSV2HFAnWCB1DSVEuLklRX1RSX1RBUkdFVF9FQklULi5VU0QuSAUAAAABAAAACAAAABQoSW52YWxpZCBJZGVudGlmaWVyKZQLV4YUCdYIlAtXhhQJ1gg3Q0lRLlNFSEs6MTUzMC5JUV9QUkVGX0VRVUlUWS4yMDAwLjYvMzAvMjAxOC5MRlIuRi5VU0QuSAEAAADvuHABAwAAAAAAlAtXhhQJ1ggvcGSHFAnWCChDSVEuTkFTREFRQ006QVZFTy5JUV9URVYuNi8zMC8yMDE4LlVTRC5IAQAAAPQWHQACAAAACjI2MC4yMzM0ODQBBgAAAAUAAAABMQEAAAAKMTg4NzIzMzkxMAMAAAADMTYwAgAAAAYxMDAwNjAEAAAAATAHAAAACTYvMzAvMjAxOMYl44QUCdYIZSJWhxQJ1ggrQ0lRLk9UQ1BLOlJaTFQuSVFfTUFSS0VUQ0FQLjMvMzEvMjAxOC5VU0QuSAEAAAAhCZsKAgAAAAkyNC40NDExMzYBBgAAAAUAAAABMQEAAAAKMTg3NDE5MzYxNwMAAAADMTYwAgAAAAYxMDAwNTQEAAAAATAHAAAACTMvMzEvMjAxOOUP74QUCdYIhsBThxQJ1ggpQ0lRLklRVFIzMTAyMjkxODguSVFfQlVTSU5FU1NfREVTQ1JJ</t>
  </si>
  <si>
    <t>UFRJT04BAAAAXLh9EgMAAADcBEFzIG9mIE9jdG9iZXIgMzAsIDIwMTUsIENhbGlicml1bSBMTEMgYW5kIE1CMiBMTEMgd2FzIGFjcXVpcmVkIGJ5IE5vdm8gTm9yZGlzayBBL1MuIENhbGlicml1bSBMTEMgYW5kIE1CMiBMTEMgcmVwcmVzZW50cyB0aGUgY29tYmluZWQgb3BlcmF0aW9ucyBvZiBDYWxpYnJpdW0gTExDIGFuZCBNQjIgTExDIGluIHRoZWlyIHNhbGUgdG8gTm92byBOb3JkaXNrIEEvUy4gQ2FsaWJyaXVtIExMQyBpcyBhIGJpb3BoYXJtYWNldXRpY2FsIGNvbXBhbnkgZW5nYWdpbmcgaW4gZGlzY292ZXJ5IGFuZCBlYXJseSBkZXZlbG9wbWVudCBvZiBub3ZlbCBwZXB0aWRlcyBmb3IgdGhlIHRyZWF0bWVudCBvZiBkaWFiZXRlcyBhbmQgcmVsYXRlZCBtZXRhYm9saWMgZGlzZWFzZXMuIE1CMiBMTEMgaXMgYSBjbGluaWNhbC1zdGFnZSBiaW9waGFybWFjZXV0aWNhbCBjb21wYW55IGFkdmFuY2luZyBhIHBpcGVsaW5lIG9mIG1peGVkIGFnb25pc3QgZHJ1Z3MgZm9yIHRoZSB0cmVhdG1lbnQgb2YgZGlhYmV0ZXMgYW5kIG9iZXNpdHkuIENhbGlicml1bSBMTEMgaXMgYmFzZWQgaW4gSW5kaWFuYXBvbGlzLCBJbmRpYW5hLiBNQjIgTExDIGlzIGJhc2VkIGluIENhcm1lbCwgSW5kaWFuYS4A5jtFghQJ1gh70maHFAnWCD1DSVEuTkFTREFRR006UllUTS5JUV9SRVZFTlVFX0VTVC5DWTIwMjEu</t>
  </si>
  <si>
    <t>Ni8zMC8yMDE4LkNPTi5GLlVTRC5IAQAAABjJbRICAAAABTE0Mi41AQ4AAAAFAAAAAjExAQAAAAEwAgAAAAoxMDAzODk5MzU2AwAAAAYxMDAxODAEAAAAATIGAAAAATAHAAAAAzE2MAgAAAABMAkAAAABMQoAAAABMAsAAAALMTA5NDAwNjgyNzAMAAAAATcNAAAACDcvMS8yMDE4EAAAAAk2LzMwLzIwMThiknSFFAnWCEVJXYcUCdYIN0NJUS5OQVNEQVFHUzpPRFQuSVFfVE9UQUxfQ0wuMjAwMC42LzMwLzIwMTguTEZSLkYuVVNELkgBAAAAGhpFIAIAAAAFOS42OTkBCAAAAAUAAAABMQEAAAAKMTg4NjMwMTQ5OAMAAAADMTYwAgAAAAQxMDA5BAAAAAEwBwAAAAk2LzMwLzIwMTgIAAAACTMvMzEvMjAxOAkAAAABMMYl44QUCdYIp4RYhxQJ1gg7Q0lRLk5BU0RBUUdTOkxYUlguSVFfUFJFRl9FUVVJVFkuMjAwMC42LzMwLzIwMTguTEZSLkYuVVNELkgBAAAAPXgAAAMAAAAAAGKSdIUUCdYIlKtfhxQJ1gg6Q0lRLk5BU0RBUUdTOlpGR04uSVFfVE9UQUxfREVCVC4yMDAwLjMvMzEvMjAxOC5MRlIuRi5VU0QuSAEAAACXwLoBAgAAAAIyMAEIAAAABQAAAAExAQAAAAoxODc4Nzg5NDE0AwAAAAMxNjACAAAABDQxNzMEAAAAATAHAAAACTMvMzEvMjAxOAgAAAAKMTIvMzEvMjAxNwkAAAABMMYl44QUCdYIp4RYhxQJ1ggqQ0lRLlNFSEs6MjE4Ni5JUV9NQVJLRVRDQVAuNi8zMC8yMDE4LlVTRC5IAQAAAMKBmAACAAAACzMz</t>
  </si>
  <si>
    <t>NTkuOTc0NzkxAQYAAAAFAAAAATEBAAAACjE4ODU0OTUwMDQDAAAAAzE2MAIAAAAGMTAwMDU0BAAAAAEwBwAAAAk2LzMwLzIwMTiUC1eGFAnWCC9wZIcUCdYILkNJUS5OQVNEQVFDTTpDT1JULklRX01BUktFVENBUC42LzMwLzIwMTguVVNELkgBAAAA0rkVAAIAAAALMTgxMS40OTQ0MDQBBgAAAAUAAAABMQEAAAAKMTg4ODA5ODgyMAMAAAADMTYwAgAAAAYxMDAwNTQEAAAAATAHAAAACTYvMzAvMjAxOGKSdIUUCdYIlKtfhxQJ1gg4Q0lRLk5BU0RBUUNNOkNVUi5JUV9UT1RBTF9SRVYuMTk5Ni42LzMwLzIwMTguTEZSLkYuVVNELkgBAAAA8e51AAIAAAAIMC4wMTYyNDYBCAAAAAUAAAABMQEAAAAKMTg4ODg3MzE5OQMAAAADMTYwAgAAAAIyOAQAAAABMAcAAAAJNi8zMC8yMDE4CAAAAAkzLzMxLzIwMTcJAAAAATDlD++EFAnWCDFeUYcUCdYIR0NJUS5OQVNEQVFHUzpJQ1BULklRX01JTk9SSVRZX0lOVEVSRVNUX1RPVEFMLjIwMDAuNi8zMC8yMDE4LkxGUi5GLlVTRC5IAQAAAIKvrQADAAAAAADpbVmGFAnWCC9wZIcUCdYINENJUS5OQVNEQVFHUzpPRFQuSVFfQ0FQRVguMTk5Mi42LzMwLzIwMTguTEZSLkYuVVNELkgBAAAAGhpFIAMAAAAAAMYl44QUCdYIp4RYhxQJ1ghGQ0lRLk5BU0RBUUdTOk9EVC5JUV9NSU5PUklUWV9JTlRFUkVTVF9UT1RBTC4yMDAwLjYvMzAvMjAxOC5MRlIuRi5VU0QuSAEAAAAaGkUg</t>
  </si>
  <si>
    <t>AwAAAAAAxiXjhBQJ1ghn51qHFAnWCEZDSVEuTkFTREFRR006TU5PVi5JUV9UT1RBTF9SRVZfMllSX0FOTl9DQUdSLjIwMDAuNi8zMC8yMDE4LkxGUi5GLlVTRC5IAQAAALhUjQADAAAAAADGJeOEFAnWCKeEWIcUCdYIOENJUS5TSFNFOjYwMDg2Ny5JUV9UT1RBTF9ERUJULjIwMDAuMy8zMS8yMDE4LkxGUi5GLlVTRC5IAQAAANg+rgACAAAACTM0LjI3MDc2OQEIAAAABQAAAAExAQAAAAoxODYyNDkyMzAwAwAAAAMxNjACAAAABDQxNzMEAAAAATAHAAAACTMvMzEvMjAxOAgAAAAJOS8zMC8yMDE3CQAAAAEwYpJ0hRQJ1gjgDWKHFAnWCEFDSVEuKElOVkFMSUQgSURFTlRJRklFUikuSVFfRUFSTklOR19DTy4xOTk2LjYvMzAvMjAxOC5MRlIuRi5VU0QuSAUAAAAAAAAACAAAABQoSW52YWxpZCBJZGVudGlmaWVyKeUP74QUCdYIMV5RhxQJ1gggQ0lRLk5BU0RBUUdTOk9EVC5JUV9DT01QQU5ZX05BTUUBAAAAGhpFIAMAAAAaT2RvbmF0ZSBUaGVyYXBldXRpY3MsIEluYy4AxiXjhBQJ1ghn51qHFAnWCChDSVEuU0VISzoxNTMwLklRX0xBU1RTQUxFUFJJQ0UuMy8zMS8yMDE4AQAAAO+4cAECAAAACDIuMjUyNTYyAOltWYYUCdYIL3BkhxQJ1gg1Q0lRLk5BU0RBUUdTOkFQVFguSVFfQ0FQRVguMTk5Mi42LzMwLzIwMTguTEZSLkYuVVNELkgBAAAALykMFAMAAAAAAGKSdIUUCdYIRUldhxQJ1gg0Q0lRLk5BU0RBUUNN</t>
  </si>
  <si>
    <t>OkNVUi5JUV9EQV9DRi4yMDAwLjYvMzAvMjAxOC5MRlIuRi5VU0QuSAEAAADx7nUAAgAAAAgwLjI0NDM3NwEIAAAABQAAAAExAQAAAAoxODg4ODczMjE5AwAAAAMxNjACAAAABDIxNjAEAAAAATAHAAAACTYvMzAvMjAxOAgAAAAJMy8zMS8yMDE4CQAAAAEw5Q/vhBQJ1ggxXlGHFAnWCDhDSVEuQ1BTRTpaRUFMLklRX0VCSVREQV9FU1QuQ1kyMDIwLjYvMzAvMjAxOC5DT04uRi5VU0QuSAEAAAAiWxMAAgAAABEtMi40NjcxODAwMzQ2MjM0NwEOAAAABQAAAAIxMQEAAAABMAIAAAAKMTAwMTI5NDA3MwMAAAAGMTAwMTg3BAAAAAEzBgAAAAEwBwAAAAMxNjAIAAAAATAJAAAAATEKAAAAATALAAAACzEwODkwMzE5ODAyDAAAAAE3DQAAAAg3LzEvMjAxOBAAAAAJNi8zMC8yMDE4YpJ0hRQJ1gjgDWKHFAnWCDtDSVEuT1RDUEs6QlRIRS5JUV9UT1RBTF9FUVVJVFkuQ1kyMDE2LjYvMzAvMjAxOC5MRlIuRi5VU0QuSAEAAABvnbkFAgAAAAgtMy4xMTg4NgEIAAAABQAAAAExAQAAAAoxODgwMTA1NjIyAwAAAAMxNjACAAAABDEyNzUEAAAAATAHAAAACTYvMzAvMjAxOAgAAAAKMTIvMzEvMjAxNgkAAAABMOUP74QUCdYIhsBThxQJ1gg0Q0lRLlNFSEs6MzkzMy5JUV9UT1RBTF9DTC4xOTk2LjYvMzAvMjAxOC5MRlIuRi5VU0QuSAEAAABN2hECAgAAAAo5NjguNjM1ODI4AQgAAAAFAAAAATEBAAAACjE4ODU3MzkxOTkDAAAA</t>
  </si>
  <si>
    <t>AzE2MAIAAAAEMTAwOQQAAAABMAcAAAAJNi8zMC8yMDE4CAAAAAoxMi8zMS8yMDE2CQAAAAEw6W1ZhhQJ1gjgDWKHFAnWCCdDSVEuTkFTREFRQ006QllTSS5JUV9CRVRBXzFZUi42LzMwLzIwMTgBAAAAR89sGAIAAAAQMS4xODQxNDU0NDYwMDg5OQBiknSFFAnWCEVJXYcUCdYIL0NJUS5JUVRSMzA2NzUxMDk2LklRX1RSX0lNUExJRURfRVZfRklOQUwuLlVTRC5IAQAAAHimSBICAAAACzcxNTEuODk4NDg4AQYAAAAFAAAAAjU0AQAAAAYxMDIwNDUCAAAACTMwNjc1MTA5NgMAAAAJMzA2NzUxMjU4BAAAAAMxNjAGAAAABUZhbHNl5jtFghQJ1gh70maHFAnWCDtDSVEuTkFTREFRR1M6Q0JBWS5JUV9FQklUX01BUkdJTi4yMDAwLjYvMzAvMjAxOC5MRlIuRi5VU0QuSAEAAADAegAAAwAAAAJOTQEIAAAABQAAAAExAQAAAAoxODg3NDQ1MDg0AwAAAAMxNjACAAAABDQwNTMEAAAAATAHAAAACTYvMzAvMjAxOAgAAAAJMy8zMS8yMDE4CQAAAAEwYpJ0hRQJ1ghn51qHFAnWCDJDSVEuTllTRTpNWU9WLklRX0VCSVREQS4xOTkyLjYvMzAvMjAxOC5MRlIuRi5VU0QuSAEAAACX2gsYAwAAAAAAYpJ0hRQJ1giUq1+HFAnWCCVDSVEuSVFUUjM4NDAyODQ5Ni5JUV9UUl9JTVBMSUVEX0VRX0JWAQAAAFDP4xYCAAAACDguMjkzMzU3AQYAAAAFAAAAAjU0AQAAAAYxMDIwOTcCAAAACTM4NDAyODQ5NgMAAAAJNDA3Mjc1Nzc2BAAA</t>
  </si>
  <si>
    <t>AAMxNjAGAAAABUZhbHNl5jtFghQJ1gh70maHFAnWCCxDSVEuSVFUUjEwODkwNjI3Ni5JUV9UUl9UT1RBTF9HUk9TU19UVi5VU0QuSAUAAAAAAAAACAAAABooSW52YWxpZCBDdXJyZW5jeSBSZXF1ZXN0KeY7RYIUCdYIe9JmhxQJ1gguQ0lRLk5BU0RBUUdNOlJZVE0uSVFfTUFSS0VUQ0FQLjYvMzAvMjAxOC5VU0QuSAEAAAAYyW0SAgAAAAoxMDY2LjY1MzIyAQYAAAAFAAAAATEBAAAACjE4ODg5MDk4NDYDAAAAAzE2MAIAAAAGMTAwMDU0BAAAAAEwBwAAAAk2LzMwLzIwMThiknSFFAnWCEVJXYcUCdYIOUNJUS5PVENQSzpSWkxULklRX1RPVEFMX0VRVUlUWS4xOTk2LjYvMzAvMjAxOC5MRlIuRi5VU0QuSAEAAAAhCZsKAgAAAAg4LjQ2MDI0MgEIAAAABQAAAAExAQAAAAoxODg5MTA1MTIwAwAAAAMxNjACAAAABDEyNzUEAAAAATAHAAAACTYvMzAvMjAxOAgAAAAJMy8zMS8yMDE3CQAAAAEw5Q/vhBQJ1giGwFOHFAnWCCtDSVEuU0hTRTo2MDA4NjcuSVFfRElWSURFTkRfWUlFTEQuNi8zMC8yMDE4AQAAANg+rgACAAAABjAuMDY5NgBiknSFFAnWCOANYocUCdYINkNJUS5OQVNEQVFHUzpDWVRLLklRX0VCSVREQS4yMDAwLjYvMzAvMjAxOC5MRlIuRi5VU0QuSAEAAACzagAAAgAAAAgtMTE0LjEwNAEIAAAABQAAAAExAQAAAAoxODg4NDcwNjY2AwAAAAMxNjACAAAABDQwNTEEAAAAATAHAAAACTYvMzAvMjAxOAgA</t>
  </si>
  <si>
    <t>AAAJMy8zMS8yMDE4CQAAAAEwxiXjhBQJ1ghlIlaHFAnWCCRDSVEuT1RDUEs6TkVYUy5JUV9CRVRBXzVZUi42LzMwLzIwMTgBAAAAHb1OFAIAAAAQNC41ODM5Mjc2NTg2MDMwMwDlD++EFAnWCDFeUYcUCdYII0NJUS5JUVRSMzg0MDI4NDk2LklRX1RSX0NMT1NFRF9EQVRFAQAAAFDP4xYFAAAACjEwLzI0LzIwMTYA5jtFghQJ1gi/WsiCFAnWCCFDSVEuT1RDUEs6UlpMVC5JUV9FRkZFQ1RfVEFYX1JBVEUBAAAAIQmbCgMAAAAAAOUP74QUCdYIhsBThxQJ1gg5Q0lRLk9UQ1BLOk5FWFMuSVFfRUJJVERBX0VTVC5DWTIwMTkuNi8zMC8yMDE4LkNPTi5GLlVTRC5IAQAAAB29ThQDAAAAAADlD++EFAnWCDFeUYcUCdYILkNJUS5OQVNEQVFHUzpJQ1BULklRX01BUktFVENBUC4zLzMxLzIwMTguVVNELkgBAAAAgq+tAAIAAAALMTU0OC42MjMxNTEBBgAAAAUAAAABMQEAAAAKMTg3NzAxMTQ4NwMAAAADMTYwAgAAAAYxMDAwNTQEAAAAATAHAAAACTMvMzEvMjAxOJQLV4YUCdYIL3BkhxQJ1gg6Q0lRLkVOWFRQQTpFUllQLklRX0dST1NTX01BUkdJTi4yMDAwLjYvMzAvMjAxOC5MRlIuRi5VU0QuSAEAAADYingBAgAAAAMxMDABCAAAAAUAAAABMQEAAAAKMTg4NTIwNDIxOQMAAAACNTACAAAABDQwNzQEAAAAATAHAAAACTYvMzAvMjAxOAgAAAAKMTIvMzEvMjAxNwkAAAABMOUP74QUCdYIMV5RhxQJ1gg0Q0lRLkNQU0U6</t>
  </si>
  <si>
    <t>WkVBTC5JUV9UT1RBTF9DTC4yMDAwLjYvMzAvMjAxOC5MRlIuRi5VU0QuSAEAAAAiWxMAAgAAAAc4LjY4OTUzAQgAAAAFAAAAATEBAAAACjE4ODk5MTMxMDADAAAAAzE2MAIAAAAEMTAwOQQAAAABMAcAAAAJNi8zMC8yMDE4CAAAAAkzLzMxLzIwMTgJAAAAATBiknSFFAnWCOANYocUCdYIJUNJUS5DUFNFOk5PVk8gQi5JUV9QRVJJT0REQVRFX0lTLjEwMDABAAAAfO8EAAUAAAAKMTIvMzEvMjAxNwCUC1eGFAnWCHvSZocUCdYIPUNJUS5OQVNEQVFHUzpOSVRFLklRX1JFVkVOVUVfRVNULkNZMjAyMS42LzMwLzIwMTguQ09OLkYuVVNELkgBAAAADNMYEAIAAAAIMTQ1LjY2MjUBDgAAAAUAAAACMTEBAAAAATACAAAACjEwMDM4OTI1NzQDAAAABjEwMDE4MAQAAAABMgYAAAABMAcAAAADMTYwCAAAAAEwCQAAAAExCgAAAAEwCwAAAAsxMDkxNTA4MDAyNwwAAAABNw0AAAAINy8xLzIwMTgQAAAACTYvMzAvMjAxOK+G5YQUCdYIp4RYhxQJ1gg8Q0lRLk5BU0RBUUdNOkZPTEQuSVFfR1JPU1NfTUFSR0lOLjIwMDAuNi8zMC8yMDE4LkxGUi5GLlVTRC5IAQAAAFb2agACAAAABzgzLjY3MDYBCAAAAAUAAAABMQEAAAAKMTg4ODQ4NDY1MQMAAAADMTYwAgAAAAQ0MDc0BAAAAAEwBwAAAAk2LzMwLzIwMTgIAAAACTMvMzEvMjAxOAkAAAABMGKSdIUUCdYIlKtfhxQJ1ggiQ0lRLkFNRVg6QlRYLklRX0JFVEFfMllSLjYvMzAv</t>
  </si>
  <si>
    <t>MjAxOAEAAAAWZAAAAgAAABAxLjY0Nzg2ODY0MTg3NDM0AK+G5YQUCdYIZSJWhxQJ1gglQ0lRLklRVFIzMDY3NTEwOTYuSVFfUFJJTUFSWV9JTkRVU1RSWQEAAACmfd4EAwAAAA1CaW90ZWNobm9sb2d5AOY7RYIUCdYIe9JmhxQJ1gg=</t>
  </si>
  <si>
    <t xml:space="preserve">Corresponding to </t>
  </si>
  <si>
    <t>&amp;</t>
  </si>
</sst>
</file>

<file path=xl/styles.xml><?xml version="1.0" encoding="utf-8"?>
<styleSheet xmlns="http://schemas.openxmlformats.org/spreadsheetml/2006/main" xmlns:mc="http://schemas.openxmlformats.org/markup-compatibility/2006" xmlns:x14ac="http://schemas.microsoft.com/office/spreadsheetml/2009/9/ac" mc:Ignorable="x14ac">
  <numFmts count="214">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
    <numFmt numFmtId="165" formatCode="0.0%"/>
    <numFmt numFmtId="166" formatCode="_(&quot;$&quot;* #,##0.0_);_(&quot;$&quot;* \(#,##0.0\);_(&quot;$&quot;* &quot;-&quot;??_);_(@_)"/>
    <numFmt numFmtId="167" formatCode="_(* #,##0.0_);_(* \(#,##0.0\);_(* &quot;-&quot;??_);_(@_)"/>
    <numFmt numFmtId="168" formatCode="_(* #,##0.00_);_(* \(#,##0.00\);_(* &quot;-&quot;_);_(@_)"/>
    <numFmt numFmtId="169" formatCode="_(* #,##0.0_);_(* \(#,##0.0\);_(* &quot;-&quot;_);_(@_)"/>
    <numFmt numFmtId="170" formatCode="_(* #,##0.00000_);_(* \(#,##0.00000\);_(* &quot;-&quot;??_);_(@_)"/>
    <numFmt numFmtId="171" formatCode="_-* #,##0\ &quot;F&quot;_-;\-* #,##0\ &quot;F&quot;_-;_-* &quot;-&quot;\ &quot;F&quot;_-;_-@_-"/>
    <numFmt numFmtId="172" formatCode="_-&quot;$&quot;* #,##0.00_-;\-&quot;$&quot;* #,##0.00_-;_-&quot;$&quot;* &quot;-&quot;??_-;_-@_-"/>
    <numFmt numFmtId="173" formatCode="[$€-2]\ #,##0_);\([$€-2]\ #,##0\)"/>
    <numFmt numFmtId="174" formatCode="#,##0.0_);\(#,##0.0\);@_)"/>
    <numFmt numFmtId="175" formatCode="#,##0.0_);\(#,##0.0\);&quot;-&quot;?_);@_)"/>
    <numFmt numFmtId="176" formatCode="&quot;$&quot;#,##0.0_);\(&quot;$&quot;#,##0.0\);&quot;-&quot;?_);@_)"/>
    <numFmt numFmtId="177" formatCode="&quot;$&quot;#,##0.0_);\(&quot;$&quot;#,##0.0\)"/>
    <numFmt numFmtId="178" formatCode="0.0000000000000\x"/>
    <numFmt numFmtId="179" formatCode="0.00000000000000\x"/>
    <numFmt numFmtId="180" formatCode="0.000000000000000\x"/>
    <numFmt numFmtId="181" formatCode="0.0%;\-0.0%;&quot;-&quot;?_);@_)"/>
    <numFmt numFmtId="182" formatCode="0.00%;\(0.00\)%"/>
    <numFmt numFmtId="183" formatCode="0%;[Red]\(0%\)"/>
    <numFmt numFmtId="184" formatCode=";;;"/>
    <numFmt numFmtId="185" formatCode="_-&quot;$&quot;* #,##0_-;\-&quot;$&quot;* #,##0_-;_-&quot;$&quot;* &quot;-&quot;_-;_-@_-"/>
    <numFmt numFmtId="186" formatCode="_-* #,##0_-;\-* #,##0_-;_-* &quot;-&quot;_-;_-@_-"/>
    <numFmt numFmtId="187" formatCode="_(* &quot;$&quot;\ #,##0\ \ ;_(* &quot;$&quot;\ \(#,##0\)\ ;_(* &quot;-&quot;\ \ ;_(@\ "/>
    <numFmt numFmtId="188" formatCode="0.0_)\%;\(0.0\)\%;0.0_)\%;@_)_%"/>
    <numFmt numFmtId="189" formatCode="#,##0.0_)_%;\(#,##0.0\)_%;0.0_)_%;@_)_%"/>
    <numFmt numFmtId="190" formatCode="_(* #,##0\ \ ;_(* \(#,##0\)\ \ ;_(* &quot;-&quot;\ \ ;_(* @_)"/>
    <numFmt numFmtId="191" formatCode="0.0"/>
    <numFmt numFmtId="192" formatCode="#,##0.0_);\(#,##0.0\)"/>
    <numFmt numFmtId="193" formatCode="&quot;$&quot;_(#,##0.00_);&quot;$&quot;\(#,##0.00\);&quot;$&quot;_(0.00_);@_)"/>
    <numFmt numFmtId="194" formatCode="&quot;$&quot;_(#,##0.00_);&quot;$&quot;\(#,##0.00\)"/>
    <numFmt numFmtId="195" formatCode="&quot;£&quot;_(#,##0.00_);&quot;£&quot;\(#,##0.00\)"/>
    <numFmt numFmtId="196" formatCode="&quot;€&quot;_(#,##0.00_);&quot;€&quot;\(#,##0.00\)"/>
    <numFmt numFmtId="197" formatCode="&quot;£&quot;_(#,##0.00_);&quot;£&quot;\(#,##0.00\);&quot;£&quot;_(0.00_);@_)"/>
    <numFmt numFmtId="198" formatCode="&quot;€&quot;_(#,##0.00_);&quot;€&quot;\(#,##0.00\);&quot;€&quot;_(0.00_);@_)"/>
    <numFmt numFmtId="199" formatCode="&quot;DM&quot;_(#,##0.00_);&quot;DM&quot;\(#,##0.00\)"/>
    <numFmt numFmtId="200" formatCode="#,##0.00_);\(#,##0.00\);0.00_);@_)"/>
    <numFmt numFmtId="201" formatCode="_-* #,##0.00_-;\-* #,##0.00_-;_-* &quot;-&quot;??_-;_-@_-"/>
    <numFmt numFmtId="202" formatCode="\€_(#,##0.00_);\€\(#,##0.00\);\€_(0.00_);@_)"/>
    <numFmt numFmtId="203" formatCode="\£_(#,##0_);\£\(#,##0\)"/>
    <numFmt numFmtId="204" formatCode="* \L\+0.00%;* \L\-0.00%;* @\ \ "/>
    <numFmt numFmtId="205" formatCode="* \L\+0.00%;* \L\-0.00%;* &quot;-&quot;\ \ ;* @\ \ "/>
    <numFmt numFmtId="206" formatCode="#,##0_)\x;\(#,##0\)\x;0_)\x;@_)_x"/>
    <numFmt numFmtId="207" formatCode="#,##0.0_)\x;\(#,##0.0\)\x"/>
    <numFmt numFmtId="208" formatCode="#,##0.0\ \x;\(#,##0.0\)\x;@\ \ "/>
    <numFmt numFmtId="209" formatCode="#,##0.0_)\x;\(#,##0.0\)\x;0.0_)\x;@_)_x"/>
    <numFmt numFmtId="210" formatCode="#,##0.0\ \x;\(#,##0.0\)\x;@\ "/>
    <numFmt numFmtId="211" formatCode="#,##0.0\ \x;\(#,##0.0\)\x;@\ \ \x"/>
    <numFmt numFmtId="212" formatCode="#,##0_)_x;\(#,##0\)_x;0_)_x;@_)_x"/>
    <numFmt numFmtId="213" formatCode="#,##0.0_)_x;\(#,##0.0\)_x"/>
    <numFmt numFmtId="214" formatCode="#,##0.0_)_x;\(#,##0.0\)_x;0.0_)_x;@_)_x"/>
    <numFmt numFmtId="215" formatCode="0.0_)\%;\(0.0\)\%"/>
    <numFmt numFmtId="216" formatCode="* 0.0%;* \(0.0\)%;* &quot;-&quot;\ \ ;* @\ \ "/>
    <numFmt numFmtId="217" formatCode="0.0%;\(0.0\)%;@\ \ "/>
    <numFmt numFmtId="218" formatCode="#,##0.0_)_%;\(#,##0.0\)_%"/>
    <numFmt numFmtId="219" formatCode="&quot;$&quot;#,##0"/>
    <numFmt numFmtId="220" formatCode="0.000000"/>
    <numFmt numFmtId="221" formatCode="\£\ #,##0_);[Red]\(\£\ #,##0\)"/>
    <numFmt numFmtId="222" formatCode="_(\£* #,##0_);_(\£* \(#,##0\);_(\£* &quot;-&quot;_);_(@_)"/>
    <numFmt numFmtId="223" formatCode="_(\£* #,##0.0_);_(\£* \(#,##0.0\);_(\£* &quot;-&quot;_);_(@_)"/>
    <numFmt numFmtId="224" formatCode="_(\£* #,##0.00_);_(\£* \(#,##0.00\);_(\£* &quot;-&quot;_);_(@_)"/>
    <numFmt numFmtId="225" formatCode="_(* #,##0\p_);_(* \(#,##0\p\);_(* &quot;-&quot;\ \p_);_(@_)"/>
    <numFmt numFmtId="226" formatCode="_(* #,##0.00\p_);_(* \(#,##0.00\p\);_(* &quot;-&quot;\ \p_);_(@_)"/>
    <numFmt numFmtId="227" formatCode="\£#,##0.00"/>
    <numFmt numFmtId="228" formatCode="\¥\ #,##0_);[Red]\(\¥\ #,##0\)"/>
    <numFmt numFmtId="229" formatCode="0_)"/>
    <numFmt numFmtId="230" formatCode="#,##0.0;\(#,##0.0\);\-"/>
    <numFmt numFmtId="231" formatCode="#,##0.0&quot; F&quot;;\(#,##0.0&quot; F&quot;\);\-"/>
    <numFmt numFmtId="232" formatCode="0.0%;\(0.0%\);\-"/>
    <numFmt numFmtId="233" formatCode="\ "/>
    <numFmt numFmtId="234" formatCode="0.00\x"/>
    <numFmt numFmtId="235" formatCode="0.0\x"/>
    <numFmt numFmtId="236" formatCode="0.0\ \x"/>
    <numFmt numFmtId="237" formatCode="#,##0;\(#,##0\);\-"/>
    <numFmt numFmtId="238" formatCode="#,##0&quot; MF&quot;;\(#,##0&quot; MF&quot;\);\-"/>
    <numFmt numFmtId="239" formatCode="mmmm\-yy"/>
    <numFmt numFmtId="240" formatCode="0.00;[Red]0.00"/>
    <numFmt numFmtId="241" formatCode="00000000"/>
    <numFmt numFmtId="242" formatCode="0.0000000000000000\x"/>
    <numFmt numFmtId="243" formatCode="&quot;$&quot;#,##0.00"/>
    <numFmt numFmtId="244" formatCode="#,##0.0\ ;\(#,##0.0\)"/>
    <numFmt numFmtId="245" formatCode="0.00%;[Red]\(0.00%\)"/>
    <numFmt numFmtId="246" formatCode="#,##0.00\ ;\(#,##0.00\)"/>
    <numFmt numFmtId="247" formatCode="[$-409]d\-mmm\-yy;@"/>
    <numFmt numFmtId="248" formatCode="_(* #,##0_);_(* \(#,##0\);_(* &quot;-&quot;??_);_(@_)"/>
    <numFmt numFmtId="249" formatCode="#,##0.0_x;&quot;NM&quot;_x"/>
    <numFmt numFmtId="250" formatCode="#,##0\x_);&quot;NM&quot;_)"/>
    <numFmt numFmtId="251" formatCode="#,##0&quot; kr&quot;;[Red]\-#,##0&quot; kr&quot;"/>
    <numFmt numFmtId="252" formatCode="0\ \ \ \ \ \ "/>
    <numFmt numFmtId="253" formatCode="&quot;$&quot;0.00\ \ \ _);\(&quot;$&quot;0.00\)\ \ \ "/>
    <numFmt numFmtId="254" formatCode="0.0\ \ \ \ \ _);\(0.0\)\ \ \ \ \ "/>
    <numFmt numFmtId="255" formatCode="0.00\ \x\ \ _);\(0.00\)\ \x\ \ "/>
    <numFmt numFmtId="256" formatCode="0.00\ \ \ \ \ _);\(0.00\)\ \ \ \ \ "/>
    <numFmt numFmtId="257" formatCode="0.0\ \ \ _);\(0.0\)\ \ \ "/>
    <numFmt numFmtId="258" formatCode="[Blue]#,##0.000_);[Blue]\(#,##0.000\)"/>
    <numFmt numFmtId="259" formatCode="[Blue]&quot;$&quot;#,##0.000_);[Blue]\(&quot;$&quot;#,##0.000\)"/>
    <numFmt numFmtId="260" formatCode="&quot;$&quot;#,##0.0_);[Red]\(&quot;$&quot;#,##0.0\);&quot;$&quot;0.0_);@_)"/>
    <numFmt numFmtId="261" formatCode="#,##0;\(#,##0\);&quot; - &quot;"/>
    <numFmt numFmtId="262" formatCode="#,##0\ ;\(#,##0\);\-\ \ \ \ \ "/>
    <numFmt numFmtId="263" formatCode="#,##0\ ;\(#,##0\);\–\ \ \ \ \ "/>
    <numFmt numFmtId="264" formatCode="#,##0.00&quot;w&quot;_);[Red]\(#,##0.00&quot;w&quot;\)"/>
    <numFmt numFmtId="265" formatCode="_(* #,##0.000000_);_(* \(#,##0.000000\);_(* &quot;-&quot;??_);_(@_)"/>
    <numFmt numFmtId="266" formatCode="_(* #,##0.0000_);_(* \(#,##0.0000\);_(* &quot;-&quot;??_);_(@_)"/>
    <numFmt numFmtId="267" formatCode="_-* #,##0\ _F_-;\-* #,##0\ _F_-;_-* &quot;-&quot;\ _F_-;_-@_-"/>
    <numFmt numFmtId="268" formatCode="#,##0.0000000000;[Red]\-#,##0.0000000000"/>
    <numFmt numFmtId="269" formatCode="0.00_)"/>
    <numFmt numFmtId="270" formatCode="#,##0.0_);[Red]\(#,##0.0\)"/>
    <numFmt numFmtId="271" formatCode="#,##0_)_%;\(#,##0\)_%;"/>
    <numFmt numFmtId="272" formatCode="_(* #,##0.0_);_(* \(#,##0.0\);_(* &quot;-&quot;?_);_(@_)"/>
    <numFmt numFmtId="273" formatCode="0.000%"/>
    <numFmt numFmtId="274" formatCode="#,##0.000_);[Red]\(#,##0.000\)"/>
    <numFmt numFmtId="275" formatCode="#,##0_%_);\(#,##0\)_%;**;@_%_)"/>
    <numFmt numFmtId="276" formatCode="&quot;$&quot;* \(#,##0\);&quot;$&quot;* #,##0_);&quot;$&quot;* &quot;-&quot;??_);@_)"/>
    <numFmt numFmtId="277" formatCode="#,##0.0000,"/>
    <numFmt numFmtId="278" formatCode="_-* #,##0.00_ _k_r_-;\-* #,##0.00_ _k_r_-;_-* &quot;-&quot;??_ _k_r_-;_-@_-"/>
    <numFmt numFmtId="279" formatCode="_(&quot;$&quot;* #,##0,_);_(&quot;$&quot;* \(#,##0,\);_(&quot;$&quot;* &quot;-&quot;_);_(@_)"/>
    <numFmt numFmtId="280" formatCode="&quot;$&quot;* \(#,##0\)_%;&quot;$&quot;* #,##0_)_%;&quot;$&quot;* &quot;-&quot;??_)_%;@_)_%"/>
    <numFmt numFmtId="281" formatCode="_(* #,##0.0000,_);_(* \(#,##0.0000,\);_(* &quot;-&quot;_);_(@_)"/>
    <numFmt numFmtId="282" formatCode="&quot;$&quot;* \(#,##0.0\);&quot;$&quot;* #,##0.0_);&quot;$&quot;* &quot;-&quot;??_);@_)"/>
    <numFmt numFmtId="283" formatCode="#,##0.00_%_);\(#,##0.00\)_%;**;@_%_)"/>
    <numFmt numFmtId="284" formatCode="General_)"/>
    <numFmt numFmtId="285" formatCode="#,##0.00000000_);[Red]\(#,##0.00000000\)"/>
    <numFmt numFmtId="286" formatCode="#,##0.000000_);[Red]\(#,##0.000000\)"/>
    <numFmt numFmtId="287" formatCode="0.00_);\(0.00\);0.00"/>
    <numFmt numFmtId="288" formatCode="#,##0.0000000_);[Red]\(#,##0.0000000\)"/>
    <numFmt numFmtId="289" formatCode="&quot;$&quot;#,##0.0_);[Red]\(&quot;$&quot;#,##0.0\)"/>
    <numFmt numFmtId="290" formatCode="&quot;$&quot;#,##0_%_);\(&quot;$&quot;#,##0\)_%;&quot;$&quot;#,##0_%_);@_%_)"/>
    <numFmt numFmtId="291" formatCode="\(#,##0\)_%;#,##0_)_%;"/>
    <numFmt numFmtId="292" formatCode="&quot;$&quot;\ #,##0.00;[Red]&quot;$&quot;\ \-#,##0.00"/>
    <numFmt numFmtId="293" formatCode="\(#,##0.0\);#,##0.0_);"/>
    <numFmt numFmtId="294" formatCode="_ * #,##0_ ;_ * \-#,##0_ ;_ * &quot;-&quot;_ ;_ @_ "/>
    <numFmt numFmtId="295" formatCode="\(#,##0.0\)_%;#,##0.0_)_%;"/>
    <numFmt numFmtId="296" formatCode="_ * #,##0.00_ ;_ * \-#,##0.00_ ;_ * &quot;-&quot;??_ ;_ @_ "/>
    <numFmt numFmtId="297" formatCode="mmm\-d\-yy"/>
    <numFmt numFmtId="298" formatCode="mmm\-d\-yyyy"/>
    <numFmt numFmtId="299" formatCode="#,##0.00&quot; kr&quot;;\-#,##0.00&quot; kr&quot;"/>
    <numFmt numFmtId="300" formatCode="#,##0.000,_);[Red]\(#,##0.000,\)"/>
    <numFmt numFmtId="301" formatCode="yyyy"/>
    <numFmt numFmtId="302" formatCode="yyyy&quot;E&quot;"/>
    <numFmt numFmtId="303" formatCode="###0_);\(###0\)"/>
    <numFmt numFmtId="304" formatCode="#,##0&quot; kr&quot;;\-#,##0&quot; kr&quot;"/>
    <numFmt numFmtId="305" formatCode="&quot;$&quot;#,##0.000"/>
    <numFmt numFmtId="306" formatCode="\ #,##0\ \ \ ;\(#,##0\)\ \ ;\—\ \ \ \ "/>
    <numFmt numFmtId="307" formatCode="0.0%;[Red]\(0.0%\)"/>
    <numFmt numFmtId="308" formatCode="#,##0.00&quot; kr&quot;;[Red]\-#,##0.00&quot; kr&quot;"/>
    <numFmt numFmtId="309" formatCode="0.00_);\(0.00\)"/>
    <numFmt numFmtId="310" formatCode="#,##0.0"/>
    <numFmt numFmtId="311" formatCode="_-* #,##0&quot; kr&quot;_-;\-* #,##0&quot; kr&quot;_-;_-* &quot;-&quot;&quot; kr&quot;_-;_-@_-"/>
    <numFmt numFmtId="312" formatCode="_-* #,##0_ _k_r_-;\-* #,##0_ _k_r_-;_-* &quot;-&quot;_ _k_r_-;_-@_-"/>
    <numFmt numFmtId="313" formatCode="_-* #,##0.00&quot; kr&quot;_-;\-* #,##0.00&quot; kr&quot;_-;_-* &quot;-&quot;??&quot; kr&quot;_-;_-@_-"/>
    <numFmt numFmtId="314" formatCode="_(* #,##0.0000_);_(* \(#,##0.0000\);_(* &quot;-&quot;_);_(@_)"/>
    <numFmt numFmtId="315" formatCode="0.0\ \ "/>
    <numFmt numFmtId="316" formatCode="&quot;$&quot;#,##0.0_);&quot;$&quot;\(#,##0.0\)"/>
    <numFmt numFmtId="317" formatCode="_(* #,##0.00\ ___);_(* \(#,##0.00\ __\);_(* &quot;-&quot;??_);_(@_)"/>
    <numFmt numFmtId="318" formatCode="_(* #,##0\ \x_);_(* \(#,##0\ \x\);_(* &quot;-&quot;??_);_(@_)"/>
    <numFmt numFmtId="319" formatCode="_(* #,##0\ ___);_(* \(#,##0\ __\);_(* &quot;-&quot;??_);_(@_)"/>
    <numFmt numFmtId="320" formatCode="_(* #,##0.0\ ___);_(* \(#,##0.0\ __\);_(* &quot;-&quot;??_);_(@_)"/>
    <numFmt numFmtId="321" formatCode="* #,##0_);* \(\ #,##0_);* \-"/>
    <numFmt numFmtId="322" formatCode="0.0_)_x;\(0.0\)_x"/>
    <numFmt numFmtId="323" formatCode="&quot;$&quot;#,##0.0;[Red]\-&quot;$&quot;#,##0.0"/>
    <numFmt numFmtId="324" formatCode="#,##0.0_)\ \ ;[Red]\(#,##0.0\)\ \ "/>
    <numFmt numFmtId="325" formatCode="&quot;$&quot;#,##0.0000"/>
    <numFmt numFmtId="326" formatCode="0.0%;\(0.0%\)"/>
    <numFmt numFmtId="327" formatCode="\(#,##0.00\);#,##0.00_);"/>
    <numFmt numFmtId="328" formatCode="\(#,##0.00\)_%;#,##0.00_)_%;"/>
    <numFmt numFmtId="329" formatCode="0.0_%"/>
    <numFmt numFmtId="330" formatCode="\(#,##0.000\);#,##0.000_);"/>
    <numFmt numFmtId="331" formatCode="\(#,##0.000\)_%;#,##0.000_)_%;"/>
    <numFmt numFmtId="332" formatCode="mm/dd/yy"/>
    <numFmt numFmtId="333" formatCode="0.00\%;\-0.00\%;0.00\%"/>
    <numFmt numFmtId="334" formatCode="_(* #,##0%_);_(* \(#,##0%\);_(* &quot;-&quot;_);_(@_)"/>
    <numFmt numFmtId="335" formatCode="0.0%&quot;Sales&quot;"/>
    <numFmt numFmtId="336" formatCode="#,##0_)&quot; %&quot;;[Red]\(#,##0\)&quot; %&quot;"/>
    <numFmt numFmtId="337" formatCode="_(* &quot;$&quot;#,##0.0_);_(* &quot;$&quot;\(#,##0.0\);_(* &quot;$&quot;\ &quot;-&quot;_);_(@_)"/>
    <numFmt numFmtId="338" formatCode="0.00\x;\-0.00\x;0.00\x"/>
    <numFmt numFmtId="339" formatCode="#,##0.00;[Red]\(#,##0.00\)"/>
    <numFmt numFmtId="340" formatCode="_(&quot;SGD&quot;\ * #,##0.00_);_(&quot;SGD&quot;\ * \(#,##0.00\);_(* &quot;-&quot;_);_(@_)"/>
    <numFmt numFmtId="341" formatCode="0_%_);\(0\)_%;0_%_);@_%_)"/>
    <numFmt numFmtId="342" formatCode="&quot;$&quot;#,##0.0"/>
    <numFmt numFmtId="343" formatCode="[$-409]mmmm\ d\,\ yyyy;@"/>
    <numFmt numFmtId="344" formatCode="0.00_);[Red]\(0.00\)"/>
    <numFmt numFmtId="345" formatCode="#0.0%_);\(#0.0%\)"/>
    <numFmt numFmtId="346" formatCode="#,##0\ &quot;DM&quot;;[Red]\-#,##0\ &quot;DM&quot;"/>
    <numFmt numFmtId="347" formatCode="_(\ #,##0_);_(\ \(#,##0\);_(\ &quot;-&quot;_);_(@_)"/>
    <numFmt numFmtId="348" formatCode="#0.0\x"/>
    <numFmt numFmtId="349" formatCode="#0.00\x"/>
    <numFmt numFmtId="350" formatCode="0.0\ \x\ "/>
    <numFmt numFmtId="351" formatCode="_-#,##0&quot; £/GJ&quot;"/>
    <numFmt numFmtId="352" formatCode="_-#,##0&quot; £/t&quot;"/>
    <numFmt numFmtId="353" formatCode="_-#,##0&quot;°&quot;"/>
    <numFmt numFmtId="354" formatCode="_-#\,##0&quot;°&quot;"/>
    <numFmt numFmtId="355" formatCode="0_);\(0\)"/>
    <numFmt numFmtId="356" formatCode="0.00\ ;\(0.00\)"/>
    <numFmt numFmtId="357" formatCode="_(&quot;$&quot;* #,##0.0_);_(* \(#,##0.0\);_(&quot;$&quot;* &quot;0.0&quot;_);_(@_)"/>
    <numFmt numFmtId="358" formatCode="_(&quot;$&quot;* #,##0.0_);_(&quot;$&quot;* \(#,##0.0\);_(&quot;$&quot;* &quot;-&quot;?_);_(@_)"/>
    <numFmt numFmtId="359" formatCode="&quot;$&quot;#,##0_);[Red]\(&quot;$&quot;#,##0\);0_);@_)"/>
    <numFmt numFmtId="360" formatCode="0.0_x_);\(0.0\)_x"/>
    <numFmt numFmtId="361" formatCode="#,##0;\(#,##0\)"/>
    <numFmt numFmtId="362" formatCode="#,##0_}&quot;bar&quot;;\(#,##0\)&quot;bar&quot;"/>
    <numFmt numFmtId="363" formatCode="0.00000"/>
    <numFmt numFmtId="364" formatCode="\«#,##0;_(* #,##0;_(* &quot;-&quot;??_);_(@_)"/>
    <numFmt numFmtId="365" formatCode="#,##0\ \ \ ;[Red]\(#,##0\)\ \ ;\—\ \ \ \ "/>
    <numFmt numFmtId="366" formatCode="#,##0.0\%_);\(#,##0.0\%\);#,##0.0\%_);@_%_)"/>
    <numFmt numFmtId="367" formatCode="#,##0.00_);\(#,##0.00\);_(* &quot;-&quot;_)"/>
    <numFmt numFmtId="368" formatCode="#,##0.0\x"/>
    <numFmt numFmtId="369" formatCode="#,##0_);\(#,##0\);#,##0_);@_)"/>
  </numFmts>
  <fonts count="363">
    <font>
      <sz val="10"/>
      <color theme="1"/>
      <name val="Garamond"/>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8"/>
      <color indexed="12"/>
      <name val="Arial"/>
      <family val="2"/>
    </font>
    <font>
      <sz val="8"/>
      <name val="Helv"/>
    </font>
    <font>
      <sz val="10"/>
      <name val="Arial"/>
      <family val="2"/>
    </font>
    <font>
      <sz val="10"/>
      <name val="Times New Roman"/>
      <family val="1"/>
      <charset val="204"/>
    </font>
    <font>
      <sz val="10"/>
      <name val="Arial"/>
      <family val="2"/>
      <charset val="204"/>
    </font>
    <font>
      <sz val="12"/>
      <name val="Arial"/>
      <family val="2"/>
    </font>
    <font>
      <sz val="10"/>
      <name val="Times New Roman"/>
      <family val="1"/>
    </font>
    <font>
      <sz val="10"/>
      <name val="Arial Narrow"/>
      <family val="2"/>
    </font>
    <font>
      <sz val="10"/>
      <name val="Geneva"/>
      <family val="2"/>
    </font>
    <font>
      <sz val="10"/>
      <name val="Geneva"/>
    </font>
    <font>
      <sz val="8"/>
      <name val="MS Serif"/>
      <family val="1"/>
    </font>
    <font>
      <sz val="8"/>
      <name val="Times New Roman"/>
      <family val="1"/>
    </font>
    <font>
      <sz val="10"/>
      <name val="David"/>
      <family val="2"/>
      <charset val="177"/>
    </font>
    <font>
      <sz val="10"/>
      <color indexed="8"/>
      <name val="MS Sans Serif"/>
      <family val="2"/>
    </font>
    <font>
      <sz val="9"/>
      <name val="Arial"/>
      <family val="2"/>
    </font>
    <font>
      <sz val="9"/>
      <name val="Times New Roman"/>
      <family val="1"/>
    </font>
    <font>
      <sz val="10"/>
      <name val="Courier"/>
      <family val="3"/>
    </font>
    <font>
      <sz val="10"/>
      <name val="MS Sans Serif"/>
      <family val="2"/>
    </font>
    <font>
      <sz val="11"/>
      <name val="Arial"/>
      <family val="2"/>
    </font>
    <font>
      <sz val="8"/>
      <name val="Arial Narrow"/>
      <family val="2"/>
    </font>
    <font>
      <sz val="12"/>
      <name val="宋体"/>
      <charset val="134"/>
    </font>
    <font>
      <b/>
      <sz val="9"/>
      <name val="Arial"/>
      <family val="2"/>
    </font>
    <font>
      <b/>
      <sz val="10"/>
      <color indexed="9"/>
      <name val="Arial"/>
      <family val="2"/>
    </font>
    <font>
      <b/>
      <sz val="22"/>
      <color indexed="18"/>
      <name val="Arial"/>
      <family val="2"/>
    </font>
    <font>
      <sz val="8"/>
      <color indexed="12"/>
      <name val="Arial Narrow"/>
      <family val="2"/>
    </font>
    <font>
      <b/>
      <sz val="11"/>
      <color indexed="9"/>
      <name val="Arial"/>
      <family val="2"/>
    </font>
    <font>
      <b/>
      <sz val="10"/>
      <name val="Arial"/>
      <family val="2"/>
    </font>
    <font>
      <sz val="9"/>
      <color indexed="8"/>
      <name val="Arial"/>
      <family val="2"/>
    </font>
    <font>
      <sz val="12"/>
      <name val="Times New Roman"/>
      <family val="1"/>
    </font>
    <font>
      <b/>
      <sz val="10"/>
      <name val="Verdana"/>
      <family val="2"/>
    </font>
    <font>
      <b/>
      <sz val="8"/>
      <color indexed="9"/>
      <name val="Arial"/>
      <family val="2"/>
    </font>
    <font>
      <b/>
      <sz val="14"/>
      <name val="Arial"/>
      <family val="2"/>
    </font>
    <font>
      <sz val="8"/>
      <name val="Arial"/>
      <family val="2"/>
    </font>
    <font>
      <i/>
      <sz val="8"/>
      <name val="Arial"/>
      <family val="2"/>
    </font>
    <font>
      <b/>
      <i/>
      <sz val="8"/>
      <color indexed="18"/>
      <name val="Arial"/>
      <family val="2"/>
    </font>
    <font>
      <i/>
      <sz val="10"/>
      <name val="Arial"/>
      <family val="2"/>
    </font>
    <font>
      <b/>
      <sz val="14"/>
      <color indexed="18"/>
      <name val="Arial"/>
      <family val="2"/>
    </font>
    <font>
      <b/>
      <sz val="10"/>
      <color indexed="18"/>
      <name val="Arial"/>
      <family val="2"/>
    </font>
    <font>
      <b/>
      <sz val="9"/>
      <color indexed="8"/>
      <name val="Arial"/>
      <family val="2"/>
    </font>
    <font>
      <b/>
      <sz val="8"/>
      <color indexed="8"/>
      <name val="Arial Narrow"/>
      <family val="2"/>
    </font>
    <font>
      <b/>
      <u val="singleAccounting"/>
      <sz val="10"/>
      <color indexed="18"/>
      <name val="Arial"/>
      <family val="2"/>
    </font>
    <font>
      <b/>
      <u val="singleAccounting"/>
      <sz val="8"/>
      <name val="Arial Narrow"/>
      <family val="2"/>
    </font>
    <font>
      <b/>
      <sz val="10"/>
      <name val="MS Sans Serif"/>
      <family val="2"/>
    </font>
    <font>
      <sz val="11"/>
      <name val="Miriam"/>
      <family val="2"/>
      <charset val="177"/>
    </font>
    <font>
      <sz val="12"/>
      <name val="Times New Roman"/>
      <family val="1"/>
      <charset val="177"/>
    </font>
    <font>
      <sz val="8"/>
      <color indexed="8"/>
      <name val="Times New Roman"/>
      <family val="1"/>
    </font>
    <font>
      <sz val="8"/>
      <color indexed="14"/>
      <name val="Times New Roman"/>
      <family val="1"/>
    </font>
    <font>
      <sz val="11"/>
      <name val="Times New Roman"/>
      <family val="1"/>
    </font>
    <font>
      <sz val="8"/>
      <name val="Helvetica"/>
      <family val="2"/>
    </font>
    <font>
      <u/>
      <sz val="10"/>
      <color indexed="36"/>
      <name val="Arial"/>
      <family val="2"/>
    </font>
    <font>
      <sz val="10"/>
      <name val="Palatino"/>
      <family val="1"/>
    </font>
    <font>
      <sz val="10"/>
      <color indexed="8"/>
      <name val="Palatino"/>
      <family val="1"/>
    </font>
    <font>
      <u/>
      <sz val="10"/>
      <name val="Arial"/>
      <family val="2"/>
    </font>
    <font>
      <sz val="8"/>
      <name val="Antique Olive"/>
      <family val="2"/>
    </font>
    <font>
      <sz val="8"/>
      <name val="Geneva"/>
      <family val="2"/>
    </font>
    <font>
      <sz val="11"/>
      <color indexed="8"/>
      <name val="Calibri"/>
      <family val="2"/>
    </font>
    <font>
      <sz val="11"/>
      <color indexed="13"/>
      <name val="Calibri"/>
      <family val="2"/>
    </font>
    <font>
      <sz val="11"/>
      <color indexed="8"/>
      <name val="맑은 고딕"/>
      <family val="3"/>
      <charset val="129"/>
    </font>
    <font>
      <sz val="11"/>
      <color theme="0"/>
      <name val="Calibri"/>
      <family val="2"/>
      <scheme val="minor"/>
    </font>
    <font>
      <sz val="11"/>
      <color indexed="9"/>
      <name val="Calibri"/>
      <family val="2"/>
    </font>
    <font>
      <sz val="11"/>
      <color indexed="9"/>
      <name val="맑은 고딕"/>
      <family val="3"/>
      <charset val="129"/>
    </font>
    <font>
      <b/>
      <sz val="12"/>
      <color indexed="8"/>
      <name val="Times New Roman"/>
      <family val="1"/>
    </font>
    <font>
      <sz val="8"/>
      <name val="Times"/>
      <family val="1"/>
    </font>
    <font>
      <sz val="8"/>
      <name val="Tahoma"/>
      <family val="2"/>
    </font>
    <font>
      <sz val="14"/>
      <name val="Arial"/>
      <family val="2"/>
    </font>
    <font>
      <b/>
      <sz val="6"/>
      <name val="Arial"/>
      <family val="2"/>
    </font>
    <font>
      <b/>
      <sz val="8"/>
      <name val="Arial"/>
      <family val="2"/>
    </font>
    <font>
      <sz val="11"/>
      <color rgb="FF9C0006"/>
      <name val="Calibri"/>
      <family val="2"/>
      <scheme val="minor"/>
    </font>
    <font>
      <sz val="11"/>
      <color indexed="20"/>
      <name val="Calibri"/>
      <family val="2"/>
    </font>
    <font>
      <b/>
      <sz val="10"/>
      <color theme="0"/>
      <name val="Arial"/>
      <family val="2"/>
    </font>
    <font>
      <sz val="8"/>
      <name val="Tms Rmn"/>
    </font>
    <font>
      <sz val="8"/>
      <color indexed="12"/>
      <name val="Times New Roman"/>
      <family val="1"/>
    </font>
    <font>
      <b/>
      <sz val="8"/>
      <name val="Times New Roman"/>
      <family val="1"/>
    </font>
    <font>
      <b/>
      <i/>
      <sz val="8"/>
      <name val="Frutiger 55"/>
    </font>
    <font>
      <sz val="7"/>
      <name val="Swis721 BlkCn BT"/>
      <family val="2"/>
    </font>
    <font>
      <b/>
      <sz val="8"/>
      <name val="Frutiger 55"/>
      <family val="2"/>
    </font>
    <font>
      <b/>
      <sz val="12"/>
      <name val="Times New Roman"/>
      <family val="1"/>
    </font>
    <font>
      <sz val="10"/>
      <name val="Helv"/>
    </font>
    <font>
      <b/>
      <sz val="11"/>
      <color indexed="52"/>
      <name val="Calibri"/>
      <family val="2"/>
    </font>
    <font>
      <b/>
      <sz val="10"/>
      <name val="MS Serif"/>
      <family val="1"/>
    </font>
    <font>
      <b/>
      <sz val="8"/>
      <color indexed="8"/>
      <name val="Verdana"/>
      <family val="2"/>
    </font>
    <font>
      <sz val="8"/>
      <color indexed="17"/>
      <name val="Times New Roman"/>
      <family val="1"/>
    </font>
    <font>
      <b/>
      <sz val="9.75"/>
      <name val="Abadi MT Condensed"/>
      <family val="2"/>
    </font>
    <font>
      <b/>
      <u val="singleAccounting"/>
      <sz val="8"/>
      <name val="Arial"/>
      <family val="2"/>
    </font>
    <font>
      <sz val="11"/>
      <name val="돋움"/>
      <family val="3"/>
      <charset val="129"/>
    </font>
    <font>
      <sz val="10"/>
      <color theme="1"/>
      <name val="Arial"/>
      <family val="2"/>
    </font>
    <font>
      <sz val="12"/>
      <color theme="1"/>
      <name val="Calibri"/>
      <family val="2"/>
      <scheme val="minor"/>
    </font>
    <font>
      <sz val="10"/>
      <name val="BERNHARD"/>
    </font>
    <font>
      <b/>
      <sz val="8"/>
      <name val="Helv"/>
    </font>
    <font>
      <sz val="24"/>
      <name val="Arial"/>
      <family val="2"/>
    </font>
    <font>
      <sz val="12"/>
      <name val="Helv"/>
    </font>
    <font>
      <sz val="10"/>
      <color indexed="8"/>
      <name val="Arial"/>
      <family val="2"/>
    </font>
    <font>
      <b/>
      <sz val="14"/>
      <color indexed="10"/>
      <name val="Times New Roman"/>
      <family val="1"/>
    </font>
    <font>
      <b/>
      <sz val="7"/>
      <color indexed="12"/>
      <name val="Helvetica"/>
      <family val="2"/>
    </font>
    <font>
      <sz val="9"/>
      <name val="Century Schoolbook"/>
      <family val="1"/>
    </font>
    <font>
      <sz val="9"/>
      <color indexed="9"/>
      <name val="Geneva"/>
    </font>
    <font>
      <sz val="12"/>
      <color indexed="9"/>
      <name val="Helv"/>
    </font>
    <font>
      <sz val="10"/>
      <color indexed="8"/>
      <name val="Trade Gothic LT Com"/>
      <family val="2"/>
    </font>
    <font>
      <i/>
      <sz val="12"/>
      <color indexed="9"/>
      <name val="Helv"/>
    </font>
    <font>
      <b/>
      <sz val="14"/>
      <color indexed="9"/>
      <name val="Helv"/>
    </font>
    <font>
      <b/>
      <sz val="12"/>
      <name val="Arial"/>
      <family val="2"/>
    </font>
    <font>
      <b/>
      <u/>
      <sz val="8"/>
      <color indexed="8"/>
      <name val="Tahoma"/>
      <family val="2"/>
    </font>
    <font>
      <sz val="14"/>
      <color indexed="8"/>
      <name val="Times New Roman"/>
      <family val="1"/>
    </font>
    <font>
      <b/>
      <sz val="11"/>
      <name val="Arial"/>
      <family val="2"/>
    </font>
    <font>
      <b/>
      <sz val="12"/>
      <color indexed="8"/>
      <name val="Arial"/>
      <family val="2"/>
    </font>
    <font>
      <u/>
      <sz val="10"/>
      <color indexed="12"/>
      <name val="Arial"/>
      <family val="2"/>
    </font>
    <font>
      <sz val="10"/>
      <name val="R Frutiger Roman"/>
    </font>
    <font>
      <sz val="8"/>
      <color indexed="39"/>
      <name val="Arial"/>
      <family val="2"/>
    </font>
    <font>
      <sz val="10"/>
      <color indexed="12"/>
      <name val="Times New Roman"/>
      <family val="1"/>
    </font>
    <font>
      <sz val="10"/>
      <color indexed="12"/>
      <name val="Arial"/>
      <family val="2"/>
    </font>
    <font>
      <sz val="10"/>
      <color indexed="17"/>
      <name val="Arial"/>
      <family val="2"/>
    </font>
    <font>
      <u/>
      <sz val="8"/>
      <color indexed="12"/>
      <name val="MS Sans Serif"/>
      <family val="2"/>
    </font>
    <font>
      <b/>
      <sz val="36"/>
      <name val="Times New Roman"/>
      <family val="1"/>
    </font>
    <font>
      <u val="doubleAccounting"/>
      <sz val="10"/>
      <name val="Arial"/>
      <family val="2"/>
    </font>
    <font>
      <sz val="8"/>
      <color indexed="8"/>
      <name val="Helv"/>
      <family val="2"/>
    </font>
    <font>
      <b/>
      <sz val="8"/>
      <color indexed="72"/>
      <name val="Arial"/>
      <family val="2"/>
    </font>
    <font>
      <sz val="10"/>
      <color indexed="39"/>
      <name val="Arial"/>
      <family val="2"/>
    </font>
    <font>
      <i/>
      <sz val="8"/>
      <name val="Times New Roman"/>
      <family val="1"/>
    </font>
    <font>
      <sz val="9"/>
      <color indexed="12"/>
      <name val="Arial"/>
      <family val="2"/>
    </font>
    <font>
      <b/>
      <sz val="8"/>
      <color indexed="18"/>
      <name val="Times New Roman"/>
      <family val="1"/>
    </font>
    <font>
      <b/>
      <sz val="14"/>
      <name val="Times New Roman"/>
      <family val="1"/>
    </font>
    <font>
      <b/>
      <sz val="10"/>
      <name val="Helvetica"/>
      <family val="2"/>
    </font>
    <font>
      <sz val="8"/>
      <color indexed="10"/>
      <name val="Arial"/>
      <family val="2"/>
    </font>
    <font>
      <sz val="11"/>
      <name val="Abadi MT Condensed Extra Bold"/>
      <family val="2"/>
    </font>
    <font>
      <sz val="10"/>
      <name val="Abadi MT Condensed"/>
      <family val="2"/>
    </font>
    <font>
      <b/>
      <i/>
      <sz val="8"/>
      <name val="Arial"/>
      <family val="2"/>
    </font>
    <font>
      <sz val="8"/>
      <name val="Wingdings"/>
      <charset val="2"/>
    </font>
    <font>
      <b/>
      <sz val="8"/>
      <color indexed="16"/>
      <name val="Times New Roman"/>
      <family val="1"/>
    </font>
    <font>
      <i/>
      <sz val="12"/>
      <color indexed="12"/>
      <name val="Times New Roman"/>
      <family val="1"/>
    </font>
    <font>
      <b/>
      <sz val="9"/>
      <name val="Palatino"/>
      <family val="1"/>
    </font>
    <font>
      <sz val="9"/>
      <color indexed="21"/>
      <name val="Helvetica-Black"/>
    </font>
    <font>
      <b/>
      <i/>
      <sz val="10"/>
      <name val="Times New Roman"/>
      <family val="1"/>
    </font>
    <font>
      <b/>
      <sz val="11"/>
      <color theme="1"/>
      <name val="Calibri"/>
      <family val="2"/>
      <scheme val="minor"/>
    </font>
    <font>
      <sz val="11"/>
      <color rgb="FFFF0000"/>
      <name val="Calibri"/>
      <family val="2"/>
      <scheme val="minor"/>
    </font>
    <font>
      <sz val="10"/>
      <color theme="1"/>
      <name val="Times New Roman"/>
      <family val="1"/>
    </font>
    <font>
      <b/>
      <sz val="10"/>
      <color indexed="9"/>
      <name val="Times New Roman"/>
      <family val="1"/>
    </font>
    <font>
      <b/>
      <sz val="10"/>
      <color theme="1"/>
      <name val="Times New Roman"/>
      <family val="1"/>
    </font>
    <font>
      <b/>
      <sz val="10"/>
      <name val="Times New Roman"/>
      <family val="1"/>
    </font>
    <font>
      <sz val="10"/>
      <color indexed="17"/>
      <name val="Times New Roman"/>
      <family val="1"/>
    </font>
    <font>
      <i/>
      <sz val="10"/>
      <color theme="1"/>
      <name val="Times New Roman"/>
      <family val="1"/>
    </font>
    <font>
      <b/>
      <sz val="12"/>
      <color rgb="FF1F4E78"/>
      <name val="Times New Roman"/>
      <family val="1"/>
    </font>
    <font>
      <sz val="11"/>
      <color theme="1"/>
      <name val="Times New Roman"/>
      <family val="2"/>
    </font>
    <font>
      <b/>
      <sz val="11"/>
      <color theme="4" tint="-0.499984740745262"/>
      <name val="Times New Roman"/>
      <family val="1"/>
    </font>
    <font>
      <i/>
      <sz val="10"/>
      <color rgb="FF5A5A5A"/>
      <name val="Times New Roman"/>
      <family val="1"/>
    </font>
    <font>
      <b/>
      <sz val="10"/>
      <color indexed="17"/>
      <name val="Times New Roman"/>
      <family val="1"/>
    </font>
    <font>
      <b/>
      <u/>
      <sz val="10"/>
      <color theme="1"/>
      <name val="Times New Roman"/>
      <family val="1"/>
    </font>
    <font>
      <b/>
      <sz val="10"/>
      <color rgb="FFFFFFFF"/>
      <name val="Times New Roman"/>
      <family val="1"/>
    </font>
    <font>
      <sz val="12"/>
      <color theme="1"/>
      <name val="Times New Roman"/>
      <family val="1"/>
    </font>
    <font>
      <sz val="10"/>
      <color indexed="10"/>
      <name val="Times New Roman"/>
      <family val="1"/>
    </font>
    <font>
      <b/>
      <sz val="10"/>
      <color indexed="12"/>
      <name val="Times New Roman"/>
      <family val="1"/>
    </font>
    <font>
      <sz val="10"/>
      <color rgb="FFFFFFFF"/>
      <name val="Times New Roman"/>
      <family val="1"/>
    </font>
    <font>
      <b/>
      <sz val="10"/>
      <color theme="0"/>
      <name val="Times New Roman"/>
      <family val="1"/>
    </font>
    <font>
      <i/>
      <sz val="10"/>
      <color indexed="12"/>
      <name val="Times New Roman"/>
      <family val="1"/>
    </font>
    <font>
      <u/>
      <sz val="10"/>
      <color theme="1"/>
      <name val="Times New Roman"/>
      <family val="1"/>
    </font>
    <font>
      <sz val="10"/>
      <color theme="1"/>
      <name val="Garamond"/>
      <family val="2"/>
    </font>
    <font>
      <i/>
      <sz val="18"/>
      <color rgb="FF1F4E78"/>
      <name val="Times New Roman"/>
      <family val="1"/>
    </font>
    <font>
      <i/>
      <sz val="14"/>
      <color rgb="FF1F4E78"/>
      <name val="Times New Roman"/>
      <family val="1"/>
    </font>
    <font>
      <i/>
      <sz val="14"/>
      <color theme="1"/>
      <name val="Times New Roman"/>
      <family val="1"/>
    </font>
    <font>
      <i/>
      <sz val="14"/>
      <color theme="0" tint="-0.499984740745262"/>
      <name val="Times New Roman"/>
      <family val="1"/>
    </font>
    <font>
      <sz val="14"/>
      <color theme="0" tint="-0.499984740745262"/>
      <name val="Times New Roman"/>
      <family val="1"/>
    </font>
    <font>
      <sz val="11"/>
      <color theme="1"/>
      <name val="Times New Roman"/>
      <family val="1"/>
    </font>
    <font>
      <sz val="11"/>
      <color theme="4" tint="-0.499984740745262"/>
      <name val="Times New Roman"/>
      <family val="1"/>
    </font>
    <font>
      <sz val="32"/>
      <color theme="1"/>
      <name val="Times New Roman"/>
      <family val="1"/>
    </font>
    <font>
      <b/>
      <sz val="32"/>
      <color theme="4" tint="-0.499984740745262"/>
      <name val="Times New Roman"/>
      <family val="1"/>
    </font>
    <font>
      <b/>
      <sz val="24"/>
      <color rgb="FF1F4E78"/>
      <name val="Times New Roman"/>
      <family val="1"/>
    </font>
    <font>
      <sz val="10"/>
      <color rgb="FF0000FF"/>
      <name val="Times New Roman"/>
      <family val="1"/>
    </font>
    <font>
      <b/>
      <i/>
      <u/>
      <sz val="10"/>
      <name val="Times New Roman"/>
      <family val="1"/>
    </font>
    <font>
      <b/>
      <i/>
      <sz val="24"/>
      <color rgb="FF1F4E78"/>
      <name val="Times New Roman"/>
      <family val="1"/>
    </font>
    <font>
      <b/>
      <i/>
      <sz val="11"/>
      <color theme="4" tint="-0.499984740745262"/>
      <name val="Times New Roman"/>
      <family val="1"/>
    </font>
    <font>
      <i/>
      <sz val="15"/>
      <color rgb="FF1F4E78"/>
      <name val="Times New Roman"/>
      <family val="1"/>
    </font>
    <font>
      <b/>
      <sz val="10"/>
      <color rgb="FF0000FF"/>
      <name val="Times New Roman"/>
      <family val="1"/>
    </font>
    <font>
      <b/>
      <sz val="10"/>
      <color rgb="FFFF0000"/>
      <name val="Times New Roman"/>
      <family val="1"/>
    </font>
    <font>
      <b/>
      <sz val="11"/>
      <color theme="1"/>
      <name val="Times New Roman"/>
      <family val="1"/>
    </font>
    <font>
      <sz val="10"/>
      <name val="Garamond"/>
      <family val="1"/>
    </font>
    <font>
      <b/>
      <i/>
      <u/>
      <sz val="10"/>
      <color theme="1"/>
      <name val="Times New Roman"/>
      <family val="1"/>
    </font>
    <font>
      <sz val="12"/>
      <color theme="1"/>
      <name val="Times New Roman"/>
      <family val="2"/>
    </font>
    <font>
      <sz val="10"/>
      <color indexed="16"/>
      <name val="Credit Suisse Type Roman"/>
      <family val="2"/>
    </font>
    <font>
      <sz val="10"/>
      <name val="GillSans"/>
      <family val="2"/>
    </font>
    <font>
      <sz val="10"/>
      <name val="Century Schoolbook"/>
      <family val="1"/>
    </font>
    <font>
      <sz val="10"/>
      <name val="Helv"/>
      <family val="2"/>
    </font>
    <font>
      <sz val="10"/>
      <color indexed="0"/>
      <name val="Helv"/>
    </font>
    <font>
      <sz val="10"/>
      <color indexed="9"/>
      <name val="Arial"/>
      <family val="2"/>
    </font>
    <font>
      <i/>
      <sz val="10"/>
      <color indexed="13"/>
      <name val="Arial"/>
      <family val="2"/>
    </font>
    <font>
      <sz val="10"/>
      <color indexed="13"/>
      <name val="Arial"/>
      <family val="2"/>
    </font>
    <font>
      <b/>
      <i/>
      <sz val="9"/>
      <name val="Arial"/>
      <family val="2"/>
    </font>
    <font>
      <sz val="12"/>
      <name val="¹ÙÅÁÃ¼"/>
      <family val="1"/>
      <charset val="129"/>
    </font>
    <font>
      <b/>
      <u/>
      <sz val="9"/>
      <color indexed="10"/>
      <name val="Times New Roman"/>
      <family val="1"/>
    </font>
    <font>
      <b/>
      <sz val="9"/>
      <color indexed="18"/>
      <name val="Times New Roman"/>
      <family val="1"/>
    </font>
    <font>
      <b/>
      <i/>
      <sz val="12"/>
      <name val="Footlight MT Light"/>
      <family val="1"/>
    </font>
    <font>
      <sz val="14"/>
      <name val="Tms Rmn"/>
    </font>
    <font>
      <b/>
      <sz val="10"/>
      <name val="Footlight MT Light"/>
      <family val="1"/>
    </font>
    <font>
      <i/>
      <sz val="11"/>
      <color indexed="23"/>
      <name val="Calibri"/>
      <family val="2"/>
    </font>
    <font>
      <sz val="10"/>
      <name val="Book Antiqua"/>
      <family val="1"/>
    </font>
    <font>
      <sz val="10"/>
      <name val="CG Times"/>
      <family val="1"/>
    </font>
    <font>
      <b/>
      <sz val="18"/>
      <color indexed="56"/>
      <name val="Cambria"/>
      <family val="2"/>
    </font>
    <font>
      <b/>
      <sz val="12"/>
      <name val="Tms Rmn"/>
    </font>
    <font>
      <sz val="7"/>
      <name val="Ariel"/>
    </font>
    <font>
      <sz val="8"/>
      <name val="MS Sans Serif"/>
      <family val="2"/>
    </font>
    <font>
      <sz val="11"/>
      <color indexed="52"/>
      <name val="Calibri"/>
      <family val="2"/>
    </font>
    <font>
      <b/>
      <sz val="10"/>
      <color indexed="9"/>
      <name val="Trebuchet MS"/>
      <family val="2"/>
    </font>
    <font>
      <b/>
      <sz val="15"/>
      <color indexed="56"/>
      <name val="Calibri"/>
      <family val="2"/>
    </font>
    <font>
      <b/>
      <sz val="13"/>
      <color indexed="56"/>
      <name val="Calibri"/>
      <family val="2"/>
    </font>
    <font>
      <b/>
      <sz val="11"/>
      <color indexed="56"/>
      <name val="Calibri"/>
      <family val="2"/>
    </font>
    <font>
      <b/>
      <sz val="9"/>
      <color indexed="0"/>
      <name val="Arial"/>
      <family val="2"/>
    </font>
    <font>
      <sz val="9"/>
      <color indexed="0"/>
      <name val="Arial"/>
      <family val="2"/>
    </font>
    <font>
      <b/>
      <sz val="10"/>
      <color rgb="FFC00000"/>
      <name val="Times New Roman"/>
      <family val="1"/>
    </font>
    <font>
      <sz val="10"/>
      <name val="Arial"/>
      <family val="2"/>
      <charset val="1"/>
    </font>
    <font>
      <sz val="12"/>
      <color theme="1"/>
      <name val="Calibri"/>
      <family val="2"/>
      <charset val="204"/>
      <scheme val="minor"/>
    </font>
    <font>
      <sz val="8"/>
      <color indexed="8"/>
      <name val="Arial"/>
      <family val="2"/>
    </font>
    <font>
      <sz val="10"/>
      <color rgb="FF009900"/>
      <name val="Times New Roman"/>
      <family val="1"/>
    </font>
    <font>
      <sz val="10"/>
      <color rgb="FFFF0000"/>
      <name val="Times New Roman"/>
      <family val="1"/>
    </font>
    <font>
      <sz val="10"/>
      <color rgb="FF008000"/>
      <name val="Times New Roman"/>
      <family val="1"/>
    </font>
    <font>
      <sz val="12"/>
      <color rgb="FF1F4E78"/>
      <name val="Times New Roman"/>
      <family val="1"/>
    </font>
    <font>
      <sz val="8"/>
      <color rgb="FFFF0000"/>
      <name val="Times New Roman"/>
      <family val="1"/>
    </font>
    <font>
      <b/>
      <u/>
      <sz val="8"/>
      <name val="Times New Roman"/>
      <family val="1"/>
    </font>
    <font>
      <b/>
      <sz val="8"/>
      <color indexed="9"/>
      <name val="Tahoma"/>
      <family val="2"/>
    </font>
    <font>
      <sz val="10"/>
      <color indexed="39"/>
      <name val="Times New Roman"/>
      <family val="1"/>
    </font>
    <font>
      <b/>
      <sz val="10"/>
      <color indexed="39"/>
      <name val="Times New Roman"/>
      <family val="1"/>
    </font>
    <font>
      <sz val="8"/>
      <color theme="3" tint="-0.499984740745262"/>
      <name val="Times New Roman"/>
      <family val="1"/>
    </font>
    <font>
      <b/>
      <sz val="10"/>
      <color rgb="FF1F4E78"/>
      <name val="Times New Roman"/>
      <family val="1"/>
    </font>
    <font>
      <i/>
      <sz val="10"/>
      <color rgb="FFFF0000"/>
      <name val="Times New Roman"/>
      <family val="1"/>
    </font>
    <font>
      <sz val="18"/>
      <color theme="4" tint="-0.249977111117893"/>
      <name val="Times New Roman"/>
      <family val="1"/>
    </font>
    <font>
      <b/>
      <sz val="10"/>
      <color indexed="10"/>
      <name val="Times New Roman"/>
      <family val="1"/>
    </font>
    <font>
      <sz val="9"/>
      <name val="Verdana"/>
      <family val="2"/>
    </font>
    <font>
      <sz val="10"/>
      <color rgb="FFFF0000"/>
      <name val="Garamond"/>
      <family val="2"/>
    </font>
    <font>
      <sz val="10"/>
      <color rgb="FFC00000"/>
      <name val="Times New Roman"/>
      <family val="1"/>
    </font>
    <font>
      <b/>
      <sz val="32"/>
      <color rgb="FFFF0000"/>
      <name val="Times New Roman"/>
      <family val="1"/>
    </font>
    <font>
      <i/>
      <sz val="11"/>
      <color theme="1"/>
      <name val="Times New Roman"/>
      <family val="1"/>
    </font>
    <font>
      <b/>
      <i/>
      <sz val="11"/>
      <color theme="1"/>
      <name val="Times New Roman"/>
      <family val="1"/>
    </font>
    <font>
      <b/>
      <sz val="11"/>
      <color rgb="FF000000"/>
      <name val="Times New Roman"/>
      <family val="1"/>
    </font>
    <font>
      <b/>
      <sz val="11"/>
      <color theme="3" tint="0.39997558519241921"/>
      <name val="Times New Roman"/>
      <family val="1"/>
    </font>
    <font>
      <b/>
      <i/>
      <sz val="11"/>
      <color theme="3" tint="0.39997558519241921"/>
      <name val="Times New Roman"/>
      <family val="1"/>
    </font>
    <font>
      <b/>
      <sz val="11"/>
      <color theme="3" tint="0.39997558519241921"/>
      <name val="宋体"/>
      <family val="2"/>
    </font>
    <font>
      <sz val="11"/>
      <color theme="3" tint="0.39997558519241921"/>
      <name val="Times New Roman"/>
      <family val="1"/>
    </font>
    <font>
      <i/>
      <sz val="11"/>
      <color theme="3" tint="0.39997558519241921"/>
      <name val="Times New Roman"/>
      <family val="1"/>
    </font>
    <font>
      <sz val="10"/>
      <color theme="4"/>
      <name val="Times New Roman"/>
      <family val="1"/>
    </font>
    <font>
      <b/>
      <sz val="10"/>
      <color theme="3" tint="0.39997558519241921"/>
      <name val="Times New Roman"/>
      <family val="1"/>
    </font>
    <font>
      <b/>
      <i/>
      <sz val="11"/>
      <color theme="0" tint="-0.499984740745262"/>
      <name val="Times New Roman"/>
      <family val="1"/>
    </font>
    <font>
      <i/>
      <sz val="11"/>
      <color theme="0" tint="-0.499984740745262"/>
      <name val="Times New Roman"/>
      <family val="1"/>
    </font>
    <font>
      <i/>
      <sz val="11"/>
      <color rgb="FFFF0000"/>
      <name val="Times New Roman"/>
      <family val="1"/>
    </font>
    <font>
      <b/>
      <sz val="11"/>
      <color rgb="FFFF0000"/>
      <name val="Times New Roman"/>
      <family val="1"/>
    </font>
    <font>
      <b/>
      <sz val="9"/>
      <color theme="1"/>
      <name val="Times New Roman"/>
      <family val="1"/>
    </font>
    <font>
      <b/>
      <sz val="9"/>
      <color theme="1"/>
      <name val="宋体"/>
      <family val="2"/>
    </font>
    <font>
      <b/>
      <sz val="11"/>
      <name val="Times New Roman"/>
      <family val="1"/>
    </font>
    <font>
      <b/>
      <sz val="9"/>
      <name val="宋体"/>
      <family val="2"/>
    </font>
    <font>
      <b/>
      <sz val="9"/>
      <name val="Times New Roman"/>
      <family val="1"/>
    </font>
    <font>
      <b/>
      <sz val="9"/>
      <name val="宋体"/>
      <family val="3"/>
      <charset val="134"/>
    </font>
    <font>
      <b/>
      <i/>
      <sz val="11"/>
      <color theme="1"/>
      <name val="Calibri"/>
      <family val="2"/>
      <scheme val="minor"/>
    </font>
    <font>
      <sz val="9"/>
      <color theme="1"/>
      <name val="Times New Roman"/>
      <family val="1"/>
    </font>
    <font>
      <sz val="9"/>
      <color theme="1"/>
      <name val="Calibri"/>
      <family val="2"/>
      <scheme val="minor"/>
    </font>
    <font>
      <b/>
      <sz val="11"/>
      <color rgb="FFFF0000"/>
      <name val="Calibri"/>
      <family val="3"/>
      <charset val="134"/>
      <scheme val="minor"/>
    </font>
    <font>
      <b/>
      <sz val="9"/>
      <color indexed="10"/>
      <name val="Arial"/>
      <family val="2"/>
    </font>
    <font>
      <sz val="9"/>
      <color theme="1"/>
      <name val="Arial"/>
      <family val="2"/>
    </font>
    <font>
      <sz val="11"/>
      <color theme="1"/>
      <name val="Calibri"/>
      <family val="2"/>
      <charset val="134"/>
      <scheme val="minor"/>
    </font>
    <font>
      <b/>
      <sz val="11"/>
      <color theme="1"/>
      <name val="Arial"/>
      <family val="2"/>
    </font>
    <font>
      <sz val="11"/>
      <color theme="1"/>
      <name val="Arial"/>
      <family val="2"/>
    </font>
    <font>
      <sz val="11"/>
      <color theme="1"/>
      <name val="宋体"/>
      <family val="3"/>
      <charset val="134"/>
    </font>
    <font>
      <sz val="10"/>
      <color theme="1"/>
      <name val="宋体"/>
      <family val="3"/>
      <charset val="134"/>
    </font>
    <font>
      <u/>
      <sz val="11"/>
      <color theme="1"/>
      <name val="Times New Roman"/>
      <family val="1"/>
    </font>
    <font>
      <sz val="10"/>
      <color theme="1"/>
      <name val="Calibri"/>
      <family val="2"/>
      <charset val="134"/>
      <scheme val="minor"/>
    </font>
    <font>
      <sz val="10"/>
      <color theme="1"/>
      <name val="楷体"/>
      <family val="3"/>
      <charset val="134"/>
    </font>
    <font>
      <i/>
      <sz val="10"/>
      <color rgb="FF008000"/>
      <name val="Times New Roman"/>
      <family val="1"/>
    </font>
    <font>
      <b/>
      <sz val="10"/>
      <color rgb="FF008000"/>
      <name val="Times New Roman"/>
      <family val="1"/>
    </font>
    <font>
      <i/>
      <sz val="10"/>
      <name val="Times New Roman"/>
      <family val="1"/>
    </font>
    <font>
      <b/>
      <sz val="12"/>
      <color rgb="FF1F5778"/>
      <name val="Times New Roman"/>
      <family val="1"/>
    </font>
    <font>
      <sz val="10"/>
      <color theme="0"/>
      <name val="Times New Roman"/>
      <family val="1"/>
    </font>
    <font>
      <b/>
      <sz val="22"/>
      <color theme="1"/>
      <name val="Calibri"/>
      <family val="2"/>
      <scheme val="minor"/>
    </font>
    <font>
      <sz val="10"/>
      <color theme="1"/>
      <name val="Calibri"/>
      <family val="2"/>
      <scheme val="minor"/>
    </font>
    <font>
      <b/>
      <sz val="12"/>
      <color rgb="FFFF0000"/>
      <name val="Arial"/>
      <family val="2"/>
    </font>
    <font>
      <sz val="10"/>
      <color rgb="FF000000"/>
      <name val="Calibri"/>
      <family val="2"/>
      <scheme val="minor"/>
    </font>
    <font>
      <b/>
      <u val="singleAccounting"/>
      <sz val="10"/>
      <color theme="1"/>
      <name val="Calibri"/>
      <family val="2"/>
      <scheme val="minor"/>
    </font>
    <font>
      <b/>
      <u val="singleAccounting"/>
      <sz val="10"/>
      <color rgb="FF000000"/>
      <name val="Calibri"/>
      <family val="2"/>
      <scheme val="minor"/>
    </font>
    <font>
      <b/>
      <sz val="10"/>
      <color theme="1"/>
      <name val="Calibri"/>
      <family val="2"/>
      <scheme val="minor"/>
    </font>
    <font>
      <b/>
      <i/>
      <sz val="12"/>
      <color rgb="FF000000"/>
      <name val="Calibri"/>
      <family val="2"/>
      <scheme val="minor"/>
    </font>
    <font>
      <b/>
      <sz val="10"/>
      <color rgb="FF000000"/>
      <name val="Calibri"/>
      <family val="2"/>
      <scheme val="minor"/>
    </font>
    <font>
      <b/>
      <sz val="10"/>
      <color rgb="FF0000FF"/>
      <name val="Calibri"/>
      <family val="2"/>
      <scheme val="minor"/>
    </font>
    <font>
      <i/>
      <sz val="10"/>
      <color rgb="FF000000"/>
      <name val="Calibri"/>
      <family val="2"/>
      <scheme val="minor"/>
    </font>
    <font>
      <i/>
      <sz val="10"/>
      <color rgb="FF0000FF"/>
      <name val="Calibri"/>
      <family val="2"/>
      <scheme val="minor"/>
    </font>
    <font>
      <sz val="10"/>
      <color rgb="FF0000FF"/>
      <name val="Calibri"/>
      <family val="2"/>
      <scheme val="minor"/>
    </font>
    <font>
      <b/>
      <i/>
      <sz val="10"/>
      <color rgb="FF000000"/>
      <name val="Calibri"/>
      <family val="2"/>
      <scheme val="minor"/>
    </font>
    <font>
      <b/>
      <i/>
      <sz val="10"/>
      <color rgb="FF0000FF"/>
      <name val="Calibri"/>
      <family val="2"/>
      <scheme val="minor"/>
    </font>
    <font>
      <b/>
      <sz val="10"/>
      <color rgb="FFFFFFFF"/>
      <name val="Calibri"/>
      <family val="2"/>
      <scheme val="minor"/>
    </font>
    <font>
      <b/>
      <sz val="10"/>
      <color theme="0"/>
      <name val="Calibri"/>
      <family val="2"/>
      <scheme val="minor"/>
    </font>
    <font>
      <i/>
      <sz val="10"/>
      <color theme="1"/>
      <name val="Calibri"/>
      <family val="2"/>
      <scheme val="minor"/>
    </font>
    <font>
      <sz val="10"/>
      <name val="Calibri"/>
      <family val="2"/>
      <scheme val="minor"/>
    </font>
    <font>
      <sz val="11"/>
      <color theme="1"/>
      <name val="Calibri"/>
      <family val="2"/>
    </font>
    <font>
      <b/>
      <sz val="11"/>
      <color theme="1"/>
      <name val="Calibri"/>
      <family val="2"/>
    </font>
    <font>
      <i/>
      <sz val="10"/>
      <color indexed="10"/>
      <name val="Times New Roman"/>
      <family val="1"/>
    </font>
    <font>
      <b/>
      <sz val="18"/>
      <name val="Arial"/>
      <family val="2"/>
    </font>
    <font>
      <b/>
      <sz val="18"/>
      <color indexed="56"/>
      <name val="Arial"/>
      <family val="2"/>
    </font>
    <font>
      <sz val="18"/>
      <color indexed="56"/>
      <name val="Arial"/>
      <family val="2"/>
    </font>
    <font>
      <b/>
      <sz val="14"/>
      <color rgb="FFFFFFFF"/>
      <name val="Calibri"/>
      <family val="2"/>
    </font>
    <font>
      <b/>
      <sz val="11"/>
      <color rgb="FFFFFFFF"/>
      <name val="Calibri"/>
      <family val="2"/>
    </font>
    <font>
      <b/>
      <sz val="11"/>
      <color rgb="FF000000"/>
      <name val="Calibri"/>
      <family val="2"/>
    </font>
    <font>
      <sz val="11"/>
      <color rgb="FF000000"/>
      <name val="Calibri"/>
      <family val="2"/>
    </font>
    <font>
      <sz val="14"/>
      <color rgb="FFFFFFFF"/>
      <name val="Calibri"/>
      <family val="2"/>
    </font>
    <font>
      <sz val="11"/>
      <name val="Calibri"/>
      <family val="2"/>
      <scheme val="minor"/>
    </font>
    <font>
      <b/>
      <sz val="11"/>
      <name val="Calibri"/>
      <family val="2"/>
      <scheme val="minor"/>
    </font>
    <font>
      <b/>
      <sz val="12"/>
      <color rgb="FFFF0000"/>
      <name val="Calibri"/>
      <family val="2"/>
      <scheme val="minor"/>
    </font>
    <font>
      <i/>
      <sz val="11"/>
      <color theme="1"/>
      <name val="Calibri"/>
      <family val="2"/>
      <scheme val="minor"/>
    </font>
    <font>
      <i/>
      <sz val="11"/>
      <name val="Calibri"/>
      <family val="2"/>
      <scheme val="minor"/>
    </font>
    <font>
      <sz val="10"/>
      <color rgb="FF000000"/>
      <name val="Times New Roman"/>
      <family val="1"/>
    </font>
    <font>
      <b/>
      <sz val="11"/>
      <color theme="3" tint="0.39997558519241921"/>
      <name val="宋体"/>
      <family val="2"/>
      <charset val="134"/>
    </font>
    <font>
      <i/>
      <sz val="11"/>
      <color theme="0" tint="-0.49992370372631001"/>
      <name val="Times New Roman"/>
      <family val="1"/>
    </font>
    <font>
      <b/>
      <sz val="9"/>
      <color theme="1"/>
      <name val="宋体"/>
      <family val="2"/>
      <charset val="134"/>
    </font>
    <font>
      <sz val="11"/>
      <color rgb="FFFF0000"/>
      <name val="Times New Roman"/>
      <family val="1"/>
    </font>
    <font>
      <b/>
      <sz val="9"/>
      <name val="宋体"/>
      <family val="2"/>
      <charset val="134"/>
    </font>
    <font>
      <b/>
      <i/>
      <sz val="11"/>
      <color theme="0" tint="-0.49992370372631001"/>
      <name val="Times New Roman"/>
      <family val="1"/>
    </font>
    <font>
      <b/>
      <sz val="14"/>
      <name val="宋体"/>
      <family val="3"/>
      <charset val="134"/>
    </font>
    <font>
      <b/>
      <sz val="14"/>
      <name val="Calibri"/>
      <family val="2"/>
    </font>
    <font>
      <sz val="14"/>
      <name val="Calibri"/>
      <family val="2"/>
    </font>
    <font>
      <sz val="11"/>
      <name val="Calibri"/>
      <family val="2"/>
    </font>
    <font>
      <sz val="11"/>
      <color rgb="FFFF0000"/>
      <name val="Calibri"/>
      <family val="2"/>
    </font>
    <font>
      <sz val="10"/>
      <name val="Calibri"/>
      <family val="2"/>
    </font>
    <font>
      <b/>
      <i/>
      <sz val="11"/>
      <color rgb="FFFF0000"/>
      <name val="Times New Roman"/>
      <family val="1"/>
    </font>
    <font>
      <b/>
      <i/>
      <sz val="11"/>
      <name val="Times New Roman"/>
      <family val="1"/>
    </font>
    <font>
      <i/>
      <sz val="11"/>
      <color theme="9" tint="-0.249977111117893"/>
      <name val="Times New Roman"/>
      <family val="1"/>
    </font>
    <font>
      <i/>
      <sz val="11"/>
      <color theme="0" tint="-0.49995422223578601"/>
      <name val="Times New Roman"/>
      <family val="1"/>
    </font>
    <font>
      <b/>
      <i/>
      <sz val="11"/>
      <color theme="0" tint="-0.49995422223578601"/>
      <name val="Times New Roman"/>
      <family val="1"/>
    </font>
    <font>
      <b/>
      <sz val="11"/>
      <color rgb="FFFF0000"/>
      <name val="Calibri"/>
      <family val="2"/>
    </font>
    <font>
      <sz val="11"/>
      <color theme="0"/>
      <name val="Calibri"/>
      <family val="2"/>
    </font>
    <font>
      <b/>
      <sz val="9"/>
      <color theme="1"/>
      <name val="Calibri"/>
      <family val="2"/>
    </font>
    <font>
      <sz val="9"/>
      <color theme="1"/>
      <name val="Calibri"/>
      <family val="2"/>
    </font>
    <font>
      <b/>
      <sz val="18"/>
      <color indexed="9"/>
      <name val="Arial"/>
      <family val="2"/>
    </font>
    <font>
      <b/>
      <u/>
      <sz val="10"/>
      <color rgb="FFFF0000"/>
      <name val="Arial"/>
      <family val="2"/>
    </font>
    <font>
      <b/>
      <u/>
      <sz val="10"/>
      <color theme="1"/>
      <name val="Arial"/>
      <family val="2"/>
    </font>
    <font>
      <b/>
      <sz val="10"/>
      <color rgb="FF00355F"/>
      <name val="Arial"/>
      <family val="2"/>
    </font>
    <font>
      <sz val="10"/>
      <color rgb="FFFF0000"/>
      <name val="Arial"/>
      <family val="2"/>
    </font>
    <font>
      <sz val="10"/>
      <color theme="0" tint="-4.9989318521683403E-2"/>
      <name val="Calibri"/>
      <family val="2"/>
      <scheme val="minor"/>
    </font>
    <font>
      <sz val="10"/>
      <color theme="0" tint="-4.9989318521683403E-2"/>
      <name val="Arial"/>
      <family val="2"/>
    </font>
    <font>
      <sz val="11"/>
      <color theme="0" tint="-4.9989318521683403E-2"/>
      <name val="Calibri"/>
      <family val="2"/>
      <scheme val="minor"/>
    </font>
    <font>
      <b/>
      <sz val="10"/>
      <color theme="1"/>
      <name val="Arial"/>
      <family val="2"/>
    </font>
    <font>
      <b/>
      <sz val="10"/>
      <color rgb="FF000000"/>
      <name val="Arial"/>
      <family val="2"/>
    </font>
    <font>
      <b/>
      <sz val="9"/>
      <color rgb="FFFF0000"/>
      <name val="Calibri"/>
      <family val="2"/>
      <scheme val="minor"/>
    </font>
    <font>
      <sz val="9"/>
      <color theme="1"/>
      <name val="Calibri"/>
      <family val="2"/>
      <charset val="134"/>
      <scheme val="minor"/>
    </font>
    <font>
      <sz val="9"/>
      <color rgb="FFFF0000"/>
      <name val="Calibri"/>
      <family val="2"/>
      <charset val="134"/>
      <scheme val="minor"/>
    </font>
    <font>
      <sz val="8"/>
      <color theme="1"/>
      <name val="Arial"/>
      <family val="2"/>
    </font>
    <font>
      <sz val="8"/>
      <color rgb="FFFF0000"/>
      <name val="Arial"/>
      <family val="2"/>
    </font>
    <font>
      <b/>
      <sz val="9"/>
      <color theme="1"/>
      <name val="Calibri"/>
      <family val="2"/>
      <scheme val="minor"/>
    </font>
  </fonts>
  <fills count="122">
    <fill>
      <patternFill patternType="none"/>
    </fill>
    <fill>
      <patternFill patternType="gray125"/>
    </fill>
    <fill>
      <patternFill patternType="solid">
        <fgColor rgb="FFFFC7CE"/>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5A5A5A"/>
        <bgColor indexed="64"/>
      </patternFill>
    </fill>
    <fill>
      <patternFill patternType="solid">
        <fgColor indexed="22"/>
        <bgColor indexed="64"/>
      </patternFill>
    </fill>
    <fill>
      <patternFill patternType="solid">
        <fgColor indexed="41"/>
        <bgColor indexed="64"/>
      </patternFill>
    </fill>
    <fill>
      <patternFill patternType="solid">
        <fgColor indexed="22"/>
        <bgColor indexed="22"/>
      </patternFill>
    </fill>
    <fill>
      <patternFill patternType="solid">
        <fgColor indexed="18"/>
        <bgColor indexed="64"/>
      </patternFill>
    </fill>
    <fill>
      <patternFill patternType="solid">
        <fgColor indexed="43"/>
      </patternFill>
    </fill>
    <fill>
      <patternFill patternType="solid">
        <fgColor indexed="8"/>
        <bgColor indexed="64"/>
      </patternFill>
    </fill>
    <fill>
      <patternFill patternType="solid">
        <fgColor indexed="44"/>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15"/>
        <bgColor indexed="64"/>
      </patternFill>
    </fill>
    <fill>
      <patternFill patternType="solid">
        <fgColor indexed="9"/>
        <bgColor indexed="64"/>
      </patternFill>
    </fill>
    <fill>
      <patternFill patternType="solid">
        <fgColor theme="3" tint="0.39997558519241921"/>
        <bgColor indexed="64"/>
      </patternFill>
    </fill>
    <fill>
      <patternFill patternType="solid">
        <fgColor theme="4" tint="-0.249977111117893"/>
        <bgColor indexed="64"/>
      </patternFill>
    </fill>
    <fill>
      <patternFill patternType="gray0625"/>
    </fill>
    <fill>
      <patternFill patternType="lightGray">
        <fgColor indexed="12"/>
      </patternFill>
    </fill>
    <fill>
      <patternFill patternType="gray0625">
        <fgColor indexed="12"/>
        <bgColor indexed="9"/>
      </patternFill>
    </fill>
    <fill>
      <patternFill patternType="lightGray">
        <bgColor indexed="41"/>
      </patternFill>
    </fill>
    <fill>
      <patternFill patternType="solid">
        <fgColor indexed="13"/>
        <bgColor indexed="64"/>
      </patternFill>
    </fill>
    <fill>
      <patternFill patternType="solid">
        <fgColor indexed="42"/>
        <bgColor indexed="64"/>
      </patternFill>
    </fill>
    <fill>
      <patternFill patternType="solid">
        <fgColor indexed="11"/>
        <bgColor indexed="64"/>
      </patternFill>
    </fill>
    <fill>
      <patternFill patternType="solid">
        <fgColor rgb="FFEDEDED"/>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DCE6F1"/>
        <bgColor indexed="64"/>
      </patternFill>
    </fill>
    <fill>
      <patternFill patternType="solid">
        <fgColor rgb="FF808080"/>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7"/>
        <bgColor indexed="64"/>
      </patternFill>
    </fill>
    <fill>
      <patternFill patternType="lightGray">
        <fgColor indexed="22"/>
      </patternFill>
    </fill>
    <fill>
      <patternFill patternType="solid">
        <fgColor indexed="47"/>
        <bgColor indexed="22"/>
      </patternFill>
    </fill>
    <fill>
      <patternFill patternType="darkVertical">
        <fgColor indexed="9"/>
        <bgColor indexed="10"/>
      </patternFill>
    </fill>
    <fill>
      <patternFill patternType="darkHorizontal">
        <fgColor indexed="9"/>
        <bgColor indexed="10"/>
      </patternFill>
    </fill>
    <fill>
      <patternFill patternType="solid">
        <fgColor indexed="62"/>
        <bgColor indexed="64"/>
      </patternFill>
    </fill>
    <fill>
      <patternFill patternType="solid">
        <fgColor indexed="63"/>
        <bgColor indexed="64"/>
      </patternFill>
    </fill>
    <fill>
      <patternFill patternType="solid">
        <fgColor rgb="FF92D050"/>
        <bgColor indexed="64"/>
      </patternFill>
    </fill>
    <fill>
      <patternFill patternType="solid">
        <fgColor theme="3" tint="-0.249977111117893"/>
        <bgColor indexed="64"/>
      </patternFill>
    </fill>
    <fill>
      <patternFill patternType="solid">
        <fgColor rgb="FFFFFFFF"/>
        <bgColor indexed="64"/>
      </patternFill>
    </fill>
    <fill>
      <patternFill patternType="solid">
        <fgColor theme="0" tint="-0.34998626667073579"/>
        <bgColor indexed="64"/>
      </patternFill>
    </fill>
    <fill>
      <patternFill patternType="solid">
        <fgColor rgb="FFFFC000"/>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rgb="FFC0C0C0"/>
        <bgColor indexed="64"/>
      </patternFill>
    </fill>
    <fill>
      <patternFill patternType="solid">
        <fgColor theme="1" tint="0.499984740745262"/>
        <bgColor indexed="64"/>
      </patternFill>
    </fill>
    <fill>
      <patternFill patternType="solid">
        <fgColor rgb="FFEDEDED"/>
        <bgColor rgb="FF000000"/>
      </patternFill>
    </fill>
    <fill>
      <patternFill patternType="solid">
        <fgColor rgb="FF80A1B6"/>
        <bgColor indexed="64"/>
      </patternFill>
    </fill>
    <fill>
      <patternFill patternType="solid">
        <fgColor rgb="FFDCE6F4"/>
        <bgColor indexed="64"/>
      </patternFill>
    </fill>
    <fill>
      <patternFill patternType="solid">
        <fgColor rgb="FF012169"/>
        <bgColor indexed="64"/>
      </patternFill>
    </fill>
    <fill>
      <patternFill patternType="solid">
        <fgColor rgb="FF857363"/>
        <bgColor indexed="64"/>
      </patternFill>
    </fill>
    <fill>
      <patternFill patternType="solid">
        <fgColor theme="0"/>
        <bgColor rgb="FF000000"/>
      </patternFill>
    </fill>
    <fill>
      <patternFill patternType="solid">
        <fgColor rgb="FF0F3F76"/>
        <bgColor rgb="FF000000"/>
      </patternFill>
    </fill>
    <fill>
      <patternFill patternType="solid">
        <fgColor rgb="FF808080"/>
        <bgColor rgb="FF000000"/>
      </patternFill>
    </fill>
    <fill>
      <patternFill patternType="solid">
        <fgColor rgb="FFBFBFBF"/>
        <bgColor indexed="64"/>
      </patternFill>
    </fill>
    <fill>
      <patternFill patternType="solid">
        <fgColor rgb="FF3777BC"/>
        <bgColor indexed="64"/>
      </patternFill>
    </fill>
    <fill>
      <patternFill patternType="solid">
        <fgColor rgb="FFC3E6EF"/>
        <bgColor indexed="64"/>
      </patternFill>
    </fill>
    <fill>
      <patternFill patternType="solid">
        <fgColor rgb="FFFDD226"/>
        <bgColor indexed="64"/>
      </patternFill>
    </fill>
    <fill>
      <patternFill patternType="solid">
        <fgColor rgb="FFBFBFBF"/>
        <bgColor rgb="FF000000"/>
      </patternFill>
    </fill>
    <fill>
      <patternFill patternType="solid">
        <fgColor theme="0"/>
        <bgColor indexed="64"/>
      </patternFill>
    </fill>
    <fill>
      <patternFill patternType="solid">
        <fgColor rgb="FF00B0F0"/>
        <bgColor indexed="64"/>
      </patternFill>
    </fill>
    <fill>
      <patternFill patternType="solid">
        <fgColor theme="6" tint="0.59993285927915285"/>
        <bgColor indexed="64"/>
      </patternFill>
    </fill>
    <fill>
      <patternFill patternType="solid">
        <fgColor theme="7" tint="0.59999389629810485"/>
        <bgColor indexed="64"/>
      </patternFill>
    </fill>
    <fill>
      <patternFill patternType="solid">
        <fgColor theme="6" tint="0.59996337778862885"/>
        <bgColor indexed="64"/>
      </patternFill>
    </fill>
    <fill>
      <patternFill patternType="solid">
        <fgColor rgb="FF00B050"/>
        <bgColor indexed="64"/>
      </patternFill>
    </fill>
    <fill>
      <patternFill patternType="solid">
        <fgColor theme="4" tint="0.79998168889431442"/>
        <bgColor indexed="64"/>
      </patternFill>
    </fill>
    <fill>
      <patternFill patternType="solid">
        <fgColor theme="3"/>
        <bgColor indexed="64"/>
      </patternFill>
    </fill>
    <fill>
      <patternFill patternType="solid">
        <fgColor rgb="FF7399C6"/>
        <bgColor indexed="64"/>
      </patternFill>
    </fill>
    <fill>
      <patternFill patternType="solid">
        <fgColor rgb="FFFFFF99"/>
        <bgColor indexed="64"/>
      </patternFill>
    </fill>
    <fill>
      <patternFill patternType="solid">
        <fgColor rgb="FFFF0000"/>
        <bgColor indexed="64"/>
      </patternFill>
    </fill>
  </fills>
  <borders count="187">
    <border>
      <left/>
      <right/>
      <top/>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ck">
        <color indexed="9"/>
      </right>
      <top/>
      <bottom style="thick">
        <color indexed="9"/>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medium">
        <color indexed="8"/>
      </bottom>
      <diagonal/>
    </border>
    <border>
      <left style="thin">
        <color indexed="9"/>
      </left>
      <right style="thin">
        <color indexed="9"/>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top style="hair">
        <color indexed="64"/>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55"/>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top style="medium">
        <color indexed="64"/>
      </top>
      <bottom/>
      <diagonal/>
    </border>
    <border>
      <left/>
      <right/>
      <top/>
      <bottom style="thick">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bottom style="thin">
        <color indexed="8"/>
      </bottom>
      <diagonal/>
    </border>
    <border>
      <left/>
      <right/>
      <top/>
      <bottom style="thin">
        <color auto="1"/>
      </bottom>
      <diagonal/>
    </border>
    <border>
      <left style="hair">
        <color indexed="64"/>
      </left>
      <right style="hair">
        <color indexed="64"/>
      </right>
      <top style="double">
        <color indexed="64"/>
      </top>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ck">
        <color rgb="FF333F4F"/>
      </top>
      <bottom/>
      <diagonal/>
    </border>
    <border>
      <left/>
      <right/>
      <top/>
      <bottom style="thick">
        <color rgb="FF333F4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top style="hair">
        <color auto="1"/>
      </top>
      <bottom style="hair">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style="thin">
        <color auto="1"/>
      </left>
      <right style="thin">
        <color auto="1"/>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style="double">
        <color indexed="64"/>
      </left>
      <right/>
      <top/>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style="thin">
        <color indexed="64"/>
      </right>
      <top style="thin">
        <color indexed="64"/>
      </top>
      <bottom/>
      <diagonal/>
    </border>
    <border>
      <left/>
      <right style="thin">
        <color indexed="64"/>
      </right>
      <top/>
      <bottom style="thin">
        <color auto="1"/>
      </bottom>
      <diagonal/>
    </border>
    <border>
      <left/>
      <right/>
      <top style="thin">
        <color indexed="64"/>
      </top>
      <bottom/>
      <diagonal/>
    </border>
    <border>
      <left/>
      <right style="thin">
        <color auto="1"/>
      </right>
      <top style="thin">
        <color auto="1"/>
      </top>
      <bottom/>
      <diagonal/>
    </border>
    <border>
      <left/>
      <right/>
      <top style="medium">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right style="thin">
        <color indexed="64"/>
      </right>
      <top style="thin">
        <color auto="1"/>
      </top>
      <bottom/>
      <diagonal/>
    </border>
    <border>
      <left/>
      <right/>
      <top style="hair">
        <color auto="1"/>
      </top>
      <bottom style="hair">
        <color auto="1"/>
      </bottom>
      <diagonal/>
    </border>
    <border>
      <left style="thin">
        <color indexed="64"/>
      </left>
      <right/>
      <top style="thin">
        <color auto="1"/>
      </top>
      <bottom style="thin">
        <color auto="1"/>
      </bottom>
      <diagonal/>
    </border>
    <border>
      <left/>
      <right style="thin">
        <color indexed="64"/>
      </right>
      <top style="thin">
        <color indexed="64"/>
      </top>
      <bottom style="thin">
        <color auto="1"/>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indexed="64"/>
      </right>
      <top style="thin">
        <color auto="1"/>
      </top>
      <bottom style="thin">
        <color auto="1"/>
      </bottom>
      <diagonal/>
    </border>
    <border>
      <left/>
      <right/>
      <top style="thin">
        <color auto="1"/>
      </top>
      <bottom/>
      <diagonal/>
    </border>
    <border>
      <left style="thin">
        <color auto="1"/>
      </left>
      <right/>
      <top/>
      <bottom style="thin">
        <color auto="1"/>
      </bottom>
      <diagonal/>
    </border>
    <border>
      <left style="thin">
        <color auto="1"/>
      </left>
      <right style="thin">
        <color indexed="64"/>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right/>
      <top style="hair">
        <color auto="1"/>
      </top>
      <bottom style="hair">
        <color auto="1"/>
      </bottom>
      <diagonal/>
    </border>
    <border>
      <left/>
      <right/>
      <top/>
      <bottom style="thick">
        <color theme="8" tint="-0.499984740745262"/>
      </bottom>
      <diagonal/>
    </border>
    <border>
      <left/>
      <right/>
      <top/>
      <bottom style="thick">
        <color rgb="FF2037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rgb="FFA6A6A6"/>
      </left>
      <right style="thin">
        <color rgb="FFA6A6A6"/>
      </right>
      <top style="thin">
        <color rgb="FFA6A6A6"/>
      </top>
      <bottom style="thin">
        <color rgb="FFA6A6A6"/>
      </bottom>
      <diagonal/>
    </border>
    <border>
      <left style="thin">
        <color rgb="FFA6A6A6"/>
      </left>
      <right style="thin">
        <color rgb="FFA6A6A6"/>
      </right>
      <top style="thin">
        <color rgb="FFA6A6A6"/>
      </top>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diagonal/>
    </border>
    <border>
      <left style="medium">
        <color indexed="64"/>
      </left>
      <right style="thin">
        <color theme="0" tint="-0.249977111117893"/>
      </right>
      <top style="thin">
        <color theme="0" tint="-0.249977111117893"/>
      </top>
      <bottom/>
      <diagonal/>
    </border>
    <border>
      <left style="medium">
        <color indexed="64"/>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bottom style="medium">
        <color indexed="64"/>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medium">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rgb="FF00355F"/>
      </bottom>
      <diagonal/>
    </border>
    <border>
      <left/>
      <right/>
      <top style="thin">
        <color rgb="FF000000"/>
      </top>
      <bottom style="thin">
        <color rgb="FF000000"/>
      </bottom>
      <diagonal/>
    </border>
  </borders>
  <cellStyleXfs count="20452">
    <xf numFmtId="0" fontId="0" fillId="0" borderId="0"/>
    <xf numFmtId="43" fontId="21" fillId="0" borderId="0" applyFont="0" applyFill="0" applyBorder="0" applyAlignment="0" applyProtection="0"/>
    <xf numFmtId="9" fontId="21" fillId="0" borderId="0" applyFont="0" applyFill="0" applyBorder="0" applyAlignment="0" applyProtection="0"/>
    <xf numFmtId="44" fontId="21" fillId="0" borderId="0" applyFont="0" applyFill="0" applyBorder="0" applyAlignment="0" applyProtection="0"/>
    <xf numFmtId="9" fontId="24" fillId="0" borderId="0">
      <alignment horizontal="right"/>
    </xf>
    <xf numFmtId="37" fontId="25" fillId="0" borderId="0">
      <alignment horizontal="fill"/>
    </xf>
    <xf numFmtId="0" fontId="26" fillId="0" borderId="0"/>
    <xf numFmtId="0" fontId="26" fillId="0" borderId="0"/>
    <xf numFmtId="0" fontId="26" fillId="0" borderId="0"/>
    <xf numFmtId="0" fontId="26" fillId="0" borderId="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2" fontId="28" fillId="0" borderId="0" applyFont="0" applyFill="0" applyBorder="0" applyAlignment="0" applyProtection="0"/>
    <xf numFmtId="0" fontId="28" fillId="0" borderId="0" applyFont="0" applyFill="0" applyBorder="0" applyAlignment="0" applyProtection="0"/>
    <xf numFmtId="171" fontId="27" fillId="0" borderId="0" applyFont="0" applyFill="0" applyBorder="0" applyAlignment="0" applyProtection="0"/>
    <xf numFmtId="0" fontId="28" fillId="0" borderId="0" applyFont="0" applyFill="0" applyBorder="0" applyAlignment="0" applyProtection="0"/>
    <xf numFmtId="172" fontId="28" fillId="0" borderId="0" applyFont="0" applyFill="0" applyBorder="0" applyAlignment="0" applyProtection="0"/>
    <xf numFmtId="172"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172" fontId="28" fillId="0" borderId="0" applyFont="0" applyFill="0" applyBorder="0" applyAlignment="0" applyProtection="0"/>
    <xf numFmtId="0" fontId="28" fillId="0" borderId="0" applyFont="0" applyFill="0" applyBorder="0" applyAlignment="0" applyProtection="0"/>
    <xf numFmtId="172" fontId="28" fillId="0" borderId="0" applyFont="0" applyFill="0" applyBorder="0" applyAlignment="0" applyProtection="0"/>
    <xf numFmtId="0" fontId="28" fillId="0" borderId="0" applyFont="0" applyFill="0" applyBorder="0" applyAlignment="0" applyProtection="0"/>
    <xf numFmtId="172" fontId="28" fillId="0" borderId="0" applyFont="0" applyFill="0" applyBorder="0" applyAlignment="0" applyProtection="0"/>
    <xf numFmtId="172" fontId="28" fillId="0" borderId="0" applyFont="0" applyFill="0" applyBorder="0" applyAlignment="0" applyProtection="0"/>
    <xf numFmtId="172" fontId="28" fillId="0" borderId="0" applyFont="0" applyFill="0" applyBorder="0" applyAlignment="0" applyProtection="0"/>
    <xf numFmtId="172" fontId="28" fillId="0" borderId="0" applyFont="0" applyFill="0" applyBorder="0" applyAlignment="0" applyProtection="0"/>
    <xf numFmtId="0" fontId="28" fillId="0" borderId="0" applyFont="0" applyFill="0" applyBorder="0" applyAlignment="0" applyProtection="0"/>
    <xf numFmtId="0" fontId="27" fillId="0" borderId="0" applyFont="0" applyFill="0" applyBorder="0" applyAlignment="0" applyProtection="0"/>
    <xf numFmtId="171" fontId="27" fillId="0" borderId="0" applyFont="0" applyFill="0" applyBorder="0" applyAlignment="0" applyProtection="0"/>
    <xf numFmtId="0" fontId="28" fillId="0" borderId="0" applyFont="0" applyFill="0" applyBorder="0" applyAlignment="0" applyProtection="0"/>
    <xf numFmtId="171" fontId="27" fillId="0" borderId="0" applyFont="0" applyFill="0" applyBorder="0" applyAlignment="0" applyProtection="0"/>
    <xf numFmtId="0"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0" fontId="28"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0"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0" fontId="28"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171" fontId="27" fillId="0" borderId="0" applyFont="0" applyFill="0" applyBorder="0" applyAlignment="0" applyProtection="0"/>
    <xf numFmtId="0" fontId="28" fillId="0" borderId="0" applyFont="0" applyFill="0" applyBorder="0" applyAlignment="0" applyProtection="0"/>
    <xf numFmtId="171" fontId="27" fillId="0" borderId="0" applyFont="0" applyFill="0" applyBorder="0" applyAlignment="0" applyProtection="0"/>
    <xf numFmtId="0" fontId="28" fillId="0" borderId="0" applyFont="0" applyFill="0" applyBorder="0" applyAlignment="0" applyProtection="0"/>
    <xf numFmtId="0" fontId="28" fillId="0" borderId="0" applyFont="0" applyFill="0" applyBorder="0" applyAlignment="0" applyProtection="0"/>
    <xf numFmtId="173" fontId="29" fillId="0" borderId="0" applyNumberFormat="0" applyFill="0" applyBorder="0" applyAlignment="0" applyProtection="0"/>
    <xf numFmtId="0" fontId="26" fillId="0" borderId="0" applyNumberFormat="0" applyFill="0" applyBorder="0" applyAlignment="0" applyProtection="0"/>
    <xf numFmtId="0" fontId="26" fillId="0" borderId="0"/>
    <xf numFmtId="0" fontId="28" fillId="0" borderId="0" applyFont="0" applyFill="0" applyBorder="0" applyAlignment="0" applyProtection="0"/>
    <xf numFmtId="0" fontId="30" fillId="0" borderId="0"/>
    <xf numFmtId="0" fontId="30" fillId="0" borderId="0"/>
    <xf numFmtId="0" fontId="26" fillId="0" borderId="0"/>
    <xf numFmtId="0" fontId="30" fillId="0" borderId="0"/>
    <xf numFmtId="0" fontId="30" fillId="0" borderId="0"/>
    <xf numFmtId="0" fontId="30" fillId="0" borderId="0"/>
    <xf numFmtId="174" fontId="31" fillId="0" borderId="0" applyFont="0" applyFill="0" applyBorder="0" applyAlignment="0" applyProtection="0"/>
    <xf numFmtId="175" fontId="31" fillId="0" borderId="0" applyFont="0" applyFill="0" applyBorder="0" applyAlignment="0" applyProtection="0"/>
    <xf numFmtId="3" fontId="32" fillId="0" borderId="0" applyFont="0" applyFill="0" applyBorder="0" applyAlignment="0" applyProtection="0"/>
    <xf numFmtId="174" fontId="31" fillId="0" borderId="0" applyFont="0" applyFill="0" applyBorder="0" applyAlignment="0" applyProtection="0"/>
    <xf numFmtId="174" fontId="31" fillId="0" borderId="0" applyFont="0" applyFill="0" applyBorder="0" applyAlignment="0" applyProtection="0"/>
    <xf numFmtId="174" fontId="31" fillId="0" borderId="0" applyFont="0" applyFill="0" applyBorder="0" applyAlignment="0" applyProtection="0"/>
    <xf numFmtId="174" fontId="31" fillId="0" borderId="0" applyFont="0" applyFill="0" applyBorder="0" applyAlignment="0" applyProtection="0"/>
    <xf numFmtId="174" fontId="31" fillId="0" borderId="0" applyFont="0" applyFill="0" applyBorder="0" applyAlignment="0" applyProtection="0"/>
    <xf numFmtId="5" fontId="33" fillId="0" borderId="0" applyFont="0" applyFill="0" applyBorder="0" applyAlignment="0" applyProtection="0"/>
    <xf numFmtId="176" fontId="31" fillId="0" borderId="0" applyFont="0" applyFill="0" applyBorder="0" applyAlignment="0" applyProtection="0"/>
    <xf numFmtId="8" fontId="33" fillId="0" borderId="0" applyFont="0" applyFill="0" applyBorder="0" applyAlignment="0" applyProtection="0"/>
    <xf numFmtId="0" fontId="30" fillId="0" borderId="0"/>
    <xf numFmtId="177" fontId="30" fillId="0" borderId="0">
      <alignment horizontal="right"/>
    </xf>
    <xf numFmtId="177" fontId="26" fillId="0" borderId="0">
      <alignment horizontal="right"/>
    </xf>
    <xf numFmtId="178" fontId="26" fillId="0" borderId="0" applyFont="0" applyFill="0" applyBorder="0" applyAlignment="0" applyProtection="0"/>
    <xf numFmtId="179" fontId="26" fillId="0" borderId="0"/>
    <xf numFmtId="180" fontId="26" fillId="0" borderId="0" applyFont="0" applyFill="0" applyBorder="0" applyAlignment="0" applyProtection="0"/>
    <xf numFmtId="0" fontId="26" fillId="0" borderId="0"/>
    <xf numFmtId="181" fontId="31" fillId="0" borderId="0" applyFont="0" applyFill="0" applyBorder="0" applyAlignment="0" applyProtection="0"/>
    <xf numFmtId="182" fontId="26" fillId="0" borderId="0" applyFont="0" applyFill="0" applyBorder="0" applyAlignment="0" applyProtection="0"/>
    <xf numFmtId="9" fontId="34" fillId="31" borderId="16">
      <alignment horizontal="right" vertical="center"/>
    </xf>
    <xf numFmtId="9" fontId="26" fillId="0" borderId="0">
      <alignment horizontal="right" vertical="center"/>
    </xf>
    <xf numFmtId="183" fontId="35" fillId="0" borderId="0" applyBorder="0"/>
    <xf numFmtId="183" fontId="35" fillId="0" borderId="0" applyBorder="0"/>
    <xf numFmtId="183" fontId="26" fillId="0" borderId="0" applyBorder="0"/>
    <xf numFmtId="183" fontId="35" fillId="0" borderId="0" applyBorder="0"/>
    <xf numFmtId="183" fontId="35" fillId="0" borderId="0" applyBorder="0"/>
    <xf numFmtId="183" fontId="35" fillId="0" borderId="0" applyBorder="0"/>
    <xf numFmtId="10" fontId="33" fillId="0" borderId="0" applyFont="0" applyFill="0" applyBorder="0" applyAlignment="0" applyProtection="0"/>
    <xf numFmtId="0" fontId="36" fillId="0" borderId="0"/>
    <xf numFmtId="0" fontId="36" fillId="0" borderId="0"/>
    <xf numFmtId="0" fontId="37" fillId="0" borderId="0" applyNumberFormat="0" applyFont="0" applyFill="0" applyBorder="0" applyAlignment="0" applyProtection="0"/>
    <xf numFmtId="0" fontId="26" fillId="0" borderId="0" applyNumberFormat="0" applyFont="0" applyFill="0" applyBorder="0" applyAlignment="0" applyProtection="0"/>
    <xf numFmtId="184" fontId="30" fillId="0" borderId="0" applyFont="0" applyFill="0" applyBorder="0" applyAlignment="0"/>
    <xf numFmtId="184" fontId="30" fillId="0" borderId="0" applyFont="0" applyFill="0" applyBorder="0" applyAlignment="0"/>
    <xf numFmtId="184" fontId="26" fillId="0" borderId="0" applyFont="0" applyFill="0" applyBorder="0" applyAlignment="0"/>
    <xf numFmtId="184" fontId="30" fillId="0" borderId="0" applyFont="0" applyFill="0" applyBorder="0" applyAlignment="0"/>
    <xf numFmtId="184" fontId="30" fillId="0" borderId="0" applyFont="0" applyFill="0" applyBorder="0" applyAlignment="0"/>
    <xf numFmtId="184" fontId="30" fillId="0" borderId="0" applyFont="0" applyFill="0" applyBorder="0" applyAlignment="0"/>
    <xf numFmtId="186" fontId="26" fillId="0" borderId="0" applyFont="0" applyFill="0" applyBorder="0" applyAlignment="0" applyProtection="0"/>
    <xf numFmtId="9" fontId="26" fillId="0" borderId="0" applyFont="0" applyFill="0" applyBorder="0" applyAlignment="0" applyProtection="0"/>
    <xf numFmtId="187" fontId="38" fillId="0" borderId="0" applyFont="0" applyFill="0" applyBorder="0" applyProtection="0">
      <alignment horizontal="right"/>
    </xf>
    <xf numFmtId="187" fontId="26" fillId="0" borderId="0" applyFont="0" applyFill="0" applyBorder="0" applyProtection="0">
      <alignment horizontal="right"/>
    </xf>
    <xf numFmtId="188" fontId="39" fillId="0" borderId="0" applyFont="0" applyFill="0" applyBorder="0" applyAlignment="0" applyProtection="0"/>
    <xf numFmtId="189" fontId="39" fillId="0" borderId="0" applyFont="0" applyFill="0" applyBorder="0" applyAlignment="0" applyProtection="0"/>
    <xf numFmtId="43" fontId="30" fillId="0" borderId="0" applyFont="0" applyFill="0" applyBorder="0" applyAlignment="0" applyProtection="0"/>
    <xf numFmtId="43" fontId="30" fillId="0" borderId="0" applyFont="0" applyFill="0" applyBorder="0" applyAlignment="0" applyProtection="0"/>
    <xf numFmtId="43" fontId="26" fillId="0" borderId="0" applyFont="0" applyFill="0" applyBorder="0" applyAlignment="0" applyProtection="0"/>
    <xf numFmtId="43" fontId="30" fillId="0" borderId="0" applyFont="0" applyFill="0" applyBorder="0" applyAlignment="0" applyProtection="0"/>
    <xf numFmtId="43" fontId="30" fillId="0" borderId="0" applyFont="0" applyFill="0" applyBorder="0" applyAlignment="0" applyProtection="0"/>
    <xf numFmtId="43" fontId="30" fillId="0" borderId="0" applyFont="0" applyFill="0" applyBorder="0" applyAlignment="0" applyProtection="0"/>
    <xf numFmtId="190" fontId="38" fillId="0" borderId="0" applyFont="0" applyFill="0" applyBorder="0" applyProtection="0">
      <alignment horizontal="right"/>
    </xf>
    <xf numFmtId="190" fontId="26" fillId="0" borderId="0" applyFont="0" applyFill="0" applyBorder="0" applyProtection="0">
      <alignment horizontal="right"/>
    </xf>
    <xf numFmtId="0" fontId="26" fillId="0" borderId="0" applyFont="0" applyFill="0" applyBorder="0" applyAlignment="0" applyProtection="0"/>
    <xf numFmtId="191" fontId="40" fillId="0" borderId="0"/>
    <xf numFmtId="191" fontId="40" fillId="0" borderId="0"/>
    <xf numFmtId="9" fontId="24" fillId="0" borderId="0">
      <alignment horizontal="right"/>
    </xf>
    <xf numFmtId="9" fontId="24" fillId="0" borderId="0">
      <alignment horizontal="right"/>
    </xf>
    <xf numFmtId="174" fontId="39" fillId="0" borderId="0" applyFont="0" applyFill="0" applyBorder="0" applyAlignment="0" applyProtection="0"/>
    <xf numFmtId="192" fontId="38" fillId="0" borderId="0" applyFont="0" applyFill="0" applyBorder="0" applyAlignment="0" applyProtection="0"/>
    <xf numFmtId="192" fontId="38"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92" fontId="26" fillId="0" borderId="0" applyFont="0" applyFill="0" applyBorder="0" applyAlignment="0" applyProtection="0"/>
    <xf numFmtId="174" fontId="41"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74" fontId="42"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74" fontId="26" fillId="0" borderId="0" applyFont="0" applyFill="0" applyBorder="0" applyAlignment="0" applyProtection="0"/>
    <xf numFmtId="193" fontId="39" fillId="0" borderId="0" applyFont="0" applyFill="0" applyBorder="0" applyAlignment="0" applyProtection="0"/>
    <xf numFmtId="194" fontId="38" fillId="0" borderId="0" applyFont="0" applyFill="0" applyBorder="0" applyAlignment="0" applyProtection="0"/>
    <xf numFmtId="194" fontId="38" fillId="0" borderId="0" applyFont="0" applyFill="0" applyBorder="0" applyAlignment="0" applyProtection="0"/>
    <xf numFmtId="195" fontId="26" fillId="0" borderId="0" applyFont="0" applyFill="0" applyBorder="0" applyAlignment="0" applyProtection="0"/>
    <xf numFmtId="196" fontId="26" fillId="0" borderId="0" applyFont="0" applyFill="0" applyBorder="0" applyAlignment="0" applyProtection="0"/>
    <xf numFmtId="196" fontId="26" fillId="0" borderId="0" applyFont="0" applyFill="0" applyBorder="0" applyAlignment="0" applyProtection="0"/>
    <xf numFmtId="194" fontId="26" fillId="0" borderId="0" applyFont="0" applyFill="0" applyBorder="0" applyAlignment="0" applyProtection="0"/>
    <xf numFmtId="197" fontId="26" fillId="0" borderId="0" applyFont="0" applyFill="0" applyBorder="0" applyAlignment="0" applyProtection="0"/>
    <xf numFmtId="198" fontId="26" fillId="0" borderId="0" applyFont="0" applyFill="0" applyBorder="0" applyAlignment="0" applyProtection="0"/>
    <xf numFmtId="194" fontId="26" fillId="0" borderId="0" applyFont="0" applyFill="0" applyBorder="0" applyAlignment="0" applyProtection="0"/>
    <xf numFmtId="196" fontId="26" fillId="0" borderId="0" applyFont="0" applyFill="0" applyBorder="0" applyAlignment="0" applyProtection="0"/>
    <xf numFmtId="193" fontId="26" fillId="0" borderId="0" applyFont="0" applyFill="0" applyBorder="0" applyAlignment="0" applyProtection="0"/>
    <xf numFmtId="194" fontId="26" fillId="0" borderId="0" applyFont="0" applyFill="0" applyBorder="0" applyAlignment="0" applyProtection="0"/>
    <xf numFmtId="195" fontId="26" fillId="0" borderId="0" applyFont="0" applyFill="0" applyBorder="0" applyAlignment="0" applyProtection="0"/>
    <xf numFmtId="195" fontId="42" fillId="0" borderId="0" applyFont="0" applyFill="0" applyBorder="0" applyAlignment="0" applyProtection="0"/>
    <xf numFmtId="195" fontId="42" fillId="0" borderId="0" applyFont="0" applyFill="0" applyBorder="0" applyAlignment="0" applyProtection="0"/>
    <xf numFmtId="193" fontId="41" fillId="0" borderId="0" applyFont="0" applyFill="0" applyBorder="0" applyAlignment="0" applyProtection="0"/>
    <xf numFmtId="193" fontId="26" fillId="0" borderId="0" applyFont="0" applyFill="0" applyBorder="0" applyAlignment="0" applyProtection="0"/>
    <xf numFmtId="193" fontId="26" fillId="0" borderId="0" applyFont="0" applyFill="0" applyBorder="0" applyAlignment="0" applyProtection="0"/>
    <xf numFmtId="193" fontId="26" fillId="0" borderId="0" applyFont="0" applyFill="0" applyBorder="0" applyAlignment="0" applyProtection="0"/>
    <xf numFmtId="194" fontId="26" fillId="0" borderId="0" applyFont="0" applyFill="0" applyBorder="0" applyAlignment="0" applyProtection="0"/>
    <xf numFmtId="194" fontId="42" fillId="0" borderId="0" applyFont="0" applyFill="0" applyBorder="0" applyAlignment="0" applyProtection="0"/>
    <xf numFmtId="195" fontId="42" fillId="0" borderId="0" applyFont="0" applyFill="0" applyBorder="0" applyAlignment="0" applyProtection="0"/>
    <xf numFmtId="195" fontId="42" fillId="0" borderId="0" applyFont="0" applyFill="0" applyBorder="0" applyAlignment="0" applyProtection="0"/>
    <xf numFmtId="197" fontId="26" fillId="0" borderId="0" applyFont="0" applyFill="0" applyBorder="0" applyAlignment="0" applyProtection="0"/>
    <xf numFmtId="198" fontId="42" fillId="0" borderId="0" applyFont="0" applyFill="0" applyBorder="0" applyAlignment="0" applyProtection="0"/>
    <xf numFmtId="195" fontId="26" fillId="0" borderId="0" applyFont="0" applyFill="0" applyBorder="0" applyAlignment="0" applyProtection="0"/>
    <xf numFmtId="193" fontId="26" fillId="0" borderId="0" applyFont="0" applyFill="0" applyBorder="0" applyAlignment="0" applyProtection="0"/>
    <xf numFmtId="198" fontId="26" fillId="0" borderId="0" applyFont="0" applyFill="0" applyBorder="0" applyAlignment="0" applyProtection="0"/>
    <xf numFmtId="0" fontId="26" fillId="0" borderId="0" applyFont="0" applyFill="0" applyBorder="0" applyAlignment="0" applyProtection="0"/>
    <xf numFmtId="199" fontId="26" fillId="0" borderId="0" applyFont="0" applyFill="0" applyBorder="0" applyAlignment="0" applyProtection="0"/>
    <xf numFmtId="193" fontId="26" fillId="0" borderId="0" applyFont="0" applyFill="0" applyBorder="0" applyAlignment="0" applyProtection="0"/>
    <xf numFmtId="195" fontId="26" fillId="0" borderId="0" applyFont="0" applyFill="0" applyBorder="0" applyAlignment="0" applyProtection="0"/>
    <xf numFmtId="198" fontId="26" fillId="0" borderId="0" applyFont="0" applyFill="0" applyBorder="0" applyAlignment="0" applyProtection="0"/>
    <xf numFmtId="193" fontId="26" fillId="0" borderId="0" applyFont="0" applyFill="0" applyBorder="0" applyAlignment="0" applyProtection="0"/>
    <xf numFmtId="200" fontId="39" fillId="0" borderId="0" applyFont="0" applyFill="0" applyBorder="0" applyAlignment="0" applyProtection="0"/>
    <xf numFmtId="39" fontId="38" fillId="0" borderId="0" applyFont="0" applyFill="0" applyBorder="0" applyAlignment="0" applyProtection="0"/>
    <xf numFmtId="39" fontId="38"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39" fontId="26" fillId="0" borderId="0" applyFont="0" applyFill="0" applyBorder="0" applyAlignment="0" applyProtection="0"/>
    <xf numFmtId="200" fontId="41"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00" fontId="42"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200" fontId="26" fillId="0" borderId="0" applyFont="0" applyFill="0" applyBorder="0" applyAlignment="0" applyProtection="0"/>
    <xf numFmtId="14" fontId="43" fillId="0" borderId="0" applyFill="0" applyBorder="0" applyProtection="0"/>
    <xf numFmtId="14" fontId="26" fillId="0" borderId="0" applyFill="0" applyBorder="0" applyProtection="0"/>
    <xf numFmtId="201" fontId="26" fillId="0" borderId="0" applyFont="0" applyFill="0" applyBorder="0" applyAlignment="0" applyProtection="0"/>
    <xf numFmtId="201" fontId="26" fillId="0" borderId="0" applyFont="0" applyFill="0" applyBorder="0" applyAlignment="0" applyProtection="0"/>
    <xf numFmtId="201" fontId="26" fillId="0" borderId="0" applyFont="0" applyFill="0" applyBorder="0" applyAlignment="0" applyProtection="0"/>
    <xf numFmtId="0" fontId="37" fillId="0" borderId="0" applyNumberFormat="0" applyFill="0" applyBorder="0" applyAlignment="0" applyProtection="0"/>
    <xf numFmtId="202" fontId="39" fillId="0" borderId="0" applyFont="0" applyFill="0" applyBorder="0" applyAlignment="0" applyProtection="0"/>
    <xf numFmtId="202" fontId="38" fillId="0" borderId="0" applyFont="0" applyFill="0" applyBorder="0" applyProtection="0">
      <alignment horizontal="right"/>
    </xf>
    <xf numFmtId="202" fontId="26" fillId="0" borderId="0" applyFont="0" applyFill="0" applyBorder="0" applyProtection="0">
      <alignment horizontal="right"/>
    </xf>
    <xf numFmtId="202" fontId="38" fillId="0" borderId="0" applyFont="0" applyFill="0" applyBorder="0" applyProtection="0">
      <alignment horizontal="right"/>
    </xf>
    <xf numFmtId="202" fontId="38" fillId="0" borderId="0" applyFont="0" applyFill="0" applyBorder="0" applyProtection="0">
      <alignment horizontal="right"/>
    </xf>
    <xf numFmtId="202" fontId="38" fillId="0" borderId="0" applyFont="0" applyFill="0" applyBorder="0" applyProtection="0">
      <alignment horizontal="right"/>
    </xf>
    <xf numFmtId="202" fontId="38" fillId="0" borderId="0" applyFont="0" applyFill="0" applyBorder="0" applyAlignment="0" applyProtection="0"/>
    <xf numFmtId="202" fontId="38" fillId="0" borderId="0" applyFont="0" applyFill="0" applyBorder="0" applyAlignment="0" applyProtection="0"/>
    <xf numFmtId="202" fontId="26" fillId="0" borderId="0" applyFont="0" applyFill="0" applyBorder="0" applyAlignment="0" applyProtection="0"/>
    <xf numFmtId="202" fontId="38" fillId="0" borderId="0" applyFont="0" applyFill="0" applyBorder="0" applyAlignment="0" applyProtection="0"/>
    <xf numFmtId="202" fontId="38" fillId="0" borderId="0" applyFont="0" applyFill="0" applyBorder="0" applyAlignment="0" applyProtection="0"/>
    <xf numFmtId="202" fontId="38" fillId="0" borderId="0" applyFont="0" applyFill="0" applyBorder="0" applyAlignment="0" applyProtection="0"/>
    <xf numFmtId="202" fontId="26" fillId="0" borderId="0" applyFont="0" applyFill="0" applyBorder="0" applyAlignment="0" applyProtection="0"/>
    <xf numFmtId="202" fontId="26" fillId="0" borderId="0" applyFont="0" applyFill="0" applyBorder="0" applyAlignment="0" applyProtection="0"/>
    <xf numFmtId="0" fontId="44" fillId="0" borderId="0">
      <alignment vertical="center"/>
    </xf>
    <xf numFmtId="203" fontId="45" fillId="0" borderId="17" applyFont="0" applyFill="0" applyBorder="0" applyAlignment="0" applyProtection="0"/>
    <xf numFmtId="203" fontId="26" fillId="0" borderId="0" applyFont="0" applyFill="0" applyBorder="0" applyAlignment="0" applyProtection="0"/>
    <xf numFmtId="0" fontId="46" fillId="32" borderId="18" applyBorder="0">
      <alignment horizontal="center"/>
    </xf>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47" fillId="0" borderId="0" applyNumberFormat="0" applyFill="0" applyBorder="0" applyAlignment="0" applyProtection="0"/>
    <xf numFmtId="0" fontId="26" fillId="0" borderId="0" applyNumberFormat="0" applyFill="0" applyBorder="0" applyAlignment="0" applyProtection="0"/>
    <xf numFmtId="0" fontId="39" fillId="33" borderId="0" applyNumberFormat="0" applyFont="0" applyAlignment="0" applyProtection="0"/>
    <xf numFmtId="0" fontId="26" fillId="0" borderId="0" applyNumberFormat="0" applyFont="0" applyAlignment="0" applyProtection="0"/>
    <xf numFmtId="204" fontId="48" fillId="0" borderId="0" applyFont="0" applyFill="0" applyBorder="0" applyProtection="0">
      <alignment horizontal="right"/>
    </xf>
    <xf numFmtId="204" fontId="26" fillId="0" borderId="0" applyFont="0" applyFill="0" applyBorder="0" applyProtection="0">
      <alignment horizontal="right"/>
    </xf>
    <xf numFmtId="205" fontId="48" fillId="0" borderId="0" applyFont="0" applyFill="0" applyBorder="0" applyProtection="0">
      <alignment horizontal="right"/>
    </xf>
    <xf numFmtId="205" fontId="26" fillId="0" borderId="0" applyFont="0" applyFill="0" applyBorder="0" applyProtection="0">
      <alignment horizontal="right"/>
    </xf>
    <xf numFmtId="205" fontId="48" fillId="0" borderId="0" applyFont="0" applyFill="0" applyBorder="0" applyProtection="0">
      <alignment horizontal="right"/>
    </xf>
    <xf numFmtId="205" fontId="26" fillId="0" borderId="0" applyFont="0" applyFill="0" applyBorder="0" applyProtection="0">
      <alignment horizontal="right"/>
    </xf>
    <xf numFmtId="0" fontId="40" fillId="0" borderId="0">
      <alignment vertical="center"/>
    </xf>
    <xf numFmtId="0" fontId="40" fillId="0" borderId="0">
      <alignment vertical="center"/>
    </xf>
    <xf numFmtId="0" fontId="40" fillId="0" borderId="0">
      <alignment vertical="center"/>
    </xf>
    <xf numFmtId="0" fontId="49" fillId="34" borderId="0">
      <alignment horizontal="centerContinuous" vertical="center"/>
    </xf>
    <xf numFmtId="0" fontId="26" fillId="0" borderId="0">
      <alignment horizontal="centerContinuous" vertical="center"/>
    </xf>
    <xf numFmtId="0" fontId="50" fillId="29" borderId="0">
      <alignment horizontal="centerContinuous" vertical="center"/>
    </xf>
    <xf numFmtId="0" fontId="26" fillId="0" borderId="0">
      <alignment horizontal="centerContinuous" vertical="center"/>
    </xf>
    <xf numFmtId="9" fontId="24" fillId="0" borderId="0">
      <alignment horizontal="right"/>
    </xf>
    <xf numFmtId="9" fontId="24" fillId="0" borderId="0">
      <alignment horizontal="right"/>
    </xf>
    <xf numFmtId="9" fontId="24" fillId="0" borderId="0">
      <alignment horizontal="right"/>
    </xf>
    <xf numFmtId="9" fontId="24" fillId="0" borderId="0">
      <alignment horizontal="right"/>
    </xf>
    <xf numFmtId="0" fontId="26" fillId="0" borderId="0">
      <alignment horizontal="left" wrapText="1"/>
    </xf>
    <xf numFmtId="0" fontId="26" fillId="0" borderId="0">
      <alignment horizontal="left" wrapText="1"/>
    </xf>
    <xf numFmtId="206" fontId="39" fillId="0" borderId="0" applyFont="0" applyFill="0" applyBorder="0" applyAlignment="0" applyProtection="0"/>
    <xf numFmtId="207" fontId="38" fillId="0" borderId="0" applyFont="0" applyFill="0" applyBorder="0" applyAlignment="0" applyProtection="0"/>
    <xf numFmtId="207" fontId="38" fillId="0" borderId="0" applyFont="0" applyFill="0" applyBorder="0" applyAlignment="0" applyProtection="0"/>
    <xf numFmtId="208" fontId="26" fillId="0" borderId="0" applyFont="0" applyFill="0" applyBorder="0" applyProtection="0">
      <alignment horizontal="right"/>
    </xf>
    <xf numFmtId="209" fontId="26" fillId="0" borderId="0" applyFont="0" applyFill="0" applyBorder="0" applyAlignment="0" applyProtection="0"/>
    <xf numFmtId="206" fontId="26" fillId="0" borderId="0" applyFont="0" applyFill="0" applyBorder="0" applyAlignment="0" applyProtection="0"/>
    <xf numFmtId="210" fontId="26" fillId="0" borderId="0" applyFont="0" applyFill="0" applyBorder="0" applyProtection="0">
      <alignment horizontal="right"/>
    </xf>
    <xf numFmtId="206" fontId="26" fillId="0" borderId="0" applyFont="0" applyFill="0" applyBorder="0" applyAlignment="0" applyProtection="0"/>
    <xf numFmtId="207" fontId="26" fillId="0" borderId="0" applyFont="0" applyFill="0" applyBorder="0" applyAlignment="0" applyProtection="0"/>
    <xf numFmtId="206" fontId="41" fillId="0" borderId="0" applyFont="0" applyFill="0" applyBorder="0" applyAlignment="0" applyProtection="0"/>
    <xf numFmtId="206" fontId="26" fillId="0" borderId="0" applyFont="0" applyFill="0" applyBorder="0" applyAlignment="0" applyProtection="0"/>
    <xf numFmtId="210" fontId="26" fillId="0" borderId="0" applyFont="0" applyFill="0" applyBorder="0" applyProtection="0">
      <alignment horizontal="right"/>
    </xf>
    <xf numFmtId="210" fontId="26" fillId="0" borderId="0" applyFont="0" applyFill="0" applyBorder="0" applyProtection="0">
      <alignment horizontal="right"/>
    </xf>
    <xf numFmtId="206" fontId="26" fillId="0" borderId="0" applyFont="0" applyFill="0" applyBorder="0" applyAlignment="0" applyProtection="0"/>
    <xf numFmtId="206" fontId="42" fillId="0" borderId="0" applyFont="0" applyFill="0" applyBorder="0" applyAlignment="0" applyProtection="0"/>
    <xf numFmtId="210" fontId="26" fillId="0" borderId="0" applyFont="0" applyFill="0" applyBorder="0" applyProtection="0">
      <alignment horizontal="right"/>
    </xf>
    <xf numFmtId="209" fontId="26" fillId="0" borderId="0" applyFont="0" applyFill="0" applyBorder="0" applyAlignment="0" applyProtection="0"/>
    <xf numFmtId="206" fontId="26" fillId="0" borderId="0" applyFont="0" applyFill="0" applyBorder="0" applyAlignment="0" applyProtection="0"/>
    <xf numFmtId="210" fontId="26" fillId="0" borderId="0" applyFont="0" applyFill="0" applyBorder="0" applyProtection="0">
      <alignment horizontal="right"/>
    </xf>
    <xf numFmtId="210" fontId="26" fillId="0" borderId="0" applyFont="0" applyFill="0" applyBorder="0" applyProtection="0">
      <alignment horizontal="right"/>
    </xf>
    <xf numFmtId="211" fontId="26" fillId="0" borderId="0" applyFont="0" applyFill="0" applyBorder="0" applyProtection="0">
      <alignment horizontal="right"/>
    </xf>
    <xf numFmtId="212" fontId="39" fillId="0" borderId="0" applyFont="0" applyFill="0" applyBorder="0" applyProtection="0">
      <alignment horizontal="right"/>
    </xf>
    <xf numFmtId="213" fontId="38" fillId="0" borderId="0" applyFont="0" applyFill="0" applyBorder="0" applyAlignment="0" applyProtection="0"/>
    <xf numFmtId="213" fontId="38" fillId="0" borderId="0" applyFont="0" applyFill="0" applyBorder="0" applyAlignment="0" applyProtection="0"/>
    <xf numFmtId="214" fontId="26" fillId="0" borderId="0" applyFont="0" applyFill="0" applyBorder="0" applyAlignment="0" applyProtection="0"/>
    <xf numFmtId="212" fontId="26" fillId="0" borderId="0" applyFont="0" applyFill="0" applyBorder="0" applyProtection="0">
      <alignment horizontal="right"/>
    </xf>
    <xf numFmtId="212" fontId="26" fillId="0" borderId="0" applyFont="0" applyFill="0" applyBorder="0" applyProtection="0">
      <alignment horizontal="right"/>
    </xf>
    <xf numFmtId="213" fontId="26" fillId="0" borderId="0" applyFont="0" applyFill="0" applyBorder="0" applyAlignment="0" applyProtection="0"/>
    <xf numFmtId="212" fontId="41" fillId="0" borderId="0" applyFont="0" applyFill="0" applyBorder="0" applyProtection="0">
      <alignment horizontal="right"/>
    </xf>
    <xf numFmtId="212" fontId="26" fillId="0" borderId="0" applyFont="0" applyFill="0" applyBorder="0" applyProtection="0">
      <alignment horizontal="right"/>
    </xf>
    <xf numFmtId="212" fontId="26" fillId="0" borderId="0" applyFont="0" applyFill="0" applyBorder="0" applyProtection="0">
      <alignment horizontal="right"/>
    </xf>
    <xf numFmtId="212" fontId="26" fillId="0" borderId="0" applyFont="0" applyFill="0" applyBorder="0" applyProtection="0">
      <alignment horizontal="right"/>
    </xf>
    <xf numFmtId="212" fontId="26" fillId="0" borderId="0" applyFont="0" applyFill="0" applyBorder="0" applyProtection="0">
      <alignment horizontal="right"/>
    </xf>
    <xf numFmtId="212" fontId="42" fillId="0" borderId="0" applyFont="0" applyFill="0" applyBorder="0" applyProtection="0">
      <alignment horizontal="right"/>
    </xf>
    <xf numFmtId="212" fontId="26" fillId="0" borderId="0" applyFont="0" applyFill="0" applyBorder="0" applyProtection="0">
      <alignment horizontal="right"/>
    </xf>
    <xf numFmtId="214" fontId="26" fillId="0" borderId="0" applyFont="0" applyFill="0" applyBorder="0" applyAlignment="0" applyProtection="0"/>
    <xf numFmtId="212" fontId="26" fillId="0" borderId="0" applyFont="0" applyFill="0" applyBorder="0" applyProtection="0">
      <alignment horizontal="right"/>
    </xf>
    <xf numFmtId="212" fontId="26" fillId="0" borderId="0" applyFont="0" applyFill="0" applyBorder="0" applyProtection="0">
      <alignment horizontal="right"/>
    </xf>
    <xf numFmtId="0" fontId="26" fillId="0" borderId="0"/>
    <xf numFmtId="215" fontId="38" fillId="0" borderId="0" applyFont="0" applyFill="0" applyBorder="0" applyAlignment="0" applyProtection="0"/>
    <xf numFmtId="188" fontId="26" fillId="0" borderId="0" applyFont="0" applyFill="0" applyBorder="0" applyAlignment="0" applyProtection="0"/>
    <xf numFmtId="188" fontId="26" fillId="0" borderId="0" applyFont="0" applyFill="0" applyBorder="0" applyAlignment="0" applyProtection="0"/>
    <xf numFmtId="216" fontId="51" fillId="0" borderId="19" applyFont="0" applyFill="0" applyBorder="0" applyProtection="0">
      <alignment horizontal="right"/>
    </xf>
    <xf numFmtId="216" fontId="26" fillId="0" borderId="0" applyFont="0" applyFill="0" applyBorder="0" applyProtection="0">
      <alignment horizontal="right"/>
    </xf>
    <xf numFmtId="217" fontId="51" fillId="0" borderId="19" applyFont="0" applyFill="0" applyBorder="0" applyProtection="0">
      <alignment horizontal="right"/>
    </xf>
    <xf numFmtId="217" fontId="26" fillId="0" borderId="0" applyFont="0" applyFill="0" applyBorder="0" applyProtection="0">
      <alignment horizontal="right"/>
    </xf>
    <xf numFmtId="217" fontId="51" fillId="0" borderId="19" applyFont="0" applyFill="0" applyBorder="0" applyProtection="0">
      <alignment horizontal="right"/>
    </xf>
    <xf numFmtId="217" fontId="26" fillId="0" borderId="0" applyFont="0" applyFill="0" applyBorder="0" applyProtection="0">
      <alignment horizontal="right"/>
    </xf>
    <xf numFmtId="217" fontId="51" fillId="0" borderId="19" applyFont="0" applyFill="0" applyBorder="0" applyProtection="0">
      <alignment horizontal="right"/>
    </xf>
    <xf numFmtId="217" fontId="26" fillId="0" borderId="0" applyFont="0" applyFill="0" applyBorder="0" applyProtection="0">
      <alignment horizontal="right"/>
    </xf>
    <xf numFmtId="217" fontId="51" fillId="0" borderId="19" applyFont="0" applyFill="0" applyBorder="0" applyProtection="0">
      <alignment horizontal="right"/>
    </xf>
    <xf numFmtId="217" fontId="26" fillId="0" borderId="0" applyFont="0" applyFill="0" applyBorder="0" applyProtection="0">
      <alignment horizontal="right"/>
    </xf>
    <xf numFmtId="217" fontId="51" fillId="0" borderId="19" applyFont="0" applyFill="0" applyBorder="0" applyProtection="0">
      <alignment horizontal="right"/>
    </xf>
    <xf numFmtId="217" fontId="26" fillId="0" borderId="0" applyFont="0" applyFill="0" applyBorder="0" applyProtection="0">
      <alignment horizontal="right"/>
    </xf>
    <xf numFmtId="218" fontId="38" fillId="0" borderId="0" applyFont="0" applyFill="0" applyBorder="0" applyAlignment="0" applyProtection="0"/>
    <xf numFmtId="189" fontId="26" fillId="0" borderId="0" applyFont="0" applyFill="0" applyBorder="0" applyAlignment="0" applyProtection="0"/>
    <xf numFmtId="189" fontId="26" fillId="0" borderId="0" applyFont="0" applyFill="0" applyBorder="0" applyAlignment="0" applyProtection="0"/>
    <xf numFmtId="0" fontId="52" fillId="0" borderId="0" applyNumberFormat="0" applyFill="0" applyBorder="0" applyAlignment="0" applyProtection="0"/>
    <xf numFmtId="0" fontId="26" fillId="0" borderId="0"/>
    <xf numFmtId="0" fontId="26" fillId="0" borderId="0"/>
    <xf numFmtId="0" fontId="53" fillId="0" borderId="0">
      <alignment horizontal="center" wrapText="1"/>
    </xf>
    <xf numFmtId="0" fontId="54" fillId="32" borderId="15">
      <alignment horizontal="center"/>
    </xf>
    <xf numFmtId="0" fontId="55" fillId="35" borderId="15">
      <alignment horizontal="center" vertical="center"/>
    </xf>
    <xf numFmtId="3" fontId="56" fillId="0" borderId="15"/>
    <xf numFmtId="4" fontId="56" fillId="0" borderId="15"/>
    <xf numFmtId="219" fontId="26" fillId="0" borderId="15">
      <alignment horizontal="center" vertical="center"/>
    </xf>
    <xf numFmtId="0" fontId="57" fillId="0" borderId="15">
      <alignment horizontal="center"/>
    </xf>
    <xf numFmtId="0" fontId="58" fillId="36" borderId="15">
      <alignment horizontal="center"/>
    </xf>
    <xf numFmtId="0" fontId="53" fillId="0" borderId="0"/>
    <xf numFmtId="0" fontId="54" fillId="32" borderId="15"/>
    <xf numFmtId="0" fontId="55" fillId="35" borderId="15">
      <alignment horizontal="center" vertical="center"/>
    </xf>
    <xf numFmtId="0" fontId="59" fillId="0" borderId="0"/>
    <xf numFmtId="0" fontId="52" fillId="0" borderId="0" applyNumberFormat="0" applyFill="0" applyBorder="0" applyAlignment="0" applyProtection="0"/>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Alignment="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60" fillId="0" borderId="0" applyNumberFormat="0" applyFill="0" applyBorder="0" applyProtection="0">
      <alignment vertical="top"/>
    </xf>
    <xf numFmtId="0" fontId="26" fillId="0" borderId="0" applyNumberFormat="0" applyFill="0" applyBorder="0" applyProtection="0">
      <alignment vertical="top"/>
    </xf>
    <xf numFmtId="0" fontId="51" fillId="0" borderId="19" applyNumberFormat="0" applyFill="0" applyAlignment="0" applyProtection="0"/>
    <xf numFmtId="0" fontId="26" fillId="0" borderId="0" applyNumberFormat="0" applyFill="0" applyAlignment="0" applyProtection="0"/>
    <xf numFmtId="0" fontId="51" fillId="0" borderId="20" applyNumberFormat="0" applyFill="0" applyAlignment="0" applyProtection="0"/>
    <xf numFmtId="0" fontId="51" fillId="0" borderId="20" applyNumberFormat="0" applyFill="0" applyAlignment="0" applyProtection="0"/>
    <xf numFmtId="0" fontId="51" fillId="0" borderId="20" applyNumberFormat="0" applyFill="0" applyAlignment="0" applyProtection="0"/>
    <xf numFmtId="0" fontId="51" fillId="0" borderId="20" applyNumberFormat="0" applyFill="0" applyAlignment="0" applyProtection="0"/>
    <xf numFmtId="0" fontId="51" fillId="0" borderId="19" applyNumberFormat="0" applyFill="0" applyAlignment="0" applyProtection="0"/>
    <xf numFmtId="0" fontId="51" fillId="0" borderId="19" applyNumberFormat="0" applyFill="0" applyAlignment="0" applyProtection="0"/>
    <xf numFmtId="0" fontId="51" fillId="0" borderId="19" applyNumberFormat="0" applyFill="0" applyAlignment="0" applyProtection="0"/>
    <xf numFmtId="0" fontId="51" fillId="0" borderId="19" applyNumberFormat="0" applyFill="0" applyAlignment="0" applyProtection="0"/>
    <xf numFmtId="0" fontId="61" fillId="0" borderId="21" applyNumberFormat="0" applyFill="0" applyProtection="0">
      <alignment horizontal="center"/>
    </xf>
    <xf numFmtId="0" fontId="26" fillId="0" borderId="0" applyNumberFormat="0" applyFill="0" applyProtection="0">
      <alignment horizontal="center"/>
    </xf>
    <xf numFmtId="0" fontId="62" fillId="0" borderId="22" applyNumberFormat="0" applyFill="0" applyProtection="0">
      <alignment horizontal="center"/>
    </xf>
    <xf numFmtId="0" fontId="26" fillId="0" borderId="0" applyNumberFormat="0" applyFill="0" applyProtection="0">
      <alignment horizontal="center"/>
    </xf>
    <xf numFmtId="0" fontId="61" fillId="0" borderId="21" applyNumberFormat="0" applyFill="0" applyProtection="0">
      <alignment horizontal="center"/>
    </xf>
    <xf numFmtId="0" fontId="26" fillId="0" borderId="0" applyNumberFormat="0" applyFill="0" applyProtection="0">
      <alignment horizontal="center"/>
    </xf>
    <xf numFmtId="0" fontId="61" fillId="0" borderId="21" applyNumberFormat="0" applyFill="0" applyProtection="0">
      <alignment horizontal="center"/>
    </xf>
    <xf numFmtId="0" fontId="26" fillId="0" borderId="0" applyNumberFormat="0" applyFill="0" applyProtection="0">
      <alignment horizontal="center"/>
    </xf>
    <xf numFmtId="0" fontId="63" fillId="0" borderId="22" applyNumberFormat="0" applyFill="0" applyProtection="0">
      <alignment horizontal="center"/>
    </xf>
    <xf numFmtId="0" fontId="26" fillId="0" borderId="0" applyNumberFormat="0" applyFill="0" applyProtection="0">
      <alignment horizontal="center"/>
    </xf>
    <xf numFmtId="0" fontId="61" fillId="0" borderId="0" applyNumberFormat="0" applyFill="0" applyBorder="0" applyProtection="0">
      <alignment horizontal="left"/>
    </xf>
    <xf numFmtId="0" fontId="26" fillId="0" borderId="0" applyNumberFormat="0" applyFill="0" applyBorder="0" applyProtection="0">
      <alignment horizontal="left"/>
    </xf>
    <xf numFmtId="0" fontId="61" fillId="0" borderId="0" applyNumberFormat="0" applyFill="0" applyBorder="0" applyProtection="0">
      <alignment horizontal="left"/>
    </xf>
    <xf numFmtId="0" fontId="26" fillId="0" borderId="0" applyNumberFormat="0" applyFill="0" applyBorder="0" applyProtection="0">
      <alignment horizontal="left"/>
    </xf>
    <xf numFmtId="0" fontId="61" fillId="0" borderId="0" applyNumberFormat="0" applyFill="0" applyBorder="0" applyProtection="0">
      <alignment horizontal="left"/>
    </xf>
    <xf numFmtId="0" fontId="26" fillId="0" borderId="0" applyNumberFormat="0" applyFill="0" applyBorder="0" applyProtection="0">
      <alignment horizontal="left"/>
    </xf>
    <xf numFmtId="0" fontId="64" fillId="0" borderId="0" applyNumberFormat="0" applyFill="0" applyBorder="0" applyProtection="0">
      <alignment horizontal="centerContinuous"/>
    </xf>
    <xf numFmtId="0" fontId="26" fillId="0" borderId="0" applyNumberFormat="0" applyFill="0" applyBorder="0" applyProtection="0">
      <alignment horizontal="centerContinuous"/>
    </xf>
    <xf numFmtId="0" fontId="64" fillId="0" borderId="0" applyNumberFormat="0" applyFill="0" applyProtection="0">
      <alignment horizontal="centerContinuous"/>
    </xf>
    <xf numFmtId="0" fontId="64" fillId="0" borderId="0" applyNumberFormat="0" applyFill="0" applyProtection="0">
      <alignment horizontal="centerContinuous"/>
    </xf>
    <xf numFmtId="0" fontId="64" fillId="0" borderId="0" applyNumberFormat="0" applyFill="0" applyBorder="0" applyProtection="0">
      <alignment horizontal="centerContinuous"/>
    </xf>
    <xf numFmtId="0" fontId="65" fillId="0" borderId="0" applyNumberFormat="0" applyFill="0" applyBorder="0" applyProtection="0">
      <alignment horizontal="centerContinuous"/>
    </xf>
    <xf numFmtId="0" fontId="26" fillId="0" borderId="0" applyNumberFormat="0" applyFill="0" applyBorder="0" applyProtection="0">
      <alignment horizontal="centerContinuous"/>
    </xf>
    <xf numFmtId="0" fontId="64" fillId="0" borderId="0" applyNumberFormat="0" applyFill="0" applyBorder="0" applyProtection="0">
      <alignment horizontal="centerContinuous"/>
    </xf>
    <xf numFmtId="0" fontId="64" fillId="0" borderId="0" applyNumberFormat="0" applyFill="0" applyBorder="0" applyProtection="0">
      <alignment horizontal="centerContinuous"/>
    </xf>
    <xf numFmtId="0" fontId="26" fillId="0" borderId="0" applyNumberFormat="0" applyFill="0" applyBorder="0" applyProtection="0">
      <alignment horizontal="centerContinuous"/>
    </xf>
    <xf numFmtId="0" fontId="64" fillId="0" borderId="0" applyNumberFormat="0" applyFill="0" applyBorder="0" applyProtection="0">
      <alignment horizontal="centerContinuous"/>
    </xf>
    <xf numFmtId="0" fontId="64" fillId="0" borderId="0" applyNumberFormat="0" applyFill="0" applyBorder="0" applyProtection="0">
      <alignment horizontal="centerContinuous"/>
    </xf>
    <xf numFmtId="0" fontId="64" fillId="0" borderId="0" applyNumberFormat="0" applyFill="0" applyBorder="0" applyProtection="0">
      <alignment horizontal="centerContinuous"/>
    </xf>
    <xf numFmtId="0" fontId="26" fillId="0" borderId="0" applyNumberFormat="0" applyFill="0" applyBorder="0" applyProtection="0">
      <alignment horizontal="centerContinuous"/>
    </xf>
    <xf numFmtId="0" fontId="65" fillId="0" borderId="0" applyNumberFormat="0" applyFill="0" applyBorder="0" applyProtection="0">
      <alignment horizontal="centerContinuous"/>
    </xf>
    <xf numFmtId="0" fontId="26" fillId="0" borderId="0" applyNumberFormat="0" applyFill="0" applyBorder="0" applyProtection="0">
      <alignment horizontal="centerContinuous"/>
    </xf>
    <xf numFmtId="0" fontId="52" fillId="0" borderId="0" applyNumberFormat="0" applyFill="0" applyBorder="0" applyAlignment="0" applyProtection="0"/>
    <xf numFmtId="0" fontId="26" fillId="0" borderId="0"/>
    <xf numFmtId="0" fontId="26" fillId="0" borderId="0"/>
    <xf numFmtId="0" fontId="26" fillId="0" borderId="0"/>
    <xf numFmtId="0" fontId="26" fillId="0" borderId="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220" fontId="26" fillId="0" borderId="0">
      <alignment horizontal="left" wrapText="1"/>
    </xf>
    <xf numFmtId="220" fontId="26" fillId="0" borderId="0">
      <alignment horizontal="left" wrapText="1"/>
    </xf>
    <xf numFmtId="0" fontId="26" fillId="0" borderId="0"/>
    <xf numFmtId="0" fontId="67" fillId="0" borderId="0"/>
    <xf numFmtId="0" fontId="67" fillId="0" borderId="0"/>
    <xf numFmtId="0" fontId="36" fillId="0" borderId="0"/>
    <xf numFmtId="0" fontId="36" fillId="0" borderId="0"/>
    <xf numFmtId="0" fontId="68" fillId="0" borderId="0">
      <alignment horizontal="right"/>
    </xf>
    <xf numFmtId="0" fontId="68" fillId="0" borderId="0">
      <alignment horizontal="right"/>
    </xf>
    <xf numFmtId="221" fontId="52" fillId="0" borderId="0" applyFont="0" applyFill="0" applyBorder="0" applyAlignment="0" applyProtection="0"/>
    <xf numFmtId="221" fontId="52" fillId="0" borderId="0" applyFont="0" applyFill="0" applyBorder="0" applyAlignment="0" applyProtection="0"/>
    <xf numFmtId="222" fontId="69" fillId="0" borderId="0" applyFont="0" applyFill="0" applyBorder="0" applyAlignment="0" applyProtection="0"/>
    <xf numFmtId="222" fontId="26" fillId="0" borderId="0" applyFont="0" applyFill="0" applyBorder="0" applyAlignment="0" applyProtection="0"/>
    <xf numFmtId="223" fontId="69" fillId="0" borderId="0" applyFont="0" applyFill="0" applyBorder="0" applyAlignment="0" applyProtection="0"/>
    <xf numFmtId="223" fontId="26" fillId="0" borderId="0" applyFont="0" applyFill="0" applyBorder="0" applyAlignment="0" applyProtection="0"/>
    <xf numFmtId="224" fontId="69" fillId="0" borderId="0" applyFont="0" applyFill="0" applyBorder="0" applyAlignment="0" applyProtection="0"/>
    <xf numFmtId="224" fontId="26" fillId="0" borderId="0" applyFont="0" applyFill="0" applyBorder="0" applyAlignment="0" applyProtection="0"/>
    <xf numFmtId="225" fontId="69" fillId="0" borderId="0" applyFont="0" applyFill="0" applyBorder="0" applyAlignment="0" applyProtection="0"/>
    <xf numFmtId="225" fontId="26" fillId="0" borderId="0" applyFont="0" applyFill="0" applyBorder="0" applyAlignment="0" applyProtection="0"/>
    <xf numFmtId="226" fontId="69" fillId="0" borderId="0" applyFont="0" applyFill="0" applyBorder="0" applyAlignment="0" applyProtection="0"/>
    <xf numFmtId="226" fontId="26" fillId="0" borderId="0" applyFont="0" applyFill="0" applyBorder="0" applyAlignment="0" applyProtection="0"/>
    <xf numFmtId="227" fontId="70" fillId="0" borderId="0" applyFont="0" applyFill="0" applyBorder="0" applyAlignment="0" applyProtection="0"/>
    <xf numFmtId="227" fontId="26" fillId="0" borderId="0" applyFont="0" applyFill="0" applyBorder="0" applyAlignment="0" applyProtection="0"/>
    <xf numFmtId="0" fontId="26" fillId="0" borderId="0"/>
    <xf numFmtId="41" fontId="26" fillId="0" borderId="0" applyFont="0" applyFill="0" applyBorder="0" applyAlignment="0" applyProtection="0"/>
    <xf numFmtId="43" fontId="26" fillId="0" borderId="0" applyFont="0" applyFill="0" applyBorder="0" applyAlignment="0" applyProtection="0"/>
    <xf numFmtId="228" fontId="52" fillId="0" borderId="0" applyFont="0" applyFill="0" applyBorder="0" applyAlignment="0" applyProtection="0"/>
    <xf numFmtId="228" fontId="52" fillId="0" borderId="0" applyFont="0" applyFill="0" applyBorder="0" applyAlignment="0" applyProtection="0"/>
    <xf numFmtId="0" fontId="38" fillId="0" borderId="0">
      <alignment vertical="top"/>
    </xf>
    <xf numFmtId="0" fontId="71" fillId="0" borderId="0"/>
    <xf numFmtId="0" fontId="72" fillId="0" borderId="0"/>
    <xf numFmtId="0" fontId="71" fillId="0" borderId="0"/>
    <xf numFmtId="0" fontId="73" fillId="0" borderId="0" applyNumberFormat="0" applyFill="0" applyBorder="0" applyAlignment="0" applyProtection="0">
      <alignment vertical="top"/>
      <protection locked="0"/>
    </xf>
    <xf numFmtId="43" fontId="30" fillId="0" borderId="0" applyFont="0" applyFill="0" applyBorder="0" applyAlignment="0" applyProtection="0"/>
    <xf numFmtId="0" fontId="71" fillId="0" borderId="0"/>
    <xf numFmtId="229" fontId="41" fillId="0" borderId="0"/>
    <xf numFmtId="1" fontId="26" fillId="0" borderId="0"/>
    <xf numFmtId="9" fontId="26" fillId="0" borderId="0"/>
    <xf numFmtId="230" fontId="74" fillId="0" borderId="0">
      <alignment horizontal="center"/>
    </xf>
    <xf numFmtId="231" fontId="74" fillId="0" borderId="0">
      <alignment horizontal="center"/>
    </xf>
    <xf numFmtId="232" fontId="74" fillId="0" borderId="0">
      <alignment horizontal="center"/>
    </xf>
    <xf numFmtId="233" fontId="52" fillId="0" borderId="0">
      <alignment horizontal="center"/>
    </xf>
    <xf numFmtId="234" fontId="74" fillId="0" borderId="0">
      <alignment horizontal="center"/>
    </xf>
    <xf numFmtId="235" fontId="74" fillId="0" borderId="0">
      <alignment horizontal="center"/>
    </xf>
    <xf numFmtId="191" fontId="41" fillId="0" borderId="0"/>
    <xf numFmtId="236" fontId="75" fillId="0" borderId="0">
      <alignment horizontal="left"/>
      <protection locked="0"/>
    </xf>
    <xf numFmtId="165" fontId="41" fillId="0" borderId="0"/>
    <xf numFmtId="2" fontId="41" fillId="0" borderId="0"/>
    <xf numFmtId="10" fontId="41" fillId="0" borderId="0"/>
    <xf numFmtId="2" fontId="41" fillId="0" borderId="0"/>
    <xf numFmtId="1" fontId="76" fillId="0" borderId="0"/>
    <xf numFmtId="1" fontId="26" fillId="0" borderId="0"/>
    <xf numFmtId="229" fontId="41" fillId="0" borderId="0"/>
    <xf numFmtId="229"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41"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26" fillId="0" borderId="0"/>
    <xf numFmtId="1" fontId="41" fillId="0" borderId="0"/>
    <xf numFmtId="1" fontId="41" fillId="0" borderId="0"/>
    <xf numFmtId="1" fontId="41" fillId="0" borderId="0"/>
    <xf numFmtId="1" fontId="26" fillId="0" borderId="0"/>
    <xf numFmtId="1" fontId="41" fillId="0" borderId="0"/>
    <xf numFmtId="1" fontId="41"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26" fillId="0" borderId="0"/>
    <xf numFmtId="1" fontId="41" fillId="0" borderId="0"/>
    <xf numFmtId="1" fontId="41" fillId="0" borderId="0"/>
    <xf numFmtId="1" fontId="41" fillId="0" borderId="0"/>
    <xf numFmtId="1" fontId="26" fillId="0" borderId="0"/>
    <xf numFmtId="1" fontId="41" fillId="0" borderId="0"/>
    <xf numFmtId="1" fontId="41"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26"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41"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26" fillId="0" borderId="0"/>
    <xf numFmtId="1" fontId="41" fillId="0" borderId="0"/>
    <xf numFmtId="1" fontId="41" fillId="0" borderId="0"/>
    <xf numFmtId="1" fontId="41" fillId="0" borderId="0"/>
    <xf numFmtId="1" fontId="26" fillId="0" borderId="0"/>
    <xf numFmtId="1" fontId="41" fillId="0" borderId="0"/>
    <xf numFmtId="1" fontId="41"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26" fillId="0" borderId="0"/>
    <xf numFmtId="1" fontId="41" fillId="0" borderId="0"/>
    <xf numFmtId="1" fontId="41" fillId="0" borderId="0"/>
    <xf numFmtId="1" fontId="41" fillId="0" borderId="0"/>
    <xf numFmtId="1" fontId="26" fillId="0" borderId="0"/>
    <xf numFmtId="1" fontId="41" fillId="0" borderId="0"/>
    <xf numFmtId="1" fontId="41" fillId="0" borderId="0"/>
    <xf numFmtId="1" fontId="41" fillId="0" borderId="0"/>
    <xf numFmtId="1" fontId="41" fillId="0" borderId="0"/>
    <xf numFmtId="1" fontId="26" fillId="0" borderId="0"/>
    <xf numFmtId="1" fontId="41" fillId="0" borderId="0"/>
    <xf numFmtId="1" fontId="41" fillId="0" borderId="0"/>
    <xf numFmtId="1" fontId="26" fillId="0" borderId="0"/>
    <xf numFmtId="1" fontId="41" fillId="0" borderId="0"/>
    <xf numFmtId="1" fontId="26" fillId="0" borderId="0"/>
    <xf numFmtId="1" fontId="41" fillId="0" borderId="0"/>
    <xf numFmtId="237" fontId="74" fillId="0" borderId="0">
      <alignment horizontal="center"/>
    </xf>
    <xf numFmtId="238" fontId="74" fillId="0" borderId="0">
      <alignment horizontal="center"/>
    </xf>
    <xf numFmtId="230" fontId="74" fillId="0" borderId="0">
      <alignment horizontal="center"/>
    </xf>
    <xf numFmtId="239" fontId="52" fillId="0" borderId="0">
      <alignment horizontal="center"/>
    </xf>
    <xf numFmtId="240" fontId="77" fillId="0" borderId="0">
      <alignment horizontal="left"/>
    </xf>
    <xf numFmtId="241" fontId="78" fillId="0" borderId="0">
      <alignment horizontal="left"/>
    </xf>
    <xf numFmtId="192" fontId="26" fillId="0" borderId="0"/>
    <xf numFmtId="242" fontId="26" fillId="0" borderId="0" applyFont="0" applyFill="0" applyBorder="0" applyAlignment="0" applyProtection="0"/>
    <xf numFmtId="191" fontId="35" fillId="0" borderId="0"/>
    <xf numFmtId="191" fontId="35" fillId="0" borderId="0"/>
    <xf numFmtId="191" fontId="26" fillId="0" borderId="0"/>
    <xf numFmtId="191" fontId="35" fillId="0" borderId="0"/>
    <xf numFmtId="191" fontId="35" fillId="0" borderId="0"/>
    <xf numFmtId="191" fontId="35" fillId="0" borderId="0"/>
    <xf numFmtId="243" fontId="26" fillId="0" borderId="0" applyFont="0" applyFill="0" applyBorder="0" applyAlignment="0" applyProtection="0"/>
    <xf numFmtId="180" fontId="26" fillId="0" borderId="0" applyFont="0" applyFill="0" applyBorder="0" applyAlignment="0" applyProtection="0"/>
    <xf numFmtId="244" fontId="25" fillId="0" borderId="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79" fillId="37" borderId="0" applyNumberFormat="0" applyBorder="0" applyAlignment="0" applyProtection="0"/>
    <xf numFmtId="0" fontId="79" fillId="38" borderId="0" applyNumberFormat="0" applyBorder="0" applyAlignment="0" applyProtection="0"/>
    <xf numFmtId="0" fontId="79" fillId="39" borderId="0" applyNumberFormat="0" applyBorder="0" applyAlignment="0" applyProtection="0"/>
    <xf numFmtId="0" fontId="79" fillId="40" borderId="0" applyNumberFormat="0" applyBorder="0" applyAlignment="0" applyProtection="0"/>
    <xf numFmtId="0" fontId="79" fillId="41" borderId="0" applyNumberFormat="0" applyBorder="0" applyAlignment="0" applyProtection="0"/>
    <xf numFmtId="0" fontId="79" fillId="42" borderId="0" applyNumberFormat="0" applyBorder="0" applyAlignment="0" applyProtection="0"/>
    <xf numFmtId="0" fontId="80" fillId="43" borderId="0" applyNumberFormat="0" applyBorder="0" applyAlignment="0" applyProtection="0"/>
    <xf numFmtId="0" fontId="80" fillId="42" borderId="0" applyNumberFormat="0" applyBorder="0" applyAlignment="0" applyProtection="0"/>
    <xf numFmtId="0" fontId="80" fillId="44" borderId="0" applyNumberFormat="0" applyBorder="0" applyAlignment="0" applyProtection="0"/>
    <xf numFmtId="0" fontId="80" fillId="43" borderId="0" applyNumberFormat="0" applyBorder="0" applyAlignment="0" applyProtection="0"/>
    <xf numFmtId="0" fontId="80" fillId="41" borderId="0" applyNumberFormat="0" applyBorder="0" applyAlignment="0" applyProtection="0"/>
    <xf numFmtId="0" fontId="80" fillId="42" borderId="0" applyNumberFormat="0" applyBorder="0" applyAlignment="0" applyProtection="0"/>
    <xf numFmtId="0" fontId="81" fillId="37" borderId="0" applyNumberFormat="0" applyBorder="0" applyAlignment="0" applyProtection="0"/>
    <xf numFmtId="0" fontId="26" fillId="0" borderId="0" applyNumberFormat="0" applyBorder="0" applyAlignment="0" applyProtection="0"/>
    <xf numFmtId="0" fontId="81" fillId="38" borderId="0" applyNumberFormat="0" applyBorder="0" applyAlignment="0" applyProtection="0"/>
    <xf numFmtId="0" fontId="26" fillId="0" borderId="0" applyNumberFormat="0" applyBorder="0" applyAlignment="0" applyProtection="0"/>
    <xf numFmtId="0" fontId="81" fillId="39" borderId="0" applyNumberFormat="0" applyBorder="0" applyAlignment="0" applyProtection="0"/>
    <xf numFmtId="0" fontId="26" fillId="0" borderId="0" applyNumberFormat="0" applyBorder="0" applyAlignment="0" applyProtection="0"/>
    <xf numFmtId="0" fontId="81" fillId="40" borderId="0" applyNumberFormat="0" applyBorder="0" applyAlignment="0" applyProtection="0"/>
    <xf numFmtId="0" fontId="26" fillId="0" borderId="0" applyNumberFormat="0" applyBorder="0" applyAlignment="0" applyProtection="0"/>
    <xf numFmtId="0" fontId="81" fillId="41" borderId="0" applyNumberFormat="0" applyBorder="0" applyAlignment="0" applyProtection="0"/>
    <xf numFmtId="0" fontId="26" fillId="0" borderId="0" applyNumberFormat="0" applyBorder="0" applyAlignment="0" applyProtection="0"/>
    <xf numFmtId="0" fontId="81" fillId="42" borderId="0" applyNumberFormat="0" applyBorder="0" applyAlignment="0" applyProtection="0"/>
    <xf numFmtId="0" fontId="26" fillId="0" borderId="0" applyNumberFormat="0" applyBorder="0" applyAlignment="0" applyProtection="0"/>
    <xf numFmtId="245" fontId="35" fillId="0" borderId="0"/>
    <xf numFmtId="245" fontId="35" fillId="0" borderId="0"/>
    <xf numFmtId="245" fontId="26" fillId="0" borderId="0"/>
    <xf numFmtId="245" fontId="35" fillId="0" borderId="0"/>
    <xf numFmtId="245" fontId="35" fillId="0" borderId="0"/>
    <xf numFmtId="245" fontId="35" fillId="0" borderId="0"/>
    <xf numFmtId="40" fontId="35" fillId="0" borderId="0"/>
    <xf numFmtId="40" fontId="35" fillId="0" borderId="0"/>
    <xf numFmtId="40" fontId="26" fillId="0" borderId="0"/>
    <xf numFmtId="40" fontId="35" fillId="0" borderId="0"/>
    <xf numFmtId="40" fontId="35" fillId="0" borderId="0"/>
    <xf numFmtId="40" fontId="35" fillId="0" borderId="0"/>
    <xf numFmtId="246" fontId="25" fillId="0" borderId="0" applyBorder="0"/>
    <xf numFmtId="42" fontId="26" fillId="0" borderId="0" applyFont="0" applyFill="0" applyBorder="0" applyAlignment="0" applyProtection="0"/>
    <xf numFmtId="44" fontId="26" fillId="0" borderId="0" applyFont="0" applyFill="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22" borderId="0" applyNumberFormat="0" applyBorder="0" applyAlignment="0" applyProtection="0"/>
    <xf numFmtId="0" fontId="21" fillId="22" borderId="0" applyNumberFormat="0" applyBorder="0" applyAlignment="0" applyProtection="0"/>
    <xf numFmtId="0" fontId="21" fillId="22" borderId="0" applyNumberFormat="0" applyBorder="0" applyAlignment="0" applyProtection="0"/>
    <xf numFmtId="0" fontId="21" fillId="22"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26" borderId="0" applyNumberFormat="0" applyBorder="0" applyAlignment="0" applyProtection="0"/>
    <xf numFmtId="0" fontId="21" fillId="26" borderId="0" applyNumberFormat="0" applyBorder="0" applyAlignment="0" applyProtection="0"/>
    <xf numFmtId="0" fontId="21" fillId="26" borderId="0" applyNumberFormat="0" applyBorder="0" applyAlignment="0" applyProtection="0"/>
    <xf numFmtId="0" fontId="21" fillId="26"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1" fillId="45" borderId="0" applyNumberFormat="0" applyBorder="0" applyAlignment="0" applyProtection="0"/>
    <xf numFmtId="0" fontId="26" fillId="0" borderId="0" applyNumberFormat="0" applyBorder="0" applyAlignment="0" applyProtection="0"/>
    <xf numFmtId="0" fontId="81" fillId="46" borderId="0" applyNumberFormat="0" applyBorder="0" applyAlignment="0" applyProtection="0"/>
    <xf numFmtId="0" fontId="26" fillId="0" borderId="0" applyNumberFormat="0" applyBorder="0" applyAlignment="0" applyProtection="0"/>
    <xf numFmtId="0" fontId="81" fillId="47" borderId="0" applyNumberFormat="0" applyBorder="0" applyAlignment="0" applyProtection="0"/>
    <xf numFmtId="0" fontId="26" fillId="0" borderId="0" applyNumberFormat="0" applyBorder="0" applyAlignment="0" applyProtection="0"/>
    <xf numFmtId="0" fontId="81" fillId="40" borderId="0" applyNumberFormat="0" applyBorder="0" applyAlignment="0" applyProtection="0"/>
    <xf numFmtId="0" fontId="26" fillId="0" borderId="0" applyNumberFormat="0" applyBorder="0" applyAlignment="0" applyProtection="0"/>
    <xf numFmtId="0" fontId="81" fillId="45" borderId="0" applyNumberFormat="0" applyBorder="0" applyAlignment="0" applyProtection="0"/>
    <xf numFmtId="0" fontId="26" fillId="0" borderId="0" applyNumberFormat="0" applyBorder="0" applyAlignment="0" applyProtection="0"/>
    <xf numFmtId="0" fontId="81" fillId="48" borderId="0" applyNumberFormat="0" applyBorder="0" applyAlignment="0" applyProtection="0"/>
    <xf numFmtId="0" fontId="26" fillId="0" borderId="0" applyNumberFormat="0" applyBorder="0" applyAlignment="0" applyProtection="0"/>
    <xf numFmtId="0" fontId="26" fillId="0" borderId="0"/>
    <xf numFmtId="0" fontId="26" fillId="0" borderId="0"/>
    <xf numFmtId="0" fontId="26" fillId="0" borderId="0"/>
    <xf numFmtId="0" fontId="26" fillId="0" borderId="0"/>
    <xf numFmtId="0" fontId="82" fillId="7"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0" fontId="26" fillId="0" borderId="0"/>
    <xf numFmtId="0"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247"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247"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0" fontId="26" fillId="0" borderId="0"/>
    <xf numFmtId="247"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0" fontId="83" fillId="49" borderId="0" applyNumberFormat="0" applyBorder="0" applyAlignment="0" applyProtection="0"/>
    <xf numFmtId="247" fontId="83" fillId="49" borderId="0" applyNumberFormat="0" applyBorder="0" applyAlignment="0" applyProtection="0"/>
    <xf numFmtId="0" fontId="83" fillId="49" borderId="0" applyNumberFormat="0" applyBorder="0" applyAlignment="0" applyProtection="0"/>
    <xf numFmtId="0" fontId="26" fillId="0" borderId="0"/>
    <xf numFmtId="247" fontId="83" fillId="49"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247" fontId="83" fillId="49" borderId="0" applyNumberFormat="0" applyBorder="0" applyAlignment="0" applyProtection="0"/>
    <xf numFmtId="0" fontId="82" fillId="7" borderId="0" applyNumberFormat="0" applyBorder="0" applyAlignment="0" applyProtection="0"/>
    <xf numFmtId="0" fontId="26" fillId="0" borderId="0"/>
    <xf numFmtId="247" fontId="83" fillId="49"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0" fontId="82" fillId="7" borderId="0" applyNumberFormat="0" applyBorder="0" applyAlignment="0" applyProtection="0"/>
    <xf numFmtId="247" fontId="83" fillId="49" borderId="0" applyNumberFormat="0" applyBorder="0" applyAlignment="0" applyProtection="0"/>
    <xf numFmtId="0" fontId="82" fillId="7" borderId="0" applyNumberFormat="0" applyBorder="0" applyAlignment="0" applyProtection="0"/>
    <xf numFmtId="0" fontId="26" fillId="0" borderId="0"/>
    <xf numFmtId="0" fontId="83" fillId="49" borderId="0" applyNumberFormat="0" applyBorder="0" applyAlignment="0" applyProtection="0"/>
    <xf numFmtId="0" fontId="83" fillId="49"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11"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0" fontId="26" fillId="0" borderId="0"/>
    <xf numFmtId="0"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247"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247"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0" fontId="26" fillId="0" borderId="0"/>
    <xf numFmtId="247"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0" fontId="83" fillId="46" borderId="0" applyNumberFormat="0" applyBorder="0" applyAlignment="0" applyProtection="0"/>
    <xf numFmtId="247" fontId="83" fillId="46" borderId="0" applyNumberFormat="0" applyBorder="0" applyAlignment="0" applyProtection="0"/>
    <xf numFmtId="0" fontId="83" fillId="46" borderId="0" applyNumberFormat="0" applyBorder="0" applyAlignment="0" applyProtection="0"/>
    <xf numFmtId="0" fontId="26" fillId="0" borderId="0"/>
    <xf numFmtId="247" fontId="83" fillId="46"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247" fontId="83" fillId="46" borderId="0" applyNumberFormat="0" applyBorder="0" applyAlignment="0" applyProtection="0"/>
    <xf numFmtId="0" fontId="82" fillId="11" borderId="0" applyNumberFormat="0" applyBorder="0" applyAlignment="0" applyProtection="0"/>
    <xf numFmtId="0" fontId="26" fillId="0" borderId="0"/>
    <xf numFmtId="247" fontId="83" fillId="46"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0" fontId="82" fillId="11" borderId="0" applyNumberFormat="0" applyBorder="0" applyAlignment="0" applyProtection="0"/>
    <xf numFmtId="247" fontId="83" fillId="46" borderId="0" applyNumberFormat="0" applyBorder="0" applyAlignment="0" applyProtection="0"/>
    <xf numFmtId="0" fontId="82" fillId="11" borderId="0" applyNumberFormat="0" applyBorder="0" applyAlignment="0" applyProtection="0"/>
    <xf numFmtId="0" fontId="26" fillId="0" borderId="0"/>
    <xf numFmtId="0" fontId="83" fillId="46" borderId="0" applyNumberFormat="0" applyBorder="0" applyAlignment="0" applyProtection="0"/>
    <xf numFmtId="0" fontId="83" fillId="46"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15"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0" fontId="26" fillId="0" borderId="0"/>
    <xf numFmtId="0"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247"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247"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0" fontId="26" fillId="0" borderId="0"/>
    <xf numFmtId="247"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0" fontId="83" fillId="47" borderId="0" applyNumberFormat="0" applyBorder="0" applyAlignment="0" applyProtection="0"/>
    <xf numFmtId="247" fontId="83" fillId="47" borderId="0" applyNumberFormat="0" applyBorder="0" applyAlignment="0" applyProtection="0"/>
    <xf numFmtId="0" fontId="83" fillId="47" borderId="0" applyNumberFormat="0" applyBorder="0" applyAlignment="0" applyProtection="0"/>
    <xf numFmtId="0" fontId="26" fillId="0" borderId="0"/>
    <xf numFmtId="247" fontId="83" fillId="47"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247" fontId="83" fillId="47" borderId="0" applyNumberFormat="0" applyBorder="0" applyAlignment="0" applyProtection="0"/>
    <xf numFmtId="0" fontId="82" fillId="15" borderId="0" applyNumberFormat="0" applyBorder="0" applyAlignment="0" applyProtection="0"/>
    <xf numFmtId="0" fontId="26" fillId="0" borderId="0"/>
    <xf numFmtId="247" fontId="83" fillId="47"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0" fontId="82" fillId="15" borderId="0" applyNumberFormat="0" applyBorder="0" applyAlignment="0" applyProtection="0"/>
    <xf numFmtId="247" fontId="83" fillId="47" borderId="0" applyNumberFormat="0" applyBorder="0" applyAlignment="0" applyProtection="0"/>
    <xf numFmtId="0" fontId="82" fillId="15" borderId="0" applyNumberFormat="0" applyBorder="0" applyAlignment="0" applyProtection="0"/>
    <xf numFmtId="0" fontId="26" fillId="0" borderId="0"/>
    <xf numFmtId="0" fontId="83" fillId="47" borderId="0" applyNumberFormat="0" applyBorder="0" applyAlignment="0" applyProtection="0"/>
    <xf numFmtId="0" fontId="83" fillId="47"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19"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0" fontId="26" fillId="0" borderId="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47"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47"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26" fillId="0" borderId="0"/>
    <xf numFmtId="247"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47" fontId="83" fillId="50" borderId="0" applyNumberFormat="0" applyBorder="0" applyAlignment="0" applyProtection="0"/>
    <xf numFmtId="0" fontId="83" fillId="50" borderId="0" applyNumberFormat="0" applyBorder="0" applyAlignment="0" applyProtection="0"/>
    <xf numFmtId="0" fontId="26" fillId="0" borderId="0"/>
    <xf numFmtId="247" fontId="83" fillId="50"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247" fontId="83" fillId="50" borderId="0" applyNumberFormat="0" applyBorder="0" applyAlignment="0" applyProtection="0"/>
    <xf numFmtId="0" fontId="82" fillId="19" borderId="0" applyNumberFormat="0" applyBorder="0" applyAlignment="0" applyProtection="0"/>
    <xf numFmtId="0" fontId="26" fillId="0" borderId="0"/>
    <xf numFmtId="247" fontId="83" fillId="50"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0" fontId="82" fillId="19" borderId="0" applyNumberFormat="0" applyBorder="0" applyAlignment="0" applyProtection="0"/>
    <xf numFmtId="247" fontId="83" fillId="50" borderId="0" applyNumberFormat="0" applyBorder="0" applyAlignment="0" applyProtection="0"/>
    <xf numFmtId="0" fontId="82" fillId="19" borderId="0" applyNumberFormat="0" applyBorder="0" applyAlignment="0" applyProtection="0"/>
    <xf numFmtId="0" fontId="26" fillId="0" borderId="0"/>
    <xf numFmtId="0" fontId="83" fillId="50" borderId="0" applyNumberFormat="0" applyBorder="0" applyAlignment="0" applyProtection="0"/>
    <xf numFmtId="0" fontId="83" fillId="50"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23"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0" fontId="26" fillId="0" borderId="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247"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247"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26" fillId="0" borderId="0"/>
    <xf numFmtId="247"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247" fontId="83" fillId="51" borderId="0" applyNumberFormat="0" applyBorder="0" applyAlignment="0" applyProtection="0"/>
    <xf numFmtId="0" fontId="83" fillId="51" borderId="0" applyNumberFormat="0" applyBorder="0" applyAlignment="0" applyProtection="0"/>
    <xf numFmtId="0" fontId="26" fillId="0" borderId="0"/>
    <xf numFmtId="247" fontId="83" fillId="51"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247" fontId="83" fillId="51" borderId="0" applyNumberFormat="0" applyBorder="0" applyAlignment="0" applyProtection="0"/>
    <xf numFmtId="0" fontId="82" fillId="23" borderId="0" applyNumberFormat="0" applyBorder="0" applyAlignment="0" applyProtection="0"/>
    <xf numFmtId="0" fontId="26" fillId="0" borderId="0"/>
    <xf numFmtId="247" fontId="83" fillId="51"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0" fontId="82" fillId="23" borderId="0" applyNumberFormat="0" applyBorder="0" applyAlignment="0" applyProtection="0"/>
    <xf numFmtId="247" fontId="83" fillId="51" borderId="0" applyNumberFormat="0" applyBorder="0" applyAlignment="0" applyProtection="0"/>
    <xf numFmtId="0" fontId="82" fillId="23" borderId="0" applyNumberFormat="0" applyBorder="0" applyAlignment="0" applyProtection="0"/>
    <xf numFmtId="0" fontId="26" fillId="0" borderId="0"/>
    <xf numFmtId="0" fontId="83" fillId="51" borderId="0" applyNumberFormat="0" applyBorder="0" applyAlignment="0" applyProtection="0"/>
    <xf numFmtId="0" fontId="83" fillId="51"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26" fillId="0" borderId="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247"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247"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26" fillId="0" borderId="0"/>
    <xf numFmtId="247"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0" fontId="83" fillId="52" borderId="0" applyNumberFormat="0" applyBorder="0" applyAlignment="0" applyProtection="0"/>
    <xf numFmtId="247" fontId="83" fillId="52" borderId="0" applyNumberFormat="0" applyBorder="0" applyAlignment="0" applyProtection="0"/>
    <xf numFmtId="0" fontId="83" fillId="52" borderId="0" applyNumberFormat="0" applyBorder="0" applyAlignment="0" applyProtection="0"/>
    <xf numFmtId="0" fontId="26" fillId="0" borderId="0"/>
    <xf numFmtId="247"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247" fontId="83" fillId="52" borderId="0" applyNumberFormat="0" applyBorder="0" applyAlignment="0" applyProtection="0"/>
    <xf numFmtId="0" fontId="82" fillId="27" borderId="0" applyNumberFormat="0" applyBorder="0" applyAlignment="0" applyProtection="0"/>
    <xf numFmtId="0" fontId="26" fillId="0" borderId="0"/>
    <xf numFmtId="247" fontId="83" fillId="52"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0" fontId="82" fillId="27" borderId="0" applyNumberFormat="0" applyBorder="0" applyAlignment="0" applyProtection="0"/>
    <xf numFmtId="247" fontId="83" fillId="52" borderId="0" applyNumberFormat="0" applyBorder="0" applyAlignment="0" applyProtection="0"/>
    <xf numFmtId="0" fontId="82" fillId="27" borderId="0" applyNumberFormat="0" applyBorder="0" applyAlignment="0" applyProtection="0"/>
    <xf numFmtId="0" fontId="26" fillId="0" borderId="0"/>
    <xf numFmtId="0" fontId="83" fillId="52" borderId="0" applyNumberFormat="0" applyBorder="0" applyAlignment="0" applyProtection="0"/>
    <xf numFmtId="0" fontId="83" fillId="52"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4" fillId="49" borderId="0" applyNumberFormat="0" applyBorder="0" applyAlignment="0" applyProtection="0"/>
    <xf numFmtId="0" fontId="26" fillId="0" borderId="0" applyNumberFormat="0" applyBorder="0" applyAlignment="0" applyProtection="0"/>
    <xf numFmtId="0" fontId="84" fillId="46" borderId="0" applyNumberFormat="0" applyBorder="0" applyAlignment="0" applyProtection="0"/>
    <xf numFmtId="0" fontId="26" fillId="0" borderId="0" applyNumberFormat="0" applyBorder="0" applyAlignment="0" applyProtection="0"/>
    <xf numFmtId="0" fontId="84" fillId="47" borderId="0" applyNumberFormat="0" applyBorder="0" applyAlignment="0" applyProtection="0"/>
    <xf numFmtId="0" fontId="26" fillId="0" borderId="0" applyNumberFormat="0" applyBorder="0" applyAlignment="0" applyProtection="0"/>
    <xf numFmtId="0" fontId="84" fillId="50" borderId="0" applyNumberFormat="0" applyBorder="0" applyAlignment="0" applyProtection="0"/>
    <xf numFmtId="0" fontId="26" fillId="0" borderId="0" applyNumberFormat="0" applyBorder="0" applyAlignment="0" applyProtection="0"/>
    <xf numFmtId="0" fontId="84" fillId="51" borderId="0" applyNumberFormat="0" applyBorder="0" applyAlignment="0" applyProtection="0"/>
    <xf numFmtId="0" fontId="26" fillId="0" borderId="0" applyNumberFormat="0" applyBorder="0" applyAlignment="0" applyProtection="0"/>
    <xf numFmtId="0" fontId="84" fillId="52" borderId="0" applyNumberFormat="0" applyBorder="0" applyAlignment="0" applyProtection="0"/>
    <xf numFmtId="0" fontId="26" fillId="0"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26" fillId="0" borderId="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247"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247"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26" fillId="0" borderId="0"/>
    <xf numFmtId="247"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0" fontId="83" fillId="53" borderId="0" applyNumberFormat="0" applyBorder="0" applyAlignment="0" applyProtection="0"/>
    <xf numFmtId="247" fontId="83" fillId="53" borderId="0" applyNumberFormat="0" applyBorder="0" applyAlignment="0" applyProtection="0"/>
    <xf numFmtId="0" fontId="83" fillId="53" borderId="0" applyNumberFormat="0" applyBorder="0" applyAlignment="0" applyProtection="0"/>
    <xf numFmtId="0" fontId="26" fillId="0" borderId="0"/>
    <xf numFmtId="247"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247" fontId="83" fillId="53" borderId="0" applyNumberFormat="0" applyBorder="0" applyAlignment="0" applyProtection="0"/>
    <xf numFmtId="0" fontId="82" fillId="4" borderId="0" applyNumberFormat="0" applyBorder="0" applyAlignment="0" applyProtection="0"/>
    <xf numFmtId="0" fontId="26" fillId="0" borderId="0"/>
    <xf numFmtId="247" fontId="83" fillId="53"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0" fontId="82" fillId="4" borderId="0" applyNumberFormat="0" applyBorder="0" applyAlignment="0" applyProtection="0"/>
    <xf numFmtId="247" fontId="83" fillId="53" borderId="0" applyNumberFormat="0" applyBorder="0" applyAlignment="0" applyProtection="0"/>
    <xf numFmtId="0" fontId="82" fillId="4" borderId="0" applyNumberFormat="0" applyBorder="0" applyAlignment="0" applyProtection="0"/>
    <xf numFmtId="0" fontId="26" fillId="0" borderId="0"/>
    <xf numFmtId="0" fontId="83" fillId="53" borderId="0" applyNumberFormat="0" applyBorder="0" applyAlignment="0" applyProtection="0"/>
    <xf numFmtId="0" fontId="83" fillId="53"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8"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0" fontId="26" fillId="0" borderId="0"/>
    <xf numFmtId="0"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247"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247"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0" fontId="26" fillId="0" borderId="0"/>
    <xf numFmtId="247"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0" fontId="83" fillId="54" borderId="0" applyNumberFormat="0" applyBorder="0" applyAlignment="0" applyProtection="0"/>
    <xf numFmtId="247" fontId="83" fillId="54" borderId="0" applyNumberFormat="0" applyBorder="0" applyAlignment="0" applyProtection="0"/>
    <xf numFmtId="0" fontId="83" fillId="54" borderId="0" applyNumberFormat="0" applyBorder="0" applyAlignment="0" applyProtection="0"/>
    <xf numFmtId="0" fontId="26" fillId="0" borderId="0"/>
    <xf numFmtId="247" fontId="83" fillId="54"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247" fontId="83" fillId="54" borderId="0" applyNumberFormat="0" applyBorder="0" applyAlignment="0" applyProtection="0"/>
    <xf numFmtId="0" fontId="82" fillId="8" borderId="0" applyNumberFormat="0" applyBorder="0" applyAlignment="0" applyProtection="0"/>
    <xf numFmtId="0" fontId="26" fillId="0" borderId="0"/>
    <xf numFmtId="247" fontId="83" fillId="54"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0" fontId="82" fillId="8" borderId="0" applyNumberFormat="0" applyBorder="0" applyAlignment="0" applyProtection="0"/>
    <xf numFmtId="247" fontId="83" fillId="54" borderId="0" applyNumberFormat="0" applyBorder="0" applyAlignment="0" applyProtection="0"/>
    <xf numFmtId="0" fontId="82" fillId="8" borderId="0" applyNumberFormat="0" applyBorder="0" applyAlignment="0" applyProtection="0"/>
    <xf numFmtId="0" fontId="26" fillId="0" borderId="0"/>
    <xf numFmtId="0" fontId="83" fillId="54" borderId="0" applyNumberFormat="0" applyBorder="0" applyAlignment="0" applyProtection="0"/>
    <xf numFmtId="0" fontId="83" fillId="54"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12"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0" fontId="26" fillId="0" borderId="0"/>
    <xf numFmtId="0"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247"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247"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0" fontId="26" fillId="0" borderId="0"/>
    <xf numFmtId="247"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0" fontId="83" fillId="55" borderId="0" applyNumberFormat="0" applyBorder="0" applyAlignment="0" applyProtection="0"/>
    <xf numFmtId="247" fontId="83" fillId="55" borderId="0" applyNumberFormat="0" applyBorder="0" applyAlignment="0" applyProtection="0"/>
    <xf numFmtId="0" fontId="83" fillId="55" borderId="0" applyNumberFormat="0" applyBorder="0" applyAlignment="0" applyProtection="0"/>
    <xf numFmtId="0" fontId="26" fillId="0" borderId="0"/>
    <xf numFmtId="247" fontId="83" fillId="55"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247" fontId="83" fillId="55" borderId="0" applyNumberFormat="0" applyBorder="0" applyAlignment="0" applyProtection="0"/>
    <xf numFmtId="0" fontId="82" fillId="12" borderId="0" applyNumberFormat="0" applyBorder="0" applyAlignment="0" applyProtection="0"/>
    <xf numFmtId="0" fontId="26" fillId="0" borderId="0"/>
    <xf numFmtId="247" fontId="83" fillId="55"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0" fontId="82" fillId="12" borderId="0" applyNumberFormat="0" applyBorder="0" applyAlignment="0" applyProtection="0"/>
    <xf numFmtId="247" fontId="83" fillId="55" borderId="0" applyNumberFormat="0" applyBorder="0" applyAlignment="0" applyProtection="0"/>
    <xf numFmtId="0" fontId="82" fillId="12" borderId="0" applyNumberFormat="0" applyBorder="0" applyAlignment="0" applyProtection="0"/>
    <xf numFmtId="0" fontId="26" fillId="0" borderId="0"/>
    <xf numFmtId="0" fontId="83" fillId="55" borderId="0" applyNumberFormat="0" applyBorder="0" applyAlignment="0" applyProtection="0"/>
    <xf numFmtId="0" fontId="83" fillId="55"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16"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0" fontId="26" fillId="0" borderId="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47"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47"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26" fillId="0" borderId="0"/>
    <xf numFmtId="247"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47" fontId="83" fillId="50" borderId="0" applyNumberFormat="0" applyBorder="0" applyAlignment="0" applyProtection="0"/>
    <xf numFmtId="0" fontId="83" fillId="50" borderId="0" applyNumberFormat="0" applyBorder="0" applyAlignment="0" applyProtection="0"/>
    <xf numFmtId="0" fontId="26" fillId="0" borderId="0"/>
    <xf numFmtId="247" fontId="83" fillId="50"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247" fontId="83" fillId="50" borderId="0" applyNumberFormat="0" applyBorder="0" applyAlignment="0" applyProtection="0"/>
    <xf numFmtId="0" fontId="82" fillId="16" borderId="0" applyNumberFormat="0" applyBorder="0" applyAlignment="0" applyProtection="0"/>
    <xf numFmtId="0" fontId="26" fillId="0" borderId="0"/>
    <xf numFmtId="247" fontId="83" fillId="50"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0" fontId="82" fillId="16" borderId="0" applyNumberFormat="0" applyBorder="0" applyAlignment="0" applyProtection="0"/>
    <xf numFmtId="247" fontId="83" fillId="50" borderId="0" applyNumberFormat="0" applyBorder="0" applyAlignment="0" applyProtection="0"/>
    <xf numFmtId="0" fontId="82" fillId="16" borderId="0" applyNumberFormat="0" applyBorder="0" applyAlignment="0" applyProtection="0"/>
    <xf numFmtId="0" fontId="26" fillId="0" borderId="0"/>
    <xf numFmtId="0" fontId="83" fillId="50" borderId="0" applyNumberFormat="0" applyBorder="0" applyAlignment="0" applyProtection="0"/>
    <xf numFmtId="0" fontId="83" fillId="50"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20"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0" fontId="26" fillId="0" borderId="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247"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247"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26" fillId="0" borderId="0"/>
    <xf numFmtId="247"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0" fontId="83" fillId="51" borderId="0" applyNumberFormat="0" applyBorder="0" applyAlignment="0" applyProtection="0"/>
    <xf numFmtId="247" fontId="83" fillId="51" borderId="0" applyNumberFormat="0" applyBorder="0" applyAlignment="0" applyProtection="0"/>
    <xf numFmtId="0" fontId="83" fillId="51" borderId="0" applyNumberFormat="0" applyBorder="0" applyAlignment="0" applyProtection="0"/>
    <xf numFmtId="0" fontId="26" fillId="0" borderId="0"/>
    <xf numFmtId="247" fontId="83" fillId="51"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247" fontId="83" fillId="51" borderId="0" applyNumberFormat="0" applyBorder="0" applyAlignment="0" applyProtection="0"/>
    <xf numFmtId="0" fontId="82" fillId="20" borderId="0" applyNumberFormat="0" applyBorder="0" applyAlignment="0" applyProtection="0"/>
    <xf numFmtId="0" fontId="26" fillId="0" borderId="0"/>
    <xf numFmtId="247" fontId="83" fillId="51"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0" fontId="82" fillId="20" borderId="0" applyNumberFormat="0" applyBorder="0" applyAlignment="0" applyProtection="0"/>
    <xf numFmtId="247" fontId="83" fillId="51" borderId="0" applyNumberFormat="0" applyBorder="0" applyAlignment="0" applyProtection="0"/>
    <xf numFmtId="0" fontId="82" fillId="20" borderId="0" applyNumberFormat="0" applyBorder="0" applyAlignment="0" applyProtection="0"/>
    <xf numFmtId="0" fontId="26" fillId="0" borderId="0"/>
    <xf numFmtId="0" fontId="83" fillId="51" borderId="0" applyNumberFormat="0" applyBorder="0" applyAlignment="0" applyProtection="0"/>
    <xf numFmtId="0" fontId="83" fillId="51" borderId="0" applyNumberForma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82" fillId="24"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0" fontId="26" fillId="0" borderId="0"/>
    <xf numFmtId="0"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247"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247"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0" fontId="26" fillId="0" borderId="0"/>
    <xf numFmtId="247"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0" fontId="83" fillId="56" borderId="0" applyNumberFormat="0" applyBorder="0" applyAlignment="0" applyProtection="0"/>
    <xf numFmtId="247" fontId="83" fillId="56" borderId="0" applyNumberFormat="0" applyBorder="0" applyAlignment="0" applyProtection="0"/>
    <xf numFmtId="0" fontId="83" fillId="56" borderId="0" applyNumberFormat="0" applyBorder="0" applyAlignment="0" applyProtection="0"/>
    <xf numFmtId="0" fontId="26" fillId="0" borderId="0"/>
    <xf numFmtId="247" fontId="83" fillId="56"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247" fontId="83" fillId="56" borderId="0" applyNumberFormat="0" applyBorder="0" applyAlignment="0" applyProtection="0"/>
    <xf numFmtId="0" fontId="82" fillId="24" borderId="0" applyNumberFormat="0" applyBorder="0" applyAlignment="0" applyProtection="0"/>
    <xf numFmtId="0" fontId="26" fillId="0" borderId="0"/>
    <xf numFmtId="247" fontId="83" fillId="56"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0" fontId="82" fillId="24" borderId="0" applyNumberFormat="0" applyBorder="0" applyAlignment="0" applyProtection="0"/>
    <xf numFmtId="247" fontId="83" fillId="56" borderId="0" applyNumberFormat="0" applyBorder="0" applyAlignment="0" applyProtection="0"/>
    <xf numFmtId="0" fontId="82" fillId="24" borderId="0" applyNumberFormat="0" applyBorder="0" applyAlignment="0" applyProtection="0"/>
    <xf numFmtId="0" fontId="26" fillId="0" borderId="0"/>
    <xf numFmtId="0" fontId="83" fillId="56" borderId="0" applyNumberFormat="0" applyBorder="0" applyAlignment="0" applyProtection="0"/>
    <xf numFmtId="0" fontId="83" fillId="56" borderId="0" applyNumberFormat="0" applyBorder="0" applyAlignment="0" applyProtection="0"/>
    <xf numFmtId="0" fontId="26" fillId="0" borderId="0"/>
    <xf numFmtId="0" fontId="26" fillId="0" borderId="0"/>
    <xf numFmtId="0" fontId="26" fillId="0" borderId="0"/>
    <xf numFmtId="248" fontId="30" fillId="0" borderId="3"/>
    <xf numFmtId="248" fontId="30" fillId="0" borderId="3"/>
    <xf numFmtId="248" fontId="26" fillId="0" borderId="0"/>
    <xf numFmtId="248" fontId="30" fillId="0" borderId="3"/>
    <xf numFmtId="248" fontId="30" fillId="0" borderId="3"/>
    <xf numFmtId="248" fontId="30" fillId="0" borderId="3"/>
    <xf numFmtId="42" fontId="85" fillId="0" borderId="0" applyFont="0"/>
    <xf numFmtId="42" fontId="85" fillId="0" borderId="14" applyFont="0"/>
    <xf numFmtId="41" fontId="85" fillId="0" borderId="0" applyFont="0"/>
    <xf numFmtId="0" fontId="56" fillId="0" borderId="0" applyNumberFormat="0" applyAlignment="0"/>
    <xf numFmtId="0" fontId="56" fillId="0" borderId="0" applyNumberFormat="0" applyAlignment="0"/>
    <xf numFmtId="0" fontId="26" fillId="0" borderId="0" applyNumberFormat="0" applyAlignment="0"/>
    <xf numFmtId="0" fontId="56" fillId="0" borderId="0" applyNumberFormat="0" applyAlignment="0"/>
    <xf numFmtId="0" fontId="56" fillId="0" borderId="0" applyNumberFormat="0" applyAlignment="0"/>
    <xf numFmtId="0" fontId="56" fillId="0" borderId="0" applyNumberFormat="0" applyAlignment="0"/>
    <xf numFmtId="0" fontId="26" fillId="0" borderId="0"/>
    <xf numFmtId="247"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247" fontId="56" fillId="57" borderId="0" applyNumberFormat="0" applyFont="0" applyBorder="0" applyAlignment="0" applyProtection="0"/>
    <xf numFmtId="247"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247"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247"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247"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0" fontId="56" fillId="57" borderId="0" applyNumberFormat="0" applyFont="0" applyBorder="0" applyAlignment="0" applyProtection="0"/>
    <xf numFmtId="249" fontId="30" fillId="0" borderId="13"/>
    <xf numFmtId="0" fontId="26" fillId="0" borderId="0"/>
    <xf numFmtId="250" fontId="30" fillId="0" borderId="3"/>
    <xf numFmtId="250" fontId="30" fillId="0" borderId="3"/>
    <xf numFmtId="250" fontId="26" fillId="0" borderId="0"/>
    <xf numFmtId="250" fontId="30" fillId="0" borderId="3"/>
    <xf numFmtId="250" fontId="30" fillId="0" borderId="3"/>
    <xf numFmtId="250" fontId="30" fillId="0" borderId="3"/>
    <xf numFmtId="0" fontId="26" fillId="0" borderId="0"/>
    <xf numFmtId="0" fontId="86" fillId="0" borderId="0"/>
    <xf numFmtId="0" fontId="26" fillId="0" borderId="0"/>
    <xf numFmtId="0" fontId="86" fillId="0" borderId="0"/>
    <xf numFmtId="0" fontId="86" fillId="0" borderId="0"/>
    <xf numFmtId="250" fontId="30" fillId="0" borderId="10" applyBorder="0"/>
    <xf numFmtId="250" fontId="30" fillId="0" borderId="10" applyBorder="0"/>
    <xf numFmtId="250" fontId="26" fillId="0" borderId="0" applyBorder="0"/>
    <xf numFmtId="250" fontId="30" fillId="0" borderId="10" applyBorder="0"/>
    <xf numFmtId="250" fontId="30" fillId="0" borderId="10" applyBorder="0"/>
    <xf numFmtId="250" fontId="30" fillId="0" borderId="10" applyBorder="0"/>
    <xf numFmtId="0" fontId="36" fillId="0" borderId="0"/>
    <xf numFmtId="37" fontId="55" fillId="1" borderId="8">
      <alignment horizontal="centerContinuous" vertical="center"/>
    </xf>
    <xf numFmtId="37" fontId="55" fillId="1" borderId="8">
      <alignment horizontal="centerContinuous" vertical="center"/>
    </xf>
    <xf numFmtId="0" fontId="26" fillId="0" borderId="0"/>
    <xf numFmtId="0" fontId="26" fillId="0" borderId="0"/>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37" fontId="87" fillId="58" borderId="4" applyBorder="0" applyProtection="0">
      <alignment vertical="center"/>
    </xf>
    <xf numFmtId="251" fontId="26" fillId="0" borderId="0" applyFont="0" applyFill="0" applyBorder="0" applyAlignment="0" applyProtection="0"/>
    <xf numFmtId="0" fontId="26" fillId="0" borderId="0"/>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247"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35" fillId="0" borderId="0">
      <alignment horizontal="center" wrapText="1"/>
      <protection locked="0"/>
    </xf>
    <xf numFmtId="0" fontId="26" fillId="0" borderId="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0" fontId="26" fillId="0" borderId="0" applyNumberFormat="0" applyFill="0" applyBorder="0" applyAlignment="0" applyProtection="0"/>
    <xf numFmtId="247"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247"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0" fontId="26" fillId="0" borderId="0" applyNumberFormat="0" applyFill="0" applyBorder="0" applyAlignment="0" applyProtection="0"/>
    <xf numFmtId="247" fontId="26" fillId="0" borderId="0" applyNumberFormat="0" applyFill="0" applyBorder="0" applyAlignment="0" applyProtection="0"/>
    <xf numFmtId="0"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0"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247" fontId="26" fillId="0" borderId="0" applyNumberFormat="0" applyFill="0" applyBorder="0" applyAlignment="0" applyProtection="0"/>
    <xf numFmtId="0" fontId="26" fillId="0" borderId="0"/>
    <xf numFmtId="247" fontId="29" fillId="0" borderId="0" applyNumberFormat="0" applyFill="0" applyBorder="0" applyAlignment="0" applyProtection="0"/>
    <xf numFmtId="0" fontId="29" fillId="0" borderId="0" applyNumberFormat="0" applyFill="0" applyBorder="0" applyAlignment="0" applyProtection="0"/>
    <xf numFmtId="247" fontId="29" fillId="0" borderId="0" applyNumberFormat="0" applyFill="0" applyBorder="0" applyAlignment="0" applyProtection="0"/>
    <xf numFmtId="247"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88" fillId="0" borderId="0" applyNumberFormat="0" applyAlignment="0"/>
    <xf numFmtId="0" fontId="26" fillId="0" borderId="0" applyNumberFormat="0" applyAlignment="0"/>
    <xf numFmtId="0" fontId="89" fillId="0" borderId="23" applyNumberFormat="0" applyFill="0" applyBorder="0" applyAlignment="0" applyProtection="0"/>
    <xf numFmtId="0" fontId="89" fillId="0" borderId="23" applyNumberFormat="0" applyFill="0" applyBorder="0" applyAlignment="0" applyProtection="0"/>
    <xf numFmtId="0" fontId="89" fillId="0" borderId="23" applyNumberFormat="0" applyFill="0" applyBorder="0" applyAlignment="0" applyProtection="0"/>
    <xf numFmtId="0" fontId="89" fillId="0" borderId="23" applyNumberFormat="0" applyFill="0" applyBorder="0" applyAlignment="0" applyProtection="0"/>
    <xf numFmtId="0" fontId="89" fillId="0" borderId="23" applyNumberFormat="0" applyFill="0" applyBorder="0" applyAlignment="0" applyProtection="0"/>
    <xf numFmtId="0" fontId="89" fillId="0" borderId="23" applyNumberFormat="0" applyFill="0" applyBorder="0" applyAlignment="0" applyProtection="0"/>
    <xf numFmtId="0" fontId="89" fillId="0" borderId="23" applyNumberFormat="0" applyFill="0" applyBorder="0" applyAlignment="0" applyProtection="0"/>
    <xf numFmtId="0" fontId="89" fillId="0" borderId="23" applyNumberFormat="0" applyFill="0" applyBorder="0" applyAlignment="0" applyProtection="0"/>
    <xf numFmtId="0" fontId="89" fillId="0" borderId="23" applyNumberFormat="0" applyFill="0" applyBorder="0" applyAlignment="0" applyProtection="0"/>
    <xf numFmtId="0" fontId="89" fillId="0" borderId="23" applyNumberFormat="0" applyFill="0" applyBorder="0" applyAlignment="0" applyProtection="0"/>
    <xf numFmtId="0" fontId="89" fillId="0" borderId="23" applyNumberFormat="0" applyFill="0" applyBorder="0" applyAlignment="0" applyProtection="0"/>
    <xf numFmtId="0" fontId="89" fillId="0" borderId="23" applyNumberFormat="0" applyFill="0" applyBorder="0" applyAlignment="0" applyProtection="0"/>
    <xf numFmtId="0" fontId="90" fillId="0" borderId="23" applyNumberFormat="0" applyFill="0" applyBorder="0" applyAlignment="0" applyProtection="0"/>
    <xf numFmtId="0" fontId="90" fillId="0" borderId="23" applyNumberFormat="0" applyFill="0" applyBorder="0" applyAlignment="0" applyProtection="0"/>
    <xf numFmtId="0" fontId="90" fillId="0" borderId="23" applyNumberFormat="0" applyFill="0" applyBorder="0" applyAlignment="0" applyProtection="0"/>
    <xf numFmtId="0" fontId="90" fillId="0" borderId="23" applyNumberFormat="0" applyFill="0" applyBorder="0" applyAlignment="0" applyProtection="0"/>
    <xf numFmtId="0" fontId="90" fillId="0" borderId="23" applyNumberFormat="0" applyFill="0" applyBorder="0" applyAlignment="0" applyProtection="0"/>
    <xf numFmtId="0" fontId="90" fillId="0" borderId="23" applyNumberFormat="0" applyFill="0" applyBorder="0" applyAlignment="0" applyProtection="0"/>
    <xf numFmtId="0" fontId="90" fillId="0" borderId="23" applyNumberFormat="0" applyFill="0" applyBorder="0" applyAlignment="0" applyProtection="0"/>
    <xf numFmtId="0" fontId="90" fillId="0" borderId="23" applyNumberFormat="0" applyFill="0" applyBorder="0" applyAlignment="0" applyProtection="0"/>
    <xf numFmtId="0" fontId="90" fillId="0" borderId="23" applyNumberFormat="0" applyFill="0" applyBorder="0" applyAlignment="0" applyProtection="0"/>
    <xf numFmtId="0" fontId="90" fillId="0" borderId="23" applyNumberFormat="0" applyFill="0" applyBorder="0" applyAlignment="0" applyProtection="0"/>
    <xf numFmtId="0" fontId="90" fillId="0" borderId="23" applyNumberFormat="0" applyFill="0" applyBorder="0" applyAlignment="0" applyProtection="0"/>
    <xf numFmtId="0" fontId="90" fillId="0" borderId="23" applyNumberFormat="0" applyFill="0" applyBorder="0" applyAlignment="0" applyProtection="0"/>
    <xf numFmtId="0" fontId="57" fillId="0" borderId="23" applyNumberFormat="0" applyFill="0" applyBorder="0" applyAlignment="0" applyProtection="0"/>
    <xf numFmtId="0" fontId="57" fillId="0" borderId="23" applyNumberFormat="0" applyFill="0" applyBorder="0" applyAlignment="0" applyProtection="0"/>
    <xf numFmtId="0" fontId="57" fillId="0" borderId="23" applyNumberFormat="0" applyFill="0" applyBorder="0" applyAlignment="0" applyProtection="0"/>
    <xf numFmtId="0" fontId="57" fillId="0" borderId="23" applyNumberFormat="0" applyFill="0" applyBorder="0" applyAlignment="0" applyProtection="0"/>
    <xf numFmtId="0" fontId="57" fillId="0" borderId="23" applyNumberFormat="0" applyFill="0" applyBorder="0" applyAlignment="0" applyProtection="0"/>
    <xf numFmtId="0" fontId="57" fillId="0" borderId="23" applyNumberFormat="0" applyFill="0" applyBorder="0" applyAlignment="0" applyProtection="0"/>
    <xf numFmtId="0" fontId="57" fillId="0" borderId="23" applyNumberFormat="0" applyFill="0" applyBorder="0" applyAlignment="0" applyProtection="0"/>
    <xf numFmtId="0" fontId="57" fillId="0" borderId="23" applyNumberFormat="0" applyFill="0" applyBorder="0" applyAlignment="0" applyProtection="0"/>
    <xf numFmtId="0" fontId="57" fillId="0" borderId="23" applyNumberFormat="0" applyFill="0" applyBorder="0" applyAlignment="0" applyProtection="0"/>
    <xf numFmtId="0" fontId="57" fillId="0" borderId="23" applyNumberFormat="0" applyFill="0" applyBorder="0" applyAlignment="0" applyProtection="0"/>
    <xf numFmtId="0" fontId="57" fillId="0" borderId="23" applyNumberFormat="0" applyFill="0" applyBorder="0" applyAlignment="0" applyProtection="0"/>
    <xf numFmtId="0" fontId="57" fillId="0" borderId="23" applyNumberFormat="0" applyFill="0" applyBorder="0" applyAlignment="0" applyProtection="0"/>
    <xf numFmtId="0" fontId="26" fillId="0" borderId="0"/>
    <xf numFmtId="0" fontId="26" fillId="0" borderId="0"/>
    <xf numFmtId="0" fontId="56" fillId="0" borderId="23" applyNumberFormat="0" applyFill="0" applyAlignment="0" applyProtection="0"/>
    <xf numFmtId="0" fontId="56" fillId="0" borderId="23" applyNumberFormat="0" applyFill="0" applyAlignment="0" applyProtection="0"/>
    <xf numFmtId="0" fontId="56" fillId="0" borderId="23" applyNumberFormat="0" applyFill="0" applyAlignment="0" applyProtection="0"/>
    <xf numFmtId="0" fontId="56" fillId="0" borderId="23" applyNumberFormat="0" applyFill="0" applyAlignment="0" applyProtection="0"/>
    <xf numFmtId="0" fontId="56" fillId="0" borderId="23" applyNumberFormat="0" applyFill="0" applyAlignment="0" applyProtection="0"/>
    <xf numFmtId="0" fontId="56" fillId="0" borderId="23" applyNumberFormat="0" applyFill="0" applyAlignment="0" applyProtection="0"/>
    <xf numFmtId="0" fontId="56" fillId="0" borderId="23" applyNumberFormat="0" applyFill="0" applyAlignment="0" applyProtection="0"/>
    <xf numFmtId="0" fontId="56" fillId="0" borderId="23" applyNumberFormat="0" applyFill="0" applyAlignment="0" applyProtection="0"/>
    <xf numFmtId="0" fontId="26" fillId="0" borderId="0"/>
    <xf numFmtId="0" fontId="26" fillId="0" borderId="0"/>
    <xf numFmtId="0" fontId="68" fillId="0" borderId="0">
      <alignment horizontal="right"/>
    </xf>
    <xf numFmtId="0" fontId="68" fillId="0" borderId="0">
      <alignment horizontal="right"/>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91" fillId="2"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0" fontId="26" fillId="0" borderId="0"/>
    <xf numFmtId="0"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247"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247"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0" fontId="26" fillId="0" borderId="0"/>
    <xf numFmtId="247"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0" fontId="92" fillId="38" borderId="0" applyNumberFormat="0" applyBorder="0" applyAlignment="0" applyProtection="0"/>
    <xf numFmtId="247" fontId="92" fillId="38" borderId="0" applyNumberFormat="0" applyBorder="0" applyAlignment="0" applyProtection="0"/>
    <xf numFmtId="0" fontId="92" fillId="38" borderId="0" applyNumberFormat="0" applyBorder="0" applyAlignment="0" applyProtection="0"/>
    <xf numFmtId="0" fontId="26" fillId="0" borderId="0"/>
    <xf numFmtId="247" fontId="92" fillId="38"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247" fontId="92" fillId="38" borderId="0" applyNumberFormat="0" applyBorder="0" applyAlignment="0" applyProtection="0"/>
    <xf numFmtId="0" fontId="91" fillId="2" borderId="0" applyNumberFormat="0" applyBorder="0" applyAlignment="0" applyProtection="0"/>
    <xf numFmtId="0" fontId="26" fillId="0" borderId="0"/>
    <xf numFmtId="247" fontId="92" fillId="38"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0" fontId="91" fillId="2" borderId="0" applyNumberFormat="0" applyBorder="0" applyAlignment="0" applyProtection="0"/>
    <xf numFmtId="247" fontId="92" fillId="38" borderId="0" applyNumberFormat="0" applyBorder="0" applyAlignment="0" applyProtection="0"/>
    <xf numFmtId="0" fontId="91" fillId="2" borderId="0" applyNumberFormat="0" applyBorder="0" applyAlignment="0" applyProtection="0"/>
    <xf numFmtId="0" fontId="26" fillId="0" borderId="0"/>
    <xf numFmtId="0" fontId="92" fillId="38" borderId="0" applyNumberFormat="0" applyBorder="0" applyAlignment="0" applyProtection="0"/>
    <xf numFmtId="0" fontId="92" fillId="38" borderId="0" applyNumberFormat="0" applyBorder="0" applyAlignment="0" applyProtection="0"/>
    <xf numFmtId="0" fontId="26" fillId="0" borderId="0"/>
    <xf numFmtId="0" fontId="26" fillId="0" borderId="0"/>
    <xf numFmtId="0" fontId="26" fillId="0" borderId="0"/>
    <xf numFmtId="164" fontId="93" fillId="59" borderId="0" applyNumberFormat="0" applyBorder="0" applyAlignment="0" applyProtection="0">
      <alignment horizontal="center" vertical="center" wrapText="1"/>
    </xf>
    <xf numFmtId="0" fontId="26" fillId="0" borderId="0"/>
    <xf numFmtId="0" fontId="26" fillId="0" borderId="0"/>
    <xf numFmtId="0" fontId="69" fillId="0" borderId="0" applyNumberFormat="0" applyFill="0" applyBorder="0" applyAlignment="0" applyProtection="0"/>
    <xf numFmtId="0" fontId="69" fillId="0" borderId="0" applyNumberFormat="0" applyFill="0" applyBorder="0" applyAlignment="0" applyProtection="0"/>
    <xf numFmtId="0" fontId="26"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252" fontId="94" fillId="0" borderId="0"/>
    <xf numFmtId="252" fontId="26" fillId="0" borderId="0"/>
    <xf numFmtId="192" fontId="35" fillId="0" borderId="0"/>
    <xf numFmtId="192" fontId="35" fillId="0" borderId="0"/>
    <xf numFmtId="192" fontId="26" fillId="0" borderId="0"/>
    <xf numFmtId="192" fontId="35" fillId="0" borderId="0"/>
    <xf numFmtId="192" fontId="35" fillId="0" borderId="0"/>
    <xf numFmtId="192" fontId="35" fillId="0" borderId="0"/>
    <xf numFmtId="177" fontId="35" fillId="0" borderId="8"/>
    <xf numFmtId="177" fontId="35" fillId="0" borderId="8"/>
    <xf numFmtId="177" fontId="26" fillId="0" borderId="0"/>
    <xf numFmtId="177" fontId="35" fillId="0" borderId="8"/>
    <xf numFmtId="177" fontId="35" fillId="0" borderId="8"/>
    <xf numFmtId="177" fontId="35" fillId="0" borderId="8"/>
    <xf numFmtId="253" fontId="94" fillId="0" borderId="0"/>
    <xf numFmtId="253" fontId="26" fillId="0" borderId="0"/>
    <xf numFmtId="0" fontId="94" fillId="0" borderId="0"/>
    <xf numFmtId="0" fontId="26" fillId="0" borderId="0"/>
    <xf numFmtId="254" fontId="94" fillId="0" borderId="0"/>
    <xf numFmtId="254" fontId="26" fillId="0" borderId="0"/>
    <xf numFmtId="0" fontId="35" fillId="0" borderId="0">
      <alignment horizontal="right"/>
    </xf>
    <xf numFmtId="0" fontId="35" fillId="0" borderId="0">
      <alignment horizontal="right"/>
    </xf>
    <xf numFmtId="0" fontId="26" fillId="0" borderId="0">
      <alignment horizontal="right"/>
    </xf>
    <xf numFmtId="0" fontId="35" fillId="0" borderId="0">
      <alignment horizontal="right"/>
    </xf>
    <xf numFmtId="0" fontId="35" fillId="0" borderId="0">
      <alignment horizontal="right"/>
    </xf>
    <xf numFmtId="0" fontId="35" fillId="0" borderId="0">
      <alignment horizontal="right"/>
    </xf>
    <xf numFmtId="255" fontId="94" fillId="0" borderId="0">
      <alignment horizontal="right"/>
    </xf>
    <xf numFmtId="255" fontId="26" fillId="0" borderId="0">
      <alignment horizontal="right"/>
    </xf>
    <xf numFmtId="256" fontId="94" fillId="0" borderId="0">
      <alignment horizontal="right"/>
    </xf>
    <xf numFmtId="256" fontId="26" fillId="0" borderId="0">
      <alignment horizontal="right"/>
    </xf>
    <xf numFmtId="0" fontId="35" fillId="0" borderId="0">
      <alignment horizontal="right"/>
    </xf>
    <xf numFmtId="257" fontId="35" fillId="0" borderId="0">
      <alignment horizontal="right"/>
    </xf>
    <xf numFmtId="257" fontId="35" fillId="0" borderId="0">
      <alignment horizontal="right"/>
    </xf>
    <xf numFmtId="257" fontId="26" fillId="0" borderId="0">
      <alignment horizontal="right"/>
    </xf>
    <xf numFmtId="257" fontId="35" fillId="0" borderId="0">
      <alignment horizontal="right"/>
    </xf>
    <xf numFmtId="257" fontId="35" fillId="0" borderId="0">
      <alignment horizontal="right"/>
    </xf>
    <xf numFmtId="257" fontId="35" fillId="0" borderId="0">
      <alignment horizontal="right"/>
    </xf>
    <xf numFmtId="0" fontId="69" fillId="0" borderId="0" applyNumberForma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applyNumberFormat="0" applyFill="0" applyBorder="0" applyAlignment="0" applyProtection="0"/>
    <xf numFmtId="258" fontId="94" fillId="0" borderId="0"/>
    <xf numFmtId="258" fontId="26" fillId="0" borderId="0"/>
    <xf numFmtId="259" fontId="94" fillId="0" borderId="0"/>
    <xf numFmtId="259" fontId="26" fillId="0" borderId="0"/>
    <xf numFmtId="0" fontId="94" fillId="0" borderId="0"/>
    <xf numFmtId="0" fontId="26" fillId="0" borderId="0"/>
    <xf numFmtId="164" fontId="93" fillId="60" borderId="3">
      <alignment horizontal="center" vertical="center" wrapText="1"/>
    </xf>
    <xf numFmtId="164" fontId="93" fillId="60" borderId="3">
      <alignment horizontal="center" vertical="center" wrapText="1"/>
    </xf>
    <xf numFmtId="164" fontId="93" fillId="60" borderId="3">
      <alignment horizontal="center" vertical="center" wrapText="1"/>
    </xf>
    <xf numFmtId="1" fontId="46" fillId="32" borderId="24">
      <alignment horizontal="center"/>
    </xf>
    <xf numFmtId="1" fontId="26" fillId="0" borderId="0">
      <alignment horizontal="center"/>
    </xf>
    <xf numFmtId="0" fontId="94" fillId="0" borderId="0"/>
    <xf numFmtId="0" fontId="26" fillId="0" borderId="0"/>
    <xf numFmtId="0" fontId="46" fillId="32" borderId="25">
      <alignment horizontal="center"/>
    </xf>
    <xf numFmtId="0" fontId="46" fillId="32" borderId="25">
      <alignment horizontal="center"/>
    </xf>
    <xf numFmtId="0" fontId="26" fillId="0" borderId="0">
      <alignment horizontal="center"/>
    </xf>
    <xf numFmtId="0" fontId="46" fillId="32" borderId="25">
      <alignment horizontal="center"/>
    </xf>
    <xf numFmtId="0" fontId="46" fillId="32" borderId="25">
      <alignment horizontal="center"/>
    </xf>
    <xf numFmtId="0" fontId="46" fillId="32" borderId="25">
      <alignment horizontal="center"/>
    </xf>
    <xf numFmtId="0" fontId="94" fillId="0" borderId="0"/>
    <xf numFmtId="0" fontId="26" fillId="0" borderId="0"/>
    <xf numFmtId="0" fontId="95" fillId="0" borderId="0" applyNumberFormat="0" applyFill="0" applyBorder="0" applyAlignment="0" applyProtection="0"/>
    <xf numFmtId="0" fontId="26" fillId="0" borderId="0"/>
    <xf numFmtId="0" fontId="26" fillId="0" borderId="0" applyNumberFormat="0" applyFill="0" applyBorder="0" applyAlignment="0" applyProtection="0"/>
    <xf numFmtId="0" fontId="26" fillId="0" borderId="0"/>
    <xf numFmtId="0" fontId="26" fillId="0" borderId="0" applyBorder="0">
      <alignment horizontal="left" vertical="center" indent="1"/>
    </xf>
    <xf numFmtId="260" fontId="30" fillId="0" borderId="0"/>
    <xf numFmtId="37" fontId="96" fillId="0" borderId="0" applyNumberFormat="0" applyFill="0" applyBorder="0" applyAlignment="0" applyProtection="0">
      <protection locked="0"/>
    </xf>
    <xf numFmtId="37" fontId="26" fillId="0" borderId="0" applyNumberFormat="0" applyFill="0" applyBorder="0" applyAlignment="0" applyProtection="0">
      <protection locked="0"/>
    </xf>
    <xf numFmtId="0" fontId="97" fillId="0" borderId="26">
      <alignment horizontal="centerContinuous"/>
    </xf>
    <xf numFmtId="0" fontId="97" fillId="0" borderId="26">
      <alignment horizontal="centerContinuous"/>
    </xf>
    <xf numFmtId="261" fontId="98" fillId="0" borderId="0" applyAlignment="0">
      <alignment horizontal="right"/>
    </xf>
    <xf numFmtId="0" fontId="99" fillId="0" borderId="0" applyAlignment="0"/>
    <xf numFmtId="165" fontId="99" fillId="0" borderId="0"/>
    <xf numFmtId="0" fontId="99" fillId="0" borderId="26" applyAlignment="0"/>
    <xf numFmtId="0" fontId="99" fillId="0" borderId="26" applyAlignment="0"/>
    <xf numFmtId="0" fontId="99" fillId="0" borderId="0" applyAlignment="0"/>
    <xf numFmtId="0" fontId="26" fillId="0" borderId="0"/>
    <xf numFmtId="0" fontId="26" fillId="0" borderId="0"/>
    <xf numFmtId="0" fontId="100" fillId="0" borderId="3" applyNumberFormat="0" applyFill="0" applyAlignment="0" applyProtection="0"/>
    <xf numFmtId="37" fontId="96" fillId="0" borderId="0" applyNumberFormat="0" applyFill="0" applyBorder="0" applyAlignment="0" applyProtection="0">
      <protection locked="0"/>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5" fontId="66" fillId="0" borderId="8"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5" fontId="66" fillId="0" borderId="8" applyAlignment="0" applyProtection="0"/>
    <xf numFmtId="0" fontId="26" fillId="0" borderId="0"/>
    <xf numFmtId="262" fontId="71" fillId="0" borderId="17" applyNumberFormat="0" applyFill="0" applyAlignment="0" applyProtection="0">
      <alignment horizontal="center"/>
    </xf>
    <xf numFmtId="262" fontId="26" fillId="0" borderId="0" applyNumberFormat="0" applyFill="0" applyAlignment="0" applyProtection="0">
      <alignment horizontal="center"/>
    </xf>
    <xf numFmtId="262" fontId="71" fillId="0" borderId="17" applyNumberFormat="0" applyFill="0" applyAlignment="0" applyProtection="0">
      <alignment horizontal="center"/>
    </xf>
    <xf numFmtId="262" fontId="71" fillId="0" borderId="17" applyNumberFormat="0" applyFill="0" applyAlignment="0" applyProtection="0">
      <alignment horizontal="center"/>
    </xf>
    <xf numFmtId="262" fontId="71" fillId="0" borderId="17" applyNumberFormat="0" applyFill="0" applyAlignment="0" applyProtection="0">
      <alignment horizontal="center"/>
    </xf>
    <xf numFmtId="0" fontId="26" fillId="0" borderId="0"/>
    <xf numFmtId="0" fontId="26" fillId="0" borderId="0"/>
    <xf numFmtId="0" fontId="26" fillId="0" borderId="0"/>
    <xf numFmtId="263" fontId="71" fillId="0" borderId="3" applyFill="0" applyAlignment="0" applyProtection="0">
      <alignment horizontal="center"/>
    </xf>
    <xf numFmtId="263" fontId="26" fillId="0" borderId="0" applyFill="0" applyAlignment="0" applyProtection="0">
      <alignment horizontal="center"/>
    </xf>
    <xf numFmtId="263" fontId="71" fillId="0" borderId="3" applyFill="0" applyAlignment="0" applyProtection="0">
      <alignment horizontal="center"/>
    </xf>
    <xf numFmtId="263" fontId="71" fillId="0" borderId="3" applyFill="0" applyAlignment="0" applyProtection="0">
      <alignment horizontal="center"/>
    </xf>
    <xf numFmtId="263" fontId="71" fillId="0" borderId="3" applyFill="0" applyAlignment="0" applyProtection="0">
      <alignment horizontal="center"/>
    </xf>
    <xf numFmtId="0" fontId="26" fillId="0" borderId="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0" fontId="26" fillId="0" borderId="0" applyFont="0" applyFill="0" applyBorder="0" applyAlignment="0" applyProtection="0"/>
    <xf numFmtId="264"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0"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0"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0"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0"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0"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0"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0"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0"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0"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0"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47"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264" fontId="26" fillId="0" borderId="0" applyFont="0" applyFill="0" applyBorder="0" applyAlignment="0" applyProtection="0"/>
    <xf numFmtId="0" fontId="30" fillId="0" borderId="0"/>
    <xf numFmtId="0" fontId="30" fillId="0" borderId="0"/>
    <xf numFmtId="0" fontId="26" fillId="0" borderId="0"/>
    <xf numFmtId="0" fontId="30" fillId="0" borderId="0"/>
    <xf numFmtId="0" fontId="30" fillId="0" borderId="0"/>
    <xf numFmtId="0" fontId="3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applyFill="0" applyBorder="0" applyAlignment="0"/>
    <xf numFmtId="247" fontId="26" fillId="0" borderId="0" applyFill="0" applyBorder="0" applyAlignment="0"/>
    <xf numFmtId="265"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0"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5" fontId="26" fillId="0" borderId="0" applyFill="0" applyBorder="0" applyAlignment="0"/>
    <xf numFmtId="0" fontId="26" fillId="0" borderId="0" applyFill="0" applyBorder="0" applyAlignment="0"/>
    <xf numFmtId="0" fontId="26" fillId="0" borderId="0" applyFill="0" applyBorder="0" applyAlignment="0"/>
    <xf numFmtId="265"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65"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5"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5"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265" fontId="26" fillId="0" borderId="0" applyFill="0" applyBorder="0" applyAlignment="0"/>
    <xf numFmtId="0" fontId="26" fillId="0" borderId="0"/>
    <xf numFmtId="192" fontId="101" fillId="0" borderId="0" applyFill="0" applyBorder="0" applyAlignment="0"/>
    <xf numFmtId="192" fontId="101" fillId="0" borderId="0" applyFill="0" applyBorder="0" applyAlignment="0"/>
    <xf numFmtId="247"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192"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247" fontId="101"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0" fontId="101" fillId="0" borderId="0" applyFill="0" applyBorder="0" applyAlignment="0"/>
    <xf numFmtId="247"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0" fontId="101" fillId="0" borderId="0" applyFill="0" applyBorder="0" applyAlignment="0"/>
    <xf numFmtId="247"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0"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71" fontId="26"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192"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192" fontId="101" fillId="0" borderId="0" applyFill="0" applyBorder="0" applyAlignment="0"/>
    <xf numFmtId="0" fontId="26" fillId="0" borderId="0"/>
    <xf numFmtId="266" fontId="101" fillId="0" borderId="0" applyFill="0" applyBorder="0" applyAlignment="0"/>
    <xf numFmtId="266" fontId="101" fillId="0" borderId="0" applyFill="0" applyBorder="0" applyAlignment="0"/>
    <xf numFmtId="247"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66"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47" fontId="101"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0" fontId="101" fillId="0" borderId="0" applyFill="0" applyBorder="0" applyAlignment="0"/>
    <xf numFmtId="247"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0" fontId="101" fillId="0" borderId="0" applyFill="0" applyBorder="0" applyAlignment="0"/>
    <xf numFmtId="247"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0"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0"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7" fontId="26"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66"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47" fontId="101" fillId="0" borderId="0" applyFill="0" applyBorder="0" applyAlignment="0"/>
    <xf numFmtId="266" fontId="101" fillId="0" borderId="0" applyFill="0" applyBorder="0" applyAlignment="0"/>
    <xf numFmtId="0" fontId="26" fillId="0" borderId="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applyFill="0" applyBorder="0" applyAlignment="0"/>
    <xf numFmtId="247" fontId="26" fillId="0" borderId="0" applyFill="0" applyBorder="0" applyAlignment="0"/>
    <xf numFmtId="268"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0"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8" fontId="26" fillId="0" borderId="0" applyFill="0" applyBorder="0" applyAlignment="0"/>
    <xf numFmtId="0" fontId="26" fillId="0" borderId="0" applyFill="0" applyBorder="0" applyAlignment="0"/>
    <xf numFmtId="0" fontId="26" fillId="0" borderId="0" applyFill="0" applyBorder="0" applyAlignment="0"/>
    <xf numFmtId="268"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68"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8"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8"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47"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268" fontId="26" fillId="0" borderId="0" applyFill="0" applyBorder="0" applyAlignment="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02" fillId="43" borderId="27" applyNumberFormat="0" applyAlignment="0" applyProtection="0"/>
    <xf numFmtId="0" fontId="102" fillId="43" borderId="27" applyNumberFormat="0" applyAlignment="0" applyProtection="0"/>
    <xf numFmtId="0" fontId="26" fillId="0" borderId="0"/>
    <xf numFmtId="0" fontId="102" fillId="43" borderId="27" applyNumberFormat="0" applyAlignment="0" applyProtection="0"/>
    <xf numFmtId="0" fontId="102" fillId="43" borderId="27" applyNumberFormat="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69" fontId="26" fillId="0" borderId="0" applyNumberFormat="0" applyFont="0" applyBorder="0" applyAlignment="0">
      <protection locked="0"/>
    </xf>
    <xf numFmtId="270" fontId="35" fillId="0" borderId="0" applyFill="0" applyBorder="0" applyProtection="0"/>
    <xf numFmtId="270" fontId="35" fillId="0" borderId="0" applyFill="0" applyBorder="0" applyProtection="0"/>
    <xf numFmtId="270" fontId="26" fillId="0" borderId="0" applyFill="0" applyBorder="0" applyProtection="0"/>
    <xf numFmtId="270" fontId="35" fillId="0" borderId="0" applyFill="0" applyBorder="0" applyProtection="0"/>
    <xf numFmtId="270" fontId="35" fillId="0" borderId="0" applyFill="0" applyBorder="0" applyProtection="0"/>
    <xf numFmtId="270" fontId="35" fillId="0" borderId="0" applyFill="0" applyBorder="0" applyProtection="0"/>
    <xf numFmtId="0" fontId="26" fillId="0" borderId="0"/>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103" fillId="61" borderId="28"/>
    <xf numFmtId="0" fontId="26" fillId="0" borderId="0"/>
    <xf numFmtId="0" fontId="26" fillId="0" borderId="0"/>
    <xf numFmtId="0" fontId="26" fillId="0" borderId="0"/>
    <xf numFmtId="0" fontId="26" fillId="0" borderId="0"/>
    <xf numFmtId="0" fontId="30" fillId="0" borderId="3" applyBorder="0">
      <alignment horizontal="centerContinuous"/>
    </xf>
    <xf numFmtId="0" fontId="30" fillId="0" borderId="3" applyBorder="0">
      <alignment horizontal="centerContinuous"/>
    </xf>
    <xf numFmtId="0" fontId="30" fillId="0" borderId="3" applyBorder="0">
      <alignment horizontal="centerContinuous"/>
    </xf>
    <xf numFmtId="0" fontId="26" fillId="0" borderId="0"/>
    <xf numFmtId="0" fontId="26" fillId="0" borderId="0"/>
    <xf numFmtId="0" fontId="26" fillId="0" borderId="0" applyFill="0" applyBorder="0" applyProtection="0">
      <alignment horizontal="center"/>
      <protection locked="0"/>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04" fillId="0" borderId="0" applyAlignment="0"/>
    <xf numFmtId="0" fontId="26" fillId="0" borderId="0"/>
    <xf numFmtId="0" fontId="26" fillId="0" borderId="0"/>
    <xf numFmtId="0" fontId="26" fillId="0" borderId="0" applyNumberFormat="0" applyFill="0" applyBorder="0" applyAlignment="0" applyProtection="0"/>
    <xf numFmtId="0" fontId="26" fillId="0" borderId="0"/>
    <xf numFmtId="0" fontId="26" fillId="0" borderId="0"/>
    <xf numFmtId="0" fontId="26" fillId="0" borderId="0"/>
    <xf numFmtId="0" fontId="26" fillId="0" borderId="0"/>
    <xf numFmtId="38" fontId="105" fillId="0" borderId="29"/>
    <xf numFmtId="38" fontId="26" fillId="0" borderId="0"/>
    <xf numFmtId="0" fontId="106" fillId="0" borderId="17">
      <alignment horizontal="center"/>
    </xf>
    <xf numFmtId="0" fontId="26" fillId="0" borderId="0">
      <alignment horizontal="center"/>
    </xf>
    <xf numFmtId="0" fontId="26" fillId="0" borderId="0"/>
    <xf numFmtId="0" fontId="90" fillId="0" borderId="30">
      <alignment horizontal="center"/>
    </xf>
    <xf numFmtId="0" fontId="26" fillId="0" borderId="0"/>
    <xf numFmtId="0" fontId="26" fillId="0" borderId="0" applyNumberFormat="0" applyFill="0" applyBorder="0" applyProtection="0">
      <alignment wrapText="1"/>
    </xf>
    <xf numFmtId="0" fontId="26" fillId="0" borderId="0"/>
    <xf numFmtId="0" fontId="26" fillId="0" borderId="0" applyNumberFormat="0" applyFill="0" applyBorder="0" applyProtection="0"/>
    <xf numFmtId="0" fontId="26" fillId="0" borderId="0"/>
    <xf numFmtId="0" fontId="107" fillId="0" borderId="0" applyNumberFormat="0" applyFill="0" applyBorder="0" applyProtection="0">
      <alignment horizontal="center" wrapText="1"/>
    </xf>
    <xf numFmtId="0" fontId="26" fillId="0" borderId="0" applyNumberFormat="0" applyFill="0" applyBorder="0" applyProtection="0">
      <alignment horizontal="center" wrapText="1"/>
    </xf>
    <xf numFmtId="0" fontId="107" fillId="0" borderId="0" applyNumberFormat="0" applyFill="0" applyBorder="0" applyProtection="0">
      <alignment horizontal="center" wrapText="1"/>
    </xf>
    <xf numFmtId="0" fontId="107" fillId="0" borderId="0" applyNumberFormat="0" applyFill="0" applyBorder="0" applyProtection="0">
      <alignment horizontal="center" wrapText="1"/>
    </xf>
    <xf numFmtId="0" fontId="107" fillId="0" borderId="0" applyNumberFormat="0" applyFill="0" applyBorder="0" applyProtection="0">
      <alignment horizontal="center" wrapText="1"/>
    </xf>
    <xf numFmtId="0" fontId="26" fillId="0" borderId="0"/>
    <xf numFmtId="0" fontId="26" fillId="0" borderId="0"/>
    <xf numFmtId="0" fontId="90" fillId="0" borderId="3" applyNumberFormat="0" applyFill="0" applyProtection="0">
      <alignment horizontal="right" wrapText="1"/>
    </xf>
    <xf numFmtId="0" fontId="26" fillId="0" borderId="0"/>
    <xf numFmtId="0" fontId="26" fillId="0" borderId="0"/>
    <xf numFmtId="0" fontId="90" fillId="0" borderId="3" applyNumberFormat="0" applyFill="0" applyProtection="0">
      <alignment horizontal="left" wrapText="1"/>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71" fontId="26" fillId="0" borderId="0" applyFont="0" applyFill="0" applyBorder="0" applyAlignment="0" applyProtection="0"/>
    <xf numFmtId="184" fontId="30" fillId="0" borderId="0"/>
    <xf numFmtId="184" fontId="30" fillId="0" borderId="0"/>
    <xf numFmtId="184" fontId="26" fillId="0" borderId="0"/>
    <xf numFmtId="184" fontId="30" fillId="0" borderId="0"/>
    <xf numFmtId="184" fontId="30" fillId="0" borderId="0"/>
    <xf numFmtId="184" fontId="30" fillId="0" borderId="0"/>
    <xf numFmtId="0" fontId="26" fillId="0" borderId="0"/>
    <xf numFmtId="0" fontId="26" fillId="0" borderId="0"/>
    <xf numFmtId="41" fontId="26" fillId="0" borderId="0" applyFont="0" applyFill="0" applyBorder="0" applyAlignment="0" applyProtection="0"/>
    <xf numFmtId="272" fontId="108" fillId="0" borderId="0" applyFont="0" applyFill="0" applyBorder="0" applyAlignment="0" applyProtection="0"/>
    <xf numFmtId="272" fontId="26" fillId="0" borderId="0" applyFont="0" applyFill="0" applyBorder="0" applyAlignment="0" applyProtection="0"/>
    <xf numFmtId="273" fontId="26" fillId="0" borderId="0" applyFont="0" applyFill="0" applyBorder="0" applyAlignment="0" applyProtection="0">
      <alignment vertical="center"/>
    </xf>
    <xf numFmtId="244" fontId="26" fillId="0" borderId="0" applyFont="0" applyFill="0" applyBorder="0" applyAlignment="0" applyProtection="0">
      <alignment vertical="center"/>
    </xf>
    <xf numFmtId="0" fontId="26" fillId="0" borderId="0"/>
    <xf numFmtId="0" fontId="26" fillId="0" borderId="0"/>
    <xf numFmtId="38" fontId="26" fillId="0" borderId="0">
      <alignment horizontal="center"/>
      <protection locked="0"/>
    </xf>
    <xf numFmtId="0" fontId="26" fillId="0" borderId="0"/>
    <xf numFmtId="40" fontId="26" fillId="0" borderId="0" applyFont="0" applyFill="0" applyBorder="0" applyAlignment="0" applyProtection="0">
      <alignment horizontal="center"/>
    </xf>
    <xf numFmtId="0" fontId="26" fillId="0" borderId="0"/>
    <xf numFmtId="274" fontId="26" fillId="0" borderId="0" applyFont="0" applyFill="0" applyBorder="0" applyAlignment="0" applyProtection="0">
      <alignment horizontal="center"/>
    </xf>
    <xf numFmtId="0" fontId="26" fillId="0" borderId="0"/>
    <xf numFmtId="0" fontId="26" fillId="0" borderId="0"/>
    <xf numFmtId="0" fontId="26" fillId="0" borderId="0"/>
    <xf numFmtId="275" fontId="26" fillId="0" borderId="0" applyFont="0" applyFill="0" applyBorder="0" applyAlignment="0" applyProtection="0"/>
    <xf numFmtId="276" fontId="33" fillId="0" borderId="0" applyFont="0" applyFill="0" applyBorder="0" applyAlignment="0" applyProtection="0"/>
    <xf numFmtId="276" fontId="26" fillId="0" borderId="0" applyFont="0" applyFill="0" applyBorder="0" applyAlignment="0" applyProtection="0"/>
    <xf numFmtId="277" fontId="33" fillId="0" borderId="0" applyFont="0" applyFill="0" applyBorder="0" applyAlignment="0" applyProtection="0"/>
    <xf numFmtId="277" fontId="26" fillId="0" borderId="0" applyFont="0" applyFill="0" applyBorder="0" applyAlignment="0" applyProtection="0"/>
    <xf numFmtId="278" fontId="30" fillId="0" borderId="0" applyFont="0" applyFill="0" applyBorder="0" applyAlignment="0" applyProtection="0"/>
    <xf numFmtId="278" fontId="26" fillId="0" borderId="0" applyFont="0" applyFill="0" applyBorder="0" applyAlignment="0" applyProtection="0"/>
    <xf numFmtId="279" fontId="33" fillId="0" borderId="0" applyFont="0" applyFill="0" applyBorder="0" applyAlignment="0" applyProtection="0"/>
    <xf numFmtId="279" fontId="26" fillId="0" borderId="0" applyFont="0" applyFill="0" applyBorder="0" applyAlignment="0" applyProtection="0"/>
    <xf numFmtId="280" fontId="33" fillId="0" borderId="0" applyFont="0" applyFill="0" applyBorder="0" applyAlignment="0" applyProtection="0"/>
    <xf numFmtId="185" fontId="30" fillId="0" borderId="0" applyFont="0" applyFill="0" applyBorder="0" applyAlignment="0" applyProtection="0"/>
    <xf numFmtId="185" fontId="26" fillId="0" borderId="0" applyFont="0" applyFill="0" applyBorder="0" applyAlignment="0" applyProtection="0"/>
    <xf numFmtId="281" fontId="33" fillId="0" borderId="0" applyFont="0" applyFill="0" applyBorder="0" applyAlignment="0" applyProtection="0"/>
    <xf numFmtId="281" fontId="26" fillId="0" borderId="0" applyFont="0" applyFill="0" applyBorder="0" applyAlignment="0" applyProtection="0"/>
    <xf numFmtId="282" fontId="33" fillId="0" borderId="0" applyFont="0" applyFill="0" applyBorder="0" applyAlignment="0" applyProtection="0"/>
    <xf numFmtId="0" fontId="26" fillId="0" borderId="0"/>
    <xf numFmtId="0" fontId="26" fillId="0" borderId="0"/>
    <xf numFmtId="0" fontId="26" fillId="0" borderId="0"/>
    <xf numFmtId="0" fontId="26" fillId="0" borderId="0"/>
    <xf numFmtId="43" fontId="109" fillId="0" borderId="0" applyFont="0" applyFill="0" applyBorder="0" applyAlignment="0" applyProtection="0"/>
    <xf numFmtId="43" fontId="26" fillId="0" borderId="0" applyFont="0" applyFill="0" applyBorder="0" applyAlignment="0" applyProtection="0"/>
    <xf numFmtId="0" fontId="26" fillId="0" borderId="0"/>
    <xf numFmtId="43" fontId="26" fillId="0" borderId="0" applyFont="0" applyFill="0" applyBorder="0" applyAlignment="0" applyProtection="0"/>
    <xf numFmtId="0" fontId="26" fillId="0" borderId="0"/>
    <xf numFmtId="43" fontId="26" fillId="0" borderId="0" applyFont="0" applyFill="0" applyBorder="0" applyAlignment="0" applyProtection="0"/>
    <xf numFmtId="43" fontId="21" fillId="0" borderId="0" applyFont="0" applyFill="0" applyBorder="0" applyAlignment="0" applyProtection="0"/>
    <xf numFmtId="0" fontId="26" fillId="0" borderId="0"/>
    <xf numFmtId="43" fontId="26" fillId="0" borderId="0" applyFont="0" applyFill="0" applyBorder="0" applyAlignment="0" applyProtection="0"/>
    <xf numFmtId="0" fontId="26" fillId="0" borderId="0"/>
    <xf numFmtId="43" fontId="26" fillId="0" borderId="0" applyFont="0" applyFill="0" applyBorder="0" applyAlignment="0" applyProtection="0"/>
    <xf numFmtId="43" fontId="26" fillId="0" borderId="0" applyFont="0" applyFill="0" applyBorder="0" applyAlignment="0" applyProtection="0"/>
    <xf numFmtId="0" fontId="26" fillId="0" borderId="0"/>
    <xf numFmtId="283" fontId="26" fillId="0" borderId="0" applyFont="0" applyFill="0" applyBorder="0" applyAlignment="0" applyProtection="0"/>
    <xf numFmtId="43" fontId="30" fillId="0" borderId="0" applyFont="0" applyFill="0" applyBorder="0" applyAlignment="0" applyProtection="0"/>
    <xf numFmtId="43" fontId="21" fillId="0" borderId="0" applyFont="0" applyFill="0" applyBorder="0" applyAlignment="0" applyProtection="0"/>
    <xf numFmtId="0" fontId="26" fillId="0" borderId="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0" fontId="26" fillId="0" borderId="0"/>
    <xf numFmtId="0" fontId="26" fillId="0" borderId="0"/>
    <xf numFmtId="43" fontId="110" fillId="0" borderId="0" applyFont="0" applyFill="0" applyBorder="0" applyAlignment="0" applyProtection="0"/>
    <xf numFmtId="0" fontId="26" fillId="0" borderId="0"/>
    <xf numFmtId="43" fontId="26" fillId="0" borderId="0" applyFont="0" applyFill="0" applyBorder="0" applyAlignment="0" applyProtection="0"/>
    <xf numFmtId="0" fontId="26" fillId="0" borderId="0"/>
    <xf numFmtId="43" fontId="21" fillId="0" borderId="0" applyFont="0" applyFill="0" applyBorder="0" applyAlignment="0" applyProtection="0"/>
    <xf numFmtId="43" fontId="26" fillId="0" borderId="0" applyFont="0" applyFill="0" applyBorder="0" applyAlignment="0" applyProtection="0"/>
    <xf numFmtId="0" fontId="26" fillId="0" borderId="0"/>
    <xf numFmtId="43" fontId="21" fillId="0" borderId="0" applyFont="0" applyFill="0" applyBorder="0" applyAlignment="0" applyProtection="0"/>
    <xf numFmtId="43" fontId="21" fillId="0" borderId="0" applyFont="0" applyFill="0" applyBorder="0" applyAlignment="0" applyProtection="0"/>
    <xf numFmtId="0" fontId="26" fillId="0" borderId="0"/>
    <xf numFmtId="0" fontId="26" fillId="0" borderId="0"/>
    <xf numFmtId="0" fontId="26" fillId="0" borderId="0"/>
    <xf numFmtId="37" fontId="35" fillId="0" borderId="0" applyFill="0" applyBorder="0" applyAlignment="0" applyProtection="0"/>
    <xf numFmtId="37" fontId="26" fillId="0" borderId="0" applyFill="0" applyBorder="0" applyAlignment="0" applyProtection="0"/>
    <xf numFmtId="37" fontId="35" fillId="0" borderId="0" applyFill="0" applyBorder="0" applyAlignment="0" applyProtection="0"/>
    <xf numFmtId="37" fontId="35" fillId="0" borderId="0" applyFill="0" applyBorder="0" applyAlignment="0" applyProtection="0"/>
    <xf numFmtId="37" fontId="35" fillId="0" borderId="0" applyFill="0" applyBorder="0" applyAlignment="0" applyProtection="0"/>
    <xf numFmtId="0" fontId="26" fillId="0" borderId="0"/>
    <xf numFmtId="0" fontId="26" fillId="0" borderId="0"/>
    <xf numFmtId="0" fontId="26" fillId="0" borderId="0"/>
    <xf numFmtId="0" fontId="111" fillId="0" borderId="0"/>
    <xf numFmtId="0" fontId="26" fillId="0" borderId="0"/>
    <xf numFmtId="0" fontId="26" fillId="0" borderId="0"/>
    <xf numFmtId="0" fontId="26" fillId="0" borderId="0"/>
    <xf numFmtId="0" fontId="26" fillId="0" borderId="0"/>
    <xf numFmtId="0" fontId="26" fillId="0" borderId="0"/>
    <xf numFmtId="0" fontId="26" fillId="0" borderId="0"/>
    <xf numFmtId="38" fontId="26" fillId="0" borderId="0" applyFont="0" applyFill="0" applyBorder="0" applyAlignment="0" applyProtection="0"/>
    <xf numFmtId="0" fontId="26" fillId="0" borderId="0"/>
    <xf numFmtId="192" fontId="112" fillId="0" borderId="0" applyFont="0" applyFill="0" applyBorder="0" applyAlignment="0" applyProtection="0"/>
    <xf numFmtId="0" fontId="111" fillId="0" borderId="0"/>
    <xf numFmtId="0" fontId="26" fillId="0" borderId="0"/>
    <xf numFmtId="0" fontId="101" fillId="0" borderId="0"/>
    <xf numFmtId="0" fontId="26" fillId="0" borderId="0"/>
    <xf numFmtId="192" fontId="26" fillId="0" borderId="0" applyFont="0" applyFill="0" applyBorder="0" applyAlignment="0" applyProtection="0"/>
    <xf numFmtId="39" fontId="112" fillId="0" borderId="0" applyFont="0" applyFill="0" applyBorder="0" applyAlignment="0" applyProtection="0"/>
    <xf numFmtId="39" fontId="26" fillId="0" borderId="0" applyFont="0" applyFill="0" applyBorder="0" applyAlignment="0" applyProtection="0"/>
    <xf numFmtId="0" fontId="26" fillId="0" borderId="0"/>
    <xf numFmtId="0" fontId="113" fillId="62" borderId="0">
      <alignment horizontal="center" vertical="center" wrapText="1"/>
    </xf>
    <xf numFmtId="0" fontId="26" fillId="0" borderId="0">
      <alignment horizontal="center" vertical="center" wrapText="1"/>
    </xf>
    <xf numFmtId="0" fontId="26" fillId="0" borderId="0"/>
    <xf numFmtId="0" fontId="26" fillId="0" borderId="0" applyFill="0" applyBorder="0" applyAlignment="0" applyProtection="0">
      <protection locked="0"/>
    </xf>
    <xf numFmtId="0" fontId="113" fillId="62" borderId="0">
      <alignment horizontal="center" vertical="center" wrapText="1"/>
    </xf>
    <xf numFmtId="0" fontId="26" fillId="0" borderId="0"/>
    <xf numFmtId="284" fontId="26" fillId="0" borderId="0" applyFill="0" applyBorder="0">
      <alignment horizontal="left"/>
    </xf>
    <xf numFmtId="0" fontId="26" fillId="0" borderId="0"/>
    <xf numFmtId="0" fontId="26" fillId="0" borderId="0"/>
    <xf numFmtId="0" fontId="26" fillId="0" borderId="0" applyNumberFormat="0" applyAlignment="0">
      <alignment horizontal="left"/>
    </xf>
    <xf numFmtId="0" fontId="26" fillId="0" borderId="0"/>
    <xf numFmtId="0" fontId="26" fillId="0" borderId="0"/>
    <xf numFmtId="285" fontId="33" fillId="0" borderId="0" applyFill="0" applyBorder="0" applyProtection="0"/>
    <xf numFmtId="285" fontId="26" fillId="0" borderId="0" applyFill="0" applyBorder="0" applyProtection="0"/>
    <xf numFmtId="286" fontId="33" fillId="0" borderId="0" applyFont="0" applyFill="0" applyBorder="0" applyAlignment="0" applyProtection="0"/>
    <xf numFmtId="286"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87" fontId="26" fillId="0" borderId="0" applyFill="0" applyBorder="0">
      <alignment horizontal="right"/>
      <protection locked="0"/>
    </xf>
    <xf numFmtId="0" fontId="111" fillId="0" borderId="0"/>
    <xf numFmtId="0" fontId="26" fillId="0" borderId="0"/>
    <xf numFmtId="0" fontId="26" fillId="0" borderId="0"/>
    <xf numFmtId="288" fontId="33" fillId="0" borderId="0" applyFont="0" applyFill="0" applyBorder="0" applyAlignment="0" applyProtection="0"/>
    <xf numFmtId="288" fontId="26" fillId="0" borderId="0" applyFont="0" applyFill="0" applyBorder="0" applyAlignment="0" applyProtection="0"/>
    <xf numFmtId="0" fontId="26" fillId="0" borderId="0"/>
    <xf numFmtId="0" fontId="26" fillId="0" borderId="0"/>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0" fontId="114" fillId="0" borderId="28"/>
    <xf numFmtId="42" fontId="79" fillId="0" borderId="0" applyFont="0" applyFill="0" applyBorder="0" applyAlignment="0" applyProtection="0"/>
    <xf numFmtId="42" fontId="26" fillId="0" borderId="0" applyFont="0" applyFill="0" applyBorder="0" applyAlignment="0" applyProtection="0"/>
    <xf numFmtId="0" fontId="26" fillId="0" borderId="0"/>
    <xf numFmtId="0" fontId="26" fillId="0" borderId="0"/>
    <xf numFmtId="289" fontId="56" fillId="0" borderId="0" applyFont="0" applyFill="0" applyBorder="0" applyAlignment="0"/>
    <xf numFmtId="289" fontId="26" fillId="0" borderId="0" applyFont="0" applyFill="0" applyBorder="0" applyAlignment="0"/>
    <xf numFmtId="289" fontId="56" fillId="0" borderId="0" applyFont="0" applyFill="0" applyBorder="0" applyAlignment="0"/>
    <xf numFmtId="289" fontId="56" fillId="0" borderId="0" applyFont="0" applyFill="0" applyBorder="0" applyAlignment="0"/>
    <xf numFmtId="289" fontId="56" fillId="0" borderId="0" applyFont="0" applyFill="0" applyBorder="0" applyAlignment="0"/>
    <xf numFmtId="0" fontId="26" fillId="0" borderId="0"/>
    <xf numFmtId="0" fontId="26" fillId="0" borderId="0"/>
    <xf numFmtId="177" fontId="26" fillId="0" borderId="0" applyFont="0" applyFill="0" applyBorder="0" applyAlignment="0" applyProtection="0"/>
    <xf numFmtId="0" fontId="26" fillId="0" borderId="0"/>
    <xf numFmtId="0" fontId="26" fillId="0" borderId="0"/>
    <xf numFmtId="290" fontId="26" fillId="0" borderId="0" applyFont="0" applyFill="0" applyBorder="0" applyAlignment="0" applyProtection="0">
      <alignment horizontal="right"/>
    </xf>
    <xf numFmtId="291" fontId="26" fillId="0" borderId="0" applyFont="0" applyFill="0" applyBorder="0" applyAlignment="0" applyProtection="0"/>
    <xf numFmtId="292" fontId="33" fillId="0" borderId="0" applyFont="0" applyFill="0" applyBorder="0" applyAlignment="0" applyProtection="0"/>
    <xf numFmtId="292" fontId="26" fillId="0" borderId="0" applyFont="0" applyFill="0" applyBorder="0" applyAlignment="0" applyProtection="0"/>
    <xf numFmtId="293" fontId="26" fillId="0" borderId="0" applyFont="0" applyFill="0" applyBorder="0" applyAlignment="0" applyProtection="0"/>
    <xf numFmtId="294" fontId="33" fillId="0" borderId="0" applyFont="0" applyFill="0" applyBorder="0" applyAlignment="0" applyProtection="0"/>
    <xf numFmtId="294" fontId="26" fillId="0" borderId="0" applyFont="0" applyFill="0" applyBorder="0" applyAlignment="0" applyProtection="0"/>
    <xf numFmtId="295" fontId="26" fillId="0" borderId="0" applyFont="0" applyFill="0" applyBorder="0" applyAlignment="0" applyProtection="0"/>
    <xf numFmtId="296" fontId="33" fillId="0" borderId="0" applyFont="0" applyFill="0" applyBorder="0" applyAlignment="0" applyProtection="0"/>
    <xf numFmtId="296" fontId="26" fillId="0" borderId="0" applyFont="0" applyFill="0" applyBorder="0" applyAlignment="0" applyProtection="0"/>
    <xf numFmtId="0" fontId="26" fillId="0" borderId="0"/>
    <xf numFmtId="44" fontId="26"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0" fontId="26" fillId="0" borderId="0"/>
    <xf numFmtId="44" fontId="26" fillId="0" borderId="0" applyFont="0" applyFill="0" applyBorder="0" applyAlignment="0" applyProtection="0"/>
    <xf numFmtId="0" fontId="26" fillId="0" borderId="0"/>
    <xf numFmtId="44" fontId="26" fillId="0" borderId="0" applyFont="0" applyFill="0" applyBorder="0" applyAlignment="0" applyProtection="0"/>
    <xf numFmtId="44" fontId="26" fillId="0" borderId="0" applyFont="0" applyFill="0" applyBorder="0" applyAlignment="0" applyProtection="0"/>
    <xf numFmtId="44" fontId="26" fillId="0" borderId="0" applyFont="0" applyFill="0" applyBorder="0" applyAlignment="0" applyProtection="0"/>
    <xf numFmtId="44" fontId="26" fillId="0" borderId="0" applyFont="0" applyFill="0" applyBorder="0" applyAlignment="0" applyProtection="0"/>
    <xf numFmtId="0" fontId="26" fillId="0" borderId="0"/>
    <xf numFmtId="44" fontId="81" fillId="0" borderId="0" applyFont="0" applyFill="0" applyBorder="0" applyAlignment="0" applyProtection="0"/>
    <xf numFmtId="0" fontId="26" fillId="0" borderId="0"/>
    <xf numFmtId="8" fontId="32" fillId="0" borderId="0" applyFont="0" applyFill="0" applyBorder="0" applyAlignment="0" applyProtection="0"/>
    <xf numFmtId="0" fontId="26" fillId="0" borderId="0"/>
    <xf numFmtId="183" fontId="26" fillId="0" borderId="0" applyFont="0" applyFill="0" applyBorder="0" applyAlignment="0" applyProtection="0"/>
    <xf numFmtId="0" fontId="26" fillId="0" borderId="0"/>
    <xf numFmtId="44" fontId="115" fillId="0" borderId="0" applyFont="0" applyFill="0" applyBorder="0" applyAlignment="0" applyProtection="0">
      <alignment vertical="top"/>
    </xf>
    <xf numFmtId="44" fontId="21" fillId="0" borderId="0" applyFont="0" applyFill="0" applyBorder="0" applyAlignment="0" applyProtection="0"/>
    <xf numFmtId="44" fontId="21" fillId="0" borderId="0" applyFont="0" applyFill="0" applyBorder="0" applyAlignment="0" applyProtection="0"/>
    <xf numFmtId="0" fontId="26" fillId="0" borderId="0"/>
    <xf numFmtId="44" fontId="21" fillId="0" borderId="0" applyFont="0" applyFill="0" applyBorder="0" applyAlignment="0" applyProtection="0"/>
    <xf numFmtId="0" fontId="26" fillId="0" borderId="0"/>
    <xf numFmtId="8" fontId="26" fillId="0" borderId="0">
      <alignment horizontal="right"/>
    </xf>
    <xf numFmtId="0" fontId="26" fillId="0" borderId="0"/>
    <xf numFmtId="0" fontId="26" fillId="0" borderId="0"/>
    <xf numFmtId="6" fontId="26" fillId="0" borderId="0" applyFont="0" applyFill="0" applyBorder="0" applyAlignment="0" applyProtection="0"/>
    <xf numFmtId="0" fontId="26" fillId="0" borderId="0"/>
    <xf numFmtId="0" fontId="26" fillId="0" borderId="0"/>
    <xf numFmtId="0" fontId="26" fillId="0" borderId="0"/>
    <xf numFmtId="274" fontId="30" fillId="29" borderId="0" applyFont="0" applyBorder="0"/>
    <xf numFmtId="0" fontId="26" fillId="0" borderId="0"/>
    <xf numFmtId="14" fontId="26" fillId="0" borderId="0" applyFont="0" applyFill="0" applyBorder="0" applyAlignment="0" applyProtection="0">
      <alignment horizontal="center"/>
    </xf>
    <xf numFmtId="0" fontId="26" fillId="0" borderId="0"/>
    <xf numFmtId="192" fontId="116" fillId="0" borderId="0"/>
    <xf numFmtId="0" fontId="26" fillId="0" borderId="0"/>
    <xf numFmtId="192" fontId="26" fillId="0" borderId="0" applyNumberFormat="0" applyAlignment="0">
      <alignment horizontal="left"/>
      <protection locked="0"/>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15" fontId="90" fillId="0" borderId="0" applyFill="0" applyBorder="0" applyAlignment="0"/>
    <xf numFmtId="297" fontId="90" fillId="36" borderId="0" applyFont="0" applyFill="0" applyBorder="0" applyAlignment="0" applyProtection="0"/>
    <xf numFmtId="298" fontId="24" fillId="36" borderId="31" applyFont="0" applyFill="0" applyBorder="0" applyAlignment="0" applyProtection="0"/>
    <xf numFmtId="298" fontId="24" fillId="36" borderId="31" applyFont="0" applyFill="0" applyBorder="0" applyAlignment="0" applyProtection="0"/>
    <xf numFmtId="297" fontId="56" fillId="36"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299" fontId="26" fillId="0" borderId="0" applyFont="0" applyFill="0" applyBorder="0" applyAlignment="0" applyProtection="0">
      <alignment horizontal="center"/>
    </xf>
    <xf numFmtId="300" fontId="33"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17" fontId="26" fillId="0" borderId="0" applyFont="0" applyFill="0" applyBorder="0" applyAlignment="0" applyProtection="0">
      <alignment horizontal="center"/>
    </xf>
    <xf numFmtId="0" fontId="26" fillId="0" borderId="0"/>
    <xf numFmtId="0" fontId="26" fillId="0" borderId="0"/>
    <xf numFmtId="0" fontId="26" fillId="0" borderId="0"/>
    <xf numFmtId="301" fontId="96" fillId="0" borderId="0" applyFont="0" applyFill="0" applyBorder="0" applyAlignment="0" applyProtection="0">
      <alignment horizontal="center"/>
    </xf>
    <xf numFmtId="302" fontId="96" fillId="0" borderId="32" applyFont="0" applyFill="0" applyBorder="0" applyAlignment="0" applyProtection="0">
      <alignment horizontal="center"/>
    </xf>
    <xf numFmtId="302" fontId="96" fillId="0" borderId="32" applyFont="0" applyFill="0" applyBorder="0" applyAlignment="0" applyProtection="0">
      <alignment horizontal="center"/>
    </xf>
    <xf numFmtId="302" fontId="96" fillId="0" borderId="32" applyFont="0" applyFill="0" applyBorder="0" applyAlignment="0" applyProtection="0">
      <alignment horizontal="center"/>
    </xf>
    <xf numFmtId="302" fontId="96" fillId="0" borderId="32" applyFont="0" applyFill="0" applyBorder="0" applyAlignment="0" applyProtection="0">
      <alignment horizontal="center"/>
    </xf>
    <xf numFmtId="302" fontId="96" fillId="0" borderId="32" applyFont="0" applyFill="0" applyBorder="0" applyAlignment="0" applyProtection="0">
      <alignment horizontal="center"/>
    </xf>
    <xf numFmtId="302" fontId="96" fillId="0" borderId="32" applyFont="0" applyFill="0" applyBorder="0" applyAlignment="0" applyProtection="0">
      <alignment horizontal="center"/>
    </xf>
    <xf numFmtId="186" fontId="56" fillId="0" borderId="32" applyFont="0" applyFill="0" applyBorder="0" applyAlignment="0" applyProtection="0">
      <alignment horizontal="center"/>
    </xf>
    <xf numFmtId="186" fontId="56" fillId="0" borderId="32" applyFont="0" applyFill="0" applyBorder="0" applyAlignment="0" applyProtection="0">
      <alignment horizontal="center"/>
    </xf>
    <xf numFmtId="186" fontId="56" fillId="0" borderId="32" applyFont="0" applyFill="0" applyBorder="0" applyAlignment="0" applyProtection="0">
      <alignment horizontal="center"/>
    </xf>
    <xf numFmtId="186" fontId="56" fillId="0" borderId="32" applyFont="0" applyFill="0" applyBorder="0" applyAlignment="0" applyProtection="0">
      <alignment horizontal="center"/>
    </xf>
    <xf numFmtId="186" fontId="56" fillId="0" borderId="32" applyFont="0" applyFill="0" applyBorder="0" applyAlignment="0" applyProtection="0">
      <alignment horizontal="center"/>
    </xf>
    <xf numFmtId="186" fontId="56" fillId="0" borderId="32" applyFont="0" applyFill="0" applyBorder="0" applyAlignment="0" applyProtection="0">
      <alignment horizontal="center"/>
    </xf>
    <xf numFmtId="14" fontId="117" fillId="0" borderId="0" applyFont="0" applyFill="0" applyBorder="0"/>
    <xf numFmtId="15" fontId="74" fillId="0" borderId="0" applyFont="0" applyFill="0" applyBorder="0" applyAlignment="0" applyProtection="0">
      <alignment horizontal="center"/>
    </xf>
    <xf numFmtId="270" fontId="26" fillId="0" borderId="0" applyFont="0" applyFill="0" applyBorder="0" applyAlignment="0" applyProtection="0">
      <alignment horizontal="center"/>
    </xf>
    <xf numFmtId="270" fontId="118" fillId="0" borderId="0" applyFont="0" applyFill="0" applyBorder="0" applyAlignment="0" applyProtection="0">
      <alignment horizontal="center"/>
    </xf>
    <xf numFmtId="0" fontId="38" fillId="0" borderId="0"/>
    <xf numFmtId="0" fontId="119" fillId="0" borderId="0">
      <protection locked="0"/>
    </xf>
    <xf numFmtId="0" fontId="120" fillId="0" borderId="0">
      <protection locked="0"/>
    </xf>
    <xf numFmtId="0" fontId="120" fillId="0" borderId="0">
      <protection locked="0"/>
    </xf>
    <xf numFmtId="0" fontId="26" fillId="0" borderId="0"/>
    <xf numFmtId="186" fontId="26" fillId="0" borderId="0" applyFont="0" applyFill="0" applyBorder="0" applyAlignment="0" applyProtection="0"/>
    <xf numFmtId="4" fontId="101"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7" fontId="56" fillId="0" borderId="0"/>
    <xf numFmtId="4" fontId="52" fillId="0" borderId="0" applyFont="0" applyFill="0" applyBorder="0" applyAlignment="0" applyProtection="0"/>
    <xf numFmtId="7" fontId="56" fillId="0" borderId="0"/>
    <xf numFmtId="0" fontId="26" fillId="0" borderId="0"/>
    <xf numFmtId="6" fontId="35" fillId="0" borderId="0" applyFont="0" applyFill="0" applyBorder="0" applyAlignment="0" applyProtection="0"/>
    <xf numFmtId="0" fontId="26" fillId="0" borderId="0"/>
    <xf numFmtId="0" fontId="26" fillId="0" borderId="0"/>
    <xf numFmtId="0" fontId="26" fillId="0" borderId="0"/>
    <xf numFmtId="38" fontId="56" fillId="29" borderId="0" applyNumberFormat="0" applyFon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166" fontId="12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303" fontId="26" fillId="36" borderId="0" applyFont="0" applyFill="0" applyBorder="0" applyAlignment="0"/>
    <xf numFmtId="2" fontId="26" fillId="0" borderId="0" applyFont="0" applyFill="0" applyBorder="0" applyAlignment="0" applyProtection="0"/>
    <xf numFmtId="304" fontId="26" fillId="0" borderId="0" applyFont="0" applyFill="0" applyBorder="0" applyAlignment="0"/>
    <xf numFmtId="0" fontId="26" fillId="0" borderId="0"/>
    <xf numFmtId="0" fontId="26" fillId="0" borderId="0"/>
    <xf numFmtId="0" fontId="26" fillId="0" borderId="0"/>
    <xf numFmtId="0" fontId="26" fillId="0" borderId="0"/>
    <xf numFmtId="0" fontId="122" fillId="0" borderId="0">
      <protection locked="0"/>
    </xf>
    <xf numFmtId="0" fontId="26" fillId="0" borderId="0"/>
    <xf numFmtId="305" fontId="26" fillId="63" borderId="0">
      <alignment horizontal="center"/>
      <protection locked="0"/>
    </xf>
    <xf numFmtId="306" fontId="71" fillId="0" borderId="0">
      <alignment horizontal="right"/>
    </xf>
    <xf numFmtId="0" fontId="26" fillId="0" borderId="0"/>
    <xf numFmtId="0" fontId="26" fillId="0" borderId="0"/>
    <xf numFmtId="0" fontId="26" fillId="0" borderId="0"/>
    <xf numFmtId="0" fontId="26" fillId="0" borderId="0"/>
    <xf numFmtId="0" fontId="26" fillId="0" borderId="0"/>
    <xf numFmtId="2" fontId="26" fillId="36" borderId="33" applyFill="0" applyBorder="0" applyProtection="0">
      <alignment horizontal="center"/>
    </xf>
    <xf numFmtId="2" fontId="26" fillId="36" borderId="33" applyFill="0" applyBorder="0" applyProtection="0">
      <alignment horizontal="center"/>
    </xf>
    <xf numFmtId="2" fontId="26" fillId="36" borderId="33" applyFill="0" applyBorder="0" applyProtection="0">
      <alignment horizontal="center"/>
    </xf>
    <xf numFmtId="2" fontId="26" fillId="36" borderId="33" applyFill="0" applyBorder="0" applyProtection="0">
      <alignment horizontal="center"/>
    </xf>
    <xf numFmtId="2" fontId="26" fillId="36" borderId="33" applyFill="0" applyBorder="0" applyProtection="0">
      <alignment horizontal="center"/>
    </xf>
    <xf numFmtId="2" fontId="26" fillId="36" borderId="33" applyFill="0" applyBorder="0" applyProtection="0">
      <alignment horizont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172" fontId="56" fillId="0" borderId="0" applyFill="0" applyBorder="0" applyAlignment="0" applyProtection="0">
      <alignment horizontal="right"/>
    </xf>
    <xf numFmtId="172" fontId="56" fillId="0" borderId="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23" fillId="0" borderId="0">
      <protection locked="0"/>
    </xf>
    <xf numFmtId="0" fontId="26" fillId="0" borderId="0"/>
    <xf numFmtId="0" fontId="26" fillId="0" borderId="0"/>
    <xf numFmtId="0" fontId="124" fillId="0" borderId="34">
      <alignment horizontal="left" vertical="center"/>
    </xf>
    <xf numFmtId="0" fontId="124" fillId="0" borderId="34">
      <alignment horizontal="left" vertical="center"/>
    </xf>
    <xf numFmtId="0" fontId="124" fillId="0" borderId="34">
      <alignment horizontal="left" vertical="center"/>
    </xf>
    <xf numFmtId="0" fontId="124" fillId="0" borderId="34">
      <alignment horizontal="left" vertical="center"/>
    </xf>
    <xf numFmtId="0" fontId="26" fillId="0" borderId="0"/>
    <xf numFmtId="0" fontId="125" fillId="58" borderId="35" applyNumberFormat="0" applyBorder="0">
      <alignment horizontal="left" vertical="center" indent="1"/>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49" fontId="126" fillId="0" borderId="0">
      <alignment horizontal="centerContinuous"/>
    </xf>
    <xf numFmtId="0" fontId="26" fillId="0" borderId="0"/>
    <xf numFmtId="0" fontId="127" fillId="0" borderId="3" applyFill="0" applyAlignment="0" applyProtection="0">
      <protection locked="0"/>
    </xf>
    <xf numFmtId="0" fontId="127" fillId="0" borderId="3" applyFill="0" applyAlignment="0" applyProtection="0">
      <protection locked="0"/>
    </xf>
    <xf numFmtId="0" fontId="127" fillId="0" borderId="3" applyFill="0" applyAlignment="0" applyProtection="0">
      <protection locked="0"/>
    </xf>
    <xf numFmtId="0" fontId="26" fillId="0" borderId="0"/>
    <xf numFmtId="0" fontId="26" fillId="0" borderId="0"/>
    <xf numFmtId="0" fontId="26" fillId="0" borderId="0"/>
    <xf numFmtId="0" fontId="26" fillId="0" borderId="0"/>
    <xf numFmtId="0" fontId="128" fillId="64" borderId="36">
      <alignment horizontal="left" vertical="center"/>
    </xf>
    <xf numFmtId="0" fontId="128" fillId="64" borderId="36">
      <alignment horizontal="left" vertical="center"/>
    </xf>
    <xf numFmtId="0" fontId="128" fillId="64" borderId="36">
      <alignment horizontal="left" vertical="center"/>
    </xf>
    <xf numFmtId="0" fontId="128" fillId="64" borderId="36">
      <alignment horizontal="left" vertical="center"/>
    </xf>
    <xf numFmtId="0" fontId="128" fillId="64" borderId="36">
      <alignment horizontal="left" vertical="center"/>
    </xf>
    <xf numFmtId="0" fontId="128" fillId="64" borderId="36">
      <alignment horizontal="left" vertical="center"/>
    </xf>
    <xf numFmtId="0" fontId="128" fillId="64" borderId="37" applyBorder="0">
      <alignment horizontal="center" vertical="center" wrapText="1"/>
    </xf>
    <xf numFmtId="0" fontId="128" fillId="64" borderId="37" applyBorder="0">
      <alignment horizontal="center" vertical="center" wrapText="1"/>
    </xf>
    <xf numFmtId="0" fontId="128" fillId="64" borderId="37" applyBorder="0">
      <alignment horizontal="center" vertical="center" wrapText="1"/>
    </xf>
    <xf numFmtId="0" fontId="128" fillId="64" borderId="37" applyBorder="0">
      <alignment horizontal="center" vertical="center" wrapText="1"/>
    </xf>
    <xf numFmtId="0" fontId="128" fillId="64" borderId="37" applyBorder="0">
      <alignment horizontal="center" vertical="center" wrapText="1"/>
    </xf>
    <xf numFmtId="0" fontId="128" fillId="64" borderId="37" applyBorder="0">
      <alignment horizontal="center" vertical="center" wrapText="1"/>
    </xf>
    <xf numFmtId="0" fontId="26" fillId="0" borderId="0"/>
    <xf numFmtId="0" fontId="26" fillId="0" borderId="0"/>
    <xf numFmtId="0" fontId="26" fillId="0" borderId="0"/>
    <xf numFmtId="0" fontId="26" fillId="0" borderId="0"/>
    <xf numFmtId="0" fontId="26" fillId="0" borderId="0"/>
    <xf numFmtId="0" fontId="129" fillId="0" borderId="0" applyNumberFormat="0" applyFill="0" applyBorder="0" applyAlignment="0" applyProtection="0">
      <alignment vertical="top"/>
      <protection locked="0"/>
    </xf>
    <xf numFmtId="0" fontId="130" fillId="0" borderId="0"/>
    <xf numFmtId="0" fontId="41" fillId="0" borderId="0"/>
    <xf numFmtId="270" fontId="35" fillId="0" borderId="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8" fontId="56" fillId="36" borderId="0" applyFont="0" applyBorder="0" applyAlignment="0" applyProtection="0">
      <protection locked="0"/>
    </xf>
    <xf numFmtId="298" fontId="56" fillId="36" borderId="0" applyFont="0" applyBorder="0" applyAlignment="0" applyProtection="0">
      <protection locked="0"/>
    </xf>
    <xf numFmtId="303" fontId="56" fillId="36" borderId="0" applyFont="0" applyBorder="0" applyAlignment="0">
      <protection locked="0"/>
    </xf>
    <xf numFmtId="270" fontId="56" fillId="36" borderId="0">
      <protection locked="0"/>
    </xf>
    <xf numFmtId="307" fontId="56" fillId="36" borderId="0" applyFont="0" applyBorder="0" applyAlignment="0">
      <protection locked="0"/>
    </xf>
    <xf numFmtId="10" fontId="56" fillId="36" borderId="0">
      <protection locked="0"/>
    </xf>
    <xf numFmtId="270" fontId="131" fillId="36" borderId="0" applyNumberFormat="0" applyBorder="0" applyAlignment="0">
      <protection locked="0"/>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32" fillId="0" borderId="0" applyNumberFormat="0" applyFill="0" applyBorder="0" applyAlignment="0">
      <protection locked="0"/>
    </xf>
    <xf numFmtId="8" fontId="133" fillId="0" borderId="30" applyNumberFormat="0" applyFill="0" applyBorder="0" applyAlignment="0" applyProtection="0"/>
    <xf numFmtId="8" fontId="133" fillId="0" borderId="30" applyNumberFormat="0" applyFill="0" applyBorder="0" applyAlignment="0" applyProtection="0"/>
    <xf numFmtId="8" fontId="133" fillId="0" borderId="30" applyNumberFormat="0" applyFill="0" applyBorder="0" applyAlignment="0" applyProtection="0"/>
    <xf numFmtId="8" fontId="133" fillId="0" borderId="30" applyNumberFormat="0" applyFill="0" applyBorder="0" applyAlignment="0" applyProtection="0"/>
    <xf numFmtId="8" fontId="133" fillId="0" borderId="30" applyNumberFormat="0" applyFill="0" applyBorder="0" applyAlignment="0" applyProtection="0"/>
    <xf numFmtId="8" fontId="133" fillId="0" borderId="30" applyNumberFormat="0" applyFill="0" applyBorder="0" applyAlignment="0" applyProtection="0"/>
    <xf numFmtId="270" fontId="56" fillId="36" borderId="0" applyNumberFormat="0" applyFont="0" applyBorder="0" applyAlignment="0" applyProtection="0">
      <alignment horizontal="center"/>
      <protection locked="0"/>
    </xf>
    <xf numFmtId="0" fontId="134" fillId="0" borderId="0" applyNumberFormat="0" applyFill="0" applyBorder="0" applyAlignment="0">
      <protection locked="0"/>
    </xf>
    <xf numFmtId="308" fontId="26" fillId="0" borderId="0" applyFill="0" applyBorder="0" applyAlignment="0">
      <protection locked="0"/>
    </xf>
    <xf numFmtId="0" fontId="26" fillId="0" borderId="0"/>
    <xf numFmtId="0" fontId="26" fillId="0" borderId="0"/>
    <xf numFmtId="0" fontId="26" fillId="0" borderId="0"/>
    <xf numFmtId="0" fontId="26" fillId="0" borderId="0"/>
    <xf numFmtId="309" fontId="26" fillId="0" borderId="0" applyFill="0" applyBorder="0">
      <alignment horizontal="right"/>
      <protection locked="0"/>
    </xf>
    <xf numFmtId="0" fontId="50" fillId="65" borderId="36">
      <alignment horizontal="left" vertical="center" wrapText="1"/>
    </xf>
    <xf numFmtId="0" fontId="50" fillId="65" borderId="36">
      <alignment horizontal="left" vertical="center" wrapText="1"/>
    </xf>
    <xf numFmtId="0" fontId="50" fillId="65" borderId="36">
      <alignment horizontal="left" vertical="center" wrapText="1"/>
    </xf>
    <xf numFmtId="0" fontId="50" fillId="65" borderId="36">
      <alignment horizontal="left" vertical="center" wrapText="1"/>
    </xf>
    <xf numFmtId="0" fontId="50" fillId="65" borderId="36">
      <alignment horizontal="left" vertical="center" wrapText="1"/>
    </xf>
    <xf numFmtId="0" fontId="50" fillId="65" borderId="36">
      <alignment horizontal="left" vertical="center" wrapText="1"/>
    </xf>
    <xf numFmtId="0" fontId="26" fillId="0" borderId="0"/>
    <xf numFmtId="0" fontId="26" fillId="0" borderId="0"/>
    <xf numFmtId="0" fontId="26" fillId="0" borderId="0"/>
    <xf numFmtId="0" fontId="26" fillId="0" borderId="0"/>
    <xf numFmtId="0" fontId="26" fillId="0" borderId="0" applyFont="0" applyFill="0" applyBorder="0" applyAlignment="0" applyProtection="0"/>
    <xf numFmtId="177" fontId="29" fillId="29" borderId="0" applyFont="0">
      <alignment horizont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30" fillId="0" borderId="0" applyNumberFormat="0" applyFont="0" applyFill="0" applyBorder="0" applyProtection="0">
      <alignment horizontal="left" vertical="center"/>
    </xf>
    <xf numFmtId="0" fontId="26" fillId="0" borderId="0"/>
    <xf numFmtId="0" fontId="26" fillId="0" borderId="0"/>
    <xf numFmtId="0" fontId="26" fillId="0" borderId="0"/>
    <xf numFmtId="0" fontId="26" fillId="0" borderId="0"/>
    <xf numFmtId="0" fontId="135" fillId="0" borderId="0" applyNumberFormat="0" applyFill="0" applyBorder="0" applyAlignment="0" applyProtection="0">
      <alignment vertical="top"/>
      <protection locked="0"/>
    </xf>
    <xf numFmtId="1" fontId="56" fillId="0" borderId="3" applyNumberFormat="0" applyFont="0" applyFill="0" applyAlignment="0" applyProtection="0">
      <alignment horizontal="center"/>
    </xf>
    <xf numFmtId="1" fontId="56" fillId="0" borderId="3" applyNumberFormat="0" applyFont="0" applyFill="0" applyAlignment="0" applyProtection="0">
      <alignment horizontal="center"/>
    </xf>
    <xf numFmtId="1" fontId="56" fillId="0" borderId="3" applyNumberFormat="0" applyFont="0" applyFill="0" applyAlignment="0" applyProtection="0">
      <alignment horizontal="center"/>
    </xf>
    <xf numFmtId="0" fontId="26" fillId="0" borderId="0"/>
    <xf numFmtId="2" fontId="26" fillId="0" borderId="0" applyNumberFormat="0" applyBorder="0">
      <alignment horizontal="left"/>
    </xf>
    <xf numFmtId="1" fontId="56" fillId="0" borderId="32" applyNumberFormat="0" applyFont="0" applyFill="0" applyProtection="0">
      <alignment horizontal="center"/>
    </xf>
    <xf numFmtId="1" fontId="56" fillId="0" borderId="32" applyNumberFormat="0" applyFont="0" applyFill="0" applyProtection="0">
      <alignment horizontal="center"/>
    </xf>
    <xf numFmtId="1" fontId="56" fillId="0" borderId="32" applyNumberFormat="0" applyFont="0" applyFill="0" applyProtection="0">
      <alignment horizontal="center"/>
    </xf>
    <xf numFmtId="1" fontId="56" fillId="0" borderId="32" applyNumberFormat="0" applyFont="0" applyFill="0" applyProtection="0">
      <alignment horizontal="center"/>
    </xf>
    <xf numFmtId="1" fontId="56" fillId="0" borderId="32" applyNumberFormat="0" applyFont="0" applyFill="0" applyProtection="0">
      <alignment horizontal="center"/>
    </xf>
    <xf numFmtId="1" fontId="56" fillId="0" borderId="32" applyNumberFormat="0" applyFont="0" applyFill="0" applyProtection="0">
      <alignment horizont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17" fontId="30" fillId="0" borderId="0"/>
    <xf numFmtId="310" fontId="124" fillId="66" borderId="38" applyBorder="0">
      <protection locked="0"/>
    </xf>
    <xf numFmtId="0" fontId="30" fillId="0" borderId="0" applyNumberFormat="0" applyFill="0" applyBorder="0" applyAlignment="0" applyProtection="0"/>
    <xf numFmtId="0" fontId="30" fillId="0" borderId="0" applyNumberFormat="0" applyFill="0" applyBorder="0" applyAlignment="0" applyProtection="0"/>
    <xf numFmtId="0" fontId="136" fillId="0" borderId="0" applyNumberFormat="0" applyFill="0" applyBorder="0" applyAlignment="0" applyProtection="0"/>
    <xf numFmtId="270" fontId="56" fillId="0" borderId="0" applyFill="0" applyBorder="0" applyAlignment="0" applyProtection="0"/>
    <xf numFmtId="0" fontId="26" fillId="0" borderId="0"/>
    <xf numFmtId="0" fontId="26" fillId="0" borderId="0"/>
    <xf numFmtId="0" fontId="30" fillId="0" borderId="0"/>
    <xf numFmtId="311"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312" fontId="26" fillId="0" borderId="3" applyFont="0" applyFill="0" applyBorder="0" applyAlignment="0" applyProtection="0">
      <protection locked="0"/>
    </xf>
    <xf numFmtId="312" fontId="26" fillId="0" borderId="3" applyFont="0" applyFill="0" applyBorder="0" applyAlignment="0" applyProtection="0">
      <protection locked="0"/>
    </xf>
    <xf numFmtId="312" fontId="26" fillId="0" borderId="3" applyFont="0" applyFill="0" applyBorder="0" applyAlignment="0" applyProtection="0">
      <protection locked="0"/>
    </xf>
    <xf numFmtId="0" fontId="26" fillId="0" borderId="0"/>
    <xf numFmtId="0" fontId="26" fillId="0" borderId="0"/>
    <xf numFmtId="0" fontId="26" fillId="0" borderId="0"/>
    <xf numFmtId="243" fontId="26" fillId="0" borderId="0" applyFont="0" applyFill="0" applyBorder="0" applyAlignment="0" applyProtection="0"/>
    <xf numFmtId="243" fontId="26" fillId="0" borderId="0" applyFont="0" applyFill="0" applyBorder="0" applyAlignment="0" applyProtection="0"/>
    <xf numFmtId="313" fontId="26" fillId="0" borderId="0" applyFont="0" applyFill="0" applyBorder="0" applyAlignment="0" applyProtection="0"/>
    <xf numFmtId="278" fontId="26" fillId="0" borderId="0" applyFont="0" applyFill="0" applyBorder="0" applyAlignment="0" applyProtection="0"/>
    <xf numFmtId="314"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17" fontId="117" fillId="0" borderId="0" applyFont="0" applyFill="0" applyBorder="0">
      <alignment horizontal="right"/>
    </xf>
    <xf numFmtId="17" fontId="74" fillId="0" borderId="0" applyFont="0" applyFill="0" applyBorder="0" applyAlignment="0" applyProtection="0">
      <alignment horizontal="center"/>
    </xf>
    <xf numFmtId="315" fontId="30" fillId="0" borderId="3" applyFont="0" applyFill="0" applyBorder="0" applyProtection="0"/>
    <xf numFmtId="315" fontId="30" fillId="0" borderId="3" applyFont="0" applyFill="0" applyBorder="0" applyProtection="0"/>
    <xf numFmtId="315" fontId="30" fillId="0" borderId="3" applyFont="0" applyFill="0" applyBorder="0" applyProtection="0"/>
    <xf numFmtId="316" fontId="30" fillId="0" borderId="3" applyFont="0" applyFill="0" applyBorder="0" applyAlignment="0" applyProtection="0"/>
    <xf numFmtId="316" fontId="30" fillId="0" borderId="3" applyFont="0" applyFill="0" applyBorder="0" applyAlignment="0" applyProtection="0"/>
    <xf numFmtId="316" fontId="30" fillId="0" borderId="3" applyFont="0" applyFill="0" applyBorder="0" applyAlignment="0" applyProtection="0"/>
    <xf numFmtId="0" fontId="26" fillId="0" borderId="0"/>
    <xf numFmtId="315" fontId="30" fillId="0" borderId="0" applyFont="0" applyFill="0" applyBorder="0" applyAlignment="0" applyProtection="0"/>
    <xf numFmtId="316" fontId="30" fillId="0" borderId="0" applyFont="0" applyFill="0" applyBorder="0" applyAlignment="0" applyProtection="0"/>
    <xf numFmtId="317" fontId="52" fillId="0" borderId="0" applyFont="0" applyFill="0" applyBorder="0" applyAlignment="0" applyProtection="0"/>
    <xf numFmtId="318" fontId="35" fillId="0" borderId="0" applyFont="0" applyFill="0" applyBorder="0" applyAlignment="0" applyProtection="0"/>
    <xf numFmtId="319" fontId="52" fillId="0" borderId="0" applyFont="0" applyFill="0" applyBorder="0" applyAlignment="0" applyProtection="0"/>
    <xf numFmtId="0" fontId="26" fillId="0" borderId="0"/>
    <xf numFmtId="320" fontId="52"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167" fontId="56" fillId="29" borderId="0" applyFont="0" applyBorder="0" applyAlignment="0" applyProtection="0">
      <alignment horizontal="right"/>
      <protection hidden="1"/>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40" fontId="50" fillId="0" borderId="0" applyFont="0" applyFill="0" applyBorder="0" applyAlignment="0" applyProtection="0">
      <alignment horizontal="center"/>
    </xf>
    <xf numFmtId="0" fontId="26" fillId="0" borderId="0"/>
    <xf numFmtId="321" fontId="30" fillId="0" borderId="0"/>
    <xf numFmtId="0" fontId="26" fillId="0" borderId="0"/>
    <xf numFmtId="0" fontId="26" fillId="0" borderId="0"/>
    <xf numFmtId="0" fontId="71" fillId="0" borderId="0" applyNumberFormat="0" applyFill="0" applyAlignment="0" applyProtection="0"/>
    <xf numFmtId="0" fontId="26" fillId="0" borderId="0"/>
    <xf numFmtId="0" fontId="26" fillId="0" borderId="0"/>
    <xf numFmtId="322" fontId="26" fillId="0" borderId="0"/>
    <xf numFmtId="0" fontId="26" fillId="0" borderId="0"/>
    <xf numFmtId="0" fontId="37"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38" fontId="56" fillId="0" borderId="0" applyFont="0" applyFill="0" applyBorder="0" applyAlignment="0"/>
    <xf numFmtId="270" fontId="26" fillId="0" borderId="0" applyFont="0" applyFill="0" applyBorder="0" applyAlignment="0"/>
    <xf numFmtId="40" fontId="56" fillId="0" borderId="0" applyFont="0" applyFill="0" applyBorder="0" applyAlignment="0"/>
    <xf numFmtId="274" fontId="56" fillId="0" borderId="0" applyFont="0" applyFill="0" applyBorder="0" applyAlignment="0"/>
    <xf numFmtId="0" fontId="26" fillId="0" borderId="0"/>
    <xf numFmtId="0" fontId="2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0" borderId="0"/>
    <xf numFmtId="0" fontId="26" fillId="0" borderId="0"/>
    <xf numFmtId="0" fontId="26" fillId="0" borderId="0"/>
    <xf numFmtId="0" fontId="26" fillId="0" borderId="0"/>
    <xf numFmtId="0" fontId="21" fillId="0" borderId="0"/>
    <xf numFmtId="0" fontId="26" fillId="0" borderId="0"/>
    <xf numFmtId="0" fontId="21" fillId="0" borderId="0"/>
    <xf numFmtId="0" fontId="26" fillId="0" borderId="0"/>
    <xf numFmtId="0" fontId="21" fillId="0" borderId="0"/>
    <xf numFmtId="0" fontId="26" fillId="0" borderId="0"/>
    <xf numFmtId="0" fontId="21" fillId="0" borderId="0"/>
    <xf numFmtId="0" fontId="26" fillId="0" borderId="0"/>
    <xf numFmtId="0" fontId="26" fillId="0" borderId="0"/>
    <xf numFmtId="0" fontId="21" fillId="0" borderId="0"/>
    <xf numFmtId="0" fontId="26" fillId="0" borderId="0"/>
    <xf numFmtId="0" fontId="21" fillId="0" borderId="0"/>
    <xf numFmtId="0" fontId="21" fillId="0" borderId="0"/>
    <xf numFmtId="0" fontId="26" fillId="0" borderId="0"/>
    <xf numFmtId="0" fontId="26" fillId="0" borderId="0"/>
    <xf numFmtId="0" fontId="26" fillId="0" borderId="0"/>
    <xf numFmtId="0" fontId="26" fillId="0" borderId="0"/>
    <xf numFmtId="0" fontId="26" fillId="0" borderId="0"/>
    <xf numFmtId="0" fontId="109" fillId="0" borderId="0"/>
    <xf numFmtId="0" fontId="26" fillId="0" borderId="0"/>
    <xf numFmtId="0" fontId="26" fillId="0" borderId="0"/>
    <xf numFmtId="0" fontId="29"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47" fontId="2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0" borderId="0"/>
    <xf numFmtId="0" fontId="109" fillId="0" borderId="0"/>
    <xf numFmtId="0" fontId="109"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09" fillId="0" borderId="0"/>
    <xf numFmtId="0" fontId="109" fillId="0" borderId="0"/>
    <xf numFmtId="0" fontId="2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32"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1" fillId="0" borderId="0"/>
    <xf numFmtId="0" fontId="26" fillId="0" borderId="0"/>
    <xf numFmtId="0" fontId="21" fillId="0" borderId="0"/>
    <xf numFmtId="0" fontId="26" fillId="0" borderId="0"/>
    <xf numFmtId="323" fontId="42" fillId="0" borderId="0">
      <alignment horizontal="right"/>
    </xf>
    <xf numFmtId="323" fontId="42" fillId="0" borderId="0">
      <alignment horizontal="right"/>
    </xf>
    <xf numFmtId="0" fontId="26" fillId="0" borderId="0"/>
    <xf numFmtId="1" fontId="74" fillId="0" borderId="0" applyFont="0" applyFill="0" applyBorder="0" applyAlignment="0" applyProtection="0">
      <alignment horizontal="center"/>
    </xf>
    <xf numFmtId="324" fontId="56" fillId="0" borderId="0" applyFont="0" applyFill="0" applyBorder="0" applyAlignment="0" applyProtection="0"/>
    <xf numFmtId="41" fontId="137" fillId="0" borderId="0"/>
    <xf numFmtId="270" fontId="26" fillId="0" borderId="0">
      <alignment horizontal="right"/>
    </xf>
    <xf numFmtId="270" fontId="56" fillId="0" borderId="0"/>
    <xf numFmtId="0" fontId="26" fillId="0" borderId="0"/>
    <xf numFmtId="40" fontId="56" fillId="0" borderId="0"/>
    <xf numFmtId="325" fontId="26" fillId="0" borderId="0"/>
    <xf numFmtId="38" fontId="26" fillId="0" borderId="0"/>
    <xf numFmtId="0" fontId="26" fillId="0" borderId="0"/>
    <xf numFmtId="0" fontId="26" fillId="0" borderId="0"/>
    <xf numFmtId="0" fontId="26" fillId="0" borderId="0"/>
    <xf numFmtId="0" fontId="26" fillId="0" borderId="0"/>
    <xf numFmtId="269" fontId="138" fillId="0" borderId="0">
      <alignment horizontal="right"/>
    </xf>
    <xf numFmtId="0" fontId="26" fillId="0" borderId="0"/>
    <xf numFmtId="0" fontId="26" fillId="0" borderId="0"/>
    <xf numFmtId="0" fontId="26" fillId="0" borderId="0"/>
    <xf numFmtId="39" fontId="56" fillId="0" borderId="0"/>
    <xf numFmtId="0" fontId="26" fillId="0" borderId="0"/>
    <xf numFmtId="40" fontId="26" fillId="0" borderId="0" applyBorder="0">
      <alignment horizontal="right"/>
    </xf>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6" fillId="0" borderId="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0" fontId="26" fillId="0" borderId="0"/>
    <xf numFmtId="0" fontId="21" fillId="3" borderId="1" applyNumberFormat="0" applyFont="0" applyAlignment="0" applyProtection="0"/>
    <xf numFmtId="270" fontId="5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40" fontId="26" fillId="0" borderId="0" applyFont="0" applyFill="0" applyBorder="0" applyAlignment="0" applyProtection="0">
      <alignment horizontal="center"/>
    </xf>
    <xf numFmtId="0" fontId="26" fillId="0" borderId="0"/>
    <xf numFmtId="0" fontId="26" fillId="0" borderId="0"/>
    <xf numFmtId="0" fontId="26" fillId="0" borderId="0"/>
    <xf numFmtId="0" fontId="26" fillId="0" borderId="0"/>
    <xf numFmtId="43" fontId="30" fillId="0" borderId="0" applyFont="0" applyFill="0" applyBorder="0" applyAlignment="0" applyProtection="0"/>
    <xf numFmtId="0" fontId="26" fillId="0" borderId="0"/>
    <xf numFmtId="0" fontId="26" fillId="0" borderId="0"/>
    <xf numFmtId="0" fontId="26" fillId="0" borderId="0"/>
    <xf numFmtId="0" fontId="139" fillId="0" borderId="0">
      <alignment horizontal="left" vertical="top"/>
      <protection locked="0"/>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40" fillId="0" borderId="3" applyNumberFormat="0" applyFill="0" applyBorder="0" applyAlignment="0">
      <protection locked="0"/>
    </xf>
    <xf numFmtId="0" fontId="140" fillId="0" borderId="3" applyNumberFormat="0" applyFill="0" applyBorder="0" applyAlignment="0">
      <protection locked="0"/>
    </xf>
    <xf numFmtId="0" fontId="140" fillId="0" borderId="3" applyNumberFormat="0" applyFill="0" applyBorder="0" applyAlignment="0">
      <protection locked="0"/>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74" fillId="0" borderId="0" applyNumberFormat="0" applyFill="0" applyBorder="0" applyAlignment="0" applyProtection="0"/>
    <xf numFmtId="326" fontId="56" fillId="0" borderId="0"/>
    <xf numFmtId="0" fontId="26" fillId="0" borderId="0"/>
    <xf numFmtId="0" fontId="26" fillId="0" borderId="0"/>
    <xf numFmtId="0" fontId="26" fillId="0" borderId="0"/>
    <xf numFmtId="0" fontId="26" fillId="0" borderId="0"/>
    <xf numFmtId="0" fontId="111" fillId="0" borderId="0"/>
    <xf numFmtId="327" fontId="26" fillId="0" borderId="0" applyFont="0" applyFill="0" applyBorder="0" applyAlignment="0" applyProtection="0"/>
    <xf numFmtId="328" fontId="26" fillId="0" borderId="0" applyFon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329" fontId="52" fillId="0" borderId="0" applyFont="0" applyFill="0" applyBorder="0" applyAlignment="0" applyProtection="0"/>
    <xf numFmtId="165" fontId="141" fillId="0" borderId="0" applyFont="0" applyFill="0" applyBorder="0" applyAlignment="0" applyProtection="0"/>
    <xf numFmtId="0" fontId="26" fillId="0" borderId="0"/>
    <xf numFmtId="0" fontId="26" fillId="0" borderId="0"/>
    <xf numFmtId="0" fontId="26" fillId="0" borderId="0"/>
    <xf numFmtId="330" fontId="26" fillId="0" borderId="0" applyFont="0" applyFill="0" applyBorder="0" applyAlignment="0" applyProtection="0"/>
    <xf numFmtId="331" fontId="26" fillId="0" borderId="0" applyFont="0" applyFill="0" applyBorder="0" applyAlignment="0" applyProtection="0"/>
    <xf numFmtId="276" fontId="26" fillId="0" borderId="0" applyFont="0" applyFill="0" applyBorder="0" applyAlignment="0" applyProtection="0"/>
    <xf numFmtId="278" fontId="30" fillId="0" borderId="0" applyFont="0" applyFill="0" applyBorder="0" applyAlignment="0" applyProtection="0"/>
    <xf numFmtId="185" fontId="30" fillId="0" borderId="0" applyFont="0" applyFill="0" applyBorder="0" applyAlignment="0" applyProtection="0"/>
    <xf numFmtId="332" fontId="30" fillId="0" borderId="0" applyFont="0" applyFill="0" applyBorder="0" applyAlignment="0" applyProtection="0"/>
    <xf numFmtId="282" fontId="26" fillId="0" borderId="0" applyFont="0" applyFill="0" applyBorder="0" applyAlignment="0" applyProtection="0"/>
    <xf numFmtId="0" fontId="26" fillId="0" borderId="0"/>
    <xf numFmtId="0" fontId="26" fillId="0" borderId="0"/>
    <xf numFmtId="0" fontId="26" fillId="0" borderId="0"/>
    <xf numFmtId="9" fontId="21" fillId="0" borderId="0" applyFont="0" applyFill="0" applyBorder="0" applyAlignment="0" applyProtection="0"/>
    <xf numFmtId="9" fontId="109" fillId="0" borderId="0" applyFont="0" applyFill="0" applyBorder="0" applyAlignment="0" applyProtection="0"/>
    <xf numFmtId="9" fontId="26" fillId="0" borderId="0" applyFont="0" applyFill="0" applyBorder="0" applyAlignment="0" applyProtection="0"/>
    <xf numFmtId="9" fontId="21" fillId="0" borderId="0" applyFont="0" applyFill="0" applyBorder="0" applyAlignment="0" applyProtection="0"/>
    <xf numFmtId="0" fontId="26" fillId="0" borderId="0"/>
    <xf numFmtId="9" fontId="26" fillId="0" borderId="0" applyFont="0" applyFill="0" applyBorder="0" applyAlignment="0" applyProtection="0"/>
    <xf numFmtId="0" fontId="26" fillId="0" borderId="0"/>
    <xf numFmtId="9" fontId="26" fillId="0" borderId="0" applyFont="0" applyFill="0" applyBorder="0" applyAlignment="0" applyProtection="0"/>
    <xf numFmtId="0" fontId="26" fillId="0" borderId="0"/>
    <xf numFmtId="9" fontId="26" fillId="0" borderId="0" applyFont="0" applyFill="0" applyBorder="0" applyAlignment="0" applyProtection="0"/>
    <xf numFmtId="0" fontId="26" fillId="0" borderId="0"/>
    <xf numFmtId="9" fontId="26" fillId="0" borderId="0" applyFont="0" applyFill="0" applyBorder="0" applyAlignment="0" applyProtection="0"/>
    <xf numFmtId="9" fontId="26" fillId="0" borderId="0" applyFont="0" applyFill="0" applyBorder="0" applyAlignment="0" applyProtection="0"/>
    <xf numFmtId="0" fontId="26" fillId="0" borderId="0"/>
    <xf numFmtId="9" fontId="26" fillId="0" borderId="0" applyFont="0" applyFill="0" applyBorder="0" applyAlignment="0" applyProtection="0"/>
    <xf numFmtId="9" fontId="32" fillId="0" borderId="0" applyFont="0" applyFill="0" applyBorder="0" applyAlignment="0" applyProtection="0"/>
    <xf numFmtId="0" fontId="26" fillId="0" borderId="0"/>
    <xf numFmtId="9" fontId="26" fillId="0" borderId="0" applyFont="0" applyFill="0" applyBorder="0" applyAlignment="0" applyProtection="0"/>
    <xf numFmtId="0" fontId="26" fillId="0" borderId="0"/>
    <xf numFmtId="9" fontId="88" fillId="0" borderId="0" applyFont="0" applyFill="0" applyBorder="0" applyAlignment="0" applyProtection="0"/>
    <xf numFmtId="0" fontId="26" fillId="0" borderId="0"/>
    <xf numFmtId="0" fontId="26" fillId="0" borderId="0"/>
    <xf numFmtId="0" fontId="26" fillId="0" borderId="0"/>
    <xf numFmtId="9" fontId="26" fillId="0" borderId="0" applyFont="0" applyFill="0" applyBorder="0" applyAlignment="0" applyProtection="0"/>
    <xf numFmtId="0" fontId="26" fillId="0" borderId="0"/>
    <xf numFmtId="0" fontId="26" fillId="0" borderId="0"/>
    <xf numFmtId="307" fontId="74" fillId="0" borderId="0" applyFont="0" applyFill="0" applyBorder="0" applyAlignment="0" applyProtection="0">
      <alignment horizont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333" fontId="26" fillId="0" borderId="0" applyFill="0" applyBorder="0">
      <alignment horizontal="right"/>
      <protection locked="0"/>
    </xf>
    <xf numFmtId="334" fontId="142" fillId="0" borderId="0" applyFont="0" applyFill="0" applyBorder="0" applyAlignment="0" applyProtection="0">
      <protection locked="0"/>
    </xf>
    <xf numFmtId="0" fontId="26" fillId="0" borderId="0"/>
    <xf numFmtId="0" fontId="26" fillId="0" borderId="0"/>
    <xf numFmtId="335" fontId="56" fillId="0" borderId="0" applyFont="0" applyFill="0" applyBorder="0" applyAlignment="0" applyProtection="0"/>
    <xf numFmtId="336" fontId="56" fillId="0" borderId="0" applyFont="0" applyFill="0" applyBorder="0" applyAlignment="0" applyProtection="0"/>
    <xf numFmtId="0" fontId="26" fillId="0" borderId="0"/>
    <xf numFmtId="0" fontId="26" fillId="0" borderId="0"/>
    <xf numFmtId="0" fontId="26" fillId="0" borderId="0"/>
    <xf numFmtId="0" fontId="26" fillId="0" borderId="0"/>
    <xf numFmtId="337" fontId="3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8" fontId="143" fillId="0" borderId="39">
      <alignment horizontal="right"/>
    </xf>
    <xf numFmtId="0" fontId="26" fillId="0" borderId="0"/>
    <xf numFmtId="0" fontId="26" fillId="0" borderId="0"/>
    <xf numFmtId="0" fontId="26" fillId="0" borderId="0"/>
    <xf numFmtId="0" fontId="26" fillId="0" borderId="0"/>
    <xf numFmtId="0" fontId="144" fillId="0" borderId="0"/>
    <xf numFmtId="0" fontId="144" fillId="0" borderId="40">
      <alignment horizontal="right"/>
    </xf>
    <xf numFmtId="0" fontId="14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45" fillId="0" borderId="0"/>
    <xf numFmtId="0" fontId="26" fillId="0" borderId="0"/>
    <xf numFmtId="0" fontId="26" fillId="0" borderId="0"/>
    <xf numFmtId="0" fontId="26" fillId="0" borderId="0"/>
    <xf numFmtId="338" fontId="26" fillId="0" borderId="0">
      <alignment horizontal="right"/>
      <protection locked="0"/>
    </xf>
    <xf numFmtId="0" fontId="26" fillId="0" borderId="0"/>
    <xf numFmtId="0" fontId="26" fillId="0" borderId="0"/>
    <xf numFmtId="0" fontId="26" fillId="0" borderId="0"/>
    <xf numFmtId="0" fontId="26" fillId="0" borderId="0"/>
    <xf numFmtId="0" fontId="26" fillId="0" borderId="0"/>
    <xf numFmtId="270" fontId="146" fillId="0" borderId="0" applyNumberFormat="0" applyFill="0" applyBorder="0" applyAlignment="0" applyProtection="0">
      <alignment horizontal="left"/>
    </xf>
    <xf numFmtId="0" fontId="26" fillId="0" borderId="0"/>
    <xf numFmtId="0" fontId="26" fillId="0" borderId="0"/>
    <xf numFmtId="192" fontId="30" fillId="0" borderId="0">
      <alignment horizontal="right"/>
    </xf>
    <xf numFmtId="0" fontId="26" fillId="0" borderId="0"/>
    <xf numFmtId="339" fontId="26" fillId="0" borderId="41" applyBorder="0">
      <alignment horizontal="right"/>
    </xf>
    <xf numFmtId="339" fontId="26" fillId="0" borderId="41" applyBorder="0">
      <alignment horizontal="right"/>
    </xf>
    <xf numFmtId="339" fontId="26" fillId="0" borderId="41" applyBorder="0">
      <alignment horizontal="right"/>
    </xf>
    <xf numFmtId="339" fontId="26" fillId="0" borderId="41" applyBorder="0">
      <alignment horizontal="right"/>
    </xf>
    <xf numFmtId="0" fontId="26" fillId="0" borderId="0"/>
    <xf numFmtId="0" fontId="26" fillId="0" borderId="0"/>
    <xf numFmtId="0" fontId="26" fillId="0" borderId="0"/>
    <xf numFmtId="0" fontId="26" fillId="0" borderId="0"/>
    <xf numFmtId="0" fontId="26" fillId="0" borderId="0"/>
    <xf numFmtId="0" fontId="26" fillId="0" borderId="0"/>
    <xf numFmtId="0" fontId="147" fillId="0" borderId="0">
      <alignment horizontal="right"/>
    </xf>
    <xf numFmtId="0" fontId="148" fillId="0" borderId="0">
      <alignment horizontal="right"/>
    </xf>
    <xf numFmtId="0" fontId="4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49" fillId="0" borderId="42"/>
    <xf numFmtId="0" fontId="149" fillId="0" borderId="42"/>
    <xf numFmtId="0" fontId="149" fillId="0" borderId="42"/>
    <xf numFmtId="0" fontId="149" fillId="0" borderId="42"/>
    <xf numFmtId="0" fontId="149" fillId="0" borderId="42"/>
    <xf numFmtId="0" fontId="149" fillId="0" borderId="42"/>
    <xf numFmtId="0" fontId="26" fillId="0" borderId="0"/>
    <xf numFmtId="0" fontId="124" fillId="62" borderId="28">
      <alignment horizontal="center" vertical="center" wrapText="1"/>
      <protection hidden="1"/>
    </xf>
    <xf numFmtId="0" fontId="124" fillId="62" borderId="28">
      <alignment horizontal="center" vertical="center" wrapText="1"/>
      <protection hidden="1"/>
    </xf>
    <xf numFmtId="0" fontId="124" fillId="62" borderId="28">
      <alignment horizontal="center" vertical="center" wrapText="1"/>
      <protection hidden="1"/>
    </xf>
    <xf numFmtId="0" fontId="124" fillId="62" borderId="28">
      <alignment horizontal="center" vertical="center" wrapText="1"/>
      <protection hidden="1"/>
    </xf>
    <xf numFmtId="0" fontId="124" fillId="62" borderId="28">
      <alignment horizontal="center" vertical="center" wrapText="1"/>
      <protection hidden="1"/>
    </xf>
    <xf numFmtId="0" fontId="124" fillId="62" borderId="28">
      <alignment horizontal="center" vertical="center" wrapText="1"/>
      <protection hidden="1"/>
    </xf>
    <xf numFmtId="340" fontId="30" fillId="0" borderId="0" applyFont="0" applyFill="0" applyBorder="0" applyAlignment="0" applyProtection="0">
      <alignment vertical="center"/>
    </xf>
    <xf numFmtId="0" fontId="26" fillId="0" borderId="0"/>
    <xf numFmtId="0" fontId="26" fillId="0" borderId="0"/>
    <xf numFmtId="0" fontId="150" fillId="1" borderId="34" applyNumberFormat="0" applyFont="0" applyAlignment="0">
      <alignment horizontal="center"/>
    </xf>
    <xf numFmtId="0" fontId="150" fillId="1" borderId="34" applyNumberFormat="0" applyFont="0" applyAlignment="0">
      <alignment horizontal="center"/>
    </xf>
    <xf numFmtId="0" fontId="150" fillId="1" borderId="34" applyNumberFormat="0" applyFont="0" applyAlignment="0">
      <alignment horizontal="center"/>
    </xf>
    <xf numFmtId="0" fontId="150" fillId="1" borderId="34" applyNumberFormat="0" applyFont="0" applyAlignment="0">
      <alignment horizontal="center"/>
    </xf>
    <xf numFmtId="0" fontId="26" fillId="0" borderId="0"/>
    <xf numFmtId="274" fontId="35" fillId="0" borderId="0" applyFont="0" applyFill="0" applyBorder="0" applyAlignment="0" applyProtection="0"/>
    <xf numFmtId="37" fontId="26" fillId="0" borderId="28" applyBorder="0">
      <alignment horizontal="right"/>
      <protection locked="0"/>
    </xf>
    <xf numFmtId="37" fontId="26" fillId="0" borderId="28" applyBorder="0">
      <alignment horizontal="right"/>
      <protection locked="0"/>
    </xf>
    <xf numFmtId="37" fontId="26" fillId="0" borderId="28" applyBorder="0">
      <alignment horizontal="right"/>
      <protection locked="0"/>
    </xf>
    <xf numFmtId="37" fontId="26" fillId="0" borderId="28" applyBorder="0">
      <alignment horizontal="right"/>
      <protection locked="0"/>
    </xf>
    <xf numFmtId="37" fontId="26" fillId="0" borderId="28" applyBorder="0">
      <alignment horizontal="right"/>
      <protection locked="0"/>
    </xf>
    <xf numFmtId="37" fontId="26" fillId="0" borderId="28" applyBorder="0">
      <alignment horizontal="right"/>
      <protection locked="0"/>
    </xf>
    <xf numFmtId="0" fontId="26" fillId="0" borderId="0"/>
    <xf numFmtId="1" fontId="26" fillId="0" borderId="0"/>
    <xf numFmtId="0" fontId="26" fillId="0" borderId="0"/>
    <xf numFmtId="0" fontId="26" fillId="0" borderId="0"/>
    <xf numFmtId="0" fontId="71" fillId="0" borderId="3" applyNumberFormat="0" applyFill="0" applyAlignment="0" applyProtection="0"/>
    <xf numFmtId="0" fontId="71" fillId="0" borderId="3" applyNumberFormat="0" applyFill="0" applyAlignment="0" applyProtection="0"/>
    <xf numFmtId="0" fontId="71" fillId="0" borderId="3" applyNumberFormat="0" applyFill="0" applyAlignment="0" applyProtection="0"/>
    <xf numFmtId="1" fontId="26" fillId="0" borderId="0" applyNumberFormat="0" applyFill="0" applyBorder="0" applyAlignment="0" applyProtection="0">
      <alignment horizontal="center"/>
    </xf>
    <xf numFmtId="1" fontId="29" fillId="0" borderId="0" applyNumberFormat="0" applyFill="0" applyBorder="0" applyAlignment="0" applyProtection="0">
      <alignment horizontal="center"/>
    </xf>
    <xf numFmtId="0" fontId="26" fillId="0" borderId="0"/>
    <xf numFmtId="0" fontId="26" fillId="0" borderId="0"/>
    <xf numFmtId="0" fontId="26" fillId="0" borderId="0"/>
    <xf numFmtId="289" fontId="30" fillId="0" borderId="0">
      <alignment horizontal="center"/>
    </xf>
    <xf numFmtId="6" fontId="34" fillId="0" borderId="0">
      <alignment horizontal="right" vertical="center"/>
    </xf>
    <xf numFmtId="37" fontId="34" fillId="31" borderId="16">
      <alignment horizontal="right" vertical="center"/>
    </xf>
    <xf numFmtId="38" fontId="34" fillId="0" borderId="0">
      <alignment horizontal="right" vertical="center"/>
    </xf>
    <xf numFmtId="9" fontId="34" fillId="0" borderId="0">
      <alignment horizontal="right" vertical="center"/>
    </xf>
    <xf numFmtId="0" fontId="34" fillId="0" borderId="0"/>
    <xf numFmtId="270" fontId="56" fillId="66" borderId="0" applyNumberFormat="0" applyFont="0" applyBorder="0" applyAlignment="0">
      <protection hidden="1"/>
    </xf>
    <xf numFmtId="0" fontId="26" fillId="0" borderId="0"/>
    <xf numFmtId="0" fontId="52" fillId="0" borderId="43"/>
    <xf numFmtId="0" fontId="52" fillId="0" borderId="43"/>
    <xf numFmtId="0" fontId="26" fillId="0" borderId="0"/>
    <xf numFmtId="0" fontId="26" fillId="0" borderId="0">
      <alignment vertical="top"/>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38" fillId="0" borderId="0">
      <alignment vertical="top"/>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alignment vertical="top"/>
    </xf>
    <xf numFmtId="0" fontId="26" fillId="0" borderId="0"/>
    <xf numFmtId="0" fontId="26" fillId="0" borderId="0"/>
    <xf numFmtId="0" fontId="26" fillId="0" borderId="0"/>
    <xf numFmtId="0" fontId="90" fillId="0" borderId="44" applyNumberFormat="0" applyFill="0" applyProtection="0">
      <alignment horizontal="right" wrapText="1"/>
    </xf>
    <xf numFmtId="0" fontId="90" fillId="0" borderId="44" applyNumberFormat="0" applyFill="0" applyProtection="0">
      <alignment horizontal="right" wrapText="1"/>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56" fillId="0" borderId="0" applyNumberFormat="0" applyFill="0" applyBorder="0" applyAlignment="0" applyProtection="0"/>
    <xf numFmtId="0" fontId="56" fillId="0" borderId="0" applyNumberFormat="0" applyFill="0" applyBorder="0" applyAlignment="0" applyProtection="0"/>
    <xf numFmtId="0" fontId="26" fillId="0" borderId="0"/>
    <xf numFmtId="0" fontId="56" fillId="0" borderId="0" applyNumberFormat="0" applyFill="0" applyBorder="0" applyAlignment="0" applyProtection="0"/>
    <xf numFmtId="0" fontId="56" fillId="0" borderId="0" applyNumberForma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51" fillId="0" borderId="0"/>
    <xf numFmtId="270" fontId="35" fillId="0" borderId="0" applyFill="0" applyBorder="0" applyAlignment="0" applyProtection="0"/>
    <xf numFmtId="0" fontId="26" fillId="0" borderId="0"/>
    <xf numFmtId="0" fontId="45" fillId="0" borderId="45"/>
    <xf numFmtId="0" fontId="152"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341" fontId="153" fillId="0" borderId="44" applyBorder="0" applyProtection="0">
      <alignment horizontal="right" vertical="center"/>
    </xf>
    <xf numFmtId="341" fontId="153" fillId="0" borderId="44" applyBorder="0" applyProtection="0">
      <alignment horizontal="right" vertical="center"/>
    </xf>
    <xf numFmtId="0" fontId="26" fillId="0" borderId="0"/>
    <xf numFmtId="0" fontId="26" fillId="0" borderId="0"/>
    <xf numFmtId="0" fontId="154" fillId="34" borderId="44" applyBorder="0" applyProtection="0">
      <alignment horizontal="centerContinuous" vertical="center"/>
    </xf>
    <xf numFmtId="0" fontId="154" fillId="34" borderId="44" applyBorder="0" applyProtection="0">
      <alignment horizontal="centerContinuous"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46" applyAlignment="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5" fontId="155" fillId="0" borderId="0"/>
    <xf numFmtId="270" fontId="26" fillId="67" borderId="0" applyNumberFormat="0" applyFont="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265" fontId="26" fillId="0" borderId="0" applyFont="0" applyFill="0" applyBorder="0" applyAlignment="0" applyProtection="0">
      <alignment horizontal="center"/>
    </xf>
    <xf numFmtId="0" fontId="156" fillId="0" borderId="2" applyNumberFormat="0" applyFill="0" applyAlignment="0" applyProtection="0"/>
    <xf numFmtId="0" fontId="157" fillId="0" borderId="0" applyNumberFormat="0" applyFill="0" applyBorder="0" applyAlignment="0" applyProtection="0"/>
    <xf numFmtId="0" fontId="165" fillId="0" borderId="0"/>
    <xf numFmtId="9" fontId="178" fillId="0" borderId="0" applyFont="0" applyFill="0" applyBorder="0" applyAlignment="0" applyProtection="0"/>
    <xf numFmtId="44" fontId="197" fillId="0" borderId="0" applyFont="0" applyFill="0" applyBorder="0" applyAlignment="0" applyProtection="0"/>
    <xf numFmtId="9" fontId="197" fillId="0" borderId="0" applyFont="0" applyFill="0" applyBorder="0" applyAlignment="0" applyProtection="0"/>
    <xf numFmtId="43" fontId="197" fillId="0" borderId="0" applyFont="0" applyFill="0" applyBorder="0" applyAlignment="0" applyProtection="0"/>
    <xf numFmtId="43" fontId="178" fillId="0" borderId="0" applyFont="0" applyFill="0" applyBorder="0" applyAlignment="0" applyProtection="0"/>
    <xf numFmtId="43" fontId="178" fillId="0" borderId="0" applyFont="0" applyFill="0" applyBorder="0" applyAlignment="0" applyProtection="0"/>
    <xf numFmtId="43" fontId="20" fillId="0" borderId="0" applyFont="0" applyFill="0" applyBorder="0" applyAlignment="0" applyProtection="0"/>
    <xf numFmtId="9" fontId="20" fillId="0" borderId="0" applyFont="0" applyFill="0" applyBorder="0" applyAlignment="0" applyProtection="0"/>
    <xf numFmtId="44" fontId="20" fillId="0" borderId="0" applyFont="0" applyFill="0" applyBorder="0" applyAlignment="0" applyProtection="0"/>
    <xf numFmtId="0" fontId="54" fillId="32" borderId="64">
      <alignment horizontal="center"/>
    </xf>
    <xf numFmtId="0" fontId="55" fillId="35" borderId="64">
      <alignment horizontal="center" vertical="center"/>
    </xf>
    <xf numFmtId="3" fontId="56" fillId="0" borderId="64"/>
    <xf numFmtId="4" fontId="56" fillId="0" borderId="64"/>
    <xf numFmtId="219" fontId="26" fillId="0" borderId="64">
      <alignment horizontal="center" vertical="center"/>
    </xf>
    <xf numFmtId="0" fontId="57" fillId="0" borderId="64">
      <alignment horizontal="center"/>
    </xf>
    <xf numFmtId="0" fontId="58" fillId="36" borderId="64">
      <alignment horizontal="center"/>
    </xf>
    <xf numFmtId="0" fontId="54" fillId="32" borderId="64"/>
    <xf numFmtId="0" fontId="55" fillId="35" borderId="64">
      <alignment horizontal="center" vertical="center"/>
    </xf>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4" borderId="0" applyNumberFormat="0" applyBorder="0" applyAlignment="0" applyProtection="0"/>
    <xf numFmtId="0" fontId="20" fillId="14" borderId="0" applyNumberFormat="0" applyBorder="0" applyAlignment="0" applyProtection="0"/>
    <xf numFmtId="0" fontId="20" fillId="14"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37" fontId="55" fillId="1" borderId="65">
      <alignment horizontal="centerContinuous" vertical="center"/>
    </xf>
    <xf numFmtId="37" fontId="55" fillId="1" borderId="65">
      <alignment horizontal="centerContinuous"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37" fontId="87" fillId="58" borderId="61" applyBorder="0" applyProtection="0">
      <alignment vertical="center"/>
    </xf>
    <xf numFmtId="177" fontId="35" fillId="0" borderId="65"/>
    <xf numFmtId="177" fontId="35" fillId="0" borderId="65"/>
    <xf numFmtId="177" fontId="35" fillId="0" borderId="65"/>
    <xf numFmtId="177" fontId="35" fillId="0" borderId="65"/>
    <xf numFmtId="177" fontId="35" fillId="0" borderId="65"/>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5" fontId="66" fillId="0" borderId="65" applyAlignment="0" applyProtection="0"/>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0" fontId="103" fillId="61" borderId="64"/>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0" fontId="114" fillId="0" borderId="64"/>
    <xf numFmtId="44"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302" fontId="96" fillId="0" borderId="65" applyFont="0" applyFill="0" applyBorder="0" applyAlignment="0" applyProtection="0">
      <alignment horizontal="center"/>
    </xf>
    <xf numFmtId="302" fontId="96" fillId="0" borderId="65" applyFont="0" applyFill="0" applyBorder="0" applyAlignment="0" applyProtection="0">
      <alignment horizontal="center"/>
    </xf>
    <xf numFmtId="302" fontId="96" fillId="0" borderId="65" applyFont="0" applyFill="0" applyBorder="0" applyAlignment="0" applyProtection="0">
      <alignment horizontal="center"/>
    </xf>
    <xf numFmtId="302" fontId="96" fillId="0" borderId="65" applyFont="0" applyFill="0" applyBorder="0" applyAlignment="0" applyProtection="0">
      <alignment horizontal="center"/>
    </xf>
    <xf numFmtId="302" fontId="96" fillId="0" borderId="65" applyFont="0" applyFill="0" applyBorder="0" applyAlignment="0" applyProtection="0">
      <alignment horizontal="center"/>
    </xf>
    <xf numFmtId="302" fontId="96" fillId="0" borderId="65" applyFont="0" applyFill="0" applyBorder="0" applyAlignment="0" applyProtection="0">
      <alignment horizontal="center"/>
    </xf>
    <xf numFmtId="186" fontId="56" fillId="0" borderId="65" applyFont="0" applyFill="0" applyBorder="0" applyAlignment="0" applyProtection="0">
      <alignment horizontal="center"/>
    </xf>
    <xf numFmtId="186" fontId="56" fillId="0" borderId="65" applyFont="0" applyFill="0" applyBorder="0" applyAlignment="0" applyProtection="0">
      <alignment horizontal="center"/>
    </xf>
    <xf numFmtId="186" fontId="56" fillId="0" borderId="65" applyFont="0" applyFill="0" applyBorder="0" applyAlignment="0" applyProtection="0">
      <alignment horizontal="center"/>
    </xf>
    <xf numFmtId="186" fontId="56" fillId="0" borderId="65" applyFont="0" applyFill="0" applyBorder="0" applyAlignment="0" applyProtection="0">
      <alignment horizontal="center"/>
    </xf>
    <xf numFmtId="186" fontId="56" fillId="0" borderId="65" applyFont="0" applyFill="0" applyBorder="0" applyAlignment="0" applyProtection="0">
      <alignment horizontal="center"/>
    </xf>
    <xf numFmtId="186" fontId="56" fillId="0" borderId="65" applyFont="0" applyFill="0" applyBorder="0" applyAlignment="0" applyProtection="0">
      <alignment horizontal="center"/>
    </xf>
    <xf numFmtId="2" fontId="26" fillId="36" borderId="61" applyFill="0" applyBorder="0" applyProtection="0">
      <alignment horizontal="center"/>
    </xf>
    <xf numFmtId="2" fontId="26" fillId="36" borderId="61" applyFill="0" applyBorder="0" applyProtection="0">
      <alignment horizontal="center"/>
    </xf>
    <xf numFmtId="2" fontId="26" fillId="36" borderId="61" applyFill="0" applyBorder="0" applyProtection="0">
      <alignment horizontal="center"/>
    </xf>
    <xf numFmtId="2" fontId="26" fillId="36" borderId="61" applyFill="0" applyBorder="0" applyProtection="0">
      <alignment horizontal="center"/>
    </xf>
    <xf numFmtId="2" fontId="26" fillId="36" borderId="61" applyFill="0" applyBorder="0" applyProtection="0">
      <alignment horizontal="center"/>
    </xf>
    <xf numFmtId="2" fontId="26" fillId="36" borderId="61" applyFill="0" applyBorder="0" applyProtection="0">
      <alignment horizontal="center"/>
    </xf>
    <xf numFmtId="0" fontId="124" fillId="0" borderId="66">
      <alignment horizontal="left" vertical="center"/>
    </xf>
    <xf numFmtId="0" fontId="124" fillId="0" borderId="66">
      <alignment horizontal="left" vertical="center"/>
    </xf>
    <xf numFmtId="0" fontId="124" fillId="0" borderId="66">
      <alignment horizontal="left" vertical="center"/>
    </xf>
    <xf numFmtId="0" fontId="124" fillId="0" borderId="66">
      <alignment horizontal="left" vertical="center"/>
    </xf>
    <xf numFmtId="1" fontId="56" fillId="0" borderId="65" applyNumberFormat="0" applyFont="0" applyFill="0" applyProtection="0">
      <alignment horizontal="center"/>
    </xf>
    <xf numFmtId="1" fontId="56" fillId="0" borderId="65" applyNumberFormat="0" applyFont="0" applyFill="0" applyProtection="0">
      <alignment horizontal="center"/>
    </xf>
    <xf numFmtId="1" fontId="56" fillId="0" borderId="65" applyNumberFormat="0" applyFont="0" applyFill="0" applyProtection="0">
      <alignment horizontal="center"/>
    </xf>
    <xf numFmtId="1" fontId="56" fillId="0" borderId="65" applyNumberFormat="0" applyFont="0" applyFill="0" applyProtection="0">
      <alignment horizontal="center"/>
    </xf>
    <xf numFmtId="1" fontId="56" fillId="0" borderId="65" applyNumberFormat="0" applyFont="0" applyFill="0" applyProtection="0">
      <alignment horizontal="center"/>
    </xf>
    <xf numFmtId="1" fontId="56" fillId="0" borderId="65" applyNumberFormat="0" applyFont="0" applyFill="0" applyProtection="0">
      <alignment horizontal="center"/>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247" fontId="20" fillId="0" borderId="0"/>
    <xf numFmtId="0" fontId="20" fillId="0" borderId="0"/>
    <xf numFmtId="0" fontId="20" fillId="0" borderId="0"/>
    <xf numFmtId="0" fontId="20" fillId="0" borderId="0"/>
    <xf numFmtId="0" fontId="20" fillId="0" borderId="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0" fontId="20" fillId="3" borderId="1" applyNumberFormat="0" applyFont="0" applyAlignment="0" applyProtection="0"/>
    <xf numFmtId="9" fontId="20" fillId="0" borderId="0" applyFont="0" applyFill="0" applyBorder="0" applyAlignment="0" applyProtection="0"/>
    <xf numFmtId="9" fontId="20" fillId="0" borderId="0" applyFont="0" applyFill="0" applyBorder="0" applyAlignment="0" applyProtection="0"/>
    <xf numFmtId="339" fontId="26" fillId="0" borderId="62" applyBorder="0">
      <alignment horizontal="right"/>
    </xf>
    <xf numFmtId="339" fontId="26" fillId="0" borderId="62" applyBorder="0">
      <alignment horizontal="right"/>
    </xf>
    <xf numFmtId="339" fontId="26" fillId="0" borderId="62" applyBorder="0">
      <alignment horizontal="right"/>
    </xf>
    <xf numFmtId="339" fontId="26" fillId="0" borderId="62" applyBorder="0">
      <alignment horizontal="right"/>
    </xf>
    <xf numFmtId="0" fontId="124" fillId="62" borderId="64">
      <alignment horizontal="center" vertical="center" wrapText="1"/>
      <protection hidden="1"/>
    </xf>
    <xf numFmtId="0" fontId="124" fillId="62" borderId="64">
      <alignment horizontal="center" vertical="center" wrapText="1"/>
      <protection hidden="1"/>
    </xf>
    <xf numFmtId="0" fontId="124" fillId="62" borderId="64">
      <alignment horizontal="center" vertical="center" wrapText="1"/>
      <protection hidden="1"/>
    </xf>
    <xf numFmtId="0" fontId="124" fillId="62" borderId="64">
      <alignment horizontal="center" vertical="center" wrapText="1"/>
      <protection hidden="1"/>
    </xf>
    <xf numFmtId="0" fontId="124" fillId="62" borderId="64">
      <alignment horizontal="center" vertical="center" wrapText="1"/>
      <protection hidden="1"/>
    </xf>
    <xf numFmtId="0" fontId="124" fillId="62" borderId="64">
      <alignment horizontal="center" vertical="center" wrapText="1"/>
      <protection hidden="1"/>
    </xf>
    <xf numFmtId="0" fontId="150" fillId="1" borderId="66" applyNumberFormat="0" applyFont="0" applyAlignment="0">
      <alignment horizontal="center"/>
    </xf>
    <xf numFmtId="0" fontId="150" fillId="1" borderId="66" applyNumberFormat="0" applyFont="0" applyAlignment="0">
      <alignment horizontal="center"/>
    </xf>
    <xf numFmtId="0" fontId="150" fillId="1" borderId="66" applyNumberFormat="0" applyFont="0" applyAlignment="0">
      <alignment horizontal="center"/>
    </xf>
    <xf numFmtId="0" fontId="150" fillId="1" borderId="66" applyNumberFormat="0" applyFont="0" applyAlignment="0">
      <alignment horizontal="center"/>
    </xf>
    <xf numFmtId="37" fontId="26" fillId="0" borderId="64" applyBorder="0">
      <alignment horizontal="right"/>
      <protection locked="0"/>
    </xf>
    <xf numFmtId="37" fontId="26" fillId="0" borderId="64" applyBorder="0">
      <alignment horizontal="right"/>
      <protection locked="0"/>
    </xf>
    <xf numFmtId="37" fontId="26" fillId="0" borderId="64" applyBorder="0">
      <alignment horizontal="right"/>
      <protection locked="0"/>
    </xf>
    <xf numFmtId="37" fontId="26" fillId="0" borderId="64" applyBorder="0">
      <alignment horizontal="right"/>
      <protection locked="0"/>
    </xf>
    <xf numFmtId="37" fontId="26" fillId="0" borderId="64" applyBorder="0">
      <alignment horizontal="right"/>
      <protection locked="0"/>
    </xf>
    <xf numFmtId="37" fontId="26" fillId="0" borderId="64" applyBorder="0">
      <alignment horizontal="right"/>
      <protection locked="0"/>
    </xf>
    <xf numFmtId="0" fontId="199" fillId="0" borderId="0"/>
    <xf numFmtId="43" fontId="199" fillId="0" borderId="0" applyFont="0" applyFill="0" applyBorder="0" applyAlignment="0" applyProtection="0"/>
    <xf numFmtId="44" fontId="199" fillId="0" borderId="0" applyFont="0" applyFill="0" applyBorder="0" applyAlignment="0" applyProtection="0"/>
    <xf numFmtId="0" fontId="20" fillId="0" borderId="0"/>
    <xf numFmtId="0" fontId="52" fillId="0" borderId="0"/>
    <xf numFmtId="0" fontId="35" fillId="0" borderId="0">
      <alignment horizontal="right"/>
    </xf>
    <xf numFmtId="346" fontId="200" fillId="0" borderId="0">
      <alignment horizontal="right"/>
    </xf>
    <xf numFmtId="0" fontId="201" fillId="0" borderId="0"/>
    <xf numFmtId="0" fontId="26" fillId="0" borderId="0"/>
    <xf numFmtId="0" fontId="201" fillId="0" borderId="0"/>
    <xf numFmtId="0" fontId="26" fillId="0" borderId="0"/>
    <xf numFmtId="0" fontId="26" fillId="0" borderId="0"/>
    <xf numFmtId="0" fontId="26" fillId="0" borderId="0"/>
    <xf numFmtId="0" fontId="201" fillId="0" borderId="0"/>
    <xf numFmtId="0" fontId="201" fillId="0" borderId="0"/>
    <xf numFmtId="0" fontId="26" fillId="0" borderId="0"/>
    <xf numFmtId="0" fontId="26" fillId="0" borderId="0"/>
    <xf numFmtId="0" fontId="30" fillId="0" borderId="0">
      <alignment horizontal="right"/>
    </xf>
    <xf numFmtId="0" fontId="30" fillId="29" borderId="0"/>
    <xf numFmtId="0" fontId="26" fillId="29" borderId="0"/>
    <xf numFmtId="0" fontId="202" fillId="29" borderId="0"/>
    <xf numFmtId="0" fontId="202" fillId="29" borderId="0"/>
    <xf numFmtId="0" fontId="30" fillId="29" borderId="0">
      <alignment horizontal="right"/>
    </xf>
    <xf numFmtId="7" fontId="26" fillId="0" borderId="0">
      <alignment horizontal="right"/>
    </xf>
    <xf numFmtId="9" fontId="33" fillId="0" borderId="0" applyFont="0" applyFill="0" applyBorder="0" applyAlignment="0" applyProtection="0"/>
    <xf numFmtId="9" fontId="26" fillId="0" borderId="0"/>
    <xf numFmtId="0" fontId="79" fillId="37" borderId="0" applyNumberFormat="0" applyBorder="0" applyAlignment="0" applyProtection="0"/>
    <xf numFmtId="0" fontId="79" fillId="38" borderId="0" applyNumberFormat="0" applyBorder="0" applyAlignment="0" applyProtection="0"/>
    <xf numFmtId="0" fontId="79" fillId="39" borderId="0" applyNumberFormat="0" applyBorder="0" applyAlignment="0" applyProtection="0"/>
    <xf numFmtId="0" fontId="79" fillId="40" borderId="0" applyNumberFormat="0" applyBorder="0" applyAlignment="0" applyProtection="0"/>
    <xf numFmtId="0" fontId="79" fillId="41" borderId="0" applyNumberFormat="0" applyBorder="0" applyAlignment="0" applyProtection="0"/>
    <xf numFmtId="0" fontId="79" fillId="42" borderId="0" applyNumberFormat="0" applyBorder="0" applyAlignment="0" applyProtection="0"/>
    <xf numFmtId="0" fontId="79" fillId="45" borderId="0" applyNumberFormat="0" applyBorder="0" applyAlignment="0" applyProtection="0"/>
    <xf numFmtId="0" fontId="79" fillId="46" borderId="0" applyNumberFormat="0" applyBorder="0" applyAlignment="0" applyProtection="0"/>
    <xf numFmtId="0" fontId="79" fillId="47" borderId="0" applyNumberFormat="0" applyBorder="0" applyAlignment="0" applyProtection="0"/>
    <xf numFmtId="0" fontId="79" fillId="40" borderId="0" applyNumberFormat="0" applyBorder="0" applyAlignment="0" applyProtection="0"/>
    <xf numFmtId="0" fontId="79" fillId="45" borderId="0" applyNumberFormat="0" applyBorder="0" applyAlignment="0" applyProtection="0"/>
    <xf numFmtId="0" fontId="79" fillId="48" borderId="0" applyNumberFormat="0" applyBorder="0" applyAlignment="0" applyProtection="0"/>
    <xf numFmtId="0" fontId="83" fillId="49" borderId="0" applyNumberFormat="0" applyBorder="0" applyAlignment="0" applyProtection="0"/>
    <xf numFmtId="0" fontId="83" fillId="46" borderId="0" applyNumberFormat="0" applyBorder="0" applyAlignment="0" applyProtection="0"/>
    <xf numFmtId="0" fontId="83" fillId="47" borderId="0" applyNumberFormat="0" applyBorder="0" applyAlignment="0" applyProtection="0"/>
    <xf numFmtId="0" fontId="83" fillId="50" borderId="0" applyNumberFormat="0" applyBorder="0" applyAlignment="0" applyProtection="0"/>
    <xf numFmtId="0" fontId="83" fillId="51" borderId="0" applyNumberFormat="0" applyBorder="0" applyAlignment="0" applyProtection="0"/>
    <xf numFmtId="0" fontId="83" fillId="52" borderId="0" applyNumberFormat="0" applyBorder="0" applyAlignment="0" applyProtection="0"/>
    <xf numFmtId="39" fontId="26" fillId="0" borderId="0" applyFont="0" applyFill="0" applyBorder="0" applyAlignment="0" applyProtection="0"/>
    <xf numFmtId="38" fontId="26" fillId="0" borderId="0"/>
    <xf numFmtId="347" fontId="26" fillId="0" borderId="0" applyFont="0" applyFill="0" applyBorder="0" applyAlignment="0" applyProtection="0"/>
    <xf numFmtId="0" fontId="26" fillId="0" borderId="0"/>
    <xf numFmtId="0" fontId="56" fillId="0" borderId="0"/>
    <xf numFmtId="348" fontId="26" fillId="0" borderId="0" applyFont="0" applyFill="0" applyBorder="0" applyAlignment="0" applyProtection="0"/>
    <xf numFmtId="349" fontId="26" fillId="0" borderId="0" applyFont="0" applyFill="0" applyBorder="0" applyAlignment="0" applyProtection="0"/>
    <xf numFmtId="270" fontId="56" fillId="0" borderId="0"/>
    <xf numFmtId="0" fontId="40" fillId="0" borderId="0">
      <alignment vertical="center"/>
    </xf>
    <xf numFmtId="0" fontId="26" fillId="0" borderId="0" applyNumberFormat="0" applyFill="0" applyBorder="0" applyAlignment="0" applyProtection="0"/>
    <xf numFmtId="0" fontId="203" fillId="0" borderId="0"/>
    <xf numFmtId="0" fontId="26" fillId="0" borderId="0"/>
    <xf numFmtId="0" fontId="204" fillId="0" borderId="0"/>
    <xf numFmtId="0" fontId="26" fillId="0" borderId="0">
      <alignment horizontal="left" wrapText="1"/>
    </xf>
    <xf numFmtId="0" fontId="30" fillId="0" borderId="0" applyFont="0" applyFill="0" applyBorder="0" applyAlignment="0" applyProtection="0"/>
    <xf numFmtId="0" fontId="56" fillId="0" borderId="0" applyFont="0" applyFill="0" applyBorder="0" applyAlignment="0" applyProtection="0"/>
    <xf numFmtId="0" fontId="101" fillId="0" borderId="0"/>
    <xf numFmtId="0" fontId="30" fillId="0" borderId="0"/>
    <xf numFmtId="0" fontId="26" fillId="29" borderId="0"/>
    <xf numFmtId="0" fontId="205" fillId="76" borderId="0"/>
    <xf numFmtId="0" fontId="206" fillId="77" borderId="0"/>
    <xf numFmtId="0" fontId="207" fillId="78" borderId="0"/>
    <xf numFmtId="0" fontId="208" fillId="0" borderId="0"/>
    <xf numFmtId="0" fontId="45" fillId="0" borderId="0"/>
    <xf numFmtId="0" fontId="30" fillId="0" borderId="0"/>
    <xf numFmtId="0" fontId="52" fillId="0" borderId="0" applyFont="0" applyFill="0" applyBorder="0" applyAlignment="0" applyProtection="0"/>
    <xf numFmtId="350" fontId="26" fillId="0" borderId="0" applyFont="0" applyFill="0" applyBorder="0" applyAlignment="0" applyProtection="0"/>
    <xf numFmtId="192" fontId="26" fillId="0" borderId="0" applyFont="0" applyFill="0" applyBorder="0" applyAlignment="0" applyProtection="0"/>
    <xf numFmtId="39" fontId="26" fillId="0" borderId="0" applyFont="0" applyFill="0" applyBorder="0" applyAlignment="0" applyProtection="0"/>
    <xf numFmtId="39" fontId="26" fillId="0" borderId="0" applyFont="0" applyFill="0" applyBorder="0" applyAlignment="0" applyProtection="0"/>
    <xf numFmtId="192" fontId="26" fillId="0" borderId="0" applyFont="0" applyFill="0" applyBorder="0" applyAlignment="0" applyProtection="0"/>
    <xf numFmtId="39" fontId="26" fillId="0" borderId="0" applyFont="0" applyFill="0" applyBorder="0" applyAlignment="0" applyProtection="0"/>
    <xf numFmtId="4" fontId="26" fillId="36" borderId="0"/>
    <xf numFmtId="0" fontId="26" fillId="0" borderId="0" applyFont="0" applyFill="0" applyBorder="0" applyAlignment="0" applyProtection="0"/>
    <xf numFmtId="192" fontId="26" fillId="0" borderId="0" applyFont="0" applyFill="0" applyBorder="0" applyAlignment="0" applyProtection="0"/>
    <xf numFmtId="347" fontId="26" fillId="0" borderId="0" applyFont="0" applyFill="0" applyBorder="0" applyAlignment="0" applyProtection="0"/>
    <xf numFmtId="0" fontId="26" fillId="0" borderId="0">
      <alignment horizontal="right"/>
    </xf>
    <xf numFmtId="0" fontId="26" fillId="0" borderId="0"/>
    <xf numFmtId="184" fontId="30" fillId="0" borderId="0" applyFont="0" applyFill="0" applyBorder="0" applyAlignment="0"/>
    <xf numFmtId="0" fontId="26" fillId="0" borderId="0"/>
    <xf numFmtId="347" fontId="26" fillId="0" borderId="0" applyFont="0" applyFill="0" applyBorder="0" applyAlignment="0" applyProtection="0"/>
    <xf numFmtId="192" fontId="26" fillId="0" borderId="0" applyFont="0" applyFill="0" applyBorder="0" applyAlignment="0" applyProtection="0"/>
    <xf numFmtId="0" fontId="26" fillId="0" borderId="0">
      <alignment horizontal="right"/>
    </xf>
    <xf numFmtId="332" fontId="26" fillId="0" borderId="0" applyFont="0" applyFill="0" applyBorder="0" applyAlignment="0" applyProtection="0"/>
    <xf numFmtId="0" fontId="59" fillId="79" borderId="0"/>
    <xf numFmtId="0" fontId="47" fillId="0" borderId="0" applyNumberFormat="0" applyFill="0" applyBorder="0" applyAlignment="0" applyProtection="0"/>
    <xf numFmtId="0" fontId="47" fillId="0" borderId="0" applyNumberFormat="0" applyFill="0" applyBorder="0" applyAlignment="0" applyProtection="0"/>
    <xf numFmtId="0" fontId="209" fillId="0" borderId="0" applyFont="0" applyFill="0" applyBorder="0" applyAlignment="0" applyProtection="0"/>
    <xf numFmtId="0" fontId="114" fillId="0" borderId="0" applyFont="0" applyFill="0" applyBorder="0" applyAlignment="0" applyProtection="0"/>
    <xf numFmtId="165" fontId="26" fillId="0" borderId="0" applyFont="0" applyFill="0" applyBorder="0" applyAlignment="0" applyProtection="0"/>
    <xf numFmtId="0" fontId="32" fillId="0" borderId="0"/>
    <xf numFmtId="345"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213" fontId="26" fillId="0" borderId="0" applyFont="0" applyFill="0" applyBorder="0" applyAlignment="0" applyProtection="0"/>
    <xf numFmtId="0" fontId="26" fillId="0" borderId="0" applyFont="0" applyFill="0" applyBorder="0" applyProtection="0">
      <alignment horizontal="right"/>
    </xf>
    <xf numFmtId="0" fontId="41" fillId="0" borderId="0" applyFont="0" applyFill="0" applyBorder="0" applyProtection="0">
      <alignment horizontal="right"/>
    </xf>
    <xf numFmtId="0" fontId="26" fillId="0" borderId="0">
      <alignment horizontal="left" wrapText="1"/>
    </xf>
    <xf numFmtId="0" fontId="26" fillId="0" borderId="0">
      <alignment horizontal="left" wrapText="1"/>
    </xf>
    <xf numFmtId="220" fontId="26" fillId="0" borderId="0">
      <alignment horizontal="left" wrapText="1"/>
    </xf>
    <xf numFmtId="0" fontId="52" fillId="0" borderId="0"/>
    <xf numFmtId="184" fontId="30" fillId="0" borderId="0" applyFont="0" applyFill="0" applyBorder="0" applyAlignment="0"/>
    <xf numFmtId="0" fontId="26" fillId="0" borderId="0"/>
    <xf numFmtId="347" fontId="26" fillId="0" borderId="0" applyFont="0" applyFill="0" applyBorder="0" applyAlignment="0" applyProtection="0"/>
    <xf numFmtId="192" fontId="26" fillId="0" borderId="0" applyFont="0" applyFill="0" applyBorder="0" applyAlignment="0" applyProtection="0"/>
    <xf numFmtId="0" fontId="26" fillId="0" borderId="0">
      <alignment horizontal="right"/>
    </xf>
    <xf numFmtId="0" fontId="61" fillId="0" borderId="21" applyNumberFormat="0" applyFill="0" applyProtection="0">
      <alignment horizontal="center"/>
    </xf>
    <xf numFmtId="0" fontId="26" fillId="0" borderId="43" applyNumberFormat="0" applyFont="0" applyFill="0" applyAlignment="0" applyProtection="0"/>
    <xf numFmtId="0" fontId="61" fillId="0" borderId="0" applyNumberFormat="0" applyFill="0" applyBorder="0" applyProtection="0">
      <alignment horizontal="left"/>
    </xf>
    <xf numFmtId="0" fontId="64" fillId="0" borderId="0" applyNumberFormat="0" applyFill="0" applyBorder="0" applyProtection="0">
      <alignment horizontal="centerContinuous"/>
    </xf>
    <xf numFmtId="0" fontId="51" fillId="0" borderId="0" applyNumberFormat="0" applyFill="0" applyBorder="0" applyAlignment="0" applyProtection="0"/>
    <xf numFmtId="351" fontId="26" fillId="0" borderId="0"/>
    <xf numFmtId="352" fontId="26" fillId="0" borderId="0"/>
    <xf numFmtId="0" fontId="26" fillId="0" borderId="0"/>
    <xf numFmtId="353" fontId="26" fillId="0" borderId="0"/>
    <xf numFmtId="354" fontId="26" fillId="0" borderId="0"/>
    <xf numFmtId="191" fontId="25" fillId="0" borderId="0">
      <alignment horizontal="right"/>
    </xf>
    <xf numFmtId="165" fontId="25" fillId="0" borderId="0"/>
    <xf numFmtId="355" fontId="30" fillId="0" borderId="0"/>
    <xf numFmtId="2" fontId="210" fillId="0" borderId="0" applyNumberFormat="0" applyFill="0" applyBorder="0" applyAlignment="0" applyProtection="0"/>
    <xf numFmtId="2" fontId="211" fillId="0" borderId="0" applyNumberFormat="0" applyFill="0" applyBorder="0" applyAlignment="0" applyProtection="0"/>
    <xf numFmtId="0" fontId="201" fillId="0" borderId="0"/>
    <xf numFmtId="9" fontId="209" fillId="0" borderId="0" applyFont="0" applyFill="0" applyBorder="0" applyAlignment="0" applyProtection="0"/>
    <xf numFmtId="0" fontId="41" fillId="80" borderId="0"/>
    <xf numFmtId="0" fontId="212" fillId="0" borderId="67" applyNumberFormat="0" applyFont="0" applyFill="0" applyAlignment="0" applyProtection="0">
      <alignment horizontal="left"/>
      <protection locked="0"/>
    </xf>
    <xf numFmtId="356" fontId="213" fillId="0" borderId="0"/>
    <xf numFmtId="0" fontId="52" fillId="0" borderId="0" applyBorder="0">
      <alignment horizontal="right"/>
    </xf>
    <xf numFmtId="6" fontId="212" fillId="0" borderId="68" applyNumberFormat="0" applyFont="0" applyFill="0" applyAlignment="0" applyProtection="0">
      <alignment horizontal="left"/>
      <protection locked="0"/>
    </xf>
    <xf numFmtId="0" fontId="214" fillId="0" borderId="29" applyNumberFormat="0" applyFont="0" applyBorder="0" applyAlignment="0" applyProtection="0">
      <alignment horizontal="right"/>
    </xf>
    <xf numFmtId="357" fontId="38" fillId="0" borderId="0" applyFill="0" applyProtection="0"/>
    <xf numFmtId="358" fontId="45" fillId="0" borderId="0"/>
    <xf numFmtId="272" fontId="38" fillId="0" borderId="0" applyFont="0" applyFill="0" applyBorder="0" applyProtection="0"/>
    <xf numFmtId="0" fontId="38" fillId="0" borderId="0" applyFill="0" applyProtection="0"/>
    <xf numFmtId="0" fontId="132" fillId="0" borderId="0" applyFont="0" applyFill="0" applyBorder="0" applyAlignment="0" applyProtection="0"/>
    <xf numFmtId="0" fontId="215" fillId="0" borderId="0" applyNumberFormat="0" applyFill="0" applyBorder="0" applyAlignment="0" applyProtection="0"/>
    <xf numFmtId="0" fontId="216" fillId="0" borderId="0" applyNumberFormat="0" applyFont="0" applyFill="0" applyBorder="0" applyProtection="0">
      <alignment horizontal="centerContinuous"/>
    </xf>
    <xf numFmtId="37" fontId="217" fillId="30" borderId="0" applyNumberFormat="0" applyFont="0" applyBorder="0" applyAlignment="0"/>
    <xf numFmtId="0" fontId="218" fillId="0" borderId="0" applyNumberFormat="0" applyFill="0" applyBorder="0" applyAlignment="0" applyProtection="0"/>
    <xf numFmtId="0" fontId="219" fillId="0" borderId="0"/>
    <xf numFmtId="0" fontId="220" fillId="0" borderId="0" applyNumberFormat="0" applyProtection="0"/>
    <xf numFmtId="359" fontId="26" fillId="81" borderId="0" applyNumberFormat="0" applyFont="0" applyBorder="0" applyAlignment="0" applyProtection="0"/>
    <xf numFmtId="360" fontId="26" fillId="0" borderId="0" applyFont="0" applyFill="0" applyBorder="0" applyAlignment="0" applyProtection="0"/>
    <xf numFmtId="361" fontId="114" fillId="0" borderId="0" applyFont="0" applyFill="0" applyBorder="0" applyAlignment="0" applyProtection="0"/>
    <xf numFmtId="2" fontId="221" fillId="82" borderId="0" applyNumberFormat="0" applyFont="0" applyBorder="0" applyAlignment="0" applyProtection="0"/>
    <xf numFmtId="2" fontId="221" fillId="83" borderId="0" applyNumberFormat="0" applyFont="0" applyBorder="0" applyAlignment="0" applyProtection="0"/>
    <xf numFmtId="0" fontId="66" fillId="0" borderId="0" applyNumberFormat="0" applyFill="0" applyBorder="0" applyAlignment="0" applyProtection="0"/>
    <xf numFmtId="0" fontId="222" fillId="0" borderId="69" applyNumberFormat="0" applyFill="0" applyAlignment="0" applyProtection="0"/>
    <xf numFmtId="0" fontId="35" fillId="0" borderId="0" applyFont="0" applyFill="0" applyBorder="0" applyAlignment="0" applyProtection="0"/>
    <xf numFmtId="362" fontId="26" fillId="0" borderId="0"/>
    <xf numFmtId="0" fontId="223" fillId="84" borderId="0" applyNumberFormat="0">
      <alignment horizontal="left"/>
    </xf>
    <xf numFmtId="0" fontId="142" fillId="0" borderId="0" applyFont="0" applyFill="0" applyBorder="0" applyAlignment="0" applyProtection="0"/>
    <xf numFmtId="332" fontId="142" fillId="0" borderId="0" applyFont="0" applyFill="0" applyBorder="0" applyAlignment="0" applyProtection="0"/>
    <xf numFmtId="0" fontId="142" fillId="0" borderId="0" applyFont="0" applyFill="0" applyBorder="0" applyAlignment="0" applyProtection="0">
      <alignment horizontal="right"/>
    </xf>
    <xf numFmtId="0" fontId="224" fillId="0" borderId="70" applyNumberFormat="0" applyFill="0" applyAlignment="0" applyProtection="0"/>
    <xf numFmtId="0" fontId="225" fillId="0" borderId="71" applyNumberFormat="0" applyFill="0" applyAlignment="0" applyProtection="0"/>
    <xf numFmtId="0" fontId="226" fillId="0" borderId="72" applyNumberFormat="0" applyFill="0" applyAlignment="0" applyProtection="0"/>
    <xf numFmtId="0" fontId="226" fillId="0" borderId="0" applyNumberFormat="0" applyFill="0" applyBorder="0" applyAlignment="0" applyProtection="0"/>
    <xf numFmtId="0" fontId="227" fillId="0" borderId="0">
      <alignment horizontal="left"/>
    </xf>
    <xf numFmtId="0" fontId="228" fillId="0" borderId="0">
      <alignment horizontal="left" wrapText="1"/>
    </xf>
    <xf numFmtId="0" fontId="35" fillId="0" borderId="65" applyFont="0" applyFill="0" applyBorder="0" applyAlignment="0" applyProtection="0">
      <alignment horizontal="right"/>
    </xf>
    <xf numFmtId="0" fontId="35" fillId="0" borderId="0" applyFont="0" applyFill="0" applyBorder="0" applyAlignment="0" applyProtection="0"/>
    <xf numFmtId="0" fontId="73" fillId="0" borderId="0" applyNumberFormat="0" applyFill="0" applyBorder="0" applyAlignment="0" applyProtection="0">
      <alignment vertical="top"/>
      <protection locked="0"/>
    </xf>
    <xf numFmtId="0" fontId="20" fillId="0" borderId="0"/>
    <xf numFmtId="0" fontId="56" fillId="0" borderId="0"/>
    <xf numFmtId="43" fontId="19" fillId="0" borderId="0" applyFont="0" applyFill="0" applyBorder="0" applyAlignment="0" applyProtection="0"/>
    <xf numFmtId="9" fontId="19" fillId="0" borderId="0" applyFont="0" applyFill="0" applyBorder="0" applyAlignment="0" applyProtection="0"/>
    <xf numFmtId="44" fontId="19" fillId="0" borderId="0" applyFont="0" applyFill="0" applyBorder="0" applyAlignment="0" applyProtection="0"/>
    <xf numFmtId="0" fontId="51" fillId="0" borderId="77"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51" fillId="0" borderId="77" applyNumberFormat="0" applyFill="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22" borderId="0" applyNumberFormat="0" applyBorder="0" applyAlignment="0" applyProtection="0"/>
    <xf numFmtId="0" fontId="19" fillId="22" borderId="0" applyNumberFormat="0" applyBorder="0" applyAlignment="0" applyProtection="0"/>
    <xf numFmtId="0" fontId="19" fillId="22" borderId="0" applyNumberFormat="0" applyBorder="0" applyAlignment="0" applyProtection="0"/>
    <xf numFmtId="0" fontId="19" fillId="22" borderId="0" applyNumberFormat="0" applyBorder="0" applyAlignment="0" applyProtection="0"/>
    <xf numFmtId="0" fontId="19" fillId="26" borderId="0" applyNumberFormat="0" applyBorder="0" applyAlignment="0" applyProtection="0"/>
    <xf numFmtId="0" fontId="19" fillId="26" borderId="0" applyNumberFormat="0" applyBorder="0" applyAlignment="0" applyProtection="0"/>
    <xf numFmtId="0" fontId="19" fillId="26" borderId="0" applyNumberFormat="0" applyBorder="0" applyAlignment="0" applyProtection="0"/>
    <xf numFmtId="0" fontId="19" fillId="26" borderId="0" applyNumberFormat="0" applyBorder="0" applyAlignment="0" applyProtection="0"/>
    <xf numFmtId="37" fontId="55" fillId="1" borderId="76">
      <alignment horizontal="centerContinuous" vertical="center"/>
    </xf>
    <xf numFmtId="37" fontId="55" fillId="1" borderId="76">
      <alignment horizontal="centerContinuous"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37" fontId="87" fillId="58" borderId="74" applyBorder="0" applyProtection="0">
      <alignment vertical="center"/>
    </xf>
    <xf numFmtId="0" fontId="89" fillId="0" borderId="78" applyNumberFormat="0" applyFill="0" applyBorder="0" applyAlignment="0" applyProtection="0"/>
    <xf numFmtId="0" fontId="89" fillId="0" borderId="78" applyNumberFormat="0" applyFill="0" applyBorder="0" applyAlignment="0" applyProtection="0"/>
    <xf numFmtId="0" fontId="89" fillId="0" borderId="78" applyNumberFormat="0" applyFill="0" applyBorder="0" applyAlignment="0" applyProtection="0"/>
    <xf numFmtId="0" fontId="89" fillId="0" borderId="78" applyNumberFormat="0" applyFill="0" applyBorder="0" applyAlignment="0" applyProtection="0"/>
    <xf numFmtId="0" fontId="89" fillId="0" borderId="78" applyNumberFormat="0" applyFill="0" applyBorder="0" applyAlignment="0" applyProtection="0"/>
    <xf numFmtId="0" fontId="89" fillId="0" borderId="78" applyNumberFormat="0" applyFill="0" applyBorder="0" applyAlignment="0" applyProtection="0"/>
    <xf numFmtId="0" fontId="89" fillId="0" borderId="78" applyNumberFormat="0" applyFill="0" applyBorder="0" applyAlignment="0" applyProtection="0"/>
    <xf numFmtId="0" fontId="89" fillId="0" borderId="78" applyNumberFormat="0" applyFill="0" applyBorder="0" applyAlignment="0" applyProtection="0"/>
    <xf numFmtId="0" fontId="89" fillId="0" borderId="78" applyNumberFormat="0" applyFill="0" applyBorder="0" applyAlignment="0" applyProtection="0"/>
    <xf numFmtId="0" fontId="89" fillId="0" borderId="78" applyNumberFormat="0" applyFill="0" applyBorder="0" applyAlignment="0" applyProtection="0"/>
    <xf numFmtId="0" fontId="89" fillId="0" borderId="78" applyNumberFormat="0" applyFill="0" applyBorder="0" applyAlignment="0" applyProtection="0"/>
    <xf numFmtId="0" fontId="89" fillId="0" borderId="78" applyNumberFormat="0" applyFill="0" applyBorder="0" applyAlignment="0" applyProtection="0"/>
    <xf numFmtId="0" fontId="90" fillId="0" borderId="78" applyNumberFormat="0" applyFill="0" applyBorder="0" applyAlignment="0" applyProtection="0"/>
    <xf numFmtId="0" fontId="90" fillId="0" borderId="78" applyNumberFormat="0" applyFill="0" applyBorder="0" applyAlignment="0" applyProtection="0"/>
    <xf numFmtId="0" fontId="90" fillId="0" borderId="78" applyNumberFormat="0" applyFill="0" applyBorder="0" applyAlignment="0" applyProtection="0"/>
    <xf numFmtId="0" fontId="90" fillId="0" borderId="78" applyNumberFormat="0" applyFill="0" applyBorder="0" applyAlignment="0" applyProtection="0"/>
    <xf numFmtId="0" fontId="90" fillId="0" borderId="78" applyNumberFormat="0" applyFill="0" applyBorder="0" applyAlignment="0" applyProtection="0"/>
    <xf numFmtId="0" fontId="90" fillId="0" borderId="78" applyNumberFormat="0" applyFill="0" applyBorder="0" applyAlignment="0" applyProtection="0"/>
    <xf numFmtId="0" fontId="90" fillId="0" borderId="78" applyNumberFormat="0" applyFill="0" applyBorder="0" applyAlignment="0" applyProtection="0"/>
    <xf numFmtId="0" fontId="90" fillId="0" borderId="78" applyNumberFormat="0" applyFill="0" applyBorder="0" applyAlignment="0" applyProtection="0"/>
    <xf numFmtId="0" fontId="90" fillId="0" borderId="78" applyNumberFormat="0" applyFill="0" applyBorder="0" applyAlignment="0" applyProtection="0"/>
    <xf numFmtId="0" fontId="90" fillId="0" borderId="78" applyNumberFormat="0" applyFill="0" applyBorder="0" applyAlignment="0" applyProtection="0"/>
    <xf numFmtId="0" fontId="90" fillId="0" borderId="78" applyNumberFormat="0" applyFill="0" applyBorder="0" applyAlignment="0" applyProtection="0"/>
    <xf numFmtId="0" fontId="90" fillId="0" borderId="78" applyNumberFormat="0" applyFill="0" applyBorder="0" applyAlignment="0" applyProtection="0"/>
    <xf numFmtId="0" fontId="57" fillId="0" borderId="78" applyNumberFormat="0" applyFill="0" applyBorder="0" applyAlignment="0" applyProtection="0"/>
    <xf numFmtId="0" fontId="57" fillId="0" borderId="78" applyNumberFormat="0" applyFill="0" applyBorder="0" applyAlignment="0" applyProtection="0"/>
    <xf numFmtId="0" fontId="57" fillId="0" borderId="78" applyNumberFormat="0" applyFill="0" applyBorder="0" applyAlignment="0" applyProtection="0"/>
    <xf numFmtId="0" fontId="57" fillId="0" borderId="78" applyNumberFormat="0" applyFill="0" applyBorder="0" applyAlignment="0" applyProtection="0"/>
    <xf numFmtId="0" fontId="57" fillId="0" borderId="78" applyNumberFormat="0" applyFill="0" applyBorder="0" applyAlignment="0" applyProtection="0"/>
    <xf numFmtId="0" fontId="57" fillId="0" borderId="78" applyNumberFormat="0" applyFill="0" applyBorder="0" applyAlignment="0" applyProtection="0"/>
    <xf numFmtId="0" fontId="57" fillId="0" borderId="78" applyNumberFormat="0" applyFill="0" applyBorder="0" applyAlignment="0" applyProtection="0"/>
    <xf numFmtId="0" fontId="57" fillId="0" borderId="78" applyNumberFormat="0" applyFill="0" applyBorder="0" applyAlignment="0" applyProtection="0"/>
    <xf numFmtId="0" fontId="57" fillId="0" borderId="78" applyNumberFormat="0" applyFill="0" applyBorder="0" applyAlignment="0" applyProtection="0"/>
    <xf numFmtId="0" fontId="57" fillId="0" borderId="78" applyNumberFormat="0" applyFill="0" applyBorder="0" applyAlignment="0" applyProtection="0"/>
    <xf numFmtId="0" fontId="57" fillId="0" borderId="78" applyNumberFormat="0" applyFill="0" applyBorder="0" applyAlignment="0" applyProtection="0"/>
    <xf numFmtId="0" fontId="57" fillId="0" borderId="78" applyNumberFormat="0" applyFill="0" applyBorder="0" applyAlignment="0" applyProtection="0"/>
    <xf numFmtId="0" fontId="56" fillId="0" borderId="78" applyNumberFormat="0" applyFill="0" applyAlignment="0" applyProtection="0"/>
    <xf numFmtId="0" fontId="56" fillId="0" borderId="78" applyNumberFormat="0" applyFill="0" applyAlignment="0" applyProtection="0"/>
    <xf numFmtId="0" fontId="56" fillId="0" borderId="78" applyNumberFormat="0" applyFill="0" applyAlignment="0" applyProtection="0"/>
    <xf numFmtId="0" fontId="56" fillId="0" borderId="78" applyNumberFormat="0" applyFill="0" applyAlignment="0" applyProtection="0"/>
    <xf numFmtId="0" fontId="56" fillId="0" borderId="78" applyNumberFormat="0" applyFill="0" applyAlignment="0" applyProtection="0"/>
    <xf numFmtId="0" fontId="56" fillId="0" borderId="78" applyNumberFormat="0" applyFill="0" applyAlignment="0" applyProtection="0"/>
    <xf numFmtId="0" fontId="56" fillId="0" borderId="78" applyNumberFormat="0" applyFill="0" applyAlignment="0" applyProtection="0"/>
    <xf numFmtId="0" fontId="56" fillId="0" borderId="78" applyNumberFormat="0" applyFill="0" applyAlignment="0" applyProtection="0"/>
    <xf numFmtId="177" fontId="35" fillId="0" borderId="76"/>
    <xf numFmtId="177" fontId="35" fillId="0" borderId="76"/>
    <xf numFmtId="177" fontId="35" fillId="0" borderId="76"/>
    <xf numFmtId="177" fontId="35" fillId="0" borderId="76"/>
    <xf numFmtId="177" fontId="35" fillId="0" borderId="76"/>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5" fontId="66" fillId="0" borderId="76" applyAlignment="0" applyProtection="0"/>
    <xf numFmtId="0" fontId="102" fillId="43" borderId="79" applyNumberFormat="0" applyAlignment="0" applyProtection="0"/>
    <xf numFmtId="0" fontId="102" fillId="43" borderId="79" applyNumberFormat="0" applyAlignment="0" applyProtection="0"/>
    <xf numFmtId="0" fontId="102" fillId="43" borderId="79" applyNumberFormat="0" applyAlignment="0" applyProtection="0"/>
    <xf numFmtId="0" fontId="102" fillId="43" borderId="79" applyNumberFormat="0" applyAlignment="0" applyProtection="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0" fontId="103" fillId="61" borderId="8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0" fontId="114" fillId="0" borderId="8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302" fontId="96" fillId="0" borderId="82" applyFont="0" applyFill="0" applyBorder="0" applyAlignment="0" applyProtection="0">
      <alignment horizontal="center"/>
    </xf>
    <xf numFmtId="302" fontId="96" fillId="0" borderId="82" applyFont="0" applyFill="0" applyBorder="0" applyAlignment="0" applyProtection="0">
      <alignment horizontal="center"/>
    </xf>
    <xf numFmtId="302" fontId="96" fillId="0" borderId="82" applyFont="0" applyFill="0" applyBorder="0" applyAlignment="0" applyProtection="0">
      <alignment horizontal="center"/>
    </xf>
    <xf numFmtId="302" fontId="96" fillId="0" borderId="82" applyFont="0" applyFill="0" applyBorder="0" applyAlignment="0" applyProtection="0">
      <alignment horizontal="center"/>
    </xf>
    <xf numFmtId="302" fontId="96" fillId="0" borderId="82" applyFont="0" applyFill="0" applyBorder="0" applyAlignment="0" applyProtection="0">
      <alignment horizontal="center"/>
    </xf>
    <xf numFmtId="302" fontId="96" fillId="0" borderId="82" applyFont="0" applyFill="0" applyBorder="0" applyAlignment="0" applyProtection="0">
      <alignment horizontal="center"/>
    </xf>
    <xf numFmtId="186" fontId="56" fillId="0" borderId="82" applyFont="0" applyFill="0" applyBorder="0" applyAlignment="0" applyProtection="0">
      <alignment horizontal="center"/>
    </xf>
    <xf numFmtId="186" fontId="56" fillId="0" borderId="82" applyFont="0" applyFill="0" applyBorder="0" applyAlignment="0" applyProtection="0">
      <alignment horizontal="center"/>
    </xf>
    <xf numFmtId="186" fontId="56" fillId="0" borderId="82" applyFont="0" applyFill="0" applyBorder="0" applyAlignment="0" applyProtection="0">
      <alignment horizontal="center"/>
    </xf>
    <xf numFmtId="186" fontId="56" fillId="0" borderId="82" applyFont="0" applyFill="0" applyBorder="0" applyAlignment="0" applyProtection="0">
      <alignment horizontal="center"/>
    </xf>
    <xf numFmtId="186" fontId="56" fillId="0" borderId="82" applyFont="0" applyFill="0" applyBorder="0" applyAlignment="0" applyProtection="0">
      <alignment horizontal="center"/>
    </xf>
    <xf numFmtId="186" fontId="56" fillId="0" borderId="82" applyFont="0" applyFill="0" applyBorder="0" applyAlignment="0" applyProtection="0">
      <alignment horizontal="center"/>
    </xf>
    <xf numFmtId="2" fontId="26" fillId="36" borderId="83" applyFill="0" applyBorder="0" applyProtection="0">
      <alignment horizontal="center"/>
    </xf>
    <xf numFmtId="2" fontId="26" fillId="36" borderId="83" applyFill="0" applyBorder="0" applyProtection="0">
      <alignment horizontal="center"/>
    </xf>
    <xf numFmtId="2" fontId="26" fillId="36" borderId="83" applyFill="0" applyBorder="0" applyProtection="0">
      <alignment horizontal="center"/>
    </xf>
    <xf numFmtId="2" fontId="26" fillId="36" borderId="83" applyFill="0" applyBorder="0" applyProtection="0">
      <alignment horizontal="center"/>
    </xf>
    <xf numFmtId="2" fontId="26" fillId="36" borderId="83" applyFill="0" applyBorder="0" applyProtection="0">
      <alignment horizontal="center"/>
    </xf>
    <xf numFmtId="2" fontId="26" fillId="36" borderId="83" applyFill="0" applyBorder="0" applyProtection="0">
      <alignment horizontal="center"/>
    </xf>
    <xf numFmtId="0" fontId="124" fillId="0" borderId="84">
      <alignment horizontal="left" vertical="center"/>
    </xf>
    <xf numFmtId="0" fontId="124" fillId="0" borderId="84">
      <alignment horizontal="left" vertical="center"/>
    </xf>
    <xf numFmtId="0" fontId="124" fillId="0" borderId="84">
      <alignment horizontal="left" vertical="center"/>
    </xf>
    <xf numFmtId="0" fontId="124" fillId="0" borderId="84">
      <alignment horizontal="left" vertical="center"/>
    </xf>
    <xf numFmtId="0" fontId="128" fillId="64" borderId="85">
      <alignment horizontal="left" vertical="center"/>
    </xf>
    <xf numFmtId="0" fontId="128" fillId="64" borderId="85">
      <alignment horizontal="left" vertical="center"/>
    </xf>
    <xf numFmtId="0" fontId="128" fillId="64" borderId="85">
      <alignment horizontal="left" vertical="center"/>
    </xf>
    <xf numFmtId="0" fontId="128" fillId="64" borderId="85">
      <alignment horizontal="left" vertical="center"/>
    </xf>
    <xf numFmtId="0" fontId="128" fillId="64" borderId="85">
      <alignment horizontal="left" vertical="center"/>
    </xf>
    <xf numFmtId="0" fontId="128" fillId="64" borderId="85">
      <alignment horizontal="left" vertical="center"/>
    </xf>
    <xf numFmtId="0" fontId="128" fillId="64" borderId="86" applyBorder="0">
      <alignment horizontal="center" vertical="center" wrapText="1"/>
    </xf>
    <xf numFmtId="0" fontId="128" fillId="64" borderId="86" applyBorder="0">
      <alignment horizontal="center" vertical="center" wrapText="1"/>
    </xf>
    <xf numFmtId="0" fontId="128" fillId="64" borderId="86" applyBorder="0">
      <alignment horizontal="center" vertical="center" wrapText="1"/>
    </xf>
    <xf numFmtId="0" fontId="128" fillId="64" borderId="86" applyBorder="0">
      <alignment horizontal="center" vertical="center" wrapText="1"/>
    </xf>
    <xf numFmtId="0" fontId="128" fillId="64" borderId="86" applyBorder="0">
      <alignment horizontal="center" vertical="center" wrapText="1"/>
    </xf>
    <xf numFmtId="0" fontId="128" fillId="64" borderId="86" applyBorder="0">
      <alignment horizontal="center" vertical="center" wrapText="1"/>
    </xf>
    <xf numFmtId="8" fontId="133" fillId="0" borderId="81" applyNumberFormat="0" applyFill="0" applyBorder="0" applyAlignment="0" applyProtection="0"/>
    <xf numFmtId="8" fontId="133" fillId="0" borderId="81" applyNumberFormat="0" applyFill="0" applyBorder="0" applyAlignment="0" applyProtection="0"/>
    <xf numFmtId="8" fontId="133" fillId="0" borderId="81" applyNumberFormat="0" applyFill="0" applyBorder="0" applyAlignment="0" applyProtection="0"/>
    <xf numFmtId="8" fontId="133" fillId="0" borderId="81" applyNumberFormat="0" applyFill="0" applyBorder="0" applyAlignment="0" applyProtection="0"/>
    <xf numFmtId="8" fontId="133" fillId="0" borderId="81" applyNumberFormat="0" applyFill="0" applyBorder="0" applyAlignment="0" applyProtection="0"/>
    <xf numFmtId="8" fontId="133" fillId="0" borderId="81" applyNumberFormat="0" applyFill="0" applyBorder="0" applyAlignment="0" applyProtection="0"/>
    <xf numFmtId="0" fontId="50" fillId="65" borderId="85">
      <alignment horizontal="left" vertical="center" wrapText="1"/>
    </xf>
    <xf numFmtId="0" fontId="50" fillId="65" borderId="85">
      <alignment horizontal="left" vertical="center" wrapText="1"/>
    </xf>
    <xf numFmtId="0" fontId="50" fillId="65" borderId="85">
      <alignment horizontal="left" vertical="center" wrapText="1"/>
    </xf>
    <xf numFmtId="0" fontId="50" fillId="65" borderId="85">
      <alignment horizontal="left" vertical="center" wrapText="1"/>
    </xf>
    <xf numFmtId="0" fontId="50" fillId="65" borderId="85">
      <alignment horizontal="left" vertical="center" wrapText="1"/>
    </xf>
    <xf numFmtId="0" fontId="50" fillId="65" borderId="85">
      <alignment horizontal="left" vertical="center" wrapText="1"/>
    </xf>
    <xf numFmtId="1" fontId="56" fillId="0" borderId="82" applyNumberFormat="0" applyFont="0" applyFill="0" applyProtection="0">
      <alignment horizontal="center"/>
    </xf>
    <xf numFmtId="1" fontId="56" fillId="0" borderId="82" applyNumberFormat="0" applyFont="0" applyFill="0" applyProtection="0">
      <alignment horizontal="center"/>
    </xf>
    <xf numFmtId="1" fontId="56" fillId="0" borderId="82" applyNumberFormat="0" applyFont="0" applyFill="0" applyProtection="0">
      <alignment horizontal="center"/>
    </xf>
    <xf numFmtId="1" fontId="56" fillId="0" borderId="82" applyNumberFormat="0" applyFont="0" applyFill="0" applyProtection="0">
      <alignment horizontal="center"/>
    </xf>
    <xf numFmtId="1" fontId="56" fillId="0" borderId="82" applyNumberFormat="0" applyFont="0" applyFill="0" applyProtection="0">
      <alignment horizontal="center"/>
    </xf>
    <xf numFmtId="1" fontId="56" fillId="0" borderId="82" applyNumberFormat="0" applyFont="0" applyFill="0" applyProtection="0">
      <alignment horizont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247" fontId="19" fillId="0" borderId="0"/>
    <xf numFmtId="0" fontId="19" fillId="0" borderId="0"/>
    <xf numFmtId="0" fontId="19" fillId="0" borderId="0"/>
    <xf numFmtId="0" fontId="19" fillId="0" borderId="0"/>
    <xf numFmtId="0" fontId="19" fillId="0" borderId="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0" fontId="19" fillId="3" borderId="1" applyNumberFormat="0" applyFont="0" applyAlignment="0" applyProtection="0"/>
    <xf numFmtId="9" fontId="19" fillId="0" borderId="0" applyFont="0" applyFill="0" applyBorder="0" applyAlignment="0" applyProtection="0"/>
    <xf numFmtId="9" fontId="19" fillId="0" borderId="0" applyFont="0" applyFill="0" applyBorder="0" applyAlignment="0" applyProtection="0"/>
    <xf numFmtId="339" fontId="26" fillId="0" borderId="87" applyBorder="0">
      <alignment horizontal="right"/>
    </xf>
    <xf numFmtId="339" fontId="26" fillId="0" borderId="87" applyBorder="0">
      <alignment horizontal="right"/>
    </xf>
    <xf numFmtId="339" fontId="26" fillId="0" borderId="87" applyBorder="0">
      <alignment horizontal="right"/>
    </xf>
    <xf numFmtId="339" fontId="26" fillId="0" borderId="87" applyBorder="0">
      <alignment horizontal="right"/>
    </xf>
    <xf numFmtId="0" fontId="149" fillId="0" borderId="88"/>
    <xf numFmtId="0" fontId="149" fillId="0" borderId="88"/>
    <xf numFmtId="0" fontId="149" fillId="0" borderId="88"/>
    <xf numFmtId="0" fontId="149" fillId="0" borderId="88"/>
    <xf numFmtId="0" fontId="149" fillId="0" borderId="88"/>
    <xf numFmtId="0" fontId="149" fillId="0" borderId="88"/>
    <xf numFmtId="0" fontId="124" fillId="62" borderId="80">
      <alignment horizontal="center" vertical="center" wrapText="1"/>
      <protection hidden="1"/>
    </xf>
    <xf numFmtId="0" fontId="124" fillId="62" borderId="80">
      <alignment horizontal="center" vertical="center" wrapText="1"/>
      <protection hidden="1"/>
    </xf>
    <xf numFmtId="0" fontId="124" fillId="62" borderId="80">
      <alignment horizontal="center" vertical="center" wrapText="1"/>
      <protection hidden="1"/>
    </xf>
    <xf numFmtId="0" fontId="124" fillId="62" borderId="80">
      <alignment horizontal="center" vertical="center" wrapText="1"/>
      <protection hidden="1"/>
    </xf>
    <xf numFmtId="0" fontId="124" fillId="62" borderId="80">
      <alignment horizontal="center" vertical="center" wrapText="1"/>
      <protection hidden="1"/>
    </xf>
    <xf numFmtId="0" fontId="124" fillId="62" borderId="80">
      <alignment horizontal="center" vertical="center" wrapText="1"/>
      <protection hidden="1"/>
    </xf>
    <xf numFmtId="0" fontId="150" fillId="1" borderId="84" applyNumberFormat="0" applyFont="0" applyAlignment="0">
      <alignment horizontal="center"/>
    </xf>
    <xf numFmtId="0" fontId="150" fillId="1" borderId="84" applyNumberFormat="0" applyFont="0" applyAlignment="0">
      <alignment horizontal="center"/>
    </xf>
    <xf numFmtId="0" fontId="150" fillId="1" borderId="84" applyNumberFormat="0" applyFont="0" applyAlignment="0">
      <alignment horizontal="center"/>
    </xf>
    <xf numFmtId="0" fontId="150" fillId="1" borderId="84" applyNumberFormat="0" applyFont="0" applyAlignment="0">
      <alignment horizontal="center"/>
    </xf>
    <xf numFmtId="37" fontId="26" fillId="0" borderId="80" applyBorder="0">
      <alignment horizontal="right"/>
      <protection locked="0"/>
    </xf>
    <xf numFmtId="37" fontId="26" fillId="0" borderId="80" applyBorder="0">
      <alignment horizontal="right"/>
      <protection locked="0"/>
    </xf>
    <xf numFmtId="37" fontId="26" fillId="0" borderId="80" applyBorder="0">
      <alignment horizontal="right"/>
      <protection locked="0"/>
    </xf>
    <xf numFmtId="37" fontId="26" fillId="0" borderId="80" applyBorder="0">
      <alignment horizontal="right"/>
      <protection locked="0"/>
    </xf>
    <xf numFmtId="37" fontId="26" fillId="0" borderId="80" applyBorder="0">
      <alignment horizontal="right"/>
      <protection locked="0"/>
    </xf>
    <xf numFmtId="37" fontId="26" fillId="0" borderId="80" applyBorder="0">
      <alignment horizontal="right"/>
      <protection locked="0"/>
    </xf>
    <xf numFmtId="248" fontId="30" fillId="0" borderId="44"/>
    <xf numFmtId="248" fontId="30" fillId="0" borderId="44"/>
    <xf numFmtId="248" fontId="30" fillId="0" borderId="44"/>
    <xf numFmtId="248" fontId="30" fillId="0" borderId="44"/>
    <xf numFmtId="248" fontId="30" fillId="0" borderId="44"/>
    <xf numFmtId="250" fontId="30" fillId="0" borderId="44"/>
    <xf numFmtId="250" fontId="30" fillId="0" borderId="44"/>
    <xf numFmtId="250" fontId="30" fillId="0" borderId="44"/>
    <xf numFmtId="250" fontId="30" fillId="0" borderId="44"/>
    <xf numFmtId="250" fontId="30" fillId="0" borderId="44"/>
    <xf numFmtId="164" fontId="93" fillId="60" borderId="44">
      <alignment horizontal="center" vertical="center" wrapText="1"/>
    </xf>
    <xf numFmtId="164" fontId="93" fillId="60" borderId="44">
      <alignment horizontal="center" vertical="center" wrapText="1"/>
    </xf>
    <xf numFmtId="164" fontId="93" fillId="60" borderId="44">
      <alignment horizontal="center" vertical="center" wrapText="1"/>
    </xf>
    <xf numFmtId="0" fontId="100" fillId="0" borderId="44" applyNumberFormat="0" applyFill="0" applyAlignment="0" applyProtection="0"/>
    <xf numFmtId="263" fontId="71" fillId="0" borderId="44" applyFill="0" applyAlignment="0" applyProtection="0">
      <alignment horizontal="center"/>
    </xf>
    <xf numFmtId="263" fontId="71" fillId="0" borderId="44" applyFill="0" applyAlignment="0" applyProtection="0">
      <alignment horizontal="center"/>
    </xf>
    <xf numFmtId="263" fontId="71" fillId="0" borderId="44" applyFill="0" applyAlignment="0" applyProtection="0">
      <alignment horizontal="center"/>
    </xf>
    <xf numFmtId="263" fontId="71" fillId="0" borderId="44" applyFill="0" applyAlignment="0" applyProtection="0">
      <alignment horizontal="center"/>
    </xf>
    <xf numFmtId="0" fontId="30" fillId="0" borderId="44" applyBorder="0">
      <alignment horizontal="centerContinuous"/>
    </xf>
    <xf numFmtId="0" fontId="30" fillId="0" borderId="44" applyBorder="0">
      <alignment horizontal="centerContinuous"/>
    </xf>
    <xf numFmtId="0" fontId="30" fillId="0" borderId="44" applyBorder="0">
      <alignment horizontal="centerContinuous"/>
    </xf>
    <xf numFmtId="0" fontId="90" fillId="0" borderId="44" applyNumberFormat="0" applyFill="0" applyProtection="0">
      <alignment horizontal="right" wrapText="1"/>
    </xf>
    <xf numFmtId="0" fontId="90" fillId="0" borderId="44" applyNumberFormat="0" applyFill="0" applyProtection="0">
      <alignment horizontal="left" wrapText="1"/>
    </xf>
    <xf numFmtId="43" fontId="26"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79"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0" fontId="127" fillId="0" borderId="44" applyFill="0" applyAlignment="0" applyProtection="0">
      <protection locked="0"/>
    </xf>
    <xf numFmtId="0" fontId="127" fillId="0" borderId="44" applyFill="0" applyAlignment="0" applyProtection="0">
      <protection locked="0"/>
    </xf>
    <xf numFmtId="0" fontId="127" fillId="0" borderId="44" applyFill="0" applyAlignment="0" applyProtection="0">
      <protection locked="0"/>
    </xf>
    <xf numFmtId="1" fontId="56" fillId="0" borderId="44" applyNumberFormat="0" applyFont="0" applyFill="0" applyAlignment="0" applyProtection="0">
      <alignment horizontal="center"/>
    </xf>
    <xf numFmtId="1" fontId="56" fillId="0" borderId="44" applyNumberFormat="0" applyFont="0" applyFill="0" applyAlignment="0" applyProtection="0">
      <alignment horizontal="center"/>
    </xf>
    <xf numFmtId="1" fontId="56" fillId="0" borderId="44" applyNumberFormat="0" applyFont="0" applyFill="0" applyAlignment="0" applyProtection="0">
      <alignment horizontal="center"/>
    </xf>
    <xf numFmtId="312" fontId="26" fillId="0" borderId="44" applyFont="0" applyFill="0" applyBorder="0" applyAlignment="0" applyProtection="0">
      <protection locked="0"/>
    </xf>
    <xf numFmtId="312" fontId="26" fillId="0" borderId="44" applyFont="0" applyFill="0" applyBorder="0" applyAlignment="0" applyProtection="0">
      <protection locked="0"/>
    </xf>
    <xf numFmtId="312" fontId="26" fillId="0" borderId="44" applyFont="0" applyFill="0" applyBorder="0" applyAlignment="0" applyProtection="0">
      <protection locked="0"/>
    </xf>
    <xf numFmtId="315" fontId="30" fillId="0" borderId="44" applyFont="0" applyFill="0" applyBorder="0" applyProtection="0"/>
    <xf numFmtId="315" fontId="30" fillId="0" borderId="44" applyFont="0" applyFill="0" applyBorder="0" applyProtection="0"/>
    <xf numFmtId="315" fontId="30" fillId="0" borderId="44" applyFont="0" applyFill="0" applyBorder="0" applyProtection="0"/>
    <xf numFmtId="316" fontId="30" fillId="0" borderId="44" applyFont="0" applyFill="0" applyBorder="0" applyAlignment="0" applyProtection="0"/>
    <xf numFmtId="316" fontId="30" fillId="0" borderId="44" applyFont="0" applyFill="0" applyBorder="0" applyAlignment="0" applyProtection="0"/>
    <xf numFmtId="316" fontId="30" fillId="0" borderId="44" applyFont="0" applyFill="0" applyBorder="0" applyAlignment="0" applyProtection="0"/>
    <xf numFmtId="0" fontId="230" fillId="0" borderId="0">
      <alignment wrapText="1"/>
    </xf>
    <xf numFmtId="0" fontId="18" fillId="0" borderId="0"/>
    <xf numFmtId="0" fontId="18" fillId="0" borderId="0"/>
    <xf numFmtId="0" fontId="231" fillId="0" borderId="0"/>
    <xf numFmtId="0" fontId="18" fillId="0" borderId="0"/>
    <xf numFmtId="0" fontId="18" fillId="0" borderId="0"/>
    <xf numFmtId="0" fontId="140" fillId="0" borderId="44" applyNumberFormat="0" applyFill="0" applyBorder="0" applyAlignment="0">
      <protection locked="0"/>
    </xf>
    <xf numFmtId="0" fontId="140" fillId="0" borderId="44" applyNumberFormat="0" applyFill="0" applyBorder="0" applyAlignment="0">
      <protection locked="0"/>
    </xf>
    <xf numFmtId="0" fontId="140" fillId="0" borderId="44" applyNumberFormat="0" applyFill="0" applyBorder="0" applyAlignment="0">
      <protection locked="0"/>
    </xf>
    <xf numFmtId="9" fontId="79" fillId="0" borderId="0" applyFont="0" applyFill="0" applyBorder="0" applyAlignment="0" applyProtection="0"/>
    <xf numFmtId="0" fontId="71" fillId="0" borderId="44" applyNumberFormat="0" applyFill="0" applyAlignment="0" applyProtection="0"/>
    <xf numFmtId="0" fontId="71" fillId="0" borderId="44" applyNumberFormat="0" applyFill="0" applyAlignment="0" applyProtection="0"/>
    <xf numFmtId="0" fontId="71" fillId="0" borderId="44" applyNumberFormat="0" applyFill="0" applyAlignment="0" applyProtection="0"/>
    <xf numFmtId="0" fontId="232" fillId="0" borderId="0" applyAlignment="0"/>
    <xf numFmtId="0" fontId="218" fillId="0" borderId="0" applyNumberFormat="0" applyFill="0" applyBorder="0" applyAlignment="0" applyProtection="0"/>
    <xf numFmtId="0" fontId="197" fillId="0" borderId="0"/>
    <xf numFmtId="0" fontId="17" fillId="0" borderId="0"/>
    <xf numFmtId="0" fontId="56" fillId="0" borderId="0"/>
    <xf numFmtId="9" fontId="26" fillId="0" borderId="0" applyFont="0" applyFill="0" applyBorder="0" applyAlignment="0" applyProtection="0"/>
    <xf numFmtId="0" fontId="17" fillId="0" borderId="0"/>
    <xf numFmtId="44" fontId="17" fillId="0" borderId="0" applyFont="0" applyFill="0" applyBorder="0" applyAlignment="0" applyProtection="0"/>
    <xf numFmtId="15" fontId="90" fillId="0" borderId="0" applyFill="0" applyBorder="0" applyAlignment="0"/>
    <xf numFmtId="297" fontId="90" fillId="36" borderId="0" applyFont="0" applyFill="0" applyBorder="0" applyAlignment="0" applyProtection="0"/>
    <xf numFmtId="17" fontId="90" fillId="0" borderId="0" applyFill="0" applyBorder="0">
      <alignment horizontal="right"/>
    </xf>
    <xf numFmtId="14" fontId="115" fillId="0" borderId="0" applyFill="0" applyBorder="0" applyAlignment="0"/>
    <xf numFmtId="17" fontId="26" fillId="0" borderId="0" applyFont="0" applyFill="0" applyBorder="0" applyAlignment="0" applyProtection="0">
      <alignment horizontal="center"/>
    </xf>
    <xf numFmtId="8" fontId="35" fillId="0" borderId="0" applyFill="0" applyBorder="0" applyProtection="0"/>
    <xf numFmtId="7" fontId="56" fillId="0" borderId="0"/>
    <xf numFmtId="7" fontId="56" fillId="0" borderId="0"/>
    <xf numFmtId="6" fontId="35" fillId="0" borderId="0" applyFont="0" applyFill="0" applyBorder="0" applyAlignment="0" applyProtection="0"/>
    <xf numFmtId="38" fontId="56" fillId="29" borderId="0" applyNumberFormat="0" applyFont="0" applyBorder="0" applyAlignment="0" applyProtection="0"/>
    <xf numFmtId="364" fontId="56" fillId="0" borderId="0">
      <alignment horizontal="left"/>
    </xf>
    <xf numFmtId="0" fontId="29" fillId="0" borderId="0" applyNumberFormat="0" applyFill="0" applyBorder="0" applyProtection="0">
      <alignment wrapText="1"/>
    </xf>
    <xf numFmtId="172" fontId="56" fillId="0" borderId="0" applyFill="0" applyBorder="0" applyAlignment="0" applyProtection="0">
      <alignment horizontal="right"/>
    </xf>
    <xf numFmtId="172" fontId="56" fillId="0" borderId="0" applyFill="0" applyBorder="0" applyAlignment="0" applyProtection="0"/>
    <xf numFmtId="37" fontId="239" fillId="34" borderId="59" applyBorder="0">
      <alignment horizontal="left" vertical="center" indent="1"/>
    </xf>
    <xf numFmtId="0" fontId="124" fillId="0" borderId="93" applyNumberFormat="0" applyAlignment="0" applyProtection="0">
      <alignment horizontal="left" vertical="center"/>
    </xf>
    <xf numFmtId="184" fontId="35" fillId="43" borderId="0" applyFont="0" applyFill="0" applyBorder="0" applyAlignment="0" applyProtection="0">
      <alignment horizontal="left"/>
    </xf>
    <xf numFmtId="270" fontId="35" fillId="0" borderId="0" applyFill="0" applyBorder="0" applyAlignment="0" applyProtection="0"/>
    <xf numFmtId="8" fontId="56" fillId="36" borderId="0" applyFont="0" applyBorder="0" applyAlignment="0" applyProtection="0">
      <protection locked="0"/>
    </xf>
    <xf numFmtId="298" fontId="56" fillId="36" borderId="0" applyFont="0" applyBorder="0" applyAlignment="0" applyProtection="0">
      <protection locked="0"/>
    </xf>
    <xf numFmtId="303" fontId="56" fillId="36" borderId="0" applyFont="0" applyBorder="0" applyAlignment="0">
      <protection locked="0"/>
    </xf>
    <xf numFmtId="270" fontId="56" fillId="36" borderId="0">
      <protection locked="0"/>
    </xf>
    <xf numFmtId="10" fontId="56" fillId="36" borderId="0">
      <protection locked="0"/>
    </xf>
    <xf numFmtId="307" fontId="56" fillId="36" borderId="0" applyFont="0" applyBorder="0" applyAlignment="0">
      <protection locked="0"/>
    </xf>
    <xf numFmtId="307" fontId="56" fillId="36" borderId="0" applyFont="0" applyBorder="0" applyAlignment="0">
      <protection locked="0"/>
    </xf>
    <xf numFmtId="270" fontId="56" fillId="36" borderId="0" applyNumberFormat="0" applyFont="0" applyBorder="0" applyAlignment="0" applyProtection="0">
      <alignment horizontal="center"/>
      <protection locked="0"/>
    </xf>
    <xf numFmtId="177" fontId="29" fillId="29" borderId="0" applyFont="0">
      <alignment horizontal="center"/>
    </xf>
    <xf numFmtId="0" fontId="30" fillId="0" borderId="0" applyNumberFormat="0" applyFont="0" applyFill="0" applyBorder="0" applyProtection="0">
      <alignment horizontal="left" vertical="center"/>
    </xf>
    <xf numFmtId="2" fontId="26" fillId="0" borderId="0" applyNumberFormat="0" applyBorder="0">
      <alignment horizontal="left"/>
    </xf>
    <xf numFmtId="310" fontId="124" fillId="66" borderId="38" applyBorder="0">
      <protection locked="0"/>
    </xf>
    <xf numFmtId="270" fontId="56" fillId="0" borderId="0" applyFill="0" applyBorder="0" applyAlignment="0" applyProtection="0"/>
    <xf numFmtId="167" fontId="56" fillId="29" borderId="0" applyFont="0" applyBorder="0" applyAlignment="0" applyProtection="0">
      <alignment horizontal="right"/>
      <protection hidden="1"/>
    </xf>
    <xf numFmtId="321" fontId="30" fillId="0" borderId="0"/>
    <xf numFmtId="0" fontId="46" fillId="85" borderId="0"/>
    <xf numFmtId="0" fontId="71" fillId="0" borderId="0" applyNumberFormat="0" applyFill="0" applyAlignment="0" applyProtection="0"/>
    <xf numFmtId="0" fontId="37" fillId="0" borderId="0"/>
    <xf numFmtId="38" fontId="56" fillId="0" borderId="0" applyFont="0" applyFill="0" applyBorder="0" applyAlignment="0"/>
    <xf numFmtId="40" fontId="56" fillId="0" borderId="0" applyFont="0" applyFill="0" applyBorder="0" applyAlignment="0"/>
    <xf numFmtId="274" fontId="56" fillId="0" borderId="0" applyFont="0" applyFill="0" applyBorder="0" applyAlignment="0"/>
    <xf numFmtId="0" fontId="26" fillId="0" borderId="0"/>
    <xf numFmtId="270" fontId="90" fillId="0" borderId="0" applyNumberFormat="0" applyFill="0" applyBorder="0" applyAlignment="0" applyProtection="0"/>
    <xf numFmtId="324" fontId="56" fillId="0" borderId="0" applyFont="0" applyFill="0" applyBorder="0" applyAlignment="0" applyProtection="0"/>
    <xf numFmtId="270" fontId="26" fillId="0" borderId="0">
      <alignment horizontal="right"/>
    </xf>
    <xf numFmtId="270" fontId="56" fillId="0" borderId="0"/>
    <xf numFmtId="40" fontId="56" fillId="0" borderId="0"/>
    <xf numFmtId="40" fontId="90" fillId="0" borderId="0">
      <alignment horizontal="left"/>
    </xf>
    <xf numFmtId="0" fontId="74" fillId="0" borderId="0"/>
    <xf numFmtId="40" fontId="26" fillId="0" borderId="0" applyBorder="0">
      <alignment horizontal="right"/>
    </xf>
    <xf numFmtId="270" fontId="56" fillId="0" borderId="0" applyFont="0" applyFill="0" applyBorder="0" applyAlignment="0" applyProtection="0"/>
    <xf numFmtId="365" fontId="71" fillId="0" borderId="0" applyFill="0" applyBorder="0" applyProtection="0">
      <alignment horizontal="center"/>
    </xf>
    <xf numFmtId="40" fontId="26" fillId="0" borderId="0" applyFont="0" applyFill="0" applyBorder="0" applyAlignment="0" applyProtection="0">
      <alignment horizontal="center"/>
    </xf>
    <xf numFmtId="326" fontId="56" fillId="0" borderId="0"/>
    <xf numFmtId="14" fontId="35" fillId="0" borderId="0">
      <alignment horizontal="center" wrapText="1"/>
      <protection locked="0"/>
    </xf>
    <xf numFmtId="307" fontId="56" fillId="0" borderId="0" applyFont="0" applyFill="0" applyBorder="0" applyAlignment="0"/>
    <xf numFmtId="9" fontId="17" fillId="0" borderId="0" applyFont="0" applyFill="0" applyBorder="0" applyAlignment="0" applyProtection="0"/>
    <xf numFmtId="366" fontId="35" fillId="0" borderId="0" applyFont="0" applyFill="0" applyBorder="0" applyProtection="0">
      <alignment horizontal="right"/>
    </xf>
    <xf numFmtId="0" fontId="35" fillId="0" borderId="0" applyFill="0" applyBorder="0" applyAlignment="0" applyProtection="0"/>
    <xf numFmtId="335" fontId="56" fillId="0" borderId="0" applyFont="0" applyFill="0" applyBorder="0" applyAlignment="0" applyProtection="0"/>
    <xf numFmtId="337" fontId="30" fillId="0" borderId="0"/>
    <xf numFmtId="0" fontId="66" fillId="0" borderId="17">
      <alignment horizontal="center"/>
    </xf>
    <xf numFmtId="340" fontId="30" fillId="0" borderId="0" applyFont="0" applyFill="0" applyBorder="0" applyAlignment="0" applyProtection="0">
      <alignment vertical="center"/>
    </xf>
    <xf numFmtId="274" fontId="35" fillId="0" borderId="0" applyFont="0" applyFill="0" applyBorder="0" applyAlignment="0" applyProtection="0"/>
    <xf numFmtId="1" fontId="26" fillId="0" borderId="0" applyNumberFormat="0" applyFill="0" applyBorder="0" applyAlignment="0" applyProtection="0">
      <alignment horizontal="center"/>
    </xf>
    <xf numFmtId="1" fontId="29" fillId="0" borderId="0" applyNumberFormat="0" applyFill="0" applyBorder="0" applyAlignment="0" applyProtection="0">
      <alignment horizontal="center"/>
    </xf>
    <xf numFmtId="270" fontId="56" fillId="66" borderId="0" applyNumberFormat="0" applyFont="0" applyBorder="0" applyAlignment="0">
      <protection hidden="1"/>
    </xf>
    <xf numFmtId="367" fontId="131" fillId="0" borderId="0" applyFill="0" applyBorder="0" applyProtection="0">
      <alignment horizontal="center" wrapText="1"/>
    </xf>
    <xf numFmtId="368" fontId="131" fillId="0" borderId="0" applyFill="0" applyBorder="0" applyProtection="0">
      <alignment horizontal="right" wrapText="1"/>
    </xf>
    <xf numFmtId="0" fontId="16" fillId="0" borderId="0"/>
    <xf numFmtId="0" fontId="16" fillId="0" borderId="0"/>
    <xf numFmtId="0" fontId="178" fillId="0" borderId="0"/>
    <xf numFmtId="9" fontId="178" fillId="0" borderId="0" applyFont="0" applyFill="0" applyBorder="0" applyAlignment="0" applyProtection="0"/>
    <xf numFmtId="9" fontId="26" fillId="0" borderId="0"/>
    <xf numFmtId="0" fontId="15" fillId="0" borderId="0"/>
    <xf numFmtId="43" fontId="15" fillId="0" borderId="0" applyFont="0" applyFill="0" applyBorder="0" applyAlignment="0" applyProtection="0"/>
    <xf numFmtId="0" fontId="15" fillId="0" borderId="0"/>
    <xf numFmtId="0" fontId="14" fillId="0" borderId="0"/>
    <xf numFmtId="0" fontId="14" fillId="0" borderId="0"/>
    <xf numFmtId="0" fontId="13" fillId="0" borderId="0"/>
    <xf numFmtId="43" fontId="79" fillId="0" borderId="0" applyFont="0" applyFill="0" applyBorder="0" applyAlignment="0" applyProtection="0"/>
    <xf numFmtId="43" fontId="247" fillId="0" borderId="0" applyFont="0" applyFill="0" applyBorder="0" applyAlignment="0" applyProtection="0"/>
    <xf numFmtId="44" fontId="13" fillId="0" borderId="0" applyFont="0" applyFill="0" applyBorder="0" applyAlignment="0" applyProtection="0"/>
    <xf numFmtId="0" fontId="12" fillId="0" borderId="0"/>
    <xf numFmtId="43" fontId="12" fillId="0" borderId="0" applyFont="0" applyFill="0" applyBorder="0" applyAlignment="0" applyProtection="0"/>
    <xf numFmtId="0" fontId="12" fillId="0" borderId="0"/>
    <xf numFmtId="43" fontId="12" fillId="0" borderId="0" applyFont="0" applyFill="0" applyBorder="0" applyAlignment="0" applyProtection="0"/>
    <xf numFmtId="44" fontId="12" fillId="0" borderId="0" applyFont="0" applyFill="0" applyBorder="0" applyAlignment="0" applyProtection="0"/>
    <xf numFmtId="0" fontId="178" fillId="0" borderId="0"/>
    <xf numFmtId="0" fontId="11" fillId="0" borderId="0"/>
    <xf numFmtId="0" fontId="11" fillId="0" borderId="0"/>
    <xf numFmtId="43" fontId="11" fillId="0" borderId="0" applyFont="0" applyFill="0" applyBorder="0" applyAlignment="0" applyProtection="0"/>
    <xf numFmtId="0" fontId="10" fillId="0" borderId="0"/>
    <xf numFmtId="44" fontId="10" fillId="0" borderId="0" applyFont="0" applyFill="0" applyBorder="0" applyAlignment="0" applyProtection="0"/>
    <xf numFmtId="43" fontId="10" fillId="0" borderId="0" applyFont="0" applyFill="0" applyBorder="0" applyAlignment="0" applyProtection="0"/>
    <xf numFmtId="296" fontId="10" fillId="0" borderId="0" applyFont="0" applyFill="0" applyBorder="0" applyAlignment="0" applyProtection="0">
      <alignment vertical="center"/>
    </xf>
    <xf numFmtId="0" fontId="277" fillId="0" borderId="0">
      <alignment vertical="center"/>
    </xf>
    <xf numFmtId="296" fontId="277" fillId="0" borderId="0" applyFont="0" applyFill="0" applyBorder="0" applyAlignment="0" applyProtection="0">
      <alignment vertical="center"/>
    </xf>
    <xf numFmtId="43" fontId="9" fillId="0" borderId="0" applyFont="0" applyFill="0" applyBorder="0" applyAlignment="0" applyProtection="0"/>
    <xf numFmtId="9" fontId="9" fillId="0" borderId="0" applyFont="0" applyFill="0" applyBorder="0" applyAlignment="0" applyProtection="0"/>
    <xf numFmtId="44" fontId="9" fillId="0" borderId="0" applyFont="0" applyFill="0" applyBorder="0" applyAlignment="0" applyProtection="0"/>
    <xf numFmtId="43" fontId="178" fillId="0" borderId="0" applyFont="0" applyFill="0" applyBorder="0" applyAlignment="0" applyProtection="0"/>
    <xf numFmtId="0" fontId="8" fillId="0" borderId="0"/>
    <xf numFmtId="0" fontId="8" fillId="0" borderId="0"/>
    <xf numFmtId="43" fontId="8" fillId="0" borderId="0" applyFont="0" applyFill="0" applyBorder="0" applyAlignment="0" applyProtection="0"/>
    <xf numFmtId="0" fontId="26" fillId="0" borderId="0"/>
    <xf numFmtId="43" fontId="8" fillId="0" borderId="0" applyFont="0" applyFill="0" applyBorder="0" applyAlignment="0" applyProtection="0"/>
    <xf numFmtId="9" fontId="109" fillId="0" borderId="0" applyFont="0" applyFill="0" applyBorder="0" applyAlignment="0" applyProtection="0"/>
    <xf numFmtId="0" fontId="7" fillId="0" borderId="0"/>
    <xf numFmtId="44" fontId="178" fillId="0" borderId="0" applyFont="0" applyFill="0" applyBorder="0" applyAlignment="0" applyProtection="0"/>
    <xf numFmtId="0" fontId="2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201" fontId="6" fillId="0" borderId="0" applyFont="0" applyFill="0" applyBorder="0" applyAlignment="0" applyProtection="0"/>
    <xf numFmtId="0" fontId="5" fillId="0" borderId="0"/>
    <xf numFmtId="44" fontId="5" fillId="0" borderId="0" applyFont="0" applyFill="0" applyBorder="0" applyAlignment="0" applyProtection="0"/>
    <xf numFmtId="43" fontId="5" fillId="0" borderId="0" applyFont="0" applyFill="0" applyBorder="0" applyAlignment="0" applyProtection="0"/>
    <xf numFmtId="296" fontId="5" fillId="0" borderId="0" applyFont="0" applyFill="0" applyBorder="0" applyProtection="0"/>
    <xf numFmtId="9" fontId="5" fillId="0" borderId="0" applyFont="0" applyFill="0" applyBorder="0" applyAlignment="0" applyProtection="0"/>
    <xf numFmtId="9" fontId="277" fillId="0" borderId="0" applyFont="0" applyFill="0" applyBorder="0" applyAlignment="0" applyProtection="0"/>
    <xf numFmtId="0" fontId="4" fillId="0" borderId="0"/>
    <xf numFmtId="9" fontId="277" fillId="0" borderId="0" applyFont="0" applyFill="0" applyBorder="0" applyAlignment="0" applyProtection="0">
      <alignment vertical="center"/>
    </xf>
    <xf numFmtId="0" fontId="41" fillId="0" borderId="0"/>
    <xf numFmtId="0"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296" fontId="3" fillId="0" borderId="0" applyFont="0" applyFill="0" applyBorder="0" applyProtection="0"/>
    <xf numFmtId="0" fontId="2" fillId="0" borderId="0"/>
    <xf numFmtId="0" fontId="2" fillId="0" borderId="0"/>
    <xf numFmtId="43" fontId="2" fillId="0" borderId="0" applyFont="0" applyFill="0" applyBorder="0" applyAlignment="0" applyProtection="0"/>
    <xf numFmtId="192" fontId="26" fillId="0" borderId="0" applyFont="0" applyFill="0" applyBorder="0" applyAlignment="0">
      <protection locked="0"/>
    </xf>
    <xf numFmtId="0" fontId="1" fillId="0" borderId="0"/>
    <xf numFmtId="0" fontId="350" fillId="0" borderId="185" applyNumberFormat="0" applyFill="0" applyProtection="0">
      <alignment horizontal="center"/>
    </xf>
    <xf numFmtId="43" fontId="1" fillId="0" borderId="0" applyFont="0" applyFill="0" applyBorder="0" applyAlignment="0" applyProtection="0"/>
    <xf numFmtId="9" fontId="1" fillId="0" borderId="0" applyFont="0" applyFill="0" applyBorder="0" applyAlignment="0" applyProtection="0"/>
    <xf numFmtId="0" fontId="277" fillId="0" borderId="0"/>
    <xf numFmtId="296" fontId="277" fillId="0" borderId="0" applyFont="0" applyFill="0" applyBorder="0" applyAlignment="0" applyProtection="0"/>
    <xf numFmtId="0" fontId="360" fillId="0" borderId="0">
      <alignment horizontal="left"/>
    </xf>
  </cellStyleXfs>
  <cellXfs count="2695">
    <xf numFmtId="0" fontId="0" fillId="0" borderId="0" xfId="0"/>
    <xf numFmtId="0" fontId="160" fillId="0" borderId="0" xfId="0" applyFont="1"/>
    <xf numFmtId="0" fontId="158" fillId="0" borderId="0" xfId="0" applyFont="1" applyAlignment="1">
      <alignment horizontal="left" indent="1"/>
    </xf>
    <xf numFmtId="0" fontId="158" fillId="0" borderId="0" xfId="0" quotePrefix="1" applyFont="1" applyAlignment="1">
      <alignment horizontal="center"/>
    </xf>
    <xf numFmtId="169" fontId="162" fillId="0" borderId="0" xfId="0" applyNumberFormat="1" applyFont="1"/>
    <xf numFmtId="0" fontId="158" fillId="0" borderId="44" xfId="0" applyFont="1" applyBorder="1"/>
    <xf numFmtId="0" fontId="158" fillId="0" borderId="0" xfId="0" applyFont="1" applyAlignment="1">
      <alignment wrapText="1"/>
    </xf>
    <xf numFmtId="8" fontId="158" fillId="0" borderId="0" xfId="0" applyNumberFormat="1" applyFont="1"/>
    <xf numFmtId="0" fontId="163" fillId="0" borderId="0" xfId="0" applyFont="1"/>
    <xf numFmtId="0" fontId="158" fillId="65" borderId="0" xfId="0" quotePrefix="1" applyFont="1" applyFill="1" applyAlignment="1">
      <alignment horizontal="left" indent="1"/>
    </xf>
    <xf numFmtId="43" fontId="164" fillId="68" borderId="54" xfId="11155" applyFont="1" applyFill="1" applyBorder="1" applyAlignment="1"/>
    <xf numFmtId="43" fontId="164" fillId="68" borderId="0" xfId="11155" applyFont="1" applyFill="1" applyBorder="1" applyAlignment="1"/>
    <xf numFmtId="43" fontId="164" fillId="68" borderId="55" xfId="11155" applyFont="1" applyFill="1" applyBorder="1" applyAlignment="1"/>
    <xf numFmtId="43" fontId="164" fillId="68" borderId="55" xfId="11155" applyFont="1" applyFill="1" applyBorder="1" applyAlignment="1">
      <alignment horizontal="right"/>
    </xf>
    <xf numFmtId="0" fontId="166" fillId="69" borderId="54" xfId="12421" applyFont="1" applyFill="1" applyBorder="1"/>
    <xf numFmtId="0" fontId="167" fillId="0" borderId="0" xfId="0" applyFont="1"/>
    <xf numFmtId="0" fontId="158" fillId="0" borderId="0" xfId="0" applyFont="1" applyBorder="1"/>
    <xf numFmtId="0" fontId="158" fillId="0" borderId="0" xfId="0" applyFont="1" applyAlignment="1">
      <alignment horizontal="left"/>
    </xf>
    <xf numFmtId="10" fontId="158" fillId="0" borderId="0" xfId="0" applyNumberFormat="1" applyFont="1"/>
    <xf numFmtId="0" fontId="160" fillId="0" borderId="34" xfId="0" applyFont="1" applyBorder="1"/>
    <xf numFmtId="0" fontId="30" fillId="0" borderId="0" xfId="0" applyFont="1" applyFill="1"/>
    <xf numFmtId="0" fontId="30" fillId="0" borderId="0" xfId="0" applyFont="1" applyFill="1" applyAlignment="1">
      <alignment horizontal="center"/>
    </xf>
    <xf numFmtId="0" fontId="30" fillId="0" borderId="0" xfId="0" quotePrefix="1" applyFont="1" applyFill="1" applyAlignment="1">
      <alignment horizontal="left" indent="1"/>
    </xf>
    <xf numFmtId="0" fontId="30" fillId="65" borderId="0" xfId="0" quotePrefix="1" applyFont="1" applyFill="1" applyAlignment="1">
      <alignment horizontal="left" indent="1"/>
    </xf>
    <xf numFmtId="0" fontId="160" fillId="0" borderId="0" xfId="0" applyFont="1" applyBorder="1"/>
    <xf numFmtId="165" fontId="168" fillId="0" borderId="0" xfId="0" applyNumberFormat="1" applyFont="1" applyBorder="1"/>
    <xf numFmtId="0" fontId="160" fillId="71" borderId="33" xfId="0" applyFont="1" applyFill="1" applyBorder="1"/>
    <xf numFmtId="0" fontId="160" fillId="71" borderId="34" xfId="0" applyFont="1" applyFill="1" applyBorder="1"/>
    <xf numFmtId="0" fontId="160" fillId="71" borderId="41" xfId="0" applyFont="1" applyFill="1" applyBorder="1"/>
    <xf numFmtId="0" fontId="30" fillId="71" borderId="34" xfId="0" applyFont="1" applyFill="1" applyBorder="1"/>
    <xf numFmtId="0" fontId="170" fillId="72" borderId="28" xfId="0" applyFont="1" applyFill="1" applyBorder="1" applyAlignment="1">
      <alignment horizontal="center"/>
    </xf>
    <xf numFmtId="0" fontId="170" fillId="72" borderId="28" xfId="0" applyFont="1" applyFill="1" applyBorder="1" applyAlignment="1">
      <alignment horizontal="left"/>
    </xf>
    <xf numFmtId="0" fontId="171" fillId="0" borderId="0" xfId="0" applyFont="1"/>
    <xf numFmtId="0" fontId="170" fillId="72" borderId="33" xfId="0" applyFont="1" applyFill="1" applyBorder="1" applyAlignment="1">
      <alignment horizontal="centerContinuous"/>
    </xf>
    <xf numFmtId="0" fontId="170" fillId="72" borderId="34" xfId="0" applyFont="1" applyFill="1" applyBorder="1" applyAlignment="1">
      <alignment horizontal="centerContinuous"/>
    </xf>
    <xf numFmtId="0" fontId="170" fillId="72" borderId="41" xfId="0" applyFont="1" applyFill="1" applyBorder="1" applyAlignment="1">
      <alignment horizontal="centerContinuous"/>
    </xf>
    <xf numFmtId="169" fontId="160" fillId="0" borderId="0" xfId="0" applyNumberFormat="1" applyFont="1"/>
    <xf numFmtId="0" fontId="163" fillId="0" borderId="0" xfId="0" applyFont="1" applyAlignment="1">
      <alignment horizontal="left" indent="1"/>
    </xf>
    <xf numFmtId="165" fontId="163" fillId="0" borderId="0" xfId="0" applyNumberFormat="1" applyFont="1" applyAlignment="1">
      <alignment horizontal="right"/>
    </xf>
    <xf numFmtId="0" fontId="160" fillId="0" borderId="0" xfId="0" applyFont="1" applyAlignment="1">
      <alignment horizontal="left"/>
    </xf>
    <xf numFmtId="169" fontId="30" fillId="0" borderId="0" xfId="0" applyNumberFormat="1" applyFont="1" applyFill="1"/>
    <xf numFmtId="165" fontId="132" fillId="0" borderId="0" xfId="0" applyNumberFormat="1" applyFont="1"/>
    <xf numFmtId="168" fontId="158" fillId="0" borderId="0" xfId="0" applyNumberFormat="1" applyFont="1"/>
    <xf numFmtId="165" fontId="30" fillId="0" borderId="0" xfId="0" applyNumberFormat="1" applyFont="1" applyFill="1"/>
    <xf numFmtId="0" fontId="160" fillId="0" borderId="0" xfId="0" applyFont="1" applyBorder="1" applyAlignment="1">
      <alignment horizontal="centerContinuous"/>
    </xf>
    <xf numFmtId="169" fontId="158" fillId="0" borderId="13" xfId="0" applyNumberFormat="1" applyFont="1" applyBorder="1"/>
    <xf numFmtId="0" fontId="161" fillId="0" borderId="0" xfId="0" applyFont="1" applyFill="1" applyBorder="1"/>
    <xf numFmtId="0" fontId="158" fillId="65" borderId="0" xfId="0" applyFont="1" applyFill="1"/>
    <xf numFmtId="0" fontId="174" fillId="0" borderId="0" xfId="0" applyFont="1"/>
    <xf numFmtId="0" fontId="158" fillId="0" borderId="0" xfId="0" applyFont="1" applyFill="1" applyBorder="1" applyAlignment="1">
      <alignment horizontal="left" indent="1"/>
    </xf>
    <xf numFmtId="0" fontId="132" fillId="0" borderId="0" xfId="0" applyFont="1" applyAlignment="1">
      <alignment horizontal="center"/>
    </xf>
    <xf numFmtId="165" fontId="158" fillId="0" borderId="0" xfId="0" applyNumberFormat="1" applyFont="1" applyAlignment="1">
      <alignment horizontal="right"/>
    </xf>
    <xf numFmtId="0" fontId="158" fillId="0" borderId="44" xfId="0" applyFont="1" applyBorder="1" applyAlignment="1">
      <alignment horizontal="left" indent="1"/>
    </xf>
    <xf numFmtId="0" fontId="30" fillId="0" borderId="0" xfId="0" applyFont="1" applyFill="1" applyBorder="1"/>
    <xf numFmtId="0" fontId="158" fillId="0" borderId="0" xfId="0" applyFont="1" applyBorder="1" applyAlignment="1">
      <alignment horizontal="left" indent="1"/>
    </xf>
    <xf numFmtId="0" fontId="30" fillId="0" borderId="44" xfId="0" applyFont="1" applyFill="1" applyBorder="1" applyAlignment="1">
      <alignment horizontal="left" indent="1"/>
    </xf>
    <xf numFmtId="0" fontId="30" fillId="0" borderId="44" xfId="0" applyFont="1" applyFill="1" applyBorder="1"/>
    <xf numFmtId="169" fontId="30" fillId="0" borderId="44" xfId="0" applyNumberFormat="1" applyFont="1" applyFill="1" applyBorder="1"/>
    <xf numFmtId="0" fontId="160" fillId="0" borderId="33" xfId="0" applyFont="1" applyFill="1" applyBorder="1"/>
    <xf numFmtId="0" fontId="160" fillId="0" borderId="34" xfId="0" applyFont="1" applyFill="1" applyBorder="1"/>
    <xf numFmtId="0" fontId="160" fillId="0" borderId="41" xfId="0" applyFont="1" applyFill="1" applyBorder="1"/>
    <xf numFmtId="0" fontId="158" fillId="71" borderId="0" xfId="0" applyFont="1" applyFill="1" applyBorder="1"/>
    <xf numFmtId="169" fontId="158" fillId="71" borderId="0" xfId="0" applyNumberFormat="1" applyFont="1" applyFill="1" applyBorder="1"/>
    <xf numFmtId="0" fontId="158" fillId="71" borderId="52" xfId="0" applyFont="1" applyFill="1" applyBorder="1"/>
    <xf numFmtId="0" fontId="158" fillId="71" borderId="12" xfId="0" applyFont="1" applyFill="1" applyBorder="1" applyAlignment="1">
      <alignment horizontal="left" indent="1"/>
    </xf>
    <xf numFmtId="0" fontId="158" fillId="71" borderId="12" xfId="0" applyFont="1" applyFill="1" applyBorder="1"/>
    <xf numFmtId="0" fontId="158" fillId="71" borderId="13" xfId="0" applyFont="1" applyFill="1" applyBorder="1"/>
    <xf numFmtId="0" fontId="160" fillId="71" borderId="44" xfId="0" applyFont="1" applyFill="1" applyBorder="1"/>
    <xf numFmtId="0" fontId="160" fillId="71" borderId="47" xfId="0" applyFont="1" applyFill="1" applyBorder="1"/>
    <xf numFmtId="0" fontId="160" fillId="71" borderId="32" xfId="0" applyFont="1" applyFill="1" applyBorder="1"/>
    <xf numFmtId="169" fontId="160" fillId="71" borderId="44" xfId="0" applyNumberFormat="1" applyFont="1" applyFill="1" applyBorder="1"/>
    <xf numFmtId="0" fontId="30" fillId="0" borderId="0" xfId="0" applyFont="1" applyFill="1" applyAlignment="1">
      <alignment wrapText="1"/>
    </xf>
    <xf numFmtId="0" fontId="158" fillId="0" borderId="0" xfId="0" applyFont="1" applyFill="1"/>
    <xf numFmtId="0" fontId="160" fillId="71" borderId="0" xfId="0" applyFont="1" applyFill="1" applyBorder="1"/>
    <xf numFmtId="0" fontId="161" fillId="0" borderId="33" xfId="0" applyFont="1" applyFill="1" applyBorder="1"/>
    <xf numFmtId="0" fontId="160" fillId="0" borderId="0" xfId="0" applyFont="1" applyFill="1"/>
    <xf numFmtId="0" fontId="158" fillId="0" borderId="10" xfId="0" applyFont="1" applyBorder="1"/>
    <xf numFmtId="0" fontId="161" fillId="0" borderId="0" xfId="0" applyFont="1" applyFill="1" applyAlignment="1">
      <alignment horizontal="center" wrapText="1"/>
    </xf>
    <xf numFmtId="0" fontId="160" fillId="0" borderId="0" xfId="0" applyFont="1" applyAlignment="1">
      <alignment horizontal="center" wrapText="1"/>
    </xf>
    <xf numFmtId="0" fontId="160" fillId="0" borderId="0" xfId="0" applyFont="1" applyAlignment="1">
      <alignment wrapText="1"/>
    </xf>
    <xf numFmtId="234" fontId="158" fillId="0" borderId="0" xfId="0" applyNumberFormat="1" applyFont="1" applyAlignment="1">
      <alignment horizontal="right"/>
    </xf>
    <xf numFmtId="169" fontId="158" fillId="0" borderId="0" xfId="0" applyNumberFormat="1" applyFont="1" applyAlignment="1">
      <alignment horizontal="right"/>
    </xf>
    <xf numFmtId="0" fontId="162" fillId="0" borderId="0" xfId="0" applyFont="1"/>
    <xf numFmtId="169" fontId="172" fillId="0" borderId="0" xfId="0" applyNumberFormat="1" applyFont="1"/>
    <xf numFmtId="0" fontId="132" fillId="0" borderId="0" xfId="0" applyFont="1"/>
    <xf numFmtId="0" fontId="160" fillId="71" borderId="7" xfId="0" applyFont="1" applyFill="1" applyBorder="1"/>
    <xf numFmtId="234" fontId="160" fillId="71" borderId="32" xfId="0" applyNumberFormat="1" applyFont="1" applyFill="1" applyBorder="1"/>
    <xf numFmtId="0" fontId="160" fillId="71" borderId="12" xfId="0" applyFont="1" applyFill="1" applyBorder="1"/>
    <xf numFmtId="234" fontId="160" fillId="71" borderId="0" xfId="0" applyNumberFormat="1" applyFont="1" applyFill="1" applyBorder="1"/>
    <xf numFmtId="169" fontId="160" fillId="71" borderId="0" xfId="0" applyNumberFormat="1" applyFont="1" applyFill="1" applyBorder="1"/>
    <xf numFmtId="0" fontId="160" fillId="71" borderId="10" xfId="0" applyFont="1" applyFill="1" applyBorder="1"/>
    <xf numFmtId="0" fontId="160" fillId="71" borderId="3" xfId="0" applyFont="1" applyFill="1" applyBorder="1"/>
    <xf numFmtId="234" fontId="160" fillId="71" borderId="44" xfId="0" applyNumberFormat="1" applyFont="1" applyFill="1" applyBorder="1"/>
    <xf numFmtId="0" fontId="158" fillId="30" borderId="0" xfId="0" applyFont="1" applyFill="1"/>
    <xf numFmtId="0" fontId="161" fillId="0" borderId="34" xfId="0" applyFont="1" applyFill="1" applyBorder="1"/>
    <xf numFmtId="0" fontId="161" fillId="0" borderId="10" xfId="0" applyFont="1" applyFill="1" applyBorder="1" applyAlignment="1">
      <alignment horizontal="center" wrapText="1"/>
    </xf>
    <xf numFmtId="0" fontId="161" fillId="71" borderId="33" xfId="0" applyFont="1" applyFill="1" applyBorder="1"/>
    <xf numFmtId="0" fontId="161" fillId="0" borderId="31" xfId="0" applyFont="1" applyFill="1" applyBorder="1" applyAlignment="1">
      <alignment horizontal="center" wrapText="1"/>
    </xf>
    <xf numFmtId="0" fontId="161" fillId="0" borderId="28" xfId="0" applyFont="1" applyFill="1" applyBorder="1" applyAlignment="1">
      <alignment horizontal="center" wrapText="1"/>
    </xf>
    <xf numFmtId="0" fontId="158" fillId="0" borderId="34" xfId="0" applyFont="1" applyFill="1" applyBorder="1"/>
    <xf numFmtId="0" fontId="170" fillId="72" borderId="51" xfId="0" applyFont="1" applyFill="1" applyBorder="1" applyAlignment="1">
      <alignment horizontal="centerContinuous"/>
    </xf>
    <xf numFmtId="0" fontId="170" fillId="72" borderId="52" xfId="0" applyFont="1" applyFill="1" applyBorder="1" applyAlignment="1">
      <alignment horizontal="centerContinuous"/>
    </xf>
    <xf numFmtId="0" fontId="161" fillId="0" borderId="0" xfId="0" applyFont="1" applyFill="1" applyBorder="1" applyAlignment="1">
      <alignment horizontal="center" wrapText="1"/>
    </xf>
    <xf numFmtId="0" fontId="170" fillId="72" borderId="30" xfId="0" applyFont="1" applyFill="1" applyBorder="1" applyAlignment="1">
      <alignment horizontal="centerContinuous"/>
    </xf>
    <xf numFmtId="0" fontId="161" fillId="0" borderId="34" xfId="0" applyFont="1" applyFill="1" applyBorder="1" applyAlignment="1">
      <alignment horizontal="center" wrapText="1"/>
    </xf>
    <xf numFmtId="0" fontId="161" fillId="0" borderId="41" xfId="0" applyFont="1" applyFill="1" applyBorder="1" applyAlignment="1">
      <alignment horizontal="center" wrapText="1"/>
    </xf>
    <xf numFmtId="0" fontId="161" fillId="0" borderId="33" xfId="0" applyFont="1" applyFill="1" applyBorder="1" applyAlignment="1">
      <alignment horizontal="center" wrapText="1"/>
    </xf>
    <xf numFmtId="169" fontId="160" fillId="71" borderId="32" xfId="0" applyNumberFormat="1" applyFont="1" applyFill="1" applyBorder="1"/>
    <xf numFmtId="41" fontId="160" fillId="71" borderId="32" xfId="0" applyNumberFormat="1" applyFont="1" applyFill="1" applyBorder="1"/>
    <xf numFmtId="234" fontId="160" fillId="71" borderId="48" xfId="0" applyNumberFormat="1" applyFont="1" applyFill="1" applyBorder="1"/>
    <xf numFmtId="41" fontId="160" fillId="71" borderId="0" xfId="0" applyNumberFormat="1" applyFont="1" applyFill="1" applyBorder="1"/>
    <xf numFmtId="234" fontId="160" fillId="71" borderId="13" xfId="0" applyNumberFormat="1" applyFont="1" applyFill="1" applyBorder="1"/>
    <xf numFmtId="41" fontId="160" fillId="71" borderId="44" xfId="0" applyNumberFormat="1" applyFont="1" applyFill="1" applyBorder="1"/>
    <xf numFmtId="234" fontId="160" fillId="71" borderId="11" xfId="0" applyNumberFormat="1" applyFont="1" applyFill="1" applyBorder="1"/>
    <xf numFmtId="165" fontId="160" fillId="71" borderId="32" xfId="0" applyNumberFormat="1" applyFont="1" applyFill="1" applyBorder="1"/>
    <xf numFmtId="165" fontId="160" fillId="71" borderId="48" xfId="0" applyNumberFormat="1" applyFont="1" applyFill="1" applyBorder="1"/>
    <xf numFmtId="165" fontId="160" fillId="71" borderId="0" xfId="0" applyNumberFormat="1" applyFont="1" applyFill="1" applyBorder="1"/>
    <xf numFmtId="165" fontId="160" fillId="71" borderId="13" xfId="0" applyNumberFormat="1" applyFont="1" applyFill="1" applyBorder="1"/>
    <xf numFmtId="165" fontId="160" fillId="71" borderId="44" xfId="0" applyNumberFormat="1" applyFont="1" applyFill="1" applyBorder="1"/>
    <xf numFmtId="165" fontId="160" fillId="71" borderId="11" xfId="0" applyNumberFormat="1" applyFont="1" applyFill="1" applyBorder="1"/>
    <xf numFmtId="0" fontId="158" fillId="0" borderId="0" xfId="0" applyFont="1" applyAlignment="1">
      <alignment horizontal="justify" vertical="top" wrapText="1"/>
    </xf>
    <xf numFmtId="164" fontId="158" fillId="0" borderId="0" xfId="0" applyNumberFormat="1" applyFont="1" applyAlignment="1">
      <alignment horizontal="center" vertical="top" wrapText="1"/>
    </xf>
    <xf numFmtId="0" fontId="158" fillId="0" borderId="0" xfId="0" applyFont="1" applyAlignment="1">
      <alignment vertical="top" wrapText="1"/>
    </xf>
    <xf numFmtId="165" fontId="158" fillId="0" borderId="0" xfId="0" applyNumberFormat="1" applyFont="1" applyAlignment="1">
      <alignment horizontal="center" vertical="top" wrapText="1"/>
    </xf>
    <xf numFmtId="0" fontId="158" fillId="0" borderId="0" xfId="0" applyFont="1" applyAlignment="1">
      <alignment horizontal="center" vertical="top" wrapText="1"/>
    </xf>
    <xf numFmtId="169" fontId="158" fillId="0" borderId="0" xfId="0" applyNumberFormat="1" applyFont="1" applyAlignment="1">
      <alignment horizontal="right" vertical="top"/>
    </xf>
    <xf numFmtId="0" fontId="158" fillId="0" borderId="0" xfId="0" applyFont="1" applyAlignment="1">
      <alignment horizontal="right" vertical="top"/>
    </xf>
    <xf numFmtId="234" fontId="158" fillId="0" borderId="0" xfId="0" applyNumberFormat="1" applyFont="1" applyAlignment="1">
      <alignment horizontal="right" vertical="top"/>
    </xf>
    <xf numFmtId="165" fontId="158" fillId="0" borderId="0" xfId="0" applyNumberFormat="1" applyFont="1" applyAlignment="1">
      <alignment vertical="top" wrapText="1"/>
    </xf>
    <xf numFmtId="0" fontId="158" fillId="71" borderId="32" xfId="0" applyFont="1" applyFill="1" applyBorder="1"/>
    <xf numFmtId="0" fontId="158" fillId="71" borderId="44" xfId="0" applyFont="1" applyFill="1" applyBorder="1"/>
    <xf numFmtId="169" fontId="162" fillId="0" borderId="0" xfId="0" applyNumberFormat="1" applyFont="1" applyAlignment="1">
      <alignment horizontal="right"/>
    </xf>
    <xf numFmtId="10" fontId="162" fillId="0" borderId="0" xfId="0" applyNumberFormat="1" applyFont="1" applyAlignment="1">
      <alignment horizontal="right"/>
    </xf>
    <xf numFmtId="10" fontId="132" fillId="0" borderId="0" xfId="0" applyNumberFormat="1" applyFont="1" applyAlignment="1">
      <alignment horizontal="right"/>
    </xf>
    <xf numFmtId="0" fontId="170" fillId="72" borderId="28" xfId="0" applyFont="1" applyFill="1" applyBorder="1"/>
    <xf numFmtId="0" fontId="30" fillId="0" borderId="0" xfId="0" applyFont="1" applyFill="1" applyAlignment="1">
      <alignment horizontal="left" indent="1"/>
    </xf>
    <xf numFmtId="0" fontId="163" fillId="0" borderId="0" xfId="0" applyFont="1" applyAlignment="1">
      <alignment horizontal="center"/>
    </xf>
    <xf numFmtId="0" fontId="158" fillId="0" borderId="0" xfId="0" applyFont="1" applyFill="1" applyAlignment="1">
      <alignment horizontal="left" indent="1"/>
    </xf>
    <xf numFmtId="0" fontId="170" fillId="72" borderId="34" xfId="0" applyFont="1" applyFill="1" applyBorder="1" applyAlignment="1">
      <alignment horizontal="center"/>
    </xf>
    <xf numFmtId="8" fontId="158" fillId="0" borderId="0" xfId="0" applyNumberFormat="1" applyFont="1" applyAlignment="1">
      <alignment horizontal="right"/>
    </xf>
    <xf numFmtId="0" fontId="30" fillId="0" borderId="0" xfId="0" applyFont="1" applyFill="1" applyAlignment="1">
      <alignment horizontal="right"/>
    </xf>
    <xf numFmtId="169" fontId="158" fillId="0" borderId="44" xfId="0" applyNumberFormat="1" applyFont="1" applyBorder="1" applyAlignment="1">
      <alignment horizontal="right"/>
    </xf>
    <xf numFmtId="0" fontId="158" fillId="0" borderId="44" xfId="0" applyFont="1" applyBorder="1" applyAlignment="1">
      <alignment horizontal="right"/>
    </xf>
    <xf numFmtId="169" fontId="160" fillId="0" borderId="0" xfId="0" applyNumberFormat="1" applyFont="1" applyAlignment="1">
      <alignment horizontal="right"/>
    </xf>
    <xf numFmtId="0" fontId="158" fillId="0" borderId="0" xfId="0" applyFont="1" applyAlignment="1">
      <alignment horizontal="right"/>
    </xf>
    <xf numFmtId="0" fontId="161" fillId="0" borderId="41" xfId="0" applyFont="1" applyFill="1" applyBorder="1"/>
    <xf numFmtId="169" fontId="158" fillId="65" borderId="0" xfId="0" applyNumberFormat="1" applyFont="1" applyFill="1"/>
    <xf numFmtId="0" fontId="161" fillId="0" borderId="0" xfId="0" applyFont="1" applyFill="1" applyAlignment="1">
      <alignment horizontal="left"/>
    </xf>
    <xf numFmtId="8" fontId="160" fillId="0" borderId="0" xfId="0" applyNumberFormat="1" applyFont="1" applyAlignment="1">
      <alignment horizontal="right"/>
    </xf>
    <xf numFmtId="165" fontId="158" fillId="0" borderId="0" xfId="0" applyNumberFormat="1" applyFont="1"/>
    <xf numFmtId="41" fontId="158" fillId="0" borderId="0" xfId="0" applyNumberFormat="1" applyFont="1"/>
    <xf numFmtId="0" fontId="174" fillId="0" borderId="0" xfId="0" applyFont="1" applyFill="1"/>
    <xf numFmtId="0" fontId="161" fillId="0" borderId="0" xfId="0" applyFont="1" applyFill="1"/>
    <xf numFmtId="234" fontId="176" fillId="0" borderId="0" xfId="0" applyNumberFormat="1" applyFont="1" applyAlignment="1">
      <alignment horizontal="right" vertical="top"/>
    </xf>
    <xf numFmtId="0" fontId="177" fillId="0" borderId="0" xfId="0" applyFont="1" applyBorder="1" applyAlignment="1">
      <alignment horizontal="right"/>
    </xf>
    <xf numFmtId="0" fontId="158" fillId="0" borderId="41" xfId="0" applyFont="1" applyFill="1" applyBorder="1"/>
    <xf numFmtId="8" fontId="132" fillId="0" borderId="0" xfId="0" applyNumberFormat="1" applyFont="1" applyAlignment="1">
      <alignment horizontal="right"/>
    </xf>
    <xf numFmtId="234" fontId="132" fillId="0" borderId="0" xfId="0" applyNumberFormat="1" applyFont="1" applyAlignment="1">
      <alignment horizontal="right" vertical="top"/>
    </xf>
    <xf numFmtId="0" fontId="132" fillId="0" borderId="0" xfId="0" applyNumberFormat="1" applyFont="1" applyAlignment="1">
      <alignment horizontal="right"/>
    </xf>
    <xf numFmtId="0" fontId="132" fillId="0" borderId="0" xfId="0" applyFont="1" applyAlignment="1">
      <alignment horizontal="right"/>
    </xf>
    <xf numFmtId="0" fontId="170" fillId="72" borderId="4" xfId="0" applyFont="1" applyFill="1" applyBorder="1" applyAlignment="1">
      <alignment horizontal="centerContinuous"/>
    </xf>
    <xf numFmtId="0" fontId="170" fillId="72" borderId="5" xfId="0" applyFont="1" applyFill="1" applyBorder="1" applyAlignment="1">
      <alignment horizontal="centerContinuous"/>
    </xf>
    <xf numFmtId="0" fontId="170" fillId="72" borderId="6" xfId="0" applyFont="1" applyFill="1" applyBorder="1" applyAlignment="1">
      <alignment horizontal="centerContinuous"/>
    </xf>
    <xf numFmtId="0" fontId="170" fillId="72" borderId="15" xfId="0" applyFont="1" applyFill="1" applyBorder="1" applyAlignment="1">
      <alignment horizontal="center"/>
    </xf>
    <xf numFmtId="0" fontId="158" fillId="0" borderId="12" xfId="0" applyFont="1" applyBorder="1"/>
    <xf numFmtId="10" fontId="162" fillId="0" borderId="13" xfId="0" applyNumberFormat="1" applyFont="1" applyBorder="1" applyAlignment="1">
      <alignment horizontal="right"/>
    </xf>
    <xf numFmtId="10" fontId="132" fillId="0" borderId="13" xfId="0" applyNumberFormat="1" applyFont="1" applyBorder="1"/>
    <xf numFmtId="0" fontId="158" fillId="0" borderId="0" xfId="0" applyFont="1" applyFill="1" applyBorder="1"/>
    <xf numFmtId="0" fontId="158" fillId="0" borderId="13" xfId="0" applyFont="1" applyBorder="1"/>
    <xf numFmtId="168" fontId="158" fillId="0" borderId="13" xfId="0" applyNumberFormat="1" applyFont="1" applyBorder="1"/>
    <xf numFmtId="170" fontId="158" fillId="0" borderId="13" xfId="0" applyNumberFormat="1" applyFont="1" applyBorder="1"/>
    <xf numFmtId="8" fontId="158" fillId="0" borderId="13" xfId="0" applyNumberFormat="1" applyFont="1" applyBorder="1"/>
    <xf numFmtId="10" fontId="158" fillId="0" borderId="13" xfId="0" applyNumberFormat="1" applyFont="1" applyBorder="1"/>
    <xf numFmtId="169" fontId="162" fillId="0" borderId="0" xfId="0" applyNumberFormat="1" applyFont="1" applyFill="1" applyAlignment="1">
      <alignment horizontal="right"/>
    </xf>
    <xf numFmtId="10" fontId="162" fillId="0" borderId="0" xfId="0" applyNumberFormat="1" applyFont="1" applyFill="1" applyAlignment="1">
      <alignment horizontal="right"/>
    </xf>
    <xf numFmtId="10" fontId="170" fillId="72" borderId="5" xfId="0" applyNumberFormat="1" applyFont="1" applyFill="1" applyBorder="1" applyAlignment="1">
      <alignment horizontal="centerContinuous"/>
    </xf>
    <xf numFmtId="10" fontId="158" fillId="0" borderId="0" xfId="0" applyNumberFormat="1" applyFont="1" applyAlignment="1">
      <alignment horizontal="right"/>
    </xf>
    <xf numFmtId="10" fontId="30" fillId="0" borderId="0" xfId="0" applyNumberFormat="1" applyFont="1" applyFill="1"/>
    <xf numFmtId="165" fontId="30" fillId="0" borderId="0" xfId="0" applyNumberFormat="1" applyFont="1" applyFill="1" applyAlignment="1">
      <alignment horizontal="right"/>
    </xf>
    <xf numFmtId="168" fontId="158" fillId="0" borderId="0" xfId="0" applyNumberFormat="1" applyFont="1" applyAlignment="1">
      <alignment horizontal="right"/>
    </xf>
    <xf numFmtId="168" fontId="30" fillId="0" borderId="0" xfId="0" applyNumberFormat="1" applyFont="1" applyFill="1" applyAlignment="1">
      <alignment horizontal="right"/>
    </xf>
    <xf numFmtId="10" fontId="160" fillId="71" borderId="0" xfId="0" applyNumberFormat="1" applyFont="1" applyFill="1" applyBorder="1"/>
    <xf numFmtId="10" fontId="161" fillId="71" borderId="0" xfId="0" applyNumberFormat="1" applyFont="1" applyFill="1" applyBorder="1"/>
    <xf numFmtId="165" fontId="161" fillId="71" borderId="0" xfId="0" applyNumberFormat="1" applyFont="1" applyFill="1" applyBorder="1"/>
    <xf numFmtId="0" fontId="161" fillId="71" borderId="0" xfId="0" applyFont="1" applyFill="1" applyBorder="1"/>
    <xf numFmtId="168" fontId="160" fillId="71" borderId="0" xfId="0" applyNumberFormat="1" applyFont="1" applyFill="1" applyBorder="1" applyAlignment="1">
      <alignment horizontal="right"/>
    </xf>
    <xf numFmtId="168" fontId="161" fillId="71" borderId="0" xfId="0" applyNumberFormat="1" applyFont="1" applyFill="1" applyBorder="1" applyAlignment="1">
      <alignment horizontal="right"/>
    </xf>
    <xf numFmtId="165" fontId="161" fillId="71" borderId="13" xfId="0" applyNumberFormat="1" applyFont="1" applyFill="1" applyBorder="1" applyAlignment="1">
      <alignment horizontal="right"/>
    </xf>
    <xf numFmtId="0" fontId="160" fillId="71" borderId="4" xfId="0" applyFont="1" applyFill="1" applyBorder="1" applyAlignment="1">
      <alignment horizontal="left"/>
    </xf>
    <xf numFmtId="0" fontId="160" fillId="71" borderId="5" xfId="0" applyFont="1" applyFill="1" applyBorder="1"/>
    <xf numFmtId="165" fontId="168" fillId="71" borderId="5" xfId="0" applyNumberFormat="1" applyFont="1" applyFill="1" applyBorder="1"/>
    <xf numFmtId="169" fontId="160" fillId="71" borderId="5" xfId="0" applyNumberFormat="1" applyFont="1" applyFill="1" applyBorder="1"/>
    <xf numFmtId="10" fontId="160" fillId="71" borderId="5" xfId="0" applyNumberFormat="1" applyFont="1" applyFill="1" applyBorder="1"/>
    <xf numFmtId="0" fontId="161" fillId="71" borderId="5" xfId="0" applyFont="1" applyFill="1" applyBorder="1"/>
    <xf numFmtId="165" fontId="173" fillId="71" borderId="34" xfId="0" applyNumberFormat="1" applyFont="1" applyFill="1" applyBorder="1"/>
    <xf numFmtId="168" fontId="160" fillId="71" borderId="5" xfId="0" applyNumberFormat="1" applyFont="1" applyFill="1" applyBorder="1" applyAlignment="1">
      <alignment horizontal="right"/>
    </xf>
    <xf numFmtId="168" fontId="161" fillId="71" borderId="5" xfId="0" applyNumberFormat="1" applyFont="1" applyFill="1" applyBorder="1" applyAlignment="1">
      <alignment horizontal="right"/>
    </xf>
    <xf numFmtId="165" fontId="161" fillId="71" borderId="6" xfId="0" applyNumberFormat="1" applyFont="1" applyFill="1" applyBorder="1" applyAlignment="1">
      <alignment horizontal="right"/>
    </xf>
    <xf numFmtId="169" fontId="161" fillId="71" borderId="5" xfId="0" applyNumberFormat="1" applyFont="1" applyFill="1" applyBorder="1"/>
    <xf numFmtId="165" fontId="161" fillId="71" borderId="5" xfId="0" applyNumberFormat="1" applyFont="1" applyFill="1" applyBorder="1"/>
    <xf numFmtId="0" fontId="160" fillId="0" borderId="0" xfId="0" applyFont="1" applyAlignment="1">
      <alignment horizontal="centerContinuous"/>
    </xf>
    <xf numFmtId="0" fontId="162" fillId="0" borderId="0" xfId="0" applyFont="1" applyFill="1"/>
    <xf numFmtId="0" fontId="158" fillId="71" borderId="8" xfId="0" applyFont="1" applyFill="1" applyBorder="1"/>
    <xf numFmtId="168" fontId="30" fillId="0" borderId="0" xfId="0" applyNumberFormat="1" applyFont="1" applyFill="1"/>
    <xf numFmtId="168" fontId="158" fillId="29" borderId="0" xfId="0" applyNumberFormat="1" applyFont="1" applyFill="1"/>
    <xf numFmtId="0" fontId="170" fillId="72" borderId="15" xfId="0" applyFont="1" applyFill="1" applyBorder="1" applyAlignment="1">
      <alignment wrapText="1"/>
    </xf>
    <xf numFmtId="0" fontId="158" fillId="71" borderId="9" xfId="0" applyFont="1" applyFill="1" applyBorder="1"/>
    <xf numFmtId="10" fontId="158" fillId="71" borderId="13" xfId="0" applyNumberFormat="1" applyFont="1" applyFill="1" applyBorder="1" applyAlignment="1">
      <alignment horizontal="right"/>
    </xf>
    <xf numFmtId="10" fontId="158" fillId="71" borderId="13" xfId="0" applyNumberFormat="1" applyFont="1" applyFill="1" applyBorder="1"/>
    <xf numFmtId="10" fontId="160" fillId="71" borderId="11" xfId="0" applyNumberFormat="1" applyFont="1" applyFill="1" applyBorder="1" applyAlignment="1">
      <alignment horizontal="right"/>
    </xf>
    <xf numFmtId="43" fontId="164" fillId="0" borderId="0" xfId="11155" applyFont="1" applyFill="1" applyBorder="1" applyAlignment="1"/>
    <xf numFmtId="169" fontId="158" fillId="0" borderId="0" xfId="0" applyNumberFormat="1" applyFont="1" applyFill="1"/>
    <xf numFmtId="0" fontId="175" fillId="72" borderId="28" xfId="0" applyFont="1" applyFill="1" applyBorder="1"/>
    <xf numFmtId="0" fontId="166" fillId="0" borderId="0" xfId="12421" applyFont="1" applyBorder="1"/>
    <xf numFmtId="0" fontId="166" fillId="0" borderId="0" xfId="12421" applyFont="1" applyBorder="1" applyAlignment="1">
      <alignment horizontal="center"/>
    </xf>
    <xf numFmtId="0" fontId="166" fillId="69" borderId="0" xfId="12421" applyFont="1" applyFill="1" applyBorder="1"/>
    <xf numFmtId="0" fontId="179" fillId="69" borderId="0" xfId="12421" applyFont="1" applyFill="1" applyBorder="1" applyAlignment="1">
      <alignment horizontal="center"/>
    </xf>
    <xf numFmtId="0" fontId="166" fillId="69" borderId="55" xfId="12421" applyFont="1" applyFill="1" applyBorder="1"/>
    <xf numFmtId="0" fontId="180" fillId="0" borderId="0" xfId="12421" applyFont="1" applyBorder="1" applyAlignment="1">
      <alignment horizontal="center"/>
    </xf>
    <xf numFmtId="343" fontId="181" fillId="0" borderId="0" xfId="12421" applyNumberFormat="1" applyFont="1" applyAlignment="1">
      <alignment horizontal="center"/>
    </xf>
    <xf numFmtId="0" fontId="182" fillId="0" borderId="0" xfId="12421" applyFont="1" applyAlignment="1">
      <alignment horizontal="center"/>
    </xf>
    <xf numFmtId="0" fontId="183" fillId="0" borderId="0" xfId="12421" applyFont="1" applyAlignment="1">
      <alignment horizontal="center" wrapText="1"/>
    </xf>
    <xf numFmtId="0" fontId="184" fillId="0" borderId="0" xfId="12421" applyFont="1"/>
    <xf numFmtId="0" fontId="184" fillId="0" borderId="0" xfId="12421" applyFont="1" applyAlignment="1">
      <alignment horizontal="center"/>
    </xf>
    <xf numFmtId="0" fontId="184" fillId="0" borderId="0" xfId="12421" applyFont="1" applyBorder="1"/>
    <xf numFmtId="0" fontId="184" fillId="69" borderId="54" xfId="12421" applyFont="1" applyFill="1" applyBorder="1"/>
    <xf numFmtId="0" fontId="185" fillId="69" borderId="54" xfId="12421" applyFont="1" applyFill="1" applyBorder="1" applyAlignment="1">
      <alignment horizontal="center"/>
    </xf>
    <xf numFmtId="0" fontId="186" fillId="0" borderId="0" xfId="12421" applyFont="1"/>
    <xf numFmtId="0" fontId="187" fillId="69" borderId="0" xfId="12421" applyFont="1" applyFill="1" applyBorder="1"/>
    <xf numFmtId="0" fontId="186" fillId="69" borderId="0" xfId="12421" applyFont="1" applyFill="1" applyBorder="1"/>
    <xf numFmtId="0" fontId="188" fillId="69" borderId="0" xfId="12421" applyFont="1" applyFill="1" applyBorder="1" applyAlignment="1">
      <alignment horizontal="center"/>
    </xf>
    <xf numFmtId="0" fontId="184" fillId="69" borderId="0" xfId="12421" applyFont="1" applyFill="1" applyBorder="1"/>
    <xf numFmtId="0" fontId="184" fillId="69" borderId="55" xfId="12421" applyFont="1" applyFill="1" applyBorder="1"/>
    <xf numFmtId="0" fontId="185" fillId="69" borderId="55" xfId="12421" applyFont="1" applyFill="1" applyBorder="1" applyAlignment="1">
      <alignment horizontal="center"/>
    </xf>
    <xf numFmtId="0" fontId="158" fillId="0" borderId="51" xfId="0" applyFont="1" applyBorder="1"/>
    <xf numFmtId="14" fontId="158" fillId="0" borderId="53" xfId="0" applyNumberFormat="1" applyFont="1" applyBorder="1" applyAlignment="1">
      <alignment horizontal="right"/>
    </xf>
    <xf numFmtId="0" fontId="189" fillId="0" borderId="13" xfId="0" applyFont="1" applyBorder="1" applyAlignment="1">
      <alignment horizontal="right"/>
    </xf>
    <xf numFmtId="0" fontId="189" fillId="0" borderId="11" xfId="0" applyFont="1" applyBorder="1" applyAlignment="1">
      <alignment horizontal="right"/>
    </xf>
    <xf numFmtId="0" fontId="158" fillId="0" borderId="11" xfId="0" applyFont="1" applyBorder="1" applyAlignment="1">
      <alignment horizontal="right"/>
    </xf>
    <xf numFmtId="0" fontId="158" fillId="0" borderId="13" xfId="0" applyFont="1" applyBorder="1" applyAlignment="1">
      <alignment horizontal="right"/>
    </xf>
    <xf numFmtId="0" fontId="190" fillId="0" borderId="0" xfId="0" applyFont="1" applyFill="1" applyBorder="1"/>
    <xf numFmtId="169" fontId="160" fillId="71" borderId="52" xfId="0" applyNumberFormat="1" applyFont="1" applyFill="1" applyBorder="1"/>
    <xf numFmtId="43" fontId="158" fillId="0" borderId="0" xfId="0" applyNumberFormat="1" applyFont="1" applyAlignment="1">
      <alignment horizontal="center"/>
    </xf>
    <xf numFmtId="14" fontId="184" fillId="0" borderId="0" xfId="12421" applyNumberFormat="1" applyFont="1"/>
    <xf numFmtId="0" fontId="191" fillId="69" borderId="0" xfId="12421" applyFont="1" applyFill="1" applyBorder="1" applyAlignment="1">
      <alignment horizontal="center"/>
    </xf>
    <xf numFmtId="0" fontId="192" fillId="69" borderId="0" xfId="12421" applyFont="1" applyFill="1" applyBorder="1" applyAlignment="1">
      <alignment horizontal="center"/>
    </xf>
    <xf numFmtId="0" fontId="193" fillId="69" borderId="0" xfId="12421" applyFont="1" applyFill="1" applyBorder="1" applyAlignment="1">
      <alignment horizontal="center"/>
    </xf>
    <xf numFmtId="270" fontId="132" fillId="0" borderId="0" xfId="0" applyNumberFormat="1" applyFont="1"/>
    <xf numFmtId="0" fontId="177" fillId="0" borderId="0" xfId="0" applyFont="1" applyBorder="1" applyAlignment="1">
      <alignment horizontal="left"/>
    </xf>
    <xf numFmtId="270" fontId="132" fillId="0" borderId="0" xfId="0" applyNumberFormat="1" applyFont="1" applyBorder="1" applyAlignment="1">
      <alignment horizontal="right"/>
    </xf>
    <xf numFmtId="8" fontId="132" fillId="0" borderId="44" xfId="0" applyNumberFormat="1" applyFont="1" applyFill="1" applyBorder="1"/>
    <xf numFmtId="169" fontId="132" fillId="0" borderId="44" xfId="0" applyNumberFormat="1" applyFont="1" applyBorder="1" applyAlignment="1">
      <alignment horizontal="right"/>
    </xf>
    <xf numFmtId="0" fontId="177" fillId="0" borderId="0" xfId="0" applyFont="1" applyAlignment="1">
      <alignment horizontal="right"/>
    </xf>
    <xf numFmtId="0" fontId="158" fillId="0" borderId="0" xfId="0" quotePrefix="1" applyFont="1" applyBorder="1"/>
    <xf numFmtId="0" fontId="158" fillId="0" borderId="0" xfId="0" applyFont="1" applyBorder="1" applyAlignment="1">
      <alignment horizontal="right"/>
    </xf>
    <xf numFmtId="0" fontId="189" fillId="0" borderId="0" xfId="0" applyFont="1"/>
    <xf numFmtId="0" fontId="132" fillId="0" borderId="0" xfId="0" applyFont="1" applyAlignment="1">
      <alignment horizontal="right" wrapText="1"/>
    </xf>
    <xf numFmtId="342" fontId="158" fillId="0" borderId="0" xfId="0" applyNumberFormat="1" applyFont="1" applyAlignment="1">
      <alignment horizontal="right"/>
    </xf>
    <xf numFmtId="289" fontId="158" fillId="0" borderId="0" xfId="0" applyNumberFormat="1" applyFont="1" applyAlignment="1">
      <alignment horizontal="right"/>
    </xf>
    <xf numFmtId="8" fontId="158" fillId="0" borderId="0" xfId="0" applyNumberFormat="1" applyFont="1" applyFill="1" applyAlignment="1">
      <alignment horizontal="left" indent="1"/>
    </xf>
    <xf numFmtId="0" fontId="158" fillId="0" borderId="0" xfId="0" applyFont="1" applyAlignment="1">
      <alignment horizontal="right" wrapText="1"/>
    </xf>
    <xf numFmtId="168" fontId="172" fillId="0" borderId="0" xfId="0" applyNumberFormat="1" applyFont="1" applyAlignment="1">
      <alignment horizontal="right"/>
    </xf>
    <xf numFmtId="0" fontId="169" fillId="0" borderId="0" xfId="0" applyFont="1"/>
    <xf numFmtId="0" fontId="169" fillId="0" borderId="0" xfId="0" applyFont="1" applyAlignment="1">
      <alignment horizontal="right"/>
    </xf>
    <xf numFmtId="0" fontId="189" fillId="70" borderId="0" xfId="0" applyFont="1" applyFill="1" applyAlignment="1">
      <alignment horizontal="right"/>
    </xf>
    <xf numFmtId="165" fontId="189" fillId="70" borderId="0" xfId="12422" applyNumberFormat="1" applyFont="1" applyFill="1" applyAlignment="1">
      <alignment horizontal="right"/>
    </xf>
    <xf numFmtId="0" fontId="132" fillId="70" borderId="0" xfId="0" applyFont="1" applyFill="1" applyBorder="1"/>
    <xf numFmtId="0" fontId="158" fillId="73" borderId="0" xfId="0" applyFont="1" applyFill="1" applyBorder="1" applyAlignment="1">
      <alignment horizontal="center"/>
    </xf>
    <xf numFmtId="342" fontId="158" fillId="73" borderId="13" xfId="0" applyNumberFormat="1" applyFont="1" applyFill="1" applyBorder="1" applyAlignment="1">
      <alignment horizontal="right"/>
    </xf>
    <xf numFmtId="0" fontId="158" fillId="0" borderId="10" xfId="0" applyFont="1" applyBorder="1" applyAlignment="1">
      <alignment horizontal="center"/>
    </xf>
    <xf numFmtId="0" fontId="158" fillId="0" borderId="0" xfId="0" applyFont="1" applyFill="1" applyAlignment="1">
      <alignment horizontal="left"/>
    </xf>
    <xf numFmtId="0" fontId="158" fillId="0" borderId="0" xfId="0" applyFont="1" applyFill="1" applyBorder="1" applyAlignment="1">
      <alignment horizontal="right"/>
    </xf>
    <xf numFmtId="165" fontId="158" fillId="0" borderId="0" xfId="0" applyNumberFormat="1" applyFont="1" applyFill="1" applyAlignment="1">
      <alignment horizontal="center"/>
    </xf>
    <xf numFmtId="0" fontId="170" fillId="72" borderId="56" xfId="0" applyFont="1" applyFill="1" applyBorder="1" applyAlignment="1">
      <alignment horizontal="centerContinuous"/>
    </xf>
    <xf numFmtId="0" fontId="170" fillId="72" borderId="56" xfId="0" applyFont="1" applyFill="1" applyBorder="1" applyAlignment="1">
      <alignment horizontal="center"/>
    </xf>
    <xf numFmtId="0" fontId="158" fillId="0" borderId="59" xfId="0" applyFont="1" applyBorder="1"/>
    <xf numFmtId="0" fontId="170" fillId="72" borderId="57" xfId="0" applyFont="1" applyFill="1" applyBorder="1" applyAlignment="1">
      <alignment horizontal="centerContinuous"/>
    </xf>
    <xf numFmtId="0" fontId="170" fillId="72" borderId="58" xfId="0" applyFont="1" applyFill="1" applyBorder="1" applyAlignment="1">
      <alignment horizontal="centerContinuous"/>
    </xf>
    <xf numFmtId="0" fontId="160" fillId="71" borderId="59" xfId="0" applyFont="1" applyFill="1" applyBorder="1"/>
    <xf numFmtId="0" fontId="160" fillId="0" borderId="0" xfId="0" applyFont="1" applyAlignment="1">
      <alignment horizontal="center"/>
    </xf>
    <xf numFmtId="0" fontId="158" fillId="0" borderId="0" xfId="0" applyFont="1" applyBorder="1" applyAlignment="1">
      <alignment horizontal="center"/>
    </xf>
    <xf numFmtId="43" fontId="164" fillId="68" borderId="54" xfId="11155" applyFont="1" applyFill="1" applyBorder="1" applyAlignment="1">
      <alignment horizontal="center"/>
    </xf>
    <xf numFmtId="43" fontId="164" fillId="68" borderId="55" xfId="11155" applyFont="1" applyFill="1" applyBorder="1" applyAlignment="1">
      <alignment horizontal="center"/>
    </xf>
    <xf numFmtId="0" fontId="170" fillId="72" borderId="57" xfId="0" applyFont="1" applyFill="1" applyBorder="1" applyAlignment="1">
      <alignment horizontal="center"/>
    </xf>
    <xf numFmtId="0" fontId="170" fillId="72" borderId="58" xfId="0" applyFont="1" applyFill="1" applyBorder="1" applyAlignment="1">
      <alignment horizontal="center"/>
    </xf>
    <xf numFmtId="0" fontId="160" fillId="0" borderId="4" xfId="0" applyFont="1" applyFill="1" applyBorder="1" applyAlignment="1">
      <alignment horizontal="center" wrapText="1"/>
    </xf>
    <xf numFmtId="0" fontId="160" fillId="0" borderId="5" xfId="0" applyFont="1" applyFill="1" applyBorder="1" applyAlignment="1">
      <alignment horizontal="center" wrapText="1"/>
    </xf>
    <xf numFmtId="0" fontId="160" fillId="0" borderId="6" xfId="0" applyFont="1" applyFill="1" applyBorder="1" applyAlignment="1">
      <alignment horizontal="center" wrapText="1"/>
    </xf>
    <xf numFmtId="0" fontId="198" fillId="0" borderId="0" xfId="0" applyFont="1"/>
    <xf numFmtId="165" fontId="194" fillId="0" borderId="50" xfId="12422" applyNumberFormat="1" applyFont="1" applyBorder="1"/>
    <xf numFmtId="0" fontId="160" fillId="0" borderId="0" xfId="0" applyFont="1" applyAlignment="1">
      <alignment horizontal="center" vertical="center"/>
    </xf>
    <xf numFmtId="43" fontId="158" fillId="0" borderId="0" xfId="0" applyNumberFormat="1" applyFont="1" applyAlignment="1">
      <alignment horizontal="center" vertical="center"/>
    </xf>
    <xf numFmtId="191" fontId="158" fillId="0" borderId="0" xfId="0" applyNumberFormat="1" applyFont="1" applyAlignment="1">
      <alignment horizontal="right"/>
    </xf>
    <xf numFmtId="0" fontId="170" fillId="72" borderId="50" xfId="0" applyFont="1" applyFill="1" applyBorder="1" applyAlignment="1">
      <alignment wrapText="1"/>
    </xf>
    <xf numFmtId="0" fontId="160" fillId="71" borderId="56" xfId="0" applyFont="1" applyFill="1" applyBorder="1"/>
    <xf numFmtId="0" fontId="160" fillId="71" borderId="57" xfId="0" applyFont="1" applyFill="1" applyBorder="1"/>
    <xf numFmtId="169" fontId="160" fillId="71" borderId="57" xfId="0" applyNumberFormat="1" applyFont="1" applyFill="1" applyBorder="1"/>
    <xf numFmtId="169" fontId="160" fillId="71" borderId="50" xfId="0" applyNumberFormat="1" applyFont="1" applyFill="1" applyBorder="1"/>
    <xf numFmtId="0" fontId="170" fillId="72" borderId="56" xfId="0" applyFont="1" applyFill="1" applyBorder="1" applyAlignment="1">
      <alignment wrapText="1"/>
    </xf>
    <xf numFmtId="0" fontId="170" fillId="72" borderId="57" xfId="0" applyFont="1" applyFill="1" applyBorder="1" applyAlignment="1">
      <alignment wrapText="1"/>
    </xf>
    <xf numFmtId="0" fontId="170" fillId="72" borderId="58" xfId="0" applyFont="1" applyFill="1" applyBorder="1" applyAlignment="1">
      <alignment wrapText="1"/>
    </xf>
    <xf numFmtId="9" fontId="189" fillId="0" borderId="64" xfId="12422" applyFont="1" applyBorder="1"/>
    <xf numFmtId="169" fontId="30" fillId="0" borderId="0" xfId="0" applyNumberFormat="1" applyFont="1"/>
    <xf numFmtId="0" fontId="30" fillId="65" borderId="0" xfId="0" quotePrefix="1" applyFont="1" applyFill="1" applyAlignment="1"/>
    <xf numFmtId="0" fontId="30" fillId="0" borderId="0" xfId="0" quotePrefix="1" applyFont="1" applyFill="1" applyAlignment="1">
      <alignment vertical="top"/>
    </xf>
    <xf numFmtId="0" fontId="158" fillId="0" borderId="0" xfId="0" applyFont="1" applyFill="1" applyAlignment="1">
      <alignment vertical="top"/>
    </xf>
    <xf numFmtId="0" fontId="158" fillId="0" borderId="0" xfId="0" applyFont="1" applyFill="1" applyAlignment="1">
      <alignment horizontal="center" vertical="top"/>
    </xf>
    <xf numFmtId="8" fontId="160" fillId="71" borderId="41" xfId="0" applyNumberFormat="1" applyFont="1" applyFill="1" applyBorder="1"/>
    <xf numFmtId="43" fontId="158" fillId="0" borderId="0" xfId="0" applyNumberFormat="1" applyFont="1" applyFill="1" applyAlignment="1">
      <alignment horizontal="center"/>
    </xf>
    <xf numFmtId="0" fontId="195" fillId="0" borderId="16" xfId="0" applyFont="1" applyBorder="1"/>
    <xf numFmtId="0" fontId="158" fillId="0" borderId="0" xfId="0" applyFont="1"/>
    <xf numFmtId="169" fontId="158" fillId="0" borderId="0" xfId="0" applyNumberFormat="1" applyFont="1"/>
    <xf numFmtId="167" fontId="158" fillId="0" borderId="0" xfId="12427" applyNumberFormat="1" applyFont="1"/>
    <xf numFmtId="0" fontId="170" fillId="72" borderId="73" xfId="0" applyFont="1" applyFill="1" applyBorder="1" applyAlignment="1">
      <alignment horizontal="centerContinuous"/>
    </xf>
    <xf numFmtId="0" fontId="170" fillId="72" borderId="75" xfId="0" applyFont="1" applyFill="1" applyBorder="1" applyAlignment="1">
      <alignment horizontal="centerContinuous"/>
    </xf>
    <xf numFmtId="0" fontId="160" fillId="0" borderId="0" xfId="0" applyFont="1" applyAlignment="1">
      <alignment horizontal="right"/>
    </xf>
    <xf numFmtId="0" fontId="158" fillId="0" borderId="0" xfId="0" applyFont="1" applyAlignment="1">
      <alignment horizontal="center"/>
    </xf>
    <xf numFmtId="165" fontId="158" fillId="0" borderId="0" xfId="12422" applyNumberFormat="1" applyFont="1"/>
    <xf numFmtId="0" fontId="170" fillId="72" borderId="74" xfId="0" applyFont="1" applyFill="1" applyBorder="1" applyAlignment="1">
      <alignment horizontal="centerContinuous"/>
    </xf>
    <xf numFmtId="0" fontId="170" fillId="72" borderId="62" xfId="0" applyFont="1" applyFill="1" applyBorder="1" applyAlignment="1">
      <alignment horizontal="centerContinuous"/>
    </xf>
    <xf numFmtId="0" fontId="161" fillId="0" borderId="62" xfId="0" applyFont="1" applyFill="1" applyBorder="1" applyAlignment="1">
      <alignment horizontal="center" wrapText="1"/>
    </xf>
    <xf numFmtId="165" fontId="160" fillId="71" borderId="90" xfId="0" applyNumberFormat="1" applyFont="1" applyFill="1" applyBorder="1"/>
    <xf numFmtId="0" fontId="158" fillId="71" borderId="89" xfId="0" applyFont="1" applyFill="1" applyBorder="1"/>
    <xf numFmtId="0" fontId="158" fillId="71" borderId="90" xfId="0" applyFont="1" applyFill="1" applyBorder="1"/>
    <xf numFmtId="165" fontId="162" fillId="0" borderId="13" xfId="0" applyNumberFormat="1" applyFont="1" applyBorder="1"/>
    <xf numFmtId="165" fontId="158" fillId="0" borderId="13" xfId="0" applyNumberFormat="1" applyFont="1" applyBorder="1"/>
    <xf numFmtId="0" fontId="170" fillId="72" borderId="92" xfId="0" applyFont="1" applyFill="1" applyBorder="1" applyAlignment="1">
      <alignment horizontal="centerContinuous"/>
    </xf>
    <xf numFmtId="43" fontId="158" fillId="0" borderId="0" xfId="0" applyNumberFormat="1" applyFont="1" applyFill="1" applyAlignment="1">
      <alignment horizontal="centerContinuous"/>
    </xf>
    <xf numFmtId="43" fontId="158" fillId="0" borderId="0" xfId="0" applyNumberFormat="1" applyFont="1" applyFill="1"/>
    <xf numFmtId="0" fontId="158" fillId="74" borderId="0" xfId="0" applyFont="1" applyFill="1"/>
    <xf numFmtId="234" fontId="30" fillId="0" borderId="0" xfId="0" applyNumberFormat="1" applyFont="1" applyAlignment="1">
      <alignment horizontal="right"/>
    </xf>
    <xf numFmtId="0" fontId="158" fillId="74" borderId="0" xfId="0" quotePrefix="1" applyFont="1" applyFill="1" applyBorder="1" applyAlignment="1">
      <alignment horizontal="center"/>
    </xf>
    <xf numFmtId="0" fontId="195" fillId="0" borderId="0" xfId="0" applyFont="1"/>
    <xf numFmtId="165" fontId="160" fillId="0" borderId="0" xfId="0" applyNumberFormat="1" applyFont="1" applyAlignment="1">
      <alignment horizontal="right"/>
    </xf>
    <xf numFmtId="0" fontId="158" fillId="0" borderId="0" xfId="0" applyFont="1" applyBorder="1" applyAlignment="1">
      <alignment horizontal="centerContinuous"/>
    </xf>
    <xf numFmtId="0" fontId="170" fillId="0" borderId="0" xfId="0" applyFont="1" applyFill="1" applyBorder="1" applyAlignment="1"/>
    <xf numFmtId="0" fontId="158" fillId="0" borderId="90" xfId="0" applyFont="1" applyBorder="1"/>
    <xf numFmtId="169" fontId="235" fillId="0" borderId="0" xfId="0" applyNumberFormat="1" applyFont="1"/>
    <xf numFmtId="165" fontId="235" fillId="0" borderId="0" xfId="0" applyNumberFormat="1" applyFont="1" applyFill="1" applyAlignment="1">
      <alignment horizontal="center"/>
    </xf>
    <xf numFmtId="165" fontId="235" fillId="0" borderId="0" xfId="0" applyNumberFormat="1" applyFont="1" applyAlignment="1">
      <alignment horizontal="right"/>
    </xf>
    <xf numFmtId="169" fontId="235" fillId="0" borderId="0" xfId="0" applyNumberFormat="1" applyFont="1" applyAlignment="1">
      <alignment horizontal="right"/>
    </xf>
    <xf numFmtId="10" fontId="235" fillId="0" borderId="0" xfId="0" applyNumberFormat="1" applyFont="1" applyAlignment="1">
      <alignment horizontal="right"/>
    </xf>
    <xf numFmtId="167" fontId="235" fillId="0" borderId="0" xfId="12427" applyNumberFormat="1" applyFont="1"/>
    <xf numFmtId="0" fontId="159" fillId="72" borderId="74" xfId="0" applyFont="1" applyFill="1" applyBorder="1" applyAlignment="1">
      <alignment horizontal="left"/>
    </xf>
    <xf numFmtId="0" fontId="159" fillId="72" borderId="73" xfId="0" applyFont="1" applyFill="1" applyBorder="1" applyAlignment="1">
      <alignment horizontal="centerContinuous"/>
    </xf>
    <xf numFmtId="0" fontId="159" fillId="0" borderId="59" xfId="0" applyFont="1" applyFill="1" applyBorder="1" applyAlignment="1">
      <alignment horizontal="centerContinuous"/>
    </xf>
    <xf numFmtId="0" fontId="159" fillId="72" borderId="74" xfId="0" applyFont="1" applyFill="1" applyBorder="1" applyAlignment="1">
      <alignment horizontal="centerContinuous"/>
    </xf>
    <xf numFmtId="0" fontId="159" fillId="0" borderId="0" xfId="0" applyFont="1" applyFill="1" applyBorder="1" applyAlignment="1"/>
    <xf numFmtId="0" fontId="170" fillId="72" borderId="74" xfId="0" applyFont="1" applyFill="1" applyBorder="1" applyAlignment="1">
      <alignment horizontal="left"/>
    </xf>
    <xf numFmtId="43" fontId="236" fillId="68" borderId="55" xfId="11155" quotePrefix="1" applyFont="1" applyFill="1" applyBorder="1" applyAlignment="1">
      <alignment horizontal="center"/>
    </xf>
    <xf numFmtId="0" fontId="236" fillId="68" borderId="55" xfId="11155" quotePrefix="1" applyNumberFormat="1" applyFont="1" applyFill="1" applyBorder="1" applyAlignment="1">
      <alignment horizontal="center"/>
    </xf>
    <xf numFmtId="0" fontId="158" fillId="0" borderId="0" xfId="0" quotePrefix="1" applyFont="1"/>
    <xf numFmtId="0" fontId="160" fillId="0" borderId="63" xfId="0" applyFont="1" applyBorder="1" applyAlignment="1">
      <alignment horizontal="centerContinuous"/>
    </xf>
    <xf numFmtId="0" fontId="160" fillId="0" borderId="91" xfId="0" applyFont="1" applyBorder="1" applyAlignment="1">
      <alignment horizontal="centerContinuous"/>
    </xf>
    <xf numFmtId="0" fontId="160" fillId="0" borderId="74" xfId="0" applyFont="1" applyBorder="1" applyAlignment="1">
      <alignment horizontal="centerContinuous"/>
    </xf>
    <xf numFmtId="0" fontId="158" fillId="0" borderId="75" xfId="0" applyFont="1" applyBorder="1" applyAlignment="1">
      <alignment horizontal="centerContinuous"/>
    </xf>
    <xf numFmtId="0" fontId="160" fillId="0" borderId="75" xfId="0" applyFont="1" applyBorder="1" applyAlignment="1">
      <alignment horizontal="centerContinuous"/>
    </xf>
    <xf numFmtId="0" fontId="160" fillId="0" borderId="62" xfId="0" applyFont="1" applyBorder="1" applyAlignment="1">
      <alignment horizontal="centerContinuous"/>
    </xf>
    <xf numFmtId="0" fontId="158" fillId="0" borderId="0" xfId="0" applyFont="1" applyFill="1" applyBorder="1" applyAlignment="1"/>
    <xf numFmtId="0" fontId="158" fillId="0" borderId="91" xfId="0" applyFont="1" applyBorder="1" applyAlignment="1">
      <alignment horizontal="centerContinuous"/>
    </xf>
    <xf numFmtId="0" fontId="161" fillId="0" borderId="74" xfId="0" applyFont="1" applyFill="1" applyBorder="1" applyAlignment="1">
      <alignment horizontal="left" wrapText="1"/>
    </xf>
    <xf numFmtId="0" fontId="158" fillId="0" borderId="60" xfId="0" applyFont="1" applyBorder="1" applyAlignment="1">
      <alignment horizontal="justify" vertical="center" wrapText="1"/>
    </xf>
    <xf numFmtId="0" fontId="189" fillId="0" borderId="0" xfId="0" applyFont="1" applyAlignment="1">
      <alignment horizontal="center" vertical="top" wrapText="1"/>
    </xf>
    <xf numFmtId="167" fontId="158" fillId="0" borderId="0" xfId="0" applyNumberFormat="1" applyFont="1" applyAlignment="1">
      <alignment horizontal="right"/>
    </xf>
    <xf numFmtId="0" fontId="158" fillId="71" borderId="5" xfId="0" quotePrefix="1" applyFont="1" applyFill="1" applyBorder="1" applyAlignment="1">
      <alignment horizontal="center"/>
    </xf>
    <xf numFmtId="0" fontId="161" fillId="0" borderId="15" xfId="0" applyFont="1" applyFill="1" applyBorder="1" applyAlignment="1">
      <alignment horizontal="left" wrapText="1"/>
    </xf>
    <xf numFmtId="8" fontId="235" fillId="0" borderId="0" xfId="0" applyNumberFormat="1" applyFont="1"/>
    <xf numFmtId="0" fontId="35" fillId="75" borderId="0" xfId="11828" applyFont="1" applyFill="1"/>
    <xf numFmtId="0" fontId="35" fillId="75" borderId="0" xfId="11828" applyFont="1" applyFill="1" applyAlignment="1">
      <alignment horizontal="right"/>
    </xf>
    <xf numFmtId="0" fontId="237" fillId="75" borderId="0" xfId="11828" applyFont="1" applyFill="1" applyAlignment="1">
      <alignment horizontal="right"/>
    </xf>
    <xf numFmtId="0" fontId="35" fillId="0" borderId="0" xfId="11828" applyFont="1"/>
    <xf numFmtId="0" fontId="35" fillId="0" borderId="0" xfId="11828" applyFont="1" applyAlignment="1">
      <alignment horizontal="right"/>
    </xf>
    <xf numFmtId="0" fontId="35" fillId="0" borderId="0" xfId="11828" applyFont="1" applyFill="1" applyAlignment="1">
      <alignment horizontal="right"/>
    </xf>
    <xf numFmtId="14" fontId="35" fillId="0" borderId="0" xfId="11828" applyNumberFormat="1" applyFont="1" applyAlignment="1">
      <alignment horizontal="right"/>
    </xf>
    <xf numFmtId="0" fontId="35" fillId="0" borderId="0" xfId="11828" applyFont="1" applyFill="1"/>
    <xf numFmtId="165" fontId="35" fillId="0" borderId="0" xfId="12424" applyNumberFormat="1" applyFont="1" applyAlignment="1">
      <alignment horizontal="right"/>
    </xf>
    <xf numFmtId="363" fontId="35" fillId="0" borderId="0" xfId="11828" applyNumberFormat="1" applyFont="1" applyAlignment="1">
      <alignment horizontal="right"/>
    </xf>
    <xf numFmtId="10" fontId="30" fillId="0" borderId="10" xfId="20308" applyNumberFormat="1" applyFont="1" applyFill="1" applyBorder="1" applyAlignment="1">
      <alignment horizontal="right"/>
    </xf>
    <xf numFmtId="0" fontId="30" fillId="0" borderId="0" xfId="0" applyFont="1"/>
    <xf numFmtId="0" fontId="30" fillId="0" borderId="0" xfId="0" applyFont="1" applyAlignment="1">
      <alignment horizontal="right"/>
    </xf>
    <xf numFmtId="0" fontId="170" fillId="74" borderId="57" xfId="0" applyFont="1" applyFill="1" applyBorder="1" applyAlignment="1">
      <alignment horizontal="centerContinuous"/>
    </xf>
    <xf numFmtId="0" fontId="160" fillId="74" borderId="5" xfId="0" applyFont="1" applyFill="1" applyBorder="1" applyAlignment="1">
      <alignment horizontal="center" wrapText="1"/>
    </xf>
    <xf numFmtId="169" fontId="158" fillId="74" borderId="0" xfId="0" applyNumberFormat="1" applyFont="1" applyFill="1"/>
    <xf numFmtId="234" fontId="158" fillId="74" borderId="0" xfId="0" applyNumberFormat="1" applyFont="1" applyFill="1" applyAlignment="1">
      <alignment horizontal="right" vertical="top"/>
    </xf>
    <xf numFmtId="0" fontId="158" fillId="74" borderId="0" xfId="0" applyFont="1" applyFill="1" applyAlignment="1">
      <alignment vertical="top" wrapText="1"/>
    </xf>
    <xf numFmtId="169" fontId="158" fillId="74" borderId="0" xfId="0" applyNumberFormat="1" applyFont="1" applyFill="1" applyAlignment="1">
      <alignment horizontal="right" vertical="top"/>
    </xf>
    <xf numFmtId="0" fontId="158" fillId="74" borderId="0" xfId="0" applyFont="1" applyFill="1" applyAlignment="1">
      <alignment horizontal="center" vertical="top" wrapText="1"/>
    </xf>
    <xf numFmtId="165" fontId="158" fillId="74" borderId="0" xfId="0" applyNumberFormat="1" applyFont="1" applyFill="1" applyAlignment="1">
      <alignment horizontal="center" vertical="top" wrapText="1"/>
    </xf>
    <xf numFmtId="164" fontId="158" fillId="74" borderId="0" xfId="0" applyNumberFormat="1" applyFont="1" applyFill="1" applyAlignment="1">
      <alignment horizontal="center" vertical="top" wrapText="1"/>
    </xf>
    <xf numFmtId="43" fontId="164" fillId="0" borderId="54" xfId="11155" applyFont="1" applyFill="1" applyBorder="1" applyAlignment="1"/>
    <xf numFmtId="43" fontId="164" fillId="0" borderId="55" xfId="11155" applyFont="1" applyFill="1" applyBorder="1" applyAlignment="1">
      <alignment horizontal="right"/>
    </xf>
    <xf numFmtId="0" fontId="158" fillId="0" borderId="0" xfId="0" applyFont="1" applyFill="1" applyAlignment="1">
      <alignment vertical="top" wrapText="1"/>
    </xf>
    <xf numFmtId="0" fontId="158" fillId="0" borderId="44" xfId="0" applyFont="1" applyFill="1" applyBorder="1"/>
    <xf numFmtId="164" fontId="158" fillId="0" borderId="0" xfId="0" applyNumberFormat="1" applyFont="1" applyFill="1" applyAlignment="1">
      <alignment horizontal="center" vertical="top" wrapText="1"/>
    </xf>
    <xf numFmtId="0" fontId="158" fillId="0" borderId="0" xfId="0" applyFont="1" applyFill="1" applyAlignment="1">
      <alignment horizontal="right" vertical="top"/>
    </xf>
    <xf numFmtId="234" fontId="158" fillId="0" borderId="0" xfId="0" applyNumberFormat="1" applyFont="1" applyFill="1" applyAlignment="1">
      <alignment horizontal="right" vertical="top"/>
    </xf>
    <xf numFmtId="10" fontId="158" fillId="71" borderId="0" xfId="0" applyNumberFormat="1" applyFont="1" applyFill="1" applyBorder="1"/>
    <xf numFmtId="165" fontId="158" fillId="0" borderId="0" xfId="0" applyNumberFormat="1" applyFont="1" applyFill="1" applyAlignment="1">
      <alignment horizontal="center" vertical="top" wrapText="1"/>
    </xf>
    <xf numFmtId="10" fontId="30" fillId="0" borderId="59" xfId="20308" applyNumberFormat="1" applyFont="1" applyFill="1" applyBorder="1" applyAlignment="1">
      <alignment horizontal="right"/>
    </xf>
    <xf numFmtId="0" fontId="241" fillId="0" borderId="0" xfId="0" applyFont="1" applyAlignment="1">
      <alignment horizontal="center" wrapText="1"/>
    </xf>
    <xf numFmtId="14" fontId="35" fillId="0" borderId="0" xfId="11828" applyNumberFormat="1" applyFont="1" applyFill="1" applyAlignment="1">
      <alignment horizontal="left"/>
    </xf>
    <xf numFmtId="14" fontId="35" fillId="0" borderId="0" xfId="11828" applyNumberFormat="1" applyFont="1" applyFill="1"/>
    <xf numFmtId="0" fontId="35" fillId="0" borderId="97" xfId="11828" applyFont="1" applyFill="1" applyBorder="1" applyAlignment="1">
      <alignment horizontal="right"/>
    </xf>
    <xf numFmtId="14" fontId="35" fillId="0" borderId="98" xfId="11828" applyNumberFormat="1" applyFont="1" applyFill="1" applyBorder="1" applyAlignment="1">
      <alignment horizontal="right"/>
    </xf>
    <xf numFmtId="0" fontId="35" fillId="0" borderId="59" xfId="11828" applyFont="1" applyFill="1" applyBorder="1" applyAlignment="1">
      <alignment horizontal="right"/>
    </xf>
    <xf numFmtId="0" fontId="35" fillId="0" borderId="13" xfId="11828" applyFont="1" applyFill="1" applyBorder="1" applyAlignment="1">
      <alignment horizontal="right"/>
    </xf>
    <xf numFmtId="0" fontId="35" fillId="0" borderId="10" xfId="11828" applyFont="1" applyFill="1" applyBorder="1" applyAlignment="1">
      <alignment horizontal="right"/>
    </xf>
    <xf numFmtId="0" fontId="35" fillId="0" borderId="90" xfId="11828" applyFont="1" applyFill="1" applyBorder="1" applyAlignment="1">
      <alignment horizontal="right"/>
    </xf>
    <xf numFmtId="0" fontId="35" fillId="0" borderId="0" xfId="11828" applyFont="1" applyFill="1" applyBorder="1" applyAlignment="1">
      <alignment horizontal="right"/>
    </xf>
    <xf numFmtId="0" fontId="242" fillId="0" borderId="0" xfId="11828" applyFont="1" applyFill="1" applyBorder="1" applyAlignment="1">
      <alignment horizontal="right"/>
    </xf>
    <xf numFmtId="0" fontId="238" fillId="0" borderId="0" xfId="11828" applyFont="1" applyFill="1"/>
    <xf numFmtId="14" fontId="35" fillId="0" borderId="0" xfId="11828" applyNumberFormat="1" applyFont="1" applyFill="1" applyAlignment="1">
      <alignment horizontal="right"/>
    </xf>
    <xf numFmtId="0" fontId="35" fillId="0" borderId="0" xfId="11828" applyNumberFormat="1" applyFont="1" applyFill="1" applyAlignment="1">
      <alignment horizontal="right"/>
    </xf>
    <xf numFmtId="167" fontId="35" fillId="0" borderId="0" xfId="12425" applyNumberFormat="1" applyFont="1" applyFill="1" applyAlignment="1">
      <alignment horizontal="right"/>
    </xf>
    <xf numFmtId="165" fontId="35" fillId="0" borderId="0" xfId="12424" applyNumberFormat="1" applyFont="1" applyFill="1" applyAlignment="1">
      <alignment horizontal="right"/>
    </xf>
    <xf numFmtId="0" fontId="35" fillId="0" borderId="0" xfId="11828" applyFont="1" applyFill="1" applyAlignment="1"/>
    <xf numFmtId="255" fontId="35" fillId="0" borderId="0" xfId="11828" applyNumberFormat="1" applyFont="1" applyFill="1" applyAlignment="1">
      <alignment horizontal="right"/>
    </xf>
    <xf numFmtId="165" fontId="35" fillId="74" borderId="0" xfId="12424" applyNumberFormat="1" applyFont="1" applyFill="1" applyAlignment="1">
      <alignment horizontal="right"/>
    </xf>
    <xf numFmtId="14" fontId="35" fillId="0" borderId="0" xfId="11828" applyNumberFormat="1" applyFont="1"/>
    <xf numFmtId="0" fontId="161" fillId="0" borderId="73" xfId="11826" applyFont="1" applyFill="1" applyBorder="1" applyAlignment="1">
      <alignment horizontal="left"/>
    </xf>
    <xf numFmtId="0" fontId="161" fillId="0" borderId="73" xfId="11826" applyFont="1" applyFill="1" applyBorder="1" applyAlignment="1">
      <alignment horizontal="right"/>
    </xf>
    <xf numFmtId="0" fontId="161" fillId="0" borderId="94" xfId="11826" applyFont="1" applyFill="1" applyBorder="1" applyAlignment="1">
      <alignment horizontal="right"/>
    </xf>
    <xf numFmtId="0" fontId="161" fillId="0" borderId="94" xfId="11826" applyFont="1" applyFill="1" applyBorder="1" applyAlignment="1">
      <alignment horizontal="centerContinuous"/>
    </xf>
    <xf numFmtId="0" fontId="161" fillId="0" borderId="95" xfId="11826" applyFont="1" applyFill="1" applyBorder="1" applyAlignment="1">
      <alignment horizontal="centerContinuous"/>
    </xf>
    <xf numFmtId="0" fontId="35" fillId="0" borderId="95" xfId="11828" applyFont="1" applyFill="1" applyBorder="1" applyAlignment="1">
      <alignment horizontal="centerContinuous"/>
    </xf>
    <xf numFmtId="0" fontId="35" fillId="0" borderId="96" xfId="11828" applyFont="1" applyFill="1" applyBorder="1" applyAlignment="1">
      <alignment horizontal="centerContinuous"/>
    </xf>
    <xf numFmtId="0" fontId="30" fillId="0" borderId="99" xfId="20307" applyFont="1" applyFill="1" applyBorder="1" applyAlignment="1">
      <alignment horizontal="left"/>
    </xf>
    <xf numFmtId="2" fontId="30" fillId="0" borderId="99" xfId="11826" applyNumberFormat="1" applyFont="1" applyFill="1" applyBorder="1" applyAlignment="1">
      <alignment horizontal="right"/>
    </xf>
    <xf numFmtId="10" fontId="30" fillId="0" borderId="97" xfId="20308" applyNumberFormat="1" applyFont="1" applyFill="1" applyBorder="1" applyAlignment="1">
      <alignment horizontal="right"/>
    </xf>
    <xf numFmtId="0" fontId="30" fillId="0" borderId="59" xfId="11826" applyFont="1" applyFill="1" applyBorder="1" applyAlignment="1">
      <alignment horizontal="centerContinuous"/>
    </xf>
    <xf numFmtId="0" fontId="30" fillId="0" borderId="0" xfId="11826" applyFont="1" applyFill="1" applyBorder="1" applyAlignment="1">
      <alignment horizontal="centerContinuous"/>
    </xf>
    <xf numFmtId="0" fontId="35" fillId="0" borderId="0" xfId="11828" applyFont="1" applyFill="1" applyBorder="1" applyAlignment="1">
      <alignment horizontal="centerContinuous"/>
    </xf>
    <xf numFmtId="0" fontId="35" fillId="0" borderId="13" xfId="11828" applyFont="1" applyFill="1" applyBorder="1" applyAlignment="1">
      <alignment horizontal="centerContinuous"/>
    </xf>
    <xf numFmtId="14" fontId="158" fillId="0" borderId="49" xfId="16168" applyNumberFormat="1" applyFont="1" applyFill="1" applyBorder="1" applyAlignment="1">
      <alignment horizontal="left"/>
    </xf>
    <xf numFmtId="2" fontId="30" fillId="0" borderId="49" xfId="11826" applyNumberFormat="1" applyFont="1" applyFill="1" applyBorder="1" applyAlignment="1">
      <alignment horizontal="right"/>
    </xf>
    <xf numFmtId="14" fontId="158" fillId="0" borderId="31" xfId="16168" applyNumberFormat="1" applyFont="1" applyFill="1" applyBorder="1" applyAlignment="1">
      <alignment horizontal="left"/>
    </xf>
    <xf numFmtId="2" fontId="30" fillId="0" borderId="31" xfId="11826" applyNumberFormat="1" applyFont="1" applyFill="1" applyBorder="1" applyAlignment="1">
      <alignment horizontal="right"/>
    </xf>
    <xf numFmtId="0" fontId="30" fillId="0" borderId="10" xfId="11826" applyFont="1" applyFill="1" applyBorder="1" applyAlignment="1">
      <alignment horizontal="centerContinuous"/>
    </xf>
    <xf numFmtId="0" fontId="30" fillId="0" borderId="44" xfId="11826" applyFont="1" applyFill="1" applyBorder="1" applyAlignment="1">
      <alignment horizontal="centerContinuous"/>
    </xf>
    <xf numFmtId="0" fontId="35" fillId="0" borderId="44" xfId="11828" applyFont="1" applyFill="1" applyBorder="1" applyAlignment="1">
      <alignment horizontal="centerContinuous"/>
    </xf>
    <xf numFmtId="0" fontId="35" fillId="0" borderId="90" xfId="11828" applyFont="1" applyFill="1" applyBorder="1" applyAlignment="1">
      <alignment horizontal="centerContinuous"/>
    </xf>
    <xf numFmtId="0" fontId="96" fillId="0" borderId="0" xfId="11828" applyFont="1" applyFill="1"/>
    <xf numFmtId="14" fontId="158" fillId="0" borderId="73" xfId="16168" applyNumberFormat="1" applyFont="1" applyFill="1" applyBorder="1" applyAlignment="1">
      <alignment horizontal="left"/>
    </xf>
    <xf numFmtId="10" fontId="35" fillId="0" borderId="73" xfId="12424" applyNumberFormat="1" applyFont="1" applyFill="1" applyBorder="1" applyAlignment="1">
      <alignment horizontal="right"/>
    </xf>
    <xf numFmtId="0" fontId="35" fillId="0" borderId="95" xfId="11828" applyFont="1" applyFill="1" applyBorder="1" applyAlignment="1">
      <alignment horizontal="left"/>
    </xf>
    <xf numFmtId="0" fontId="35" fillId="0" borderId="95" xfId="11828" applyFont="1" applyFill="1" applyBorder="1" applyAlignment="1">
      <alignment horizontal="right"/>
    </xf>
    <xf numFmtId="0" fontId="35" fillId="0" borderId="96" xfId="11828" applyFont="1" applyFill="1" applyBorder="1" applyAlignment="1">
      <alignment horizontal="right"/>
    </xf>
    <xf numFmtId="164" fontId="158" fillId="0" borderId="0" xfId="0" applyNumberFormat="1" applyFont="1" applyAlignment="1">
      <alignment horizontal="right"/>
    </xf>
    <xf numFmtId="0" fontId="158" fillId="0" borderId="103" xfId="0" applyFont="1" applyBorder="1"/>
    <xf numFmtId="0" fontId="170" fillId="72" borderId="34" xfId="0" applyFont="1" applyFill="1" applyBorder="1" applyAlignment="1">
      <alignment horizontal="right"/>
    </xf>
    <xf numFmtId="0" fontId="170" fillId="72" borderId="33" xfId="0" applyFont="1" applyFill="1" applyBorder="1" applyAlignment="1">
      <alignment horizontal="left"/>
    </xf>
    <xf numFmtId="0" fontId="170" fillId="72" borderId="33" xfId="0" applyFont="1" applyFill="1" applyBorder="1" applyAlignment="1">
      <alignment horizontal="right" wrapText="1"/>
    </xf>
    <xf numFmtId="0" fontId="170" fillId="72" borderId="34" xfId="0" applyFont="1" applyFill="1" applyBorder="1" applyAlignment="1">
      <alignment horizontal="right" wrapText="1"/>
    </xf>
    <xf numFmtId="0" fontId="170" fillId="72" borderId="41" xfId="0" applyFont="1" applyFill="1" applyBorder="1" applyAlignment="1">
      <alignment horizontal="right" wrapText="1"/>
    </xf>
    <xf numFmtId="0" fontId="170" fillId="72" borderId="28" xfId="0" applyFont="1" applyFill="1" applyBorder="1" applyAlignment="1">
      <alignment horizontal="right"/>
    </xf>
    <xf numFmtId="0" fontId="170" fillId="72" borderId="57" xfId="0" applyFont="1" applyFill="1" applyBorder="1" applyAlignment="1">
      <alignment horizontal="right" wrapText="1"/>
    </xf>
    <xf numFmtId="0" fontId="170" fillId="72" borderId="58" xfId="0" applyFont="1" applyFill="1" applyBorder="1" applyAlignment="1">
      <alignment horizontal="right" wrapText="1"/>
    </xf>
    <xf numFmtId="1" fontId="161" fillId="0" borderId="75" xfId="0" applyNumberFormat="1" applyFont="1" applyFill="1" applyBorder="1" applyAlignment="1">
      <alignment horizontal="right"/>
    </xf>
    <xf numFmtId="164" fontId="30" fillId="0" borderId="0" xfId="0" applyNumberFormat="1" applyFont="1" applyFill="1" applyBorder="1" applyAlignment="1">
      <alignment horizontal="right"/>
    </xf>
    <xf numFmtId="164" fontId="161" fillId="0" borderId="73" xfId="0" applyNumberFormat="1" applyFont="1" applyFill="1" applyBorder="1" applyAlignment="1">
      <alignment horizontal="right"/>
    </xf>
    <xf numFmtId="1" fontId="161" fillId="0" borderId="33" xfId="0" applyNumberFormat="1" applyFont="1" applyFill="1" applyBorder="1" applyAlignment="1">
      <alignment horizontal="right"/>
    </xf>
    <xf numFmtId="1" fontId="161" fillId="0" borderId="34" xfId="0" applyNumberFormat="1" applyFont="1" applyFill="1" applyBorder="1" applyAlignment="1">
      <alignment horizontal="right"/>
    </xf>
    <xf numFmtId="1" fontId="161" fillId="0" borderId="62" xfId="0" applyNumberFormat="1" applyFont="1" applyFill="1" applyBorder="1" applyAlignment="1">
      <alignment horizontal="right"/>
    </xf>
    <xf numFmtId="0" fontId="161" fillId="0" borderId="33" xfId="0" applyFont="1" applyFill="1" applyBorder="1" applyAlignment="1">
      <alignment horizontal="right" wrapText="1"/>
    </xf>
    <xf numFmtId="0" fontId="161" fillId="0" borderId="34" xfId="0" applyFont="1" applyFill="1" applyBorder="1" applyAlignment="1">
      <alignment horizontal="right" wrapText="1"/>
    </xf>
    <xf numFmtId="0" fontId="161" fillId="0" borderId="41" xfId="0" applyFont="1" applyFill="1" applyBorder="1" applyAlignment="1">
      <alignment horizontal="right" wrapText="1"/>
    </xf>
    <xf numFmtId="0" fontId="161" fillId="0" borderId="10" xfId="0" applyFont="1" applyFill="1" applyBorder="1" applyAlignment="1">
      <alignment horizontal="right" wrapText="1"/>
    </xf>
    <xf numFmtId="0" fontId="161" fillId="0" borderId="44" xfId="0" applyFont="1" applyFill="1" applyBorder="1" applyAlignment="1">
      <alignment horizontal="right" wrapText="1"/>
    </xf>
    <xf numFmtId="0" fontId="161" fillId="0" borderId="73" xfId="0" applyFont="1" applyFill="1" applyBorder="1" applyAlignment="1">
      <alignment horizontal="right" wrapText="1"/>
    </xf>
    <xf numFmtId="0" fontId="161" fillId="0" borderId="0" xfId="0" applyFont="1" applyFill="1" applyBorder="1" applyAlignment="1">
      <alignment horizontal="right" wrapText="1"/>
    </xf>
    <xf numFmtId="0" fontId="161" fillId="0" borderId="10" xfId="0" applyNumberFormat="1" applyFont="1" applyFill="1" applyBorder="1" applyAlignment="1">
      <alignment horizontal="right" wrapText="1"/>
    </xf>
    <xf numFmtId="0" fontId="161" fillId="0" borderId="44" xfId="0" applyNumberFormat="1" applyFont="1" applyFill="1" applyBorder="1" applyAlignment="1">
      <alignment horizontal="right" wrapText="1"/>
    </xf>
    <xf numFmtId="0" fontId="161" fillId="0" borderId="74" xfId="0" applyNumberFormat="1" applyFont="1" applyFill="1" applyBorder="1" applyAlignment="1">
      <alignment horizontal="right" wrapText="1"/>
    </xf>
    <xf numFmtId="0" fontId="161" fillId="0" borderId="75" xfId="0" applyNumberFormat="1" applyFont="1" applyFill="1" applyBorder="1" applyAlignment="1">
      <alignment horizontal="right" wrapText="1"/>
    </xf>
    <xf numFmtId="0" fontId="161" fillId="0" borderId="62" xfId="0" applyNumberFormat="1" applyFont="1" applyFill="1" applyBorder="1" applyAlignment="1">
      <alignment horizontal="right" wrapText="1"/>
    </xf>
    <xf numFmtId="0" fontId="161" fillId="0" borderId="62" xfId="0" applyFont="1" applyFill="1" applyBorder="1" applyAlignment="1">
      <alignment horizontal="right" wrapText="1"/>
    </xf>
    <xf numFmtId="0" fontId="158" fillId="0" borderId="0" xfId="0" applyFont="1" applyFill="1" applyAlignment="1">
      <alignment horizontal="right" wrapText="1"/>
    </xf>
    <xf numFmtId="0" fontId="170" fillId="72" borderId="56" xfId="0" applyFont="1" applyFill="1" applyBorder="1" applyAlignment="1">
      <alignment horizontal="right" wrapText="1"/>
    </xf>
    <xf numFmtId="0" fontId="170" fillId="72" borderId="50" xfId="0" applyFont="1" applyFill="1" applyBorder="1" applyAlignment="1">
      <alignment horizontal="right" wrapText="1"/>
    </xf>
    <xf numFmtId="0" fontId="161" fillId="0" borderId="4" xfId="0" applyFont="1" applyFill="1" applyBorder="1" applyAlignment="1">
      <alignment horizontal="right" wrapText="1"/>
    </xf>
    <xf numFmtId="0" fontId="161" fillId="0" borderId="5" xfId="0" applyFont="1" applyFill="1" applyBorder="1" applyAlignment="1">
      <alignment horizontal="right" wrapText="1"/>
    </xf>
    <xf numFmtId="0" fontId="161" fillId="0" borderId="6" xfId="0" applyFont="1" applyFill="1" applyBorder="1" applyAlignment="1">
      <alignment horizontal="right" wrapText="1"/>
    </xf>
    <xf numFmtId="0" fontId="161" fillId="0" borderId="15" xfId="0" applyFont="1" applyFill="1" applyBorder="1" applyAlignment="1">
      <alignment horizontal="right" wrapText="1"/>
    </xf>
    <xf numFmtId="0" fontId="161" fillId="0" borderId="74" xfId="0" applyFont="1" applyFill="1" applyBorder="1" applyAlignment="1">
      <alignment horizontal="right" wrapText="1"/>
    </xf>
    <xf numFmtId="0" fontId="170" fillId="72" borderId="4" xfId="0" applyFont="1" applyFill="1" applyBorder="1" applyAlignment="1">
      <alignment horizontal="right" wrapText="1"/>
    </xf>
    <xf numFmtId="0" fontId="170" fillId="72" borderId="6" xfId="0" applyFont="1" applyFill="1" applyBorder="1" applyAlignment="1">
      <alignment horizontal="right" wrapText="1"/>
    </xf>
    <xf numFmtId="0" fontId="35" fillId="0" borderId="103" xfId="11828" applyFont="1" applyFill="1" applyBorder="1" applyAlignment="1">
      <alignment horizontal="right"/>
    </xf>
    <xf numFmtId="14" fontId="35" fillId="0" borderId="104" xfId="11828" applyNumberFormat="1" applyFont="1" applyFill="1" applyBorder="1" applyAlignment="1">
      <alignment horizontal="right"/>
    </xf>
    <xf numFmtId="0" fontId="30" fillId="0" borderId="0" xfId="20305" applyFont="1" applyFill="1"/>
    <xf numFmtId="0" fontId="30" fillId="0" borderId="0" xfId="20305" applyFont="1" applyFill="1" applyAlignment="1">
      <alignment horizontal="right"/>
    </xf>
    <xf numFmtId="0" fontId="30" fillId="0" borderId="0" xfId="20305" applyFont="1" applyAlignment="1">
      <alignment horizontal="right"/>
    </xf>
    <xf numFmtId="0" fontId="30" fillId="0" borderId="0" xfId="20305" applyFont="1"/>
    <xf numFmtId="0" fontId="35" fillId="0" borderId="100" xfId="11828" applyFont="1" applyFill="1" applyBorder="1" applyAlignment="1">
      <alignment horizontal="centerContinuous"/>
    </xf>
    <xf numFmtId="0" fontId="35" fillId="0" borderId="101" xfId="11828" applyFont="1" applyFill="1" applyBorder="1" applyAlignment="1">
      <alignment horizontal="centerContinuous"/>
    </xf>
    <xf numFmtId="0" fontId="35" fillId="0" borderId="102" xfId="11828" applyFont="1" applyFill="1" applyBorder="1" applyAlignment="1">
      <alignment horizontal="centerContinuous"/>
    </xf>
    <xf numFmtId="0" fontId="132" fillId="0" borderId="0" xfId="20305" applyFont="1" applyAlignment="1">
      <alignment horizontal="center"/>
    </xf>
    <xf numFmtId="0" fontId="161" fillId="0" borderId="73" xfId="20378" applyFont="1" applyFill="1" applyBorder="1" applyAlignment="1">
      <alignment horizontal="left"/>
    </xf>
    <xf numFmtId="0" fontId="161" fillId="0" borderId="73" xfId="20378" applyFont="1" applyFill="1" applyBorder="1" applyAlignment="1">
      <alignment horizontal="right"/>
    </xf>
    <xf numFmtId="0" fontId="161" fillId="0" borderId="100" xfId="20378" applyFont="1" applyFill="1" applyBorder="1" applyAlignment="1">
      <alignment horizontal="right"/>
    </xf>
    <xf numFmtId="0" fontId="161" fillId="0" borderId="100" xfId="20378" applyFont="1" applyFill="1" applyBorder="1" applyAlignment="1">
      <alignment horizontal="centerContinuous"/>
    </xf>
    <xf numFmtId="0" fontId="161" fillId="0" borderId="101" xfId="20378" applyFont="1" applyFill="1" applyBorder="1" applyAlignment="1">
      <alignment horizontal="centerContinuous"/>
    </xf>
    <xf numFmtId="2" fontId="30" fillId="0" borderId="99" xfId="20378" applyNumberFormat="1" applyFont="1" applyFill="1" applyBorder="1" applyAlignment="1">
      <alignment horizontal="right"/>
    </xf>
    <xf numFmtId="10" fontId="30" fillId="0" borderId="103" xfId="20308" applyNumberFormat="1" applyFont="1" applyFill="1" applyBorder="1" applyAlignment="1">
      <alignment horizontal="right"/>
    </xf>
    <xf numFmtId="0" fontId="30" fillId="0" borderId="59" xfId="20378" applyFont="1" applyFill="1" applyBorder="1" applyAlignment="1">
      <alignment horizontal="centerContinuous"/>
    </xf>
    <xf numFmtId="0" fontId="30" fillId="0" borderId="0" xfId="20378" applyFont="1" applyFill="1" applyBorder="1" applyAlignment="1">
      <alignment horizontal="centerContinuous"/>
    </xf>
    <xf numFmtId="14" fontId="158" fillId="0" borderId="49" xfId="20379" applyNumberFormat="1" applyFont="1" applyFill="1" applyBorder="1" applyAlignment="1">
      <alignment horizontal="left"/>
    </xf>
    <xf numFmtId="2" fontId="30" fillId="0" borderId="49" xfId="20378" applyNumberFormat="1" applyFont="1" applyFill="1" applyBorder="1" applyAlignment="1">
      <alignment horizontal="right"/>
    </xf>
    <xf numFmtId="14" fontId="158" fillId="0" borderId="31" xfId="20379" applyNumberFormat="1" applyFont="1" applyFill="1" applyBorder="1" applyAlignment="1">
      <alignment horizontal="left"/>
    </xf>
    <xf numFmtId="2" fontId="30" fillId="0" borderId="31" xfId="20378" applyNumberFormat="1" applyFont="1" applyFill="1" applyBorder="1" applyAlignment="1">
      <alignment horizontal="right"/>
    </xf>
    <xf numFmtId="0" fontId="30" fillId="0" borderId="10" xfId="20378" applyFont="1" applyFill="1" applyBorder="1" applyAlignment="1">
      <alignment horizontal="centerContinuous"/>
    </xf>
    <xf numFmtId="0" fontId="30" fillId="0" borderId="44" xfId="20378" applyFont="1" applyFill="1" applyBorder="1" applyAlignment="1">
      <alignment horizontal="centerContinuous"/>
    </xf>
    <xf numFmtId="14" fontId="158" fillId="0" borderId="73" xfId="20379" applyNumberFormat="1" applyFont="1" applyFill="1" applyBorder="1" applyAlignment="1">
      <alignment horizontal="left"/>
    </xf>
    <xf numFmtId="0" fontId="35" fillId="0" borderId="101" xfId="11828" applyFont="1" applyFill="1" applyBorder="1" applyAlignment="1">
      <alignment horizontal="left"/>
    </xf>
    <xf numFmtId="0" fontId="35" fillId="0" borderId="101" xfId="11828" applyFont="1" applyFill="1" applyBorder="1" applyAlignment="1">
      <alignment horizontal="right"/>
    </xf>
    <xf numFmtId="0" fontId="35" fillId="0" borderId="102" xfId="11828" applyFont="1" applyFill="1" applyBorder="1" applyAlignment="1">
      <alignment horizontal="right"/>
    </xf>
    <xf numFmtId="0" fontId="158" fillId="0" borderId="105" xfId="0" applyFont="1" applyBorder="1"/>
    <xf numFmtId="0" fontId="158" fillId="0" borderId="106" xfId="0" applyFont="1" applyBorder="1"/>
    <xf numFmtId="0" fontId="158" fillId="0" borderId="59" xfId="0" applyFont="1" applyBorder="1" applyAlignment="1">
      <alignment horizontal="left"/>
    </xf>
    <xf numFmtId="167" fontId="158" fillId="0" borderId="0" xfId="12427" applyNumberFormat="1" applyFont="1" applyBorder="1"/>
    <xf numFmtId="0" fontId="158" fillId="0" borderId="10" xfId="0" applyFont="1" applyBorder="1" applyAlignment="1">
      <alignment horizontal="left"/>
    </xf>
    <xf numFmtId="167" fontId="158" fillId="0" borderId="44" xfId="12427" applyNumberFormat="1" applyFont="1" applyBorder="1"/>
    <xf numFmtId="14" fontId="158" fillId="0" borderId="106" xfId="0" applyNumberFormat="1" applyFont="1" applyBorder="1" applyAlignment="1">
      <alignment horizontal="right"/>
    </xf>
    <xf numFmtId="0" fontId="158" fillId="0" borderId="90" xfId="0" applyFont="1" applyBorder="1" applyAlignment="1">
      <alignment horizontal="right"/>
    </xf>
    <xf numFmtId="0" fontId="158" fillId="0" borderId="0" xfId="20305" applyFont="1"/>
    <xf numFmtId="0" fontId="234" fillId="0" borderId="0" xfId="20305" applyFont="1"/>
    <xf numFmtId="0" fontId="170" fillId="72" borderId="100" xfId="20305" applyFont="1" applyFill="1" applyBorder="1" applyAlignment="1">
      <alignment horizontal="centerContinuous"/>
    </xf>
    <xf numFmtId="0" fontId="170" fillId="72" borderId="102" xfId="20305" applyFont="1" applyFill="1" applyBorder="1" applyAlignment="1">
      <alignment horizontal="centerContinuous"/>
    </xf>
    <xf numFmtId="0" fontId="170" fillId="72" borderId="101" xfId="20305" applyFont="1" applyFill="1" applyBorder="1" applyAlignment="1">
      <alignment horizontal="centerContinuous"/>
    </xf>
    <xf numFmtId="0" fontId="170" fillId="72" borderId="73" xfId="20305" applyFont="1" applyFill="1" applyBorder="1" applyAlignment="1">
      <alignment horizontal="centerContinuous"/>
    </xf>
    <xf numFmtId="0" fontId="161" fillId="0" borderId="100" xfId="20305" applyFont="1" applyFill="1" applyBorder="1" applyAlignment="1">
      <alignment horizontal="center" wrapText="1"/>
    </xf>
    <xf numFmtId="0" fontId="161" fillId="0" borderId="101" xfId="20305" applyFont="1" applyFill="1" applyBorder="1" applyAlignment="1">
      <alignment horizontal="center" wrapText="1"/>
    </xf>
    <xf numFmtId="0" fontId="161" fillId="0" borderId="102" xfId="20305" applyFont="1" applyFill="1" applyBorder="1" applyAlignment="1">
      <alignment horizontal="center" wrapText="1"/>
    </xf>
    <xf numFmtId="0" fontId="158" fillId="0" borderId="0" xfId="20305" applyFont="1" applyAlignment="1">
      <alignment wrapText="1"/>
    </xf>
    <xf numFmtId="0" fontId="161" fillId="0" borderId="0" xfId="20305" applyFont="1" applyFill="1" applyBorder="1" applyAlignment="1">
      <alignment horizontal="center" wrapText="1"/>
    </xf>
    <xf numFmtId="0" fontId="161" fillId="0" borderId="10" xfId="20305" applyFont="1" applyFill="1" applyBorder="1" applyAlignment="1">
      <alignment horizontal="center" wrapText="1"/>
    </xf>
    <xf numFmtId="0" fontId="161" fillId="0" borderId="31" xfId="20305" applyFont="1" applyFill="1" applyBorder="1" applyAlignment="1">
      <alignment horizontal="center" wrapText="1"/>
    </xf>
    <xf numFmtId="0" fontId="160" fillId="0" borderId="0" xfId="20305" applyFont="1" applyAlignment="1">
      <alignment horizontal="center" wrapText="1"/>
    </xf>
    <xf numFmtId="164" fontId="158" fillId="0" borderId="0" xfId="20305" applyNumberFormat="1" applyFont="1" applyAlignment="1">
      <alignment horizontal="center" vertical="top" wrapText="1"/>
    </xf>
    <xf numFmtId="0" fontId="158" fillId="0" borderId="0" xfId="20305" applyFont="1" applyAlignment="1">
      <alignment vertical="top" wrapText="1"/>
    </xf>
    <xf numFmtId="165" fontId="158" fillId="0" borderId="0" xfId="20305" applyNumberFormat="1" applyFont="1" applyAlignment="1">
      <alignment horizontal="center" vertical="top" wrapText="1"/>
    </xf>
    <xf numFmtId="0" fontId="158" fillId="0" borderId="0" xfId="20305" applyFont="1" applyAlignment="1">
      <alignment horizontal="center" vertical="top" wrapText="1"/>
    </xf>
    <xf numFmtId="169" fontId="158" fillId="0" borderId="0" xfId="20305" applyNumberFormat="1" applyFont="1" applyAlignment="1">
      <alignment horizontal="right" vertical="top"/>
    </xf>
    <xf numFmtId="0" fontId="158" fillId="0" borderId="0" xfId="20305" applyFont="1" applyAlignment="1">
      <alignment horizontal="right" vertical="top"/>
    </xf>
    <xf numFmtId="234" fontId="158" fillId="0" borderId="0" xfId="20305" applyNumberFormat="1" applyFont="1" applyAlignment="1">
      <alignment horizontal="right" vertical="top"/>
    </xf>
    <xf numFmtId="165" fontId="158" fillId="0" borderId="0" xfId="20305" applyNumberFormat="1" applyFont="1" applyAlignment="1">
      <alignment vertical="top" wrapText="1"/>
    </xf>
    <xf numFmtId="0" fontId="189" fillId="0" borderId="0" xfId="20305" applyFont="1"/>
    <xf numFmtId="0" fontId="160" fillId="71" borderId="103" xfId="20305" applyFont="1" applyFill="1" applyBorder="1"/>
    <xf numFmtId="0" fontId="158" fillId="71" borderId="105" xfId="20305" applyFont="1" applyFill="1" applyBorder="1"/>
    <xf numFmtId="169" fontId="160" fillId="71" borderId="105" xfId="20305" applyNumberFormat="1" applyFont="1" applyFill="1" applyBorder="1"/>
    <xf numFmtId="0" fontId="158" fillId="71" borderId="106" xfId="20305" applyFont="1" applyFill="1" applyBorder="1"/>
    <xf numFmtId="234" fontId="160" fillId="71" borderId="105" xfId="20305" applyNumberFormat="1" applyFont="1" applyFill="1" applyBorder="1"/>
    <xf numFmtId="165" fontId="160" fillId="71" borderId="105" xfId="20305" applyNumberFormat="1" applyFont="1" applyFill="1" applyBorder="1"/>
    <xf numFmtId="165" fontId="160" fillId="71" borderId="106" xfId="20305" applyNumberFormat="1" applyFont="1" applyFill="1" applyBorder="1"/>
    <xf numFmtId="0" fontId="160" fillId="71" borderId="59" xfId="20305" applyFont="1" applyFill="1" applyBorder="1"/>
    <xf numFmtId="0" fontId="158" fillId="71" borderId="0" xfId="20305" applyFont="1" applyFill="1" applyBorder="1"/>
    <xf numFmtId="169" fontId="160" fillId="71" borderId="0" xfId="20305" applyNumberFormat="1" applyFont="1" applyFill="1" applyBorder="1"/>
    <xf numFmtId="0" fontId="158" fillId="71" borderId="13" xfId="20305" applyFont="1" applyFill="1" applyBorder="1"/>
    <xf numFmtId="234" fontId="160" fillId="71" borderId="0" xfId="20305" applyNumberFormat="1" applyFont="1" applyFill="1" applyBorder="1"/>
    <xf numFmtId="165" fontId="160" fillId="71" borderId="0" xfId="20305" applyNumberFormat="1" applyFont="1" applyFill="1" applyBorder="1"/>
    <xf numFmtId="165" fontId="160" fillId="71" borderId="13" xfId="20305" applyNumberFormat="1" applyFont="1" applyFill="1" applyBorder="1"/>
    <xf numFmtId="0" fontId="160" fillId="71" borderId="10" xfId="20305" applyFont="1" applyFill="1" applyBorder="1"/>
    <xf numFmtId="0" fontId="158" fillId="71" borderId="44" xfId="20305" applyFont="1" applyFill="1" applyBorder="1"/>
    <xf numFmtId="169" fontId="160" fillId="71" borderId="44" xfId="20305" applyNumberFormat="1" applyFont="1" applyFill="1" applyBorder="1"/>
    <xf numFmtId="0" fontId="158" fillId="71" borderId="90" xfId="20305" applyFont="1" applyFill="1" applyBorder="1"/>
    <xf numFmtId="234" fontId="160" fillId="71" borderId="44" xfId="20305" applyNumberFormat="1" applyFont="1" applyFill="1" applyBorder="1"/>
    <xf numFmtId="165" fontId="160" fillId="71" borderId="44" xfId="20305" applyNumberFormat="1" applyFont="1" applyFill="1" applyBorder="1"/>
    <xf numFmtId="165" fontId="160" fillId="71" borderId="90" xfId="20305" applyNumberFormat="1" applyFont="1" applyFill="1" applyBorder="1"/>
    <xf numFmtId="0" fontId="163" fillId="0" borderId="0" xfId="20305" applyFont="1"/>
    <xf numFmtId="0" fontId="158" fillId="0" borderId="100" xfId="0" applyFont="1" applyBorder="1" applyAlignment="1">
      <alignment horizontal="centerContinuous"/>
    </xf>
    <xf numFmtId="0" fontId="158" fillId="0" borderId="102" xfId="0" applyFont="1" applyBorder="1" applyAlignment="1">
      <alignment horizontal="centerContinuous"/>
    </xf>
    <xf numFmtId="43" fontId="158" fillId="0" borderId="103" xfId="0" applyNumberFormat="1" applyFont="1" applyBorder="1" applyAlignment="1">
      <alignment horizontal="center"/>
    </xf>
    <xf numFmtId="0" fontId="158" fillId="0" borderId="106" xfId="0" applyFont="1" applyBorder="1" applyAlignment="1">
      <alignment horizontal="center"/>
    </xf>
    <xf numFmtId="0" fontId="158" fillId="0" borderId="59" xfId="0" applyFont="1" applyBorder="1" applyAlignment="1">
      <alignment horizontal="center"/>
    </xf>
    <xf numFmtId="0" fontId="158" fillId="0" borderId="13" xfId="0" applyFont="1" applyBorder="1" applyAlignment="1">
      <alignment horizontal="center"/>
    </xf>
    <xf numFmtId="0" fontId="158" fillId="0" borderId="90" xfId="0" applyFont="1" applyBorder="1" applyAlignment="1">
      <alignment horizontal="center"/>
    </xf>
    <xf numFmtId="164" fontId="30" fillId="0" borderId="0" xfId="0" applyNumberFormat="1" applyFont="1"/>
    <xf numFmtId="0" fontId="158" fillId="0" borderId="107" xfId="0" applyFont="1" applyBorder="1" applyAlignment="1">
      <alignment horizontal="justify" vertical="center" wrapText="1"/>
    </xf>
    <xf numFmtId="0" fontId="170" fillId="0" borderId="0" xfId="0" applyFont="1" applyFill="1" applyBorder="1" applyAlignment="1">
      <alignment horizontal="left"/>
    </xf>
    <xf numFmtId="0" fontId="170" fillId="72" borderId="73" xfId="0" applyFont="1" applyFill="1" applyBorder="1" applyAlignment="1">
      <alignment horizontal="left"/>
    </xf>
    <xf numFmtId="0" fontId="170" fillId="72" borderId="73" xfId="0" applyFont="1" applyFill="1" applyBorder="1" applyAlignment="1">
      <alignment horizontal="center"/>
    </xf>
    <xf numFmtId="8" fontId="30" fillId="0" borderId="0" xfId="0" applyNumberFormat="1" applyFont="1" applyFill="1" applyBorder="1"/>
    <xf numFmtId="8" fontId="189" fillId="0" borderId="0" xfId="0" applyNumberFormat="1" applyFont="1" applyAlignment="1">
      <alignment horizontal="right"/>
    </xf>
    <xf numFmtId="0" fontId="234" fillId="0" borderId="31" xfId="0" applyFont="1" applyBorder="1"/>
    <xf numFmtId="165" fontId="194" fillId="71" borderId="41" xfId="0" applyNumberFormat="1" applyFont="1" applyFill="1" applyBorder="1" applyAlignment="1">
      <alignment horizontal="center"/>
    </xf>
    <xf numFmtId="164" fontId="160" fillId="73" borderId="0" xfId="0" applyNumberFormat="1" applyFont="1" applyFill="1" applyProtection="1"/>
    <xf numFmtId="164" fontId="189" fillId="70" borderId="0" xfId="0" applyNumberFormat="1" applyFont="1" applyFill="1" applyAlignment="1">
      <alignment horizontal="right"/>
    </xf>
    <xf numFmtId="0" fontId="158" fillId="0" borderId="0" xfId="0" quotePrefix="1" applyFont="1" applyAlignment="1">
      <alignment horizontal="right"/>
    </xf>
    <xf numFmtId="0" fontId="158" fillId="0" borderId="0" xfId="0" quotePrefix="1" applyFont="1" applyFill="1" applyAlignment="1">
      <alignment horizontal="right"/>
    </xf>
    <xf numFmtId="0" fontId="132" fillId="70" borderId="44" xfId="0" applyFont="1" applyFill="1" applyBorder="1"/>
    <xf numFmtId="0" fontId="158" fillId="73" borderId="44" xfId="0" applyFont="1" applyFill="1" applyBorder="1" applyAlignment="1">
      <alignment horizontal="center"/>
    </xf>
    <xf numFmtId="342" fontId="158" fillId="73" borderId="90" xfId="0" applyNumberFormat="1" applyFont="1" applyFill="1" applyBorder="1" applyAlignment="1">
      <alignment horizontal="right"/>
    </xf>
    <xf numFmtId="0" fontId="30" fillId="0" borderId="0" xfId="0" quotePrefix="1" applyFont="1" applyFill="1" applyAlignment="1">
      <alignment horizontal="right"/>
    </xf>
    <xf numFmtId="0" fontId="30" fillId="0" borderId="0" xfId="0" quotePrefix="1" applyFont="1" applyFill="1" applyAlignment="1">
      <alignment horizontal="right" vertical="top"/>
    </xf>
    <xf numFmtId="0" fontId="30" fillId="0" borderId="0" xfId="0" quotePrefix="1" applyFont="1" applyFill="1" applyAlignment="1">
      <alignment horizontal="left"/>
    </xf>
    <xf numFmtId="0" fontId="158" fillId="0" borderId="108" xfId="0" applyFont="1" applyBorder="1"/>
    <xf numFmtId="234" fontId="189" fillId="0" borderId="109" xfId="0" applyNumberFormat="1" applyFont="1" applyBorder="1" applyAlignment="1">
      <alignment horizontal="right"/>
    </xf>
    <xf numFmtId="167" fontId="235" fillId="0" borderId="0" xfId="12427" applyNumberFormat="1" applyFont="1" applyAlignment="1">
      <alignment horizontal="right"/>
    </xf>
    <xf numFmtId="0" fontId="158" fillId="0" borderId="0" xfId="0" quotePrefix="1" applyFont="1" applyAlignment="1">
      <alignment horizontal="left"/>
    </xf>
    <xf numFmtId="0" fontId="170" fillId="72" borderId="108" xfId="0" applyFont="1" applyFill="1" applyBorder="1" applyAlignment="1">
      <alignment horizontal="centerContinuous"/>
    </xf>
    <xf numFmtId="0" fontId="160" fillId="71" borderId="112" xfId="0" applyFont="1" applyFill="1" applyBorder="1"/>
    <xf numFmtId="167" fontId="160" fillId="71" borderId="0" xfId="12427" applyNumberFormat="1" applyFont="1" applyFill="1" applyBorder="1"/>
    <xf numFmtId="167" fontId="160" fillId="71" borderId="44" xfId="12427" applyNumberFormat="1" applyFont="1" applyFill="1" applyBorder="1"/>
    <xf numFmtId="0" fontId="160" fillId="0" borderId="0" xfId="20383" applyFont="1" applyBorder="1" applyAlignment="1">
      <alignment vertical="top"/>
    </xf>
    <xf numFmtId="0" fontId="158" fillId="0" borderId="0" xfId="20383" applyFont="1"/>
    <xf numFmtId="0" fontId="158" fillId="0" borderId="0" xfId="20383" applyFont="1" applyAlignment="1">
      <alignment horizontal="right" vertical="top"/>
    </xf>
    <xf numFmtId="0" fontId="158" fillId="0" borderId="0" xfId="20383" applyFont="1" applyAlignment="1">
      <alignment horizontal="right"/>
    </xf>
    <xf numFmtId="14" fontId="158" fillId="0" borderId="0" xfId="20383" applyNumberFormat="1" applyFont="1" applyFill="1" applyBorder="1" applyAlignment="1">
      <alignment horizontal="center"/>
    </xf>
    <xf numFmtId="0" fontId="158" fillId="0" borderId="0" xfId="20383" applyFont="1" applyBorder="1" applyAlignment="1">
      <alignment horizontal="left"/>
    </xf>
    <xf numFmtId="43" fontId="243" fillId="68" borderId="54" xfId="11155" applyFont="1" applyFill="1" applyBorder="1" applyAlignment="1"/>
    <xf numFmtId="248" fontId="158" fillId="0" borderId="0" xfId="20384" applyNumberFormat="1" applyFont="1" applyBorder="1" applyAlignment="1">
      <alignment horizontal="right"/>
    </xf>
    <xf numFmtId="43" fontId="234" fillId="0" borderId="0" xfId="12427" applyFont="1"/>
    <xf numFmtId="0" fontId="234" fillId="0" borderId="0" xfId="20383" applyFont="1"/>
    <xf numFmtId="43" fontId="243" fillId="68" borderId="0" xfId="11155" applyFont="1" applyFill="1" applyBorder="1" applyAlignment="1"/>
    <xf numFmtId="43" fontId="243" fillId="68" borderId="55" xfId="11155" applyFont="1" applyFill="1" applyBorder="1" applyAlignment="1"/>
    <xf numFmtId="0" fontId="158" fillId="0" borderId="0" xfId="20383" applyFont="1" applyAlignment="1">
      <alignment horizontal="left"/>
    </xf>
    <xf numFmtId="42" fontId="158" fillId="0" borderId="0" xfId="20383" applyNumberFormat="1" applyFont="1" applyAlignment="1">
      <alignment horizontal="right" vertical="top"/>
    </xf>
    <xf numFmtId="0" fontId="234" fillId="0" borderId="0" xfId="20383" applyFont="1" applyAlignment="1">
      <alignment horizontal="right"/>
    </xf>
    <xf numFmtId="243" fontId="158" fillId="0" borderId="0" xfId="0" applyNumberFormat="1" applyFont="1" applyFill="1" applyAlignment="1">
      <alignment horizontal="right"/>
    </xf>
    <xf numFmtId="0" fontId="160" fillId="71" borderId="59" xfId="11807" applyFont="1" applyFill="1" applyBorder="1"/>
    <xf numFmtId="0" fontId="158" fillId="71" borderId="0" xfId="11807" applyFont="1" applyFill="1" applyBorder="1"/>
    <xf numFmtId="167" fontId="160" fillId="71" borderId="13" xfId="12427" applyNumberFormat="1" applyFont="1" applyFill="1" applyBorder="1"/>
    <xf numFmtId="0" fontId="158" fillId="71" borderId="44" xfId="11807" applyFont="1" applyFill="1" applyBorder="1"/>
    <xf numFmtId="167" fontId="160" fillId="71" borderId="90" xfId="12427" applyNumberFormat="1" applyFont="1" applyFill="1" applyBorder="1"/>
    <xf numFmtId="169" fontId="160" fillId="71" borderId="113" xfId="0" applyNumberFormat="1" applyFont="1" applyFill="1" applyBorder="1"/>
    <xf numFmtId="0" fontId="160" fillId="71" borderId="113" xfId="0" applyFont="1" applyFill="1" applyBorder="1"/>
    <xf numFmtId="0" fontId="158" fillId="0" borderId="110" xfId="0" applyFont="1" applyBorder="1"/>
    <xf numFmtId="234" fontId="189" fillId="0" borderId="111" xfId="0" applyNumberFormat="1" applyFont="1" applyBorder="1" applyAlignment="1">
      <alignment horizontal="right"/>
    </xf>
    <xf numFmtId="165" fontId="160" fillId="71" borderId="113" xfId="0" applyNumberFormat="1" applyFont="1" applyFill="1" applyBorder="1"/>
    <xf numFmtId="10" fontId="160" fillId="71" borderId="113" xfId="0" applyNumberFormat="1" applyFont="1" applyFill="1" applyBorder="1"/>
    <xf numFmtId="10" fontId="161" fillId="71" borderId="113" xfId="0" applyNumberFormat="1" applyFont="1" applyFill="1" applyBorder="1"/>
    <xf numFmtId="165" fontId="161" fillId="71" borderId="113" xfId="0" applyNumberFormat="1" applyFont="1" applyFill="1" applyBorder="1"/>
    <xf numFmtId="0" fontId="161" fillId="71" borderId="113" xfId="0" applyFont="1" applyFill="1" applyBorder="1"/>
    <xf numFmtId="168" fontId="160" fillId="71" borderId="113" xfId="0" applyNumberFormat="1" applyFont="1" applyFill="1" applyBorder="1" applyAlignment="1">
      <alignment horizontal="right"/>
    </xf>
    <xf numFmtId="168" fontId="161" fillId="71" borderId="113" xfId="0" applyNumberFormat="1" applyFont="1" applyFill="1" applyBorder="1" applyAlignment="1">
      <alignment horizontal="right"/>
    </xf>
    <xf numFmtId="165" fontId="161" fillId="71" borderId="114" xfId="0" applyNumberFormat="1" applyFont="1" applyFill="1" applyBorder="1" applyAlignment="1">
      <alignment horizontal="right"/>
    </xf>
    <xf numFmtId="10" fontId="160" fillId="71" borderId="44" xfId="0" applyNumberFormat="1" applyFont="1" applyFill="1" applyBorder="1"/>
    <xf numFmtId="10" fontId="161" fillId="71" borderId="44" xfId="0" applyNumberFormat="1" applyFont="1" applyFill="1" applyBorder="1"/>
    <xf numFmtId="165" fontId="161" fillId="71" borderId="44" xfId="0" applyNumberFormat="1" applyFont="1" applyFill="1" applyBorder="1"/>
    <xf numFmtId="0" fontId="161" fillId="71" borderId="44" xfId="0" applyFont="1" applyFill="1" applyBorder="1"/>
    <xf numFmtId="168" fontId="160" fillId="71" borderId="44" xfId="0" applyNumberFormat="1" applyFont="1" applyFill="1" applyBorder="1" applyAlignment="1">
      <alignment horizontal="right"/>
    </xf>
    <xf numFmtId="168" fontId="161" fillId="71" borderId="44" xfId="0" applyNumberFormat="1" applyFont="1" applyFill="1" applyBorder="1" applyAlignment="1">
      <alignment horizontal="right"/>
    </xf>
    <xf numFmtId="165" fontId="161" fillId="71" borderId="90" xfId="0" applyNumberFormat="1" applyFont="1" applyFill="1" applyBorder="1" applyAlignment="1">
      <alignment horizontal="right"/>
    </xf>
    <xf numFmtId="169" fontId="189" fillId="0" borderId="0" xfId="0" applyNumberFormat="1" applyFont="1" applyAlignment="1">
      <alignment horizontal="right"/>
    </xf>
    <xf numFmtId="0" fontId="158" fillId="0" borderId="114" xfId="0" applyFont="1" applyBorder="1"/>
    <xf numFmtId="0" fontId="161" fillId="0" borderId="112" xfId="20383" applyFont="1" applyBorder="1"/>
    <xf numFmtId="0" fontId="161" fillId="0" borderId="114" xfId="20383" applyFont="1" applyBorder="1"/>
    <xf numFmtId="164" fontId="161" fillId="0" borderId="90" xfId="20383" applyNumberFormat="1" applyFont="1" applyBorder="1"/>
    <xf numFmtId="234" fontId="158" fillId="0" borderId="0" xfId="20305" applyNumberFormat="1" applyFont="1" applyFill="1" applyAlignment="1">
      <alignment horizontal="right" vertical="top"/>
    </xf>
    <xf numFmtId="0" fontId="160" fillId="0" borderId="73" xfId="0" applyFont="1" applyBorder="1"/>
    <xf numFmtId="0" fontId="158" fillId="0" borderId="73" xfId="0" applyFont="1" applyBorder="1"/>
    <xf numFmtId="164" fontId="158" fillId="0" borderId="73" xfId="0" applyNumberFormat="1" applyFont="1" applyBorder="1"/>
    <xf numFmtId="0" fontId="158" fillId="0" borderId="73" xfId="0" applyFont="1" applyBorder="1" applyAlignment="1">
      <alignment wrapText="1"/>
    </xf>
    <xf numFmtId="14" fontId="158" fillId="0" borderId="73" xfId="0" applyNumberFormat="1" applyFont="1" applyBorder="1"/>
    <xf numFmtId="0" fontId="158" fillId="0" borderId="0" xfId="0" quotePrefix="1" applyFont="1" applyAlignment="1">
      <alignment horizontal="right" vertical="top"/>
    </xf>
    <xf numFmtId="165" fontId="158" fillId="0" borderId="112" xfId="12422" applyNumberFormat="1" applyFont="1" applyBorder="1"/>
    <xf numFmtId="0" fontId="158" fillId="0" borderId="113" xfId="0" applyFont="1" applyBorder="1"/>
    <xf numFmtId="165" fontId="158" fillId="0" borderId="59" xfId="12422" applyNumberFormat="1" applyFont="1" applyBorder="1"/>
    <xf numFmtId="0" fontId="244" fillId="0" borderId="13" xfId="0" applyFont="1" applyBorder="1"/>
    <xf numFmtId="0" fontId="234" fillId="0" borderId="59" xfId="0" applyFont="1" applyBorder="1"/>
    <xf numFmtId="0" fontId="234" fillId="0" borderId="10" xfId="0" applyFont="1" applyBorder="1"/>
    <xf numFmtId="22" fontId="158" fillId="0" borderId="0" xfId="0" applyNumberFormat="1" applyFont="1" applyAlignment="1">
      <alignment horizontal="left"/>
    </xf>
    <xf numFmtId="8" fontId="235" fillId="0" borderId="49" xfId="0" applyNumberFormat="1" applyFont="1" applyBorder="1"/>
    <xf numFmtId="0" fontId="30" fillId="0" borderId="44" xfId="0" applyFont="1" applyBorder="1"/>
    <xf numFmtId="272" fontId="161" fillId="0" borderId="0" xfId="0" applyNumberFormat="1" applyFont="1" applyBorder="1"/>
    <xf numFmtId="0" fontId="30" fillId="0" borderId="0" xfId="0" applyFont="1" applyBorder="1"/>
    <xf numFmtId="169" fontId="30" fillId="74" borderId="0" xfId="0" applyNumberFormat="1" applyFont="1" applyFill="1" applyBorder="1"/>
    <xf numFmtId="0" fontId="159" fillId="72" borderId="75" xfId="0" applyFont="1" applyFill="1" applyBorder="1" applyAlignment="1">
      <alignment horizontal="center"/>
    </xf>
    <xf numFmtId="0" fontId="159" fillId="72" borderId="62" xfId="0" applyFont="1" applyFill="1" applyBorder="1" applyAlignment="1">
      <alignment horizontal="center"/>
    </xf>
    <xf numFmtId="0" fontId="158" fillId="75" borderId="0" xfId="0" applyFont="1" applyFill="1" applyAlignment="1">
      <alignment horizontal="right"/>
    </xf>
    <xf numFmtId="0" fontId="158" fillId="0" borderId="0" xfId="0" applyFont="1" applyFill="1" applyAlignment="1">
      <alignment horizontal="right"/>
    </xf>
    <xf numFmtId="165" fontId="132" fillId="0" borderId="0" xfId="0" applyNumberFormat="1" applyFont="1" applyAlignment="1">
      <alignment horizontal="right"/>
    </xf>
    <xf numFmtId="0" fontId="235" fillId="0" borderId="0" xfId="0" applyFont="1" applyAlignment="1">
      <alignment horizontal="right"/>
    </xf>
    <xf numFmtId="169" fontId="233" fillId="0" borderId="0" xfId="0" applyNumberFormat="1" applyFont="1" applyAlignment="1">
      <alignment horizontal="right"/>
    </xf>
    <xf numFmtId="0" fontId="30" fillId="71" borderId="34" xfId="0" applyFont="1" applyFill="1" applyBorder="1" applyAlignment="1">
      <alignment horizontal="right"/>
    </xf>
    <xf numFmtId="169" fontId="161" fillId="71" borderId="34" xfId="0" applyNumberFormat="1" applyFont="1" applyFill="1" applyBorder="1" applyAlignment="1">
      <alignment horizontal="right"/>
    </xf>
    <xf numFmtId="0" fontId="161" fillId="71" borderId="34" xfId="0" applyFont="1" applyFill="1" applyBorder="1" applyAlignment="1">
      <alignment horizontal="right"/>
    </xf>
    <xf numFmtId="165" fontId="161" fillId="71" borderId="41" xfId="0" applyNumberFormat="1" applyFont="1" applyFill="1" applyBorder="1" applyAlignment="1">
      <alignment horizontal="right"/>
    </xf>
    <xf numFmtId="0" fontId="160" fillId="71" borderId="34" xfId="0" applyFont="1" applyFill="1" applyBorder="1" applyAlignment="1">
      <alignment horizontal="right"/>
    </xf>
    <xf numFmtId="165" fontId="173" fillId="71" borderId="41" xfId="0" applyNumberFormat="1" applyFont="1" applyFill="1" applyBorder="1" applyAlignment="1">
      <alignment horizontal="right"/>
    </xf>
    <xf numFmtId="0" fontId="159" fillId="72" borderId="74" xfId="0" applyFont="1" applyFill="1" applyBorder="1" applyAlignment="1">
      <alignment horizontal="center"/>
    </xf>
    <xf numFmtId="0" fontId="170" fillId="72" borderId="112" xfId="0" applyFont="1" applyFill="1" applyBorder="1" applyAlignment="1">
      <alignment horizontal="centerContinuous"/>
    </xf>
    <xf numFmtId="0" fontId="170" fillId="72" borderId="99" xfId="0" applyFont="1" applyFill="1" applyBorder="1" applyAlignment="1">
      <alignment horizontal="centerContinuous"/>
    </xf>
    <xf numFmtId="0" fontId="161" fillId="0" borderId="110" xfId="0" applyFont="1" applyFill="1" applyBorder="1" applyAlignment="1">
      <alignment horizontal="right" wrapText="1"/>
    </xf>
    <xf numFmtId="0" fontId="161" fillId="0" borderId="115" xfId="0" applyFont="1" applyFill="1" applyBorder="1" applyAlignment="1">
      <alignment horizontal="right" wrapText="1"/>
    </xf>
    <xf numFmtId="169" fontId="160" fillId="71" borderId="115" xfId="0" applyNumberFormat="1" applyFont="1" applyFill="1" applyBorder="1"/>
    <xf numFmtId="8" fontId="235" fillId="0" borderId="0" xfId="0" applyNumberFormat="1" applyFont="1" applyAlignment="1">
      <alignment horizontal="right"/>
    </xf>
    <xf numFmtId="10" fontId="158" fillId="0" borderId="0" xfId="12422" applyNumberFormat="1" applyFont="1"/>
    <xf numFmtId="0" fontId="245" fillId="0" borderId="0" xfId="12421" applyFont="1" applyAlignment="1">
      <alignment horizontal="center"/>
    </xf>
    <xf numFmtId="0" fontId="160" fillId="0" borderId="33" xfId="0" applyFont="1" applyBorder="1"/>
    <xf numFmtId="169" fontId="246" fillId="0" borderId="34" xfId="0" applyNumberFormat="1" applyFont="1" applyBorder="1"/>
    <xf numFmtId="169" fontId="246" fillId="0" borderId="41" xfId="0" applyNumberFormat="1" applyFont="1" applyBorder="1"/>
    <xf numFmtId="167" fontId="158" fillId="0" borderId="0" xfId="0" applyNumberFormat="1" applyFont="1"/>
    <xf numFmtId="0" fontId="30" fillId="0" borderId="30" xfId="0" applyFont="1" applyBorder="1" applyAlignment="1">
      <alignment horizontal="center"/>
    </xf>
    <xf numFmtId="8" fontId="158" fillId="0" borderId="0" xfId="0" applyNumberFormat="1" applyFont="1" applyBorder="1"/>
    <xf numFmtId="165" fontId="195" fillId="0" borderId="0" xfId="12422" applyNumberFormat="1" applyFont="1"/>
    <xf numFmtId="167" fontId="158" fillId="0" borderId="116" xfId="0" applyNumberFormat="1" applyFont="1" applyBorder="1"/>
    <xf numFmtId="165" fontId="158" fillId="0" borderId="116" xfId="12422" applyNumberFormat="1" applyFont="1" applyBorder="1"/>
    <xf numFmtId="0" fontId="234" fillId="0" borderId="0" xfId="0" applyFont="1" applyFill="1"/>
    <xf numFmtId="0" fontId="163" fillId="0" borderId="0" xfId="0" applyFont="1" applyFill="1"/>
    <xf numFmtId="0" fontId="158" fillId="0" borderId="0" xfId="20392" applyFont="1"/>
    <xf numFmtId="248" fontId="158" fillId="0" borderId="0" xfId="20393" applyNumberFormat="1" applyFont="1" applyBorder="1" applyAlignment="1">
      <alignment horizontal="right"/>
    </xf>
    <xf numFmtId="0" fontId="175" fillId="87" borderId="0" xfId="20392" applyFont="1" applyFill="1" applyBorder="1"/>
    <xf numFmtId="0" fontId="158" fillId="0" borderId="0" xfId="20392" applyFont="1" applyBorder="1" applyAlignment="1">
      <alignment horizontal="center" wrapText="1"/>
    </xf>
    <xf numFmtId="0" fontId="160" fillId="88" borderId="117" xfId="20392" applyFont="1" applyFill="1" applyBorder="1" applyAlignment="1">
      <alignment horizontal="left" wrapText="1"/>
    </xf>
    <xf numFmtId="0" fontId="158" fillId="0" borderId="0" xfId="20392" applyFont="1" applyAlignment="1">
      <alignment horizontal="center" wrapText="1"/>
    </xf>
    <xf numFmtId="0" fontId="160" fillId="0" borderId="0" xfId="20392" applyFont="1" applyFill="1" applyBorder="1" applyAlignment="1">
      <alignment horizontal="center" wrapText="1"/>
    </xf>
    <xf numFmtId="0" fontId="160" fillId="0" borderId="0" xfId="20392" applyFont="1" applyFill="1" applyBorder="1" applyAlignment="1">
      <alignment horizontal="left" wrapText="1"/>
    </xf>
    <xf numFmtId="167" fontId="158" fillId="0" borderId="0" xfId="12427" applyNumberFormat="1" applyFont="1" applyFill="1" applyBorder="1" applyAlignment="1">
      <alignment horizontal="center" wrapText="1"/>
    </xf>
    <xf numFmtId="0" fontId="158" fillId="0" borderId="0" xfId="20392" applyFont="1" applyFill="1" applyBorder="1"/>
    <xf numFmtId="0" fontId="158" fillId="0" borderId="0" xfId="20394" applyFont="1" applyFill="1" applyBorder="1" applyAlignment="1">
      <alignment horizontal="center"/>
    </xf>
    <xf numFmtId="0" fontId="189" fillId="0" borderId="0" xfId="20394" applyFont="1" applyFill="1" applyBorder="1" applyAlignment="1">
      <alignment horizontal="center"/>
    </xf>
    <xf numFmtId="164" fontId="158" fillId="0" borderId="0" xfId="20392" applyNumberFormat="1" applyFont="1" applyFill="1" applyBorder="1" applyAlignment="1">
      <alignment horizontal="center"/>
    </xf>
    <xf numFmtId="248" fontId="158" fillId="0" borderId="0" xfId="20393" applyNumberFormat="1" applyFont="1" applyFill="1" applyBorder="1" applyAlignment="1">
      <alignment horizontal="center"/>
    </xf>
    <xf numFmtId="248" fontId="158" fillId="0" borderId="0" xfId="20393" applyNumberFormat="1" applyFont="1" applyFill="1" applyBorder="1" applyAlignment="1">
      <alignment horizontal="right"/>
    </xf>
    <xf numFmtId="248" fontId="30" fillId="0" borderId="0" xfId="20393" applyNumberFormat="1" applyFont="1" applyFill="1" applyBorder="1" applyAlignment="1">
      <alignment horizontal="right"/>
    </xf>
    <xf numFmtId="43" fontId="158" fillId="74" borderId="0" xfId="20393" applyNumberFormat="1" applyFont="1" applyFill="1" applyBorder="1" applyAlignment="1">
      <alignment horizontal="right"/>
    </xf>
    <xf numFmtId="165" fontId="158" fillId="74" borderId="0" xfId="20393" applyNumberFormat="1" applyFont="1" applyFill="1" applyBorder="1" applyAlignment="1">
      <alignment horizontal="right"/>
    </xf>
    <xf numFmtId="248" fontId="158" fillId="0" borderId="0" xfId="20392" applyNumberFormat="1" applyFont="1"/>
    <xf numFmtId="0" fontId="158" fillId="0" borderId="0" xfId="20392" applyFont="1" applyAlignment="1">
      <alignment horizontal="left"/>
    </xf>
    <xf numFmtId="248" fontId="158" fillId="0" borderId="0" xfId="20392" applyNumberFormat="1" applyFont="1" applyAlignment="1">
      <alignment horizontal="center" wrapText="1"/>
    </xf>
    <xf numFmtId="248" fontId="30" fillId="74" borderId="0" xfId="20393" applyNumberFormat="1" applyFont="1" applyFill="1" applyBorder="1" applyAlignment="1">
      <alignment horizontal="right"/>
    </xf>
    <xf numFmtId="0" fontId="158" fillId="0" borderId="0" xfId="20392" applyFont="1" applyFill="1" applyAlignment="1">
      <alignment horizontal="center" wrapText="1"/>
    </xf>
    <xf numFmtId="243" fontId="158" fillId="0" borderId="0" xfId="20393" applyNumberFormat="1" applyFont="1" applyFill="1" applyBorder="1" applyAlignment="1"/>
    <xf numFmtId="243" fontId="158" fillId="0" borderId="0" xfId="20393" applyNumberFormat="1" applyFont="1" applyFill="1" applyBorder="1" applyAlignment="1">
      <alignment horizontal="right"/>
    </xf>
    <xf numFmtId="248" fontId="158" fillId="74" borderId="0" xfId="20392" applyNumberFormat="1" applyFont="1" applyFill="1"/>
    <xf numFmtId="0" fontId="158" fillId="74" borderId="0" xfId="20392" applyFont="1" applyFill="1" applyAlignment="1">
      <alignment horizontal="center" wrapText="1"/>
    </xf>
    <xf numFmtId="0" fontId="189" fillId="74" borderId="0" xfId="20394" applyFont="1" applyFill="1" applyBorder="1" applyAlignment="1">
      <alignment horizontal="center"/>
    </xf>
    <xf numFmtId="248" fontId="158" fillId="86" borderId="0" xfId="20392" applyNumberFormat="1" applyFont="1" applyFill="1"/>
    <xf numFmtId="0" fontId="158" fillId="86" borderId="0" xfId="20392" applyFont="1" applyFill="1"/>
    <xf numFmtId="248" fontId="30" fillId="86" borderId="0" xfId="20393" applyNumberFormat="1" applyFont="1" applyFill="1" applyBorder="1" applyAlignment="1">
      <alignment horizontal="right"/>
    </xf>
    <xf numFmtId="234" fontId="158" fillId="86" borderId="0" xfId="20394" applyNumberFormat="1" applyFont="1" applyFill="1" applyBorder="1" applyAlignment="1">
      <alignment horizontal="right"/>
    </xf>
    <xf numFmtId="14" fontId="158" fillId="86" borderId="0" xfId="20392" applyNumberFormat="1" applyFont="1" applyFill="1" applyAlignment="1">
      <alignment horizontal="left"/>
    </xf>
    <xf numFmtId="248" fontId="158" fillId="86" borderId="0" xfId="20393" applyNumberFormat="1" applyFont="1" applyFill="1" applyAlignment="1">
      <alignment horizontal="center" wrapText="1"/>
    </xf>
    <xf numFmtId="0" fontId="158" fillId="0" borderId="0" xfId="20392" quotePrefix="1" applyFont="1" applyFill="1" applyAlignment="1">
      <alignment horizontal="right" wrapText="1"/>
    </xf>
    <xf numFmtId="243" fontId="158" fillId="0" borderId="49" xfId="0" applyNumberFormat="1" applyFont="1" applyFill="1" applyBorder="1" applyAlignment="1">
      <alignment horizontal="right"/>
    </xf>
    <xf numFmtId="0" fontId="160" fillId="71" borderId="117" xfId="11807" applyFont="1" applyFill="1" applyBorder="1"/>
    <xf numFmtId="243" fontId="158" fillId="0" borderId="118" xfId="0" applyNumberFormat="1" applyFont="1" applyFill="1" applyBorder="1" applyAlignment="1">
      <alignment horizontal="right"/>
    </xf>
    <xf numFmtId="0" fontId="160" fillId="0" borderId="0" xfId="20392" applyFont="1" applyFill="1" applyBorder="1"/>
    <xf numFmtId="0" fontId="158" fillId="0" borderId="0" xfId="20392" applyFont="1" applyFill="1"/>
    <xf numFmtId="43" fontId="158" fillId="0" borderId="0" xfId="20393" applyNumberFormat="1" applyFont="1" applyFill="1" applyBorder="1" applyAlignment="1">
      <alignment horizontal="right"/>
    </xf>
    <xf numFmtId="0" fontId="158" fillId="0" borderId="0" xfId="20392" applyFont="1" applyFill="1" applyBorder="1" applyAlignment="1">
      <alignment horizontal="left" vertical="center" wrapText="1"/>
    </xf>
    <xf numFmtId="0" fontId="158" fillId="0" borderId="0" xfId="20392" applyFont="1" applyBorder="1"/>
    <xf numFmtId="0" fontId="158" fillId="86" borderId="0" xfId="20392" applyFont="1" applyFill="1" applyBorder="1"/>
    <xf numFmtId="165" fontId="158" fillId="0" borderId="0" xfId="20393" applyNumberFormat="1" applyFont="1" applyFill="1" applyBorder="1" applyAlignment="1">
      <alignment horizontal="right"/>
    </xf>
    <xf numFmtId="0" fontId="158" fillId="0" borderId="0" xfId="20392" applyFont="1" applyFill="1" applyAlignment="1">
      <alignment horizontal="left"/>
    </xf>
    <xf numFmtId="0" fontId="163" fillId="0" borderId="0" xfId="20392" applyFont="1" applyAlignment="1">
      <alignment horizontal="left"/>
    </xf>
    <xf numFmtId="248" fontId="158" fillId="0" borderId="0" xfId="20392" applyNumberFormat="1" applyFont="1" applyFill="1"/>
    <xf numFmtId="248" fontId="158" fillId="0" borderId="0" xfId="20392" applyNumberFormat="1" applyFont="1" applyFill="1" applyAlignment="1">
      <alignment horizontal="center" wrapText="1"/>
    </xf>
    <xf numFmtId="248" fontId="158" fillId="86" borderId="0" xfId="20393" applyNumberFormat="1" applyFont="1" applyFill="1" applyBorder="1" applyAlignment="1">
      <alignment horizontal="center"/>
    </xf>
    <xf numFmtId="0" fontId="158" fillId="0" borderId="0" xfId="20392" applyFont="1" applyFill="1" applyBorder="1" applyAlignment="1">
      <alignment horizontal="right"/>
    </xf>
    <xf numFmtId="0" fontId="158" fillId="0" borderId="0" xfId="20392" applyFont="1" applyBorder="1" applyAlignment="1">
      <alignment horizontal="right"/>
    </xf>
    <xf numFmtId="243" fontId="158" fillId="0" borderId="49" xfId="20393" applyNumberFormat="1" applyFont="1" applyBorder="1" applyAlignment="1">
      <alignment horizontal="right"/>
    </xf>
    <xf numFmtId="243" fontId="158" fillId="0" borderId="118" xfId="16218" applyNumberFormat="1" applyFont="1" applyBorder="1" applyAlignment="1">
      <alignment horizontal="right"/>
    </xf>
    <xf numFmtId="0" fontId="160" fillId="0" borderId="0" xfId="20392" applyFont="1" applyBorder="1"/>
    <xf numFmtId="0" fontId="158" fillId="0" borderId="0" xfId="20392" applyFont="1" applyAlignment="1">
      <alignment horizontal="right"/>
    </xf>
    <xf numFmtId="0" fontId="158" fillId="0" borderId="0" xfId="20392" applyFont="1" applyAlignment="1">
      <alignment vertical="top" wrapText="1"/>
    </xf>
    <xf numFmtId="14" fontId="235" fillId="0" borderId="0" xfId="0" applyNumberFormat="1" applyFont="1" applyAlignment="1">
      <alignment horizontal="center"/>
    </xf>
    <xf numFmtId="43" fontId="236" fillId="0" borderId="0" xfId="11155" applyFont="1" applyFill="1" applyBorder="1" applyAlignment="1"/>
    <xf numFmtId="0" fontId="170" fillId="72" borderId="119" xfId="0" applyFont="1" applyFill="1" applyBorder="1" applyAlignment="1">
      <alignment wrapText="1"/>
    </xf>
    <xf numFmtId="0" fontId="170" fillId="72" borderId="120" xfId="0" applyFont="1" applyFill="1" applyBorder="1" applyAlignment="1">
      <alignment wrapText="1"/>
    </xf>
    <xf numFmtId="0" fontId="170" fillId="72" borderId="120" xfId="0" applyFont="1" applyFill="1" applyBorder="1" applyAlignment="1">
      <alignment horizontal="right" wrapText="1"/>
    </xf>
    <xf numFmtId="0" fontId="170" fillId="72" borderId="121" xfId="0" applyFont="1" applyFill="1" applyBorder="1" applyAlignment="1">
      <alignment horizontal="right" wrapText="1"/>
    </xf>
    <xf numFmtId="165" fontId="30" fillId="0" borderId="0" xfId="0" applyNumberFormat="1" applyFont="1" applyAlignment="1">
      <alignment horizontal="right"/>
    </xf>
    <xf numFmtId="41" fontId="158" fillId="0" borderId="0" xfId="0" applyNumberFormat="1" applyFont="1" applyAlignment="1">
      <alignment horizontal="right"/>
    </xf>
    <xf numFmtId="0" fontId="158" fillId="73" borderId="0" xfId="0" applyFont="1" applyFill="1" applyAlignment="1">
      <alignment horizontal="center"/>
    </xf>
    <xf numFmtId="167" fontId="158" fillId="0" borderId="122" xfId="12427" applyNumberFormat="1" applyFont="1" applyBorder="1"/>
    <xf numFmtId="43" fontId="158" fillId="0" borderId="0" xfId="0" applyNumberFormat="1" applyFont="1" applyAlignment="1">
      <alignment horizontal="right"/>
    </xf>
    <xf numFmtId="8" fontId="189" fillId="0" borderId="0" xfId="0" applyNumberFormat="1" applyFont="1" applyBorder="1"/>
    <xf numFmtId="0" fontId="189" fillId="0" borderId="0" xfId="0" applyFont="1" applyBorder="1"/>
    <xf numFmtId="0" fontId="161" fillId="0" borderId="119" xfId="0" applyFont="1" applyFill="1" applyBorder="1"/>
    <xf numFmtId="0" fontId="160" fillId="0" borderId="120" xfId="0" applyFont="1" applyFill="1" applyBorder="1" applyAlignment="1"/>
    <xf numFmtId="0" fontId="160" fillId="0" borderId="121" xfId="0" applyFont="1" applyFill="1" applyBorder="1" applyAlignment="1"/>
    <xf numFmtId="0" fontId="160" fillId="0" borderId="0" xfId="20397" applyFont="1" applyBorder="1" applyAlignment="1">
      <alignment horizontal="left" indent="1"/>
    </xf>
    <xf numFmtId="8" fontId="235" fillId="0" borderId="0" xfId="0" applyNumberFormat="1" applyFont="1" applyBorder="1"/>
    <xf numFmtId="167" fontId="189" fillId="0" borderId="0" xfId="12427" applyNumberFormat="1" applyFont="1" applyBorder="1"/>
    <xf numFmtId="248" fontId="189" fillId="0" borderId="0" xfId="12427" applyNumberFormat="1" applyFont="1" applyBorder="1"/>
    <xf numFmtId="0" fontId="163" fillId="0" borderId="0" xfId="20397" applyFont="1" applyBorder="1" applyAlignment="1">
      <alignment horizontal="left"/>
    </xf>
    <xf numFmtId="0" fontId="0" fillId="0" borderId="0" xfId="0" applyAlignment="1">
      <alignment vertical="top"/>
    </xf>
    <xf numFmtId="0" fontId="170" fillId="72" borderId="120" xfId="0" applyFont="1" applyFill="1" applyBorder="1" applyAlignment="1">
      <alignment horizontal="centerContinuous"/>
    </xf>
    <xf numFmtId="0" fontId="158" fillId="0" borderId="122" xfId="0" applyFont="1" applyBorder="1"/>
    <xf numFmtId="0" fontId="158" fillId="0" borderId="59" xfId="0" applyFont="1" applyFill="1" applyBorder="1"/>
    <xf numFmtId="0" fontId="160" fillId="0" borderId="117" xfId="0" applyFont="1" applyBorder="1"/>
    <xf numFmtId="0" fontId="160" fillId="0" borderId="44" xfId="0" applyFont="1" applyBorder="1"/>
    <xf numFmtId="165" fontId="160" fillId="0" borderId="90" xfId="0" applyNumberFormat="1" applyFont="1" applyBorder="1"/>
    <xf numFmtId="8" fontId="234" fillId="0" borderId="0" xfId="0" applyNumberFormat="1" applyFont="1" applyBorder="1"/>
    <xf numFmtId="43" fontId="158" fillId="0" borderId="0" xfId="12427" applyFont="1"/>
    <xf numFmtId="0" fontId="160" fillId="0" borderId="122" xfId="0" applyFont="1" applyBorder="1"/>
    <xf numFmtId="165" fontId="158" fillId="0" borderId="122" xfId="0" applyNumberFormat="1" applyFont="1" applyBorder="1"/>
    <xf numFmtId="43" fontId="30" fillId="0" borderId="0" xfId="0" applyNumberFormat="1" applyFont="1" applyFill="1" applyAlignment="1">
      <alignment horizontal="center"/>
    </xf>
    <xf numFmtId="43" fontId="234" fillId="0" borderId="124" xfId="12427" applyFont="1" applyBorder="1"/>
    <xf numFmtId="0" fontId="160" fillId="0" borderId="124" xfId="0" applyFont="1" applyBorder="1"/>
    <xf numFmtId="0" fontId="160" fillId="0" borderId="119" xfId="0" applyFont="1" applyBorder="1" applyAlignment="1">
      <alignment horizontal="center"/>
    </xf>
    <xf numFmtId="0" fontId="160" fillId="0" borderId="120" xfId="0" applyFont="1" applyBorder="1" applyAlignment="1">
      <alignment horizontal="center"/>
    </xf>
    <xf numFmtId="0" fontId="160" fillId="0" borderId="121" xfId="0" applyFont="1" applyBorder="1" applyAlignment="1">
      <alignment horizontal="right"/>
    </xf>
    <xf numFmtId="43" fontId="160" fillId="0" borderId="0" xfId="0" applyNumberFormat="1" applyFont="1" applyAlignment="1">
      <alignment horizontal="center" vertical="center"/>
    </xf>
    <xf numFmtId="0" fontId="234" fillId="0" borderId="124" xfId="0" applyFont="1" applyBorder="1"/>
    <xf numFmtId="43" fontId="234" fillId="0" borderId="0" xfId="0" applyNumberFormat="1" applyFont="1" applyAlignment="1">
      <alignment horizontal="center" vertical="center"/>
    </xf>
    <xf numFmtId="0" fontId="229" fillId="0" borderId="124" xfId="0" applyFont="1" applyBorder="1" applyAlignment="1">
      <alignment horizontal="center"/>
    </xf>
    <xf numFmtId="0" fontId="229" fillId="0" borderId="124" xfId="0" applyFont="1" applyBorder="1"/>
    <xf numFmtId="0" fontId="158" fillId="0" borderId="0" xfId="0" quotePrefix="1" applyFont="1" applyFill="1" applyBorder="1" applyAlignment="1">
      <alignment horizontal="left"/>
    </xf>
    <xf numFmtId="0" fontId="250" fillId="74" borderId="0" xfId="12421" applyFont="1" applyFill="1"/>
    <xf numFmtId="167" fontId="158" fillId="0" borderId="0" xfId="12427" applyNumberFormat="1" applyFont="1" applyFill="1" applyBorder="1" applyAlignment="1">
      <alignment horizontal="right" wrapText="1"/>
    </xf>
    <xf numFmtId="0" fontId="161" fillId="0" borderId="120" xfId="0" applyFont="1" applyFill="1" applyBorder="1" applyAlignment="1">
      <alignment horizontal="center" wrapText="1"/>
    </xf>
    <xf numFmtId="169" fontId="160" fillId="71" borderId="125" xfId="0" applyNumberFormat="1" applyFont="1" applyFill="1" applyBorder="1"/>
    <xf numFmtId="0" fontId="158" fillId="71" borderId="125" xfId="0" applyFont="1" applyFill="1" applyBorder="1"/>
    <xf numFmtId="234" fontId="160" fillId="71" borderId="125" xfId="0" applyNumberFormat="1" applyFont="1" applyFill="1" applyBorder="1"/>
    <xf numFmtId="0" fontId="161" fillId="0" borderId="120" xfId="0" applyFont="1" applyFill="1" applyBorder="1" applyAlignment="1">
      <alignment horizontal="right" wrapText="1"/>
    </xf>
    <xf numFmtId="0" fontId="170" fillId="72" borderId="120" xfId="20305" applyFont="1" applyFill="1" applyBorder="1" applyAlignment="1">
      <alignment horizontal="centerContinuous"/>
    </xf>
    <xf numFmtId="0" fontId="161" fillId="0" borderId="120" xfId="20305" applyFont="1" applyFill="1" applyBorder="1" applyAlignment="1">
      <alignment horizontal="center" wrapText="1"/>
    </xf>
    <xf numFmtId="169" fontId="160" fillId="71" borderId="125" xfId="20305" applyNumberFormat="1" applyFont="1" applyFill="1" applyBorder="1"/>
    <xf numFmtId="0" fontId="160" fillId="0" borderId="0" xfId="20392" applyFont="1" applyFill="1" applyBorder="1" applyAlignment="1">
      <alignment horizontal="left"/>
    </xf>
    <xf numFmtId="0" fontId="158" fillId="86" borderId="0" xfId="20398" applyFont="1" applyFill="1"/>
    <xf numFmtId="0" fontId="158" fillId="0" borderId="0" xfId="20398" applyFont="1" applyFill="1" applyAlignment="1">
      <alignment horizontal="center" wrapText="1"/>
    </xf>
    <xf numFmtId="0" fontId="158" fillId="0" borderId="0" xfId="20398" applyFont="1" applyFill="1" applyBorder="1"/>
    <xf numFmtId="0" fontId="189" fillId="0" borderId="0" xfId="20399" applyFont="1" applyFill="1" applyBorder="1" applyAlignment="1">
      <alignment horizontal="center"/>
    </xf>
    <xf numFmtId="0" fontId="158" fillId="0" borderId="0" xfId="20399" applyFont="1" applyFill="1" applyBorder="1" applyAlignment="1">
      <alignment horizontal="center"/>
    </xf>
    <xf numFmtId="248" fontId="158" fillId="0" borderId="0" xfId="20400" applyNumberFormat="1" applyFont="1" applyFill="1" applyBorder="1" applyAlignment="1">
      <alignment horizontal="right"/>
    </xf>
    <xf numFmtId="248" fontId="158" fillId="0" borderId="0" xfId="20398" applyNumberFormat="1" applyFont="1"/>
    <xf numFmtId="0" fontId="158" fillId="0" borderId="0" xfId="20398" applyFont="1" applyAlignment="1">
      <alignment horizontal="left"/>
    </xf>
    <xf numFmtId="0" fontId="158" fillId="0" borderId="0" xfId="20398" applyFont="1"/>
    <xf numFmtId="248" fontId="160" fillId="0" borderId="0" xfId="20393" applyNumberFormat="1" applyFont="1" applyBorder="1" applyAlignment="1">
      <alignment horizontal="right"/>
    </xf>
    <xf numFmtId="0" fontId="160" fillId="0" borderId="0" xfId="20392" applyFont="1" applyBorder="1" applyAlignment="1">
      <alignment horizontal="center" wrapText="1"/>
    </xf>
    <xf numFmtId="0" fontId="170" fillId="72" borderId="126" xfId="0" applyFont="1" applyFill="1" applyBorder="1" applyAlignment="1">
      <alignment horizontal="left"/>
    </xf>
    <xf numFmtId="0" fontId="170" fillId="72" borderId="127" xfId="0" applyFont="1" applyFill="1" applyBorder="1" applyAlignment="1">
      <alignment horizontal="center"/>
    </xf>
    <xf numFmtId="0" fontId="170" fillId="72" borderId="128" xfId="0" applyFont="1" applyFill="1" applyBorder="1" applyAlignment="1">
      <alignment horizontal="center"/>
    </xf>
    <xf numFmtId="0" fontId="160" fillId="88" borderId="129" xfId="20392" applyFont="1" applyFill="1" applyBorder="1" applyAlignment="1">
      <alignment horizontal="center" wrapText="1"/>
    </xf>
    <xf numFmtId="0" fontId="160" fillId="71" borderId="129" xfId="11807" applyFont="1" applyFill="1" applyBorder="1"/>
    <xf numFmtId="0" fontId="158" fillId="71" borderId="130" xfId="11807" applyFont="1" applyFill="1" applyBorder="1"/>
    <xf numFmtId="167" fontId="160" fillId="71" borderId="130" xfId="12427" applyNumberFormat="1" applyFont="1" applyFill="1" applyBorder="1"/>
    <xf numFmtId="167" fontId="160" fillId="71" borderId="131" xfId="12427" applyNumberFormat="1" applyFont="1" applyFill="1" applyBorder="1"/>
    <xf numFmtId="243" fontId="158" fillId="0" borderId="132" xfId="0" applyNumberFormat="1" applyFont="1" applyFill="1" applyBorder="1" applyAlignment="1">
      <alignment horizontal="right"/>
    </xf>
    <xf numFmtId="248" fontId="158" fillId="0" borderId="0" xfId="20398" applyNumberFormat="1" applyFont="1" applyAlignment="1">
      <alignment horizontal="center" wrapText="1"/>
    </xf>
    <xf numFmtId="243" fontId="158" fillId="0" borderId="132" xfId="16218" applyNumberFormat="1" applyFont="1" applyBorder="1" applyAlignment="1">
      <alignment horizontal="right"/>
    </xf>
    <xf numFmtId="0" fontId="160" fillId="71" borderId="130" xfId="0" applyFont="1" applyFill="1" applyBorder="1"/>
    <xf numFmtId="0" fontId="161" fillId="0" borderId="128" xfId="0" applyFont="1" applyFill="1" applyBorder="1" applyAlignment="1">
      <alignment horizontal="right" wrapText="1"/>
    </xf>
    <xf numFmtId="0" fontId="161" fillId="0" borderId="126" xfId="0" applyFont="1" applyFill="1" applyBorder="1" applyAlignment="1">
      <alignment horizontal="right" wrapText="1"/>
    </xf>
    <xf numFmtId="0" fontId="158" fillId="71" borderId="130" xfId="0" applyFont="1" applyFill="1" applyBorder="1"/>
    <xf numFmtId="0" fontId="196" fillId="0" borderId="0" xfId="20401" applyFont="1" applyAlignment="1">
      <alignment horizontal="center"/>
    </xf>
    <xf numFmtId="0" fontId="184" fillId="0" borderId="0" xfId="20401" applyFont="1"/>
    <xf numFmtId="0" fontId="10" fillId="0" borderId="0" xfId="20401"/>
    <xf numFmtId="0" fontId="196" fillId="0" borderId="0" xfId="20401" applyFont="1" applyAlignment="1">
      <alignment horizontal="center" wrapText="1"/>
    </xf>
    <xf numFmtId="0" fontId="251" fillId="0" borderId="0" xfId="20401" applyFont="1" applyAlignment="1">
      <alignment horizontal="center" wrapText="1"/>
    </xf>
    <xf numFmtId="0" fontId="252" fillId="0" borderId="0" xfId="20401" applyFont="1" applyAlignment="1">
      <alignment horizontal="center" wrapText="1"/>
    </xf>
    <xf numFmtId="10" fontId="252" fillId="0" borderId="0" xfId="20401" applyNumberFormat="1" applyFont="1" applyAlignment="1">
      <alignment horizontal="center" wrapText="1"/>
    </xf>
    <xf numFmtId="0" fontId="252" fillId="0" borderId="0" xfId="20401" applyFont="1" applyAlignment="1">
      <alignment wrapText="1"/>
    </xf>
    <xf numFmtId="3" fontId="196" fillId="90" borderId="0" xfId="20401" applyNumberFormat="1" applyFont="1" applyFill="1" applyAlignment="1">
      <alignment wrapText="1"/>
    </xf>
    <xf numFmtId="0" fontId="196" fillId="0" borderId="0" xfId="20401" applyFont="1"/>
    <xf numFmtId="3" fontId="184" fillId="0" borderId="0" xfId="20401" applyNumberFormat="1" applyFont="1"/>
    <xf numFmtId="10" fontId="184" fillId="0" borderId="0" xfId="20401" applyNumberFormat="1" applyFont="1"/>
    <xf numFmtId="3" fontId="251" fillId="0" borderId="0" xfId="20401" applyNumberFormat="1" applyFont="1"/>
    <xf numFmtId="44" fontId="184" fillId="0" borderId="0" xfId="20402" applyFont="1"/>
    <xf numFmtId="0" fontId="184" fillId="0" borderId="0" xfId="20401" applyFont="1" applyAlignment="1">
      <alignment horizontal="center"/>
    </xf>
    <xf numFmtId="3" fontId="184" fillId="90" borderId="0" xfId="20401" applyNumberFormat="1" applyFont="1" applyFill="1" applyAlignment="1">
      <alignment wrapText="1"/>
    </xf>
    <xf numFmtId="10" fontId="184" fillId="0" borderId="0" xfId="20401" applyNumberFormat="1" applyFont="1" applyFill="1"/>
    <xf numFmtId="0" fontId="196" fillId="0" borderId="0" xfId="20401" applyFont="1" applyAlignment="1"/>
    <xf numFmtId="0" fontId="196" fillId="0" borderId="0" xfId="20401" applyFont="1" applyFill="1"/>
    <xf numFmtId="3" fontId="184" fillId="0" borderId="0" xfId="20401" applyNumberFormat="1" applyFont="1" applyFill="1"/>
    <xf numFmtId="3" fontId="251" fillId="0" borderId="0" xfId="20401" applyNumberFormat="1" applyFont="1" applyFill="1"/>
    <xf numFmtId="44" fontId="184" fillId="0" borderId="0" xfId="20402" applyFont="1" applyFill="1" applyAlignment="1">
      <alignment horizontal="right"/>
    </xf>
    <xf numFmtId="10" fontId="184" fillId="0" borderId="0" xfId="20401" applyNumberFormat="1" applyFont="1" applyFill="1" applyAlignment="1">
      <alignment horizontal="right"/>
    </xf>
    <xf numFmtId="0" fontId="10" fillId="0" borderId="0" xfId="20401" applyFill="1"/>
    <xf numFmtId="3" fontId="184" fillId="0" borderId="0" xfId="20401" applyNumberFormat="1" applyFont="1" applyFill="1" applyAlignment="1">
      <alignment horizontal="right"/>
    </xf>
    <xf numFmtId="0" fontId="184" fillId="0" borderId="0" xfId="20401" applyFont="1" applyFill="1"/>
    <xf numFmtId="44" fontId="184" fillId="0" borderId="0" xfId="20402" applyFont="1" applyFill="1"/>
    <xf numFmtId="0" fontId="251" fillId="0" borderId="0" xfId="20401" applyFont="1" applyFill="1"/>
    <xf numFmtId="0" fontId="253" fillId="0" borderId="0" xfId="20401" applyFont="1"/>
    <xf numFmtId="0" fontId="251" fillId="0" borderId="0" xfId="20401" applyFont="1"/>
    <xf numFmtId="0" fontId="196" fillId="91" borderId="0" xfId="20401" applyFont="1" applyFill="1"/>
    <xf numFmtId="44" fontId="184" fillId="91" borderId="0" xfId="20402" applyFont="1" applyFill="1"/>
    <xf numFmtId="3" fontId="184" fillId="91" borderId="0" xfId="20401" applyNumberFormat="1" applyFont="1" applyFill="1"/>
    <xf numFmtId="10" fontId="184" fillId="91" borderId="0" xfId="20401" applyNumberFormat="1" applyFont="1" applyFill="1"/>
    <xf numFmtId="10" fontId="184" fillId="91" borderId="0" xfId="20401" applyNumberFormat="1" applyFont="1" applyFill="1" applyAlignment="1">
      <alignment horizontal="center"/>
    </xf>
    <xf numFmtId="0" fontId="184" fillId="91" borderId="0" xfId="20401" applyFont="1" applyFill="1" applyAlignment="1">
      <alignment horizontal="center"/>
    </xf>
    <xf numFmtId="0" fontId="10" fillId="91" borderId="0" xfId="20401" applyFill="1"/>
    <xf numFmtId="44" fontId="184" fillId="92" borderId="0" xfId="20402" applyFont="1" applyFill="1" applyAlignment="1">
      <alignment horizontal="right"/>
    </xf>
    <xf numFmtId="3" fontId="251" fillId="92" borderId="0" xfId="20401" applyNumberFormat="1" applyFont="1" applyFill="1" applyAlignment="1">
      <alignment horizontal="right"/>
    </xf>
    <xf numFmtId="10" fontId="251" fillId="92" borderId="0" xfId="20401" applyNumberFormat="1" applyFont="1" applyFill="1" applyAlignment="1">
      <alignment horizontal="right"/>
    </xf>
    <xf numFmtId="3" fontId="184" fillId="92" borderId="0" xfId="20401" applyNumberFormat="1" applyFont="1" applyFill="1" applyAlignment="1">
      <alignment horizontal="right"/>
    </xf>
    <xf numFmtId="10" fontId="184" fillId="92" borderId="0" xfId="20401" applyNumberFormat="1" applyFont="1" applyFill="1"/>
    <xf numFmtId="10" fontId="184" fillId="92" borderId="0" xfId="20401" applyNumberFormat="1" applyFont="1" applyFill="1" applyAlignment="1">
      <alignment horizontal="center"/>
    </xf>
    <xf numFmtId="10" fontId="184" fillId="92" borderId="0" xfId="20401" applyNumberFormat="1" applyFont="1" applyFill="1" applyAlignment="1">
      <alignment horizontal="right"/>
    </xf>
    <xf numFmtId="10" fontId="251" fillId="92" borderId="0" xfId="20401" applyNumberFormat="1" applyFont="1" applyFill="1"/>
    <xf numFmtId="273" fontId="184" fillId="0" borderId="0" xfId="20401" applyNumberFormat="1" applyFont="1" applyFill="1"/>
    <xf numFmtId="0" fontId="254" fillId="0" borderId="0" xfId="20401" applyFont="1" applyFill="1"/>
    <xf numFmtId="3" fontId="257" fillId="0" borderId="0" xfId="20401" applyNumberFormat="1" applyFont="1" applyFill="1"/>
    <xf numFmtId="10" fontId="257" fillId="0" borderId="0" xfId="20401" applyNumberFormat="1" applyFont="1" applyFill="1"/>
    <xf numFmtId="0" fontId="257" fillId="0" borderId="0" xfId="20401" applyFont="1" applyFill="1"/>
    <xf numFmtId="0" fontId="258" fillId="0" borderId="0" xfId="20401" applyFont="1" applyFill="1"/>
    <xf numFmtId="273" fontId="257" fillId="0" borderId="0" xfId="20401" applyNumberFormat="1" applyFont="1" applyFill="1"/>
    <xf numFmtId="273" fontId="184" fillId="92" borderId="0" xfId="20401" applyNumberFormat="1" applyFont="1" applyFill="1" applyAlignment="1">
      <alignment horizontal="right"/>
    </xf>
    <xf numFmtId="0" fontId="257" fillId="0" borderId="0" xfId="20401" applyNumberFormat="1" applyFont="1" applyFill="1"/>
    <xf numFmtId="44" fontId="184" fillId="0" borderId="0" xfId="20402" applyFont="1" applyAlignment="1">
      <alignment horizontal="right"/>
    </xf>
    <xf numFmtId="10" fontId="251" fillId="91" borderId="0" xfId="20401" applyNumberFormat="1" applyFont="1" applyFill="1" applyAlignment="1">
      <alignment horizontal="right"/>
    </xf>
    <xf numFmtId="10" fontId="184" fillId="91" borderId="0" xfId="20401" applyNumberFormat="1" applyFont="1" applyFill="1" applyAlignment="1">
      <alignment horizontal="right"/>
    </xf>
    <xf numFmtId="273" fontId="251" fillId="91" borderId="0" xfId="20401" applyNumberFormat="1" applyFont="1" applyFill="1" applyAlignment="1">
      <alignment horizontal="right"/>
    </xf>
    <xf numFmtId="10" fontId="251" fillId="91" borderId="0" xfId="20401" applyNumberFormat="1" applyFont="1" applyFill="1"/>
    <xf numFmtId="0" fontId="196" fillId="93" borderId="0" xfId="20401" applyFont="1" applyFill="1"/>
    <xf numFmtId="3" fontId="184" fillId="93" borderId="0" xfId="20401" applyNumberFormat="1" applyFont="1" applyFill="1"/>
    <xf numFmtId="10" fontId="257" fillId="93" borderId="0" xfId="20401" applyNumberFormat="1" applyFont="1" applyFill="1"/>
    <xf numFmtId="0" fontId="257" fillId="93" borderId="0" xfId="20401" applyFont="1" applyFill="1"/>
    <xf numFmtId="0" fontId="258" fillId="93" borderId="0" xfId="20401" applyFont="1" applyFill="1"/>
    <xf numFmtId="3" fontId="257" fillId="93" borderId="0" xfId="20401" applyNumberFormat="1" applyFont="1" applyFill="1"/>
    <xf numFmtId="273" fontId="257" fillId="93" borderId="0" xfId="20401" applyNumberFormat="1" applyFont="1" applyFill="1"/>
    <xf numFmtId="10" fontId="184" fillId="93" borderId="0" xfId="20401" applyNumberFormat="1" applyFont="1" applyFill="1"/>
    <xf numFmtId="0" fontId="10" fillId="93" borderId="0" xfId="20401" applyFill="1"/>
    <xf numFmtId="0" fontId="184" fillId="93" borderId="0" xfId="20401" applyFont="1" applyFill="1"/>
    <xf numFmtId="0" fontId="251" fillId="93" borderId="0" xfId="20401" applyFont="1" applyFill="1"/>
    <xf numFmtId="273" fontId="184" fillId="93" borderId="0" xfId="20401" applyNumberFormat="1" applyFont="1" applyFill="1"/>
    <xf numFmtId="273" fontId="184" fillId="0" borderId="0" xfId="20401" applyNumberFormat="1" applyFont="1"/>
    <xf numFmtId="44" fontId="184" fillId="74" borderId="0" xfId="20401" applyNumberFormat="1" applyFont="1" applyFill="1"/>
    <xf numFmtId="0" fontId="251" fillId="0" borderId="0" xfId="20401" applyFont="1" applyAlignment="1">
      <alignment wrapText="1"/>
    </xf>
    <xf numFmtId="3" fontId="251" fillId="0" borderId="0" xfId="20401" applyNumberFormat="1" applyFont="1" applyFill="1" applyAlignment="1">
      <alignment wrapText="1"/>
    </xf>
    <xf numFmtId="273" fontId="10" fillId="0" borderId="0" xfId="20401" applyNumberFormat="1"/>
    <xf numFmtId="3" fontId="251" fillId="90" borderId="0" xfId="20401" applyNumberFormat="1" applyFont="1" applyFill="1" applyAlignment="1">
      <alignment wrapText="1"/>
    </xf>
    <xf numFmtId="43" fontId="184" fillId="0" borderId="0" xfId="20403" applyFont="1"/>
    <xf numFmtId="3" fontId="184" fillId="90" borderId="0" xfId="20401" applyNumberFormat="1" applyFont="1" applyFill="1"/>
    <xf numFmtId="8" fontId="184" fillId="0" borderId="0" xfId="20401" applyNumberFormat="1" applyFont="1"/>
    <xf numFmtId="0" fontId="158" fillId="0" borderId="17" xfId="20401" applyFont="1" applyBorder="1" applyAlignment="1">
      <alignment vertical="center"/>
    </xf>
    <xf numFmtId="0" fontId="158" fillId="0" borderId="0" xfId="20401" applyFont="1" applyBorder="1" applyAlignment="1">
      <alignment vertical="center"/>
    </xf>
    <xf numFmtId="0" fontId="184" fillId="0" borderId="0" xfId="20401" applyFont="1" applyBorder="1"/>
    <xf numFmtId="3" fontId="171" fillId="0" borderId="0" xfId="20401" applyNumberFormat="1" applyFont="1" applyBorder="1"/>
    <xf numFmtId="10" fontId="184" fillId="0" borderId="0" xfId="20401" applyNumberFormat="1" applyFont="1" applyBorder="1" applyAlignment="1">
      <alignment horizontal="right" vertical="center" wrapText="1"/>
    </xf>
    <xf numFmtId="3" fontId="184" fillId="0" borderId="0" xfId="20401" applyNumberFormat="1" applyFont="1" applyBorder="1" applyAlignment="1">
      <alignment horizontal="right" vertical="center" wrapText="1"/>
    </xf>
    <xf numFmtId="44" fontId="184" fillId="0" borderId="0" xfId="20401" applyNumberFormat="1" applyFont="1" applyFill="1"/>
    <xf numFmtId="3" fontId="184" fillId="0" borderId="0" xfId="20401" applyNumberFormat="1" applyFont="1" applyBorder="1"/>
    <xf numFmtId="0" fontId="196" fillId="74" borderId="0" xfId="20401" applyFont="1" applyFill="1" applyAlignment="1">
      <alignment horizontal="center" wrapText="1"/>
    </xf>
    <xf numFmtId="0" fontId="158" fillId="0" borderId="0" xfId="20401" applyFont="1" applyAlignment="1">
      <alignment vertical="center"/>
    </xf>
    <xf numFmtId="10" fontId="158" fillId="0" borderId="0" xfId="20401" applyNumberFormat="1" applyFont="1" applyAlignment="1">
      <alignment horizontal="right" vertical="center"/>
    </xf>
    <xf numFmtId="0" fontId="259" fillId="0" borderId="0" xfId="20404" applyNumberFormat="1" applyFont="1" applyBorder="1" applyAlignment="1"/>
    <xf numFmtId="10" fontId="158" fillId="0" borderId="17" xfId="20401" applyNumberFormat="1" applyFont="1" applyBorder="1" applyAlignment="1">
      <alignment horizontal="right" vertical="center"/>
    </xf>
    <xf numFmtId="10" fontId="158" fillId="0" borderId="0" xfId="20401" applyNumberFormat="1" applyFont="1" applyBorder="1" applyAlignment="1">
      <alignment horizontal="right" vertical="center"/>
    </xf>
    <xf numFmtId="0" fontId="160" fillId="0" borderId="17" xfId="20401" applyFont="1" applyBorder="1" applyAlignment="1">
      <alignment vertical="center"/>
    </xf>
    <xf numFmtId="10" fontId="160" fillId="0" borderId="17" xfId="20401" applyNumberFormat="1" applyFont="1" applyBorder="1" applyAlignment="1">
      <alignment horizontal="right" vertical="center"/>
    </xf>
    <xf numFmtId="10" fontId="160" fillId="0" borderId="0" xfId="20401" applyNumberFormat="1" applyFont="1" applyBorder="1" applyAlignment="1">
      <alignment horizontal="right" vertical="center"/>
    </xf>
    <xf numFmtId="3" fontId="171" fillId="0" borderId="0" xfId="20401" applyNumberFormat="1" applyFont="1"/>
    <xf numFmtId="10" fontId="184" fillId="0" borderId="0" xfId="20401" applyNumberFormat="1" applyFont="1" applyBorder="1"/>
    <xf numFmtId="0" fontId="160" fillId="0" borderId="0" xfId="20401" applyFont="1" applyFill="1" applyBorder="1" applyAlignment="1">
      <alignment horizontal="left" vertical="center"/>
    </xf>
    <xf numFmtId="0" fontId="160" fillId="0" borderId="0" xfId="20401" applyFont="1" applyFill="1" applyBorder="1" applyAlignment="1">
      <alignment horizontal="left" vertical="center" wrapText="1" indent="4"/>
    </xf>
    <xf numFmtId="0" fontId="254" fillId="0" borderId="0" xfId="20401" applyFont="1"/>
    <xf numFmtId="0" fontId="251" fillId="0" borderId="0" xfId="20401" applyFont="1" applyBorder="1"/>
    <xf numFmtId="0" fontId="184" fillId="91" borderId="0" xfId="20401" applyFont="1" applyFill="1"/>
    <xf numFmtId="10" fontId="196" fillId="0" borderId="0" xfId="20401" applyNumberFormat="1" applyFont="1"/>
    <xf numFmtId="6" fontId="196" fillId="0" borderId="0" xfId="20401" applyNumberFormat="1" applyFont="1"/>
    <xf numFmtId="44" fontId="196" fillId="0" borderId="0" xfId="20401" applyNumberFormat="1" applyFont="1"/>
    <xf numFmtId="0" fontId="196" fillId="0" borderId="0" xfId="20401" applyNumberFormat="1" applyFont="1"/>
    <xf numFmtId="10" fontId="171" fillId="0" borderId="0" xfId="20401" applyNumberFormat="1" applyFont="1"/>
    <xf numFmtId="10" fontId="171" fillId="93" borderId="0" xfId="20401" applyNumberFormat="1" applyFont="1" applyFill="1"/>
    <xf numFmtId="0" fontId="261" fillId="0" borderId="0" xfId="20401" applyFont="1" applyAlignment="1"/>
    <xf numFmtId="0" fontId="261" fillId="0" borderId="0" xfId="20401" applyFont="1" applyAlignment="1">
      <alignment horizontal="center" wrapText="1"/>
    </xf>
    <xf numFmtId="9" fontId="184" fillId="0" borderId="0" xfId="20401" applyNumberFormat="1" applyFont="1"/>
    <xf numFmtId="3" fontId="184" fillId="0" borderId="0" xfId="20401" applyNumberFormat="1" applyFont="1" applyAlignment="1">
      <alignment wrapText="1"/>
    </xf>
    <xf numFmtId="273" fontId="184" fillId="0" borderId="0" xfId="20401" applyNumberFormat="1" applyFont="1" applyAlignment="1">
      <alignment wrapText="1"/>
    </xf>
    <xf numFmtId="0" fontId="262" fillId="0" borderId="0" xfId="20401" applyFont="1"/>
    <xf numFmtId="3" fontId="263" fillId="0" borderId="0" xfId="20401" applyNumberFormat="1" applyFont="1"/>
    <xf numFmtId="3" fontId="262" fillId="0" borderId="0" xfId="20401" applyNumberFormat="1" applyFont="1"/>
    <xf numFmtId="273" fontId="264" fillId="0" borderId="0" xfId="20401" applyNumberFormat="1" applyFont="1" applyAlignment="1">
      <alignment wrapText="1"/>
    </xf>
    <xf numFmtId="0" fontId="196" fillId="0" borderId="0" xfId="20401" applyFont="1" applyAlignment="1">
      <alignment wrapText="1"/>
    </xf>
    <xf numFmtId="0" fontId="184" fillId="0" borderId="0" xfId="20401" applyFont="1" applyAlignment="1">
      <alignment wrapText="1"/>
    </xf>
    <xf numFmtId="310" fontId="184" fillId="0" borderId="0" xfId="20401" applyNumberFormat="1" applyFont="1" applyAlignment="1">
      <alignment wrapText="1"/>
    </xf>
    <xf numFmtId="0" fontId="184" fillId="0" borderId="0" xfId="20401" applyNumberFormat="1" applyFont="1" applyAlignment="1">
      <alignment wrapText="1"/>
    </xf>
    <xf numFmtId="0" fontId="252" fillId="0" borderId="0" xfId="20401" applyFont="1" applyAlignment="1">
      <alignment horizontal="right" wrapText="1"/>
    </xf>
    <xf numFmtId="0" fontId="252" fillId="0" borderId="0" xfId="20401" applyFont="1"/>
    <xf numFmtId="3" fontId="252" fillId="0" borderId="0" xfId="20401" applyNumberFormat="1" applyFont="1"/>
    <xf numFmtId="3" fontId="252" fillId="0" borderId="0" xfId="20401" applyNumberFormat="1" applyFont="1" applyAlignment="1">
      <alignment wrapText="1"/>
    </xf>
    <xf numFmtId="273" fontId="252" fillId="0" borderId="0" xfId="20401" applyNumberFormat="1" applyFont="1"/>
    <xf numFmtId="3" fontId="261" fillId="0" borderId="0" xfId="20401" applyNumberFormat="1" applyFont="1"/>
    <xf numFmtId="273" fontId="196" fillId="0" borderId="0" xfId="20401" applyNumberFormat="1" applyFont="1"/>
    <xf numFmtId="3" fontId="196" fillId="0" borderId="0" xfId="20401" applyNumberFormat="1" applyFont="1"/>
    <xf numFmtId="10" fontId="196" fillId="0" borderId="0" xfId="20401" applyNumberFormat="1" applyFont="1" applyAlignment="1">
      <alignment wrapText="1"/>
    </xf>
    <xf numFmtId="273" fontId="196" fillId="0" borderId="0" xfId="20401" applyNumberFormat="1" applyFont="1" applyAlignment="1">
      <alignment wrapText="1"/>
    </xf>
    <xf numFmtId="0" fontId="271" fillId="0" borderId="0" xfId="20401" applyFont="1"/>
    <xf numFmtId="0" fontId="272" fillId="0" borderId="0" xfId="20401" applyFont="1" applyAlignment="1">
      <alignment wrapText="1"/>
    </xf>
    <xf numFmtId="0" fontId="272" fillId="0" borderId="0" xfId="20401" applyFont="1"/>
    <xf numFmtId="3" fontId="272" fillId="0" borderId="0" xfId="20401" applyNumberFormat="1" applyFont="1"/>
    <xf numFmtId="0" fontId="273" fillId="0" borderId="0" xfId="20401" applyFont="1"/>
    <xf numFmtId="3" fontId="10" fillId="0" borderId="0" xfId="20401" applyNumberFormat="1"/>
    <xf numFmtId="3" fontId="274" fillId="0" borderId="0" xfId="20401" applyNumberFormat="1" applyFont="1"/>
    <xf numFmtId="0" fontId="10" fillId="0" borderId="0" xfId="20401" applyBorder="1"/>
    <xf numFmtId="3" fontId="184" fillId="0" borderId="0" xfId="20401" applyNumberFormat="1" applyFont="1" applyBorder="1" applyAlignment="1">
      <alignment horizontal="center" vertical="center" wrapText="1"/>
    </xf>
    <xf numFmtId="3" fontId="10" fillId="0" borderId="0" xfId="20401" applyNumberFormat="1" applyBorder="1"/>
    <xf numFmtId="167" fontId="30" fillId="0" borderId="0" xfId="12427" applyNumberFormat="1" applyFont="1"/>
    <xf numFmtId="167" fontId="189" fillId="0" borderId="0" xfId="12427" applyNumberFormat="1" applyFont="1"/>
    <xf numFmtId="0" fontId="275" fillId="0" borderId="0" xfId="20401" applyFont="1"/>
    <xf numFmtId="0" fontId="276" fillId="0" borderId="0" xfId="20401" applyFont="1"/>
    <xf numFmtId="0" fontId="38" fillId="0" borderId="0" xfId="11846" applyFont="1"/>
    <xf numFmtId="0" fontId="38" fillId="75" borderId="0" xfId="11846" applyFont="1" applyFill="1"/>
    <xf numFmtId="0" fontId="45" fillId="75" borderId="0" xfId="11846" applyFont="1" applyFill="1" applyAlignment="1">
      <alignment horizontal="center"/>
    </xf>
    <xf numFmtId="0" fontId="38" fillId="75" borderId="0" xfId="11846" applyFont="1" applyFill="1" applyAlignment="1">
      <alignment horizontal="center"/>
    </xf>
    <xf numFmtId="0" fontId="45" fillId="0" borderId="0" xfId="11846" applyFont="1" applyAlignment="1">
      <alignment vertical="center"/>
    </xf>
    <xf numFmtId="0" fontId="45" fillId="75" borderId="0" xfId="11846" applyFont="1" applyFill="1" applyAlignment="1">
      <alignment horizontal="center" vertical="center" wrapText="1"/>
    </xf>
    <xf numFmtId="0" fontId="45" fillId="75" borderId="0" xfId="11846" applyFont="1" applyFill="1" applyAlignment="1">
      <alignment horizontal="center" vertical="center"/>
    </xf>
    <xf numFmtId="43" fontId="38" fillId="0" borderId="0" xfId="11846" applyNumberFormat="1" applyFont="1"/>
    <xf numFmtId="14" fontId="38" fillId="0" borderId="0" xfId="11846" applyNumberFormat="1" applyFont="1" applyAlignment="1">
      <alignment horizontal="center"/>
    </xf>
    <xf numFmtId="0" fontId="38" fillId="0" borderId="0" xfId="11846" applyFont="1" applyAlignment="1">
      <alignment horizontal="center"/>
    </xf>
    <xf numFmtId="0" fontId="38" fillId="0" borderId="0" xfId="11846" applyFont="1" applyAlignment="1">
      <alignment horizontal="center" wrapText="1"/>
    </xf>
    <xf numFmtId="14" fontId="38" fillId="94" borderId="0" xfId="11846" applyNumberFormat="1" applyFont="1" applyFill="1" applyAlignment="1">
      <alignment horizontal="center"/>
    </xf>
    <xf numFmtId="49" fontId="38" fillId="0" borderId="0" xfId="11846" applyNumberFormat="1" applyFont="1"/>
    <xf numFmtId="43" fontId="38" fillId="0" borderId="0" xfId="11846" applyNumberFormat="1" applyFont="1" applyAlignment="1">
      <alignment horizontal="center"/>
    </xf>
    <xf numFmtId="0" fontId="38" fillId="74" borderId="0" xfId="11846" applyFont="1" applyFill="1" applyAlignment="1">
      <alignment horizontal="center"/>
    </xf>
    <xf numFmtId="0" fontId="38" fillId="0" borderId="0" xfId="11846" applyFont="1" applyFill="1"/>
    <xf numFmtId="49" fontId="38" fillId="0" borderId="0" xfId="11846" applyNumberFormat="1" applyFont="1" applyFill="1"/>
    <xf numFmtId="14" fontId="38" fillId="0" borderId="0" xfId="11846" applyNumberFormat="1" applyFont="1" applyFill="1" applyAlignment="1">
      <alignment horizontal="center"/>
    </xf>
    <xf numFmtId="0" fontId="38" fillId="0" borderId="0" xfId="11846" applyFont="1" applyFill="1" applyAlignment="1">
      <alignment horizontal="center"/>
    </xf>
    <xf numFmtId="43" fontId="38" fillId="0" borderId="0" xfId="11846" applyNumberFormat="1" applyFont="1" applyFill="1"/>
    <xf numFmtId="0" fontId="276" fillId="0" borderId="0" xfId="20401" applyFont="1" applyAlignment="1">
      <alignment horizontal="center"/>
    </xf>
    <xf numFmtId="14" fontId="38" fillId="0" borderId="0" xfId="11846" applyNumberFormat="1" applyFont="1" applyAlignment="1">
      <alignment horizontal="left"/>
    </xf>
    <xf numFmtId="14" fontId="276" fillId="0" borderId="0" xfId="20401" applyNumberFormat="1" applyFont="1"/>
    <xf numFmtId="0" fontId="38" fillId="0" borderId="0" xfId="11846" applyFont="1" applyAlignment="1">
      <alignment horizontal="right"/>
    </xf>
    <xf numFmtId="167" fontId="276" fillId="0" borderId="0" xfId="12427" applyNumberFormat="1" applyFont="1"/>
    <xf numFmtId="0" fontId="278" fillId="0" borderId="0" xfId="20405" applyFont="1">
      <alignment vertical="center"/>
    </xf>
    <xf numFmtId="0" fontId="279" fillId="0" borderId="0" xfId="20405" applyFont="1">
      <alignment vertical="center"/>
    </xf>
    <xf numFmtId="0" fontId="184" fillId="0" borderId="0" xfId="20405" applyFont="1">
      <alignment vertical="center"/>
    </xf>
    <xf numFmtId="0" fontId="277" fillId="0" borderId="0" xfId="20405">
      <alignment vertical="center"/>
    </xf>
    <xf numFmtId="0" fontId="278" fillId="0" borderId="124" xfId="20405" applyFont="1" applyBorder="1">
      <alignment vertical="center"/>
    </xf>
    <xf numFmtId="0" fontId="278" fillId="0" borderId="124" xfId="20405" applyFont="1" applyBorder="1" applyAlignment="1">
      <alignment vertical="center" wrapText="1"/>
    </xf>
    <xf numFmtId="0" fontId="280" fillId="95" borderId="124" xfId="20405" applyFont="1" applyFill="1" applyBorder="1" applyAlignment="1">
      <alignment horizontal="center" vertical="center" wrapText="1"/>
    </xf>
    <xf numFmtId="0" fontId="279" fillId="0" borderId="124" xfId="20405" applyFont="1" applyBorder="1">
      <alignment vertical="center"/>
    </xf>
    <xf numFmtId="3" fontId="279" fillId="0" borderId="124" xfId="20405" applyNumberFormat="1" applyFont="1" applyBorder="1">
      <alignment vertical="center"/>
    </xf>
    <xf numFmtId="0" fontId="279" fillId="0" borderId="124" xfId="20405" applyNumberFormat="1" applyFont="1" applyBorder="1">
      <alignment vertical="center"/>
    </xf>
    <xf numFmtId="14" fontId="184" fillId="0" borderId="124" xfId="20405" applyNumberFormat="1" applyFont="1" applyBorder="1">
      <alignment vertical="center"/>
    </xf>
    <xf numFmtId="0" fontId="279" fillId="0" borderId="124" xfId="20405" applyFont="1" applyBorder="1" applyAlignment="1">
      <alignment vertical="center" wrapText="1"/>
    </xf>
    <xf numFmtId="0" fontId="279" fillId="0" borderId="0" xfId="20405" applyNumberFormat="1" applyFont="1">
      <alignment vertical="center"/>
    </xf>
    <xf numFmtId="0" fontId="196" fillId="96" borderId="124" xfId="20405" applyFont="1" applyFill="1" applyBorder="1" applyAlignment="1">
      <alignment horizontal="justify" vertical="center" wrapText="1"/>
    </xf>
    <xf numFmtId="0" fontId="196" fillId="96" borderId="124" xfId="20405" applyFont="1" applyFill="1" applyBorder="1" applyAlignment="1">
      <alignment vertical="center" wrapText="1"/>
    </xf>
    <xf numFmtId="0" fontId="196" fillId="0" borderId="124" xfId="20405" applyFont="1" applyBorder="1" applyAlignment="1">
      <alignment horizontal="justify" vertical="center" wrapText="1"/>
    </xf>
    <xf numFmtId="3" fontId="158" fillId="0" borderId="124" xfId="20405" applyNumberFormat="1" applyFont="1" applyBorder="1" applyAlignment="1">
      <alignment horizontal="right" vertical="center" wrapText="1"/>
    </xf>
    <xf numFmtId="14" fontId="158" fillId="95" borderId="124" xfId="20405" applyNumberFormat="1" applyFont="1" applyFill="1" applyBorder="1">
      <alignment vertical="center"/>
    </xf>
    <xf numFmtId="0" fontId="196" fillId="0" borderId="124" xfId="20405" applyFont="1" applyBorder="1" applyAlignment="1">
      <alignment vertical="center" wrapText="1"/>
    </xf>
    <xf numFmtId="3" fontId="160" fillId="0" borderId="124" xfId="20405" applyNumberFormat="1" applyFont="1" applyBorder="1" applyAlignment="1">
      <alignment horizontal="right" vertical="center" wrapText="1"/>
    </xf>
    <xf numFmtId="0" fontId="281" fillId="95" borderId="124" xfId="20405" applyFont="1" applyFill="1" applyBorder="1" applyAlignment="1">
      <alignment horizontal="center" vertical="center"/>
    </xf>
    <xf numFmtId="296" fontId="280" fillId="95" borderId="132" xfId="20405" applyNumberFormat="1" applyFont="1" applyFill="1" applyBorder="1" applyAlignment="1">
      <alignment horizontal="center" vertical="center" wrapText="1"/>
    </xf>
    <xf numFmtId="0" fontId="158" fillId="0" borderId="124" xfId="20405" applyFont="1" applyBorder="1" applyAlignment="1">
      <alignment vertical="center" wrapText="1"/>
    </xf>
    <xf numFmtId="3" fontId="160" fillId="0" borderId="126" xfId="20405" applyNumberFormat="1" applyFont="1" applyBorder="1" applyAlignment="1">
      <alignment horizontal="right" vertical="center" wrapText="1"/>
    </xf>
    <xf numFmtId="0" fontId="158" fillId="0" borderId="124" xfId="20405" applyFont="1" applyFill="1" applyBorder="1">
      <alignment vertical="center"/>
    </xf>
    <xf numFmtId="296" fontId="158" fillId="0" borderId="124" xfId="20405" applyNumberFormat="1" applyFont="1" applyFill="1" applyBorder="1">
      <alignment vertical="center"/>
    </xf>
    <xf numFmtId="0" fontId="277" fillId="0" borderId="0" xfId="20405" applyFill="1" applyBorder="1">
      <alignment vertical="center"/>
    </xf>
    <xf numFmtId="0" fontId="160" fillId="0" borderId="124" xfId="20405" applyFont="1" applyBorder="1" applyAlignment="1">
      <alignment vertical="center" wrapText="1"/>
    </xf>
    <xf numFmtId="4" fontId="160" fillId="0" borderId="124" xfId="20405" applyNumberFormat="1" applyFont="1" applyBorder="1" applyAlignment="1">
      <alignment horizontal="right" vertical="center" wrapText="1"/>
    </xf>
    <xf numFmtId="15" fontId="158" fillId="0" borderId="124" xfId="20405" applyNumberFormat="1" applyFont="1" applyBorder="1" applyAlignment="1">
      <alignment vertical="center" wrapText="1"/>
    </xf>
    <xf numFmtId="3" fontId="158" fillId="0" borderId="124" xfId="20405" applyNumberFormat="1" applyFont="1" applyBorder="1" applyAlignment="1">
      <alignment vertical="center" wrapText="1"/>
    </xf>
    <xf numFmtId="14" fontId="158" fillId="0" borderId="124" xfId="20405" applyNumberFormat="1" applyFont="1" applyFill="1" applyBorder="1">
      <alignment vertical="center"/>
    </xf>
    <xf numFmtId="4" fontId="158" fillId="0" borderId="124" xfId="20405" applyNumberFormat="1" applyFont="1" applyBorder="1" applyAlignment="1">
      <alignment vertical="center" wrapText="1"/>
    </xf>
    <xf numFmtId="0" fontId="196" fillId="0" borderId="124" xfId="20405" applyFont="1" applyBorder="1" applyAlignment="1">
      <alignment horizontal="right" vertical="center" wrapText="1"/>
    </xf>
    <xf numFmtId="296" fontId="277" fillId="0" borderId="0" xfId="20405" applyNumberFormat="1" applyFill="1" applyBorder="1">
      <alignment vertical="center"/>
    </xf>
    <xf numFmtId="3" fontId="158" fillId="0" borderId="49" xfId="20405" applyNumberFormat="1" applyFont="1" applyFill="1" applyBorder="1" applyAlignment="1">
      <alignment vertical="center" wrapText="1"/>
    </xf>
    <xf numFmtId="296" fontId="184" fillId="0" borderId="0" xfId="20405" applyNumberFormat="1" applyFont="1">
      <alignment vertical="center"/>
    </xf>
    <xf numFmtId="3" fontId="277" fillId="0" borderId="0" xfId="20405" applyNumberFormat="1">
      <alignment vertical="center"/>
    </xf>
    <xf numFmtId="0" fontId="171" fillId="0" borderId="0" xfId="20405" applyFont="1" applyAlignment="1">
      <alignment horizontal="left" vertical="center"/>
    </xf>
    <xf numFmtId="0" fontId="277" fillId="0" borderId="0" xfId="20405" applyFont="1" applyAlignment="1">
      <alignment horizontal="left" vertical="center"/>
    </xf>
    <xf numFmtId="0" fontId="184" fillId="0" borderId="0" xfId="20405" applyFont="1" applyAlignment="1">
      <alignment horizontal="left" vertical="center"/>
    </xf>
    <xf numFmtId="296" fontId="184" fillId="0" borderId="0" xfId="20405" applyNumberFormat="1" applyFont="1" applyAlignment="1">
      <alignment horizontal="left" vertical="center"/>
    </xf>
    <xf numFmtId="0" fontId="184" fillId="96" borderId="124" xfId="20405" applyFont="1" applyFill="1" applyBorder="1" applyAlignment="1">
      <alignment horizontal="left" vertical="center" wrapText="1"/>
    </xf>
    <xf numFmtId="0" fontId="184" fillId="0" borderId="124" xfId="20405" applyFont="1" applyBorder="1" applyAlignment="1">
      <alignment horizontal="justify" vertical="center" wrapText="1"/>
    </xf>
    <xf numFmtId="3" fontId="184" fillId="0" borderId="124" xfId="20405" applyNumberFormat="1" applyFont="1" applyBorder="1" applyAlignment="1">
      <alignment horizontal="right" vertical="center" wrapText="1"/>
    </xf>
    <xf numFmtId="4" fontId="158" fillId="0" borderId="124" xfId="20405" applyNumberFormat="1" applyFont="1" applyBorder="1" applyAlignment="1">
      <alignment horizontal="right" vertical="center" wrapText="1"/>
    </xf>
    <xf numFmtId="296" fontId="158" fillId="95" borderId="124" xfId="20405" applyNumberFormat="1" applyFont="1" applyFill="1" applyBorder="1">
      <alignment vertical="center"/>
    </xf>
    <xf numFmtId="0" fontId="277" fillId="0" borderId="0" xfId="20405" applyFont="1">
      <alignment vertical="center"/>
    </xf>
    <xf numFmtId="0" fontId="184" fillId="0" borderId="124" xfId="20405" applyFont="1" applyBorder="1" applyAlignment="1">
      <alignment vertical="center" wrapText="1"/>
    </xf>
    <xf numFmtId="0" fontId="281" fillId="95" borderId="124" xfId="20405" applyNumberFormat="1" applyFont="1" applyFill="1" applyBorder="1" applyAlignment="1">
      <alignment horizontal="center" vertical="center"/>
    </xf>
    <xf numFmtId="0" fontId="171" fillId="0" borderId="0" xfId="20405" applyFont="1" applyAlignment="1">
      <alignment horizontal="center" vertical="center"/>
    </xf>
    <xf numFmtId="0" fontId="283" fillId="0" borderId="0" xfId="20405" applyFont="1">
      <alignment vertical="center"/>
    </xf>
    <xf numFmtId="0" fontId="158" fillId="0" borderId="0" xfId="20405" applyFont="1">
      <alignment vertical="center"/>
    </xf>
    <xf numFmtId="296" fontId="158" fillId="0" borderId="0" xfId="20405" applyNumberFormat="1" applyFont="1">
      <alignment vertical="center"/>
    </xf>
    <xf numFmtId="0" fontId="184" fillId="96" borderId="124" xfId="20405" applyFont="1" applyFill="1" applyBorder="1" applyAlignment="1">
      <alignment horizontal="justify" vertical="center" wrapText="1"/>
    </xf>
    <xf numFmtId="0" fontId="158" fillId="96" borderId="124" xfId="20405" applyFont="1" applyFill="1" applyBorder="1" applyAlignment="1">
      <alignment vertical="center" wrapText="1"/>
    </xf>
    <xf numFmtId="0" fontId="158" fillId="95" borderId="124" xfId="20405" applyNumberFormat="1" applyFont="1" applyFill="1" applyBorder="1" applyAlignment="1">
      <alignment horizontal="center" vertical="center"/>
    </xf>
    <xf numFmtId="0" fontId="184" fillId="96" borderId="124" xfId="20405" applyFont="1" applyFill="1" applyBorder="1" applyAlignment="1">
      <alignment vertical="center" wrapText="1"/>
    </xf>
    <xf numFmtId="0" fontId="184" fillId="0" borderId="124" xfId="20405" applyFont="1" applyBorder="1" applyAlignment="1">
      <alignment horizontal="right" vertical="center" wrapText="1"/>
    </xf>
    <xf numFmtId="0" fontId="158" fillId="95" borderId="124" xfId="20405" applyFont="1" applyFill="1" applyBorder="1">
      <alignment vertical="center"/>
    </xf>
    <xf numFmtId="4" fontId="184" fillId="0" borderId="124" xfId="20405" applyNumberFormat="1" applyFont="1" applyBorder="1" applyAlignment="1">
      <alignment horizontal="right" vertical="center" wrapText="1"/>
    </xf>
    <xf numFmtId="3" fontId="196" fillId="0" borderId="124" xfId="20405" applyNumberFormat="1" applyFont="1" applyBorder="1" applyAlignment="1">
      <alignment horizontal="right" vertical="center" wrapText="1"/>
    </xf>
    <xf numFmtId="0" fontId="158" fillId="96" borderId="124" xfId="20405" applyFont="1" applyFill="1" applyBorder="1" applyAlignment="1">
      <alignment horizontal="justify" vertical="center" wrapText="1"/>
    </xf>
    <xf numFmtId="0" fontId="281" fillId="95" borderId="124" xfId="20405" applyFont="1" applyFill="1" applyBorder="1" applyAlignment="1">
      <alignment horizontal="center" vertical="center" wrapText="1"/>
    </xf>
    <xf numFmtId="0" fontId="158" fillId="95" borderId="124" xfId="20405" applyFont="1" applyFill="1" applyBorder="1" applyAlignment="1">
      <alignment horizontal="center" vertical="center"/>
    </xf>
    <xf numFmtId="0" fontId="158" fillId="0" borderId="124" xfId="20405" applyFont="1" applyBorder="1" applyAlignment="1">
      <alignment horizontal="right" vertical="center" wrapText="1"/>
    </xf>
    <xf numFmtId="10" fontId="158" fillId="0" borderId="124" xfId="20405" applyNumberFormat="1" applyFont="1" applyBorder="1" applyAlignment="1">
      <alignment horizontal="right" vertical="center" wrapText="1"/>
    </xf>
    <xf numFmtId="0" fontId="158" fillId="95" borderId="124" xfId="20405" applyNumberFormat="1" applyFont="1" applyFill="1" applyBorder="1">
      <alignment vertical="center"/>
    </xf>
    <xf numFmtId="0" fontId="158" fillId="0" borderId="124" xfId="20405" applyFont="1" applyBorder="1" applyAlignment="1">
      <alignment horizontal="justify" vertical="center" wrapText="1"/>
    </xf>
    <xf numFmtId="9" fontId="158" fillId="0" borderId="124" xfId="20405" applyNumberFormat="1" applyFont="1" applyBorder="1" applyAlignment="1">
      <alignment horizontal="right" vertical="center" wrapText="1"/>
    </xf>
    <xf numFmtId="0" fontId="158" fillId="95" borderId="124" xfId="20405" applyFont="1" applyFill="1" applyBorder="1" applyAlignment="1">
      <alignment horizontal="right" vertical="center"/>
    </xf>
    <xf numFmtId="0" fontId="158" fillId="0" borderId="124" xfId="20405" applyFont="1" applyBorder="1" applyAlignment="1">
      <alignment horizontal="left" vertical="center" wrapText="1"/>
    </xf>
    <xf numFmtId="0" fontId="196" fillId="0" borderId="0" xfId="20405" applyFont="1">
      <alignment vertical="center"/>
    </xf>
    <xf numFmtId="3" fontId="196" fillId="0" borderId="0" xfId="20405" applyNumberFormat="1" applyFont="1">
      <alignment vertical="center"/>
    </xf>
    <xf numFmtId="296" fontId="184" fillId="0" borderId="0" xfId="20406" applyFont="1">
      <alignment vertical="center"/>
    </xf>
    <xf numFmtId="4" fontId="184" fillId="0" borderId="0" xfId="20405" applyNumberFormat="1" applyFont="1">
      <alignment vertical="center"/>
    </xf>
    <xf numFmtId="3" fontId="184" fillId="0" borderId="0" xfId="20405" applyNumberFormat="1" applyFont="1">
      <alignment vertical="center"/>
    </xf>
    <xf numFmtId="296" fontId="10" fillId="0" borderId="0" xfId="20406" applyFont="1" applyBorder="1" applyAlignment="1"/>
    <xf numFmtId="0" fontId="184" fillId="0" borderId="0" xfId="20405" applyNumberFormat="1" applyFont="1">
      <alignment vertical="center"/>
    </xf>
    <xf numFmtId="167" fontId="277" fillId="0" borderId="0" xfId="20405" applyNumberFormat="1" applyFont="1">
      <alignment vertical="center"/>
    </xf>
    <xf numFmtId="167" fontId="277" fillId="0" borderId="130" xfId="12427" applyNumberFormat="1" applyFont="1" applyBorder="1" applyAlignment="1">
      <alignment vertical="center"/>
    </xf>
    <xf numFmtId="8" fontId="30" fillId="0" borderId="0" xfId="0" applyNumberFormat="1" applyFont="1" applyAlignment="1">
      <alignment horizontal="right"/>
    </xf>
    <xf numFmtId="164" fontId="132" fillId="0" borderId="0" xfId="0" applyNumberFormat="1" applyFont="1" applyFill="1" applyAlignment="1">
      <alignment horizontal="right"/>
    </xf>
    <xf numFmtId="344" fontId="158" fillId="0" borderId="0" xfId="0" applyNumberFormat="1" applyFont="1" applyFill="1" applyAlignment="1">
      <alignment horizontal="right"/>
    </xf>
    <xf numFmtId="167" fontId="158" fillId="0" borderId="0" xfId="12427" applyNumberFormat="1" applyFont="1" applyFill="1" applyAlignment="1">
      <alignment horizontal="right"/>
    </xf>
    <xf numFmtId="167" fontId="158" fillId="0" borderId="0" xfId="0" applyNumberFormat="1" applyFont="1" applyFill="1" applyAlignment="1">
      <alignment horizontal="right"/>
    </xf>
    <xf numFmtId="8" fontId="276" fillId="0" borderId="0" xfId="20401" applyNumberFormat="1" applyFont="1"/>
    <xf numFmtId="8" fontId="189" fillId="0" borderId="64" xfId="0" applyNumberFormat="1" applyFont="1" applyBorder="1"/>
    <xf numFmtId="169" fontId="160" fillId="0" borderId="130" xfId="0" applyNumberFormat="1" applyFont="1" applyBorder="1"/>
    <xf numFmtId="8" fontId="162" fillId="0" borderId="0" xfId="0" applyNumberFormat="1" applyFont="1" applyFill="1"/>
    <xf numFmtId="8" fontId="235" fillId="0" borderId="132" xfId="0" applyNumberFormat="1" applyFont="1" applyBorder="1"/>
    <xf numFmtId="8" fontId="235" fillId="0" borderId="118" xfId="0" applyNumberFormat="1" applyFont="1" applyBorder="1"/>
    <xf numFmtId="167" fontId="160" fillId="0" borderId="0" xfId="12427" applyNumberFormat="1" applyFont="1"/>
    <xf numFmtId="167" fontId="160" fillId="0" borderId="0" xfId="0" applyNumberFormat="1" applyFont="1"/>
    <xf numFmtId="167" fontId="30" fillId="0" borderId="0" xfId="0" applyNumberFormat="1" applyFont="1" applyFill="1"/>
    <xf numFmtId="167" fontId="158" fillId="0" borderId="44" xfId="0" applyNumberFormat="1" applyFont="1" applyBorder="1"/>
    <xf numFmtId="167" fontId="30" fillId="0" borderId="0" xfId="0" applyNumberFormat="1" applyFont="1"/>
    <xf numFmtId="167" fontId="160" fillId="71" borderId="5" xfId="12427" applyNumberFormat="1" applyFont="1" applyFill="1" applyBorder="1"/>
    <xf numFmtId="167" fontId="161" fillId="71" borderId="5" xfId="12427" applyNumberFormat="1" applyFont="1" applyFill="1" applyBorder="1"/>
    <xf numFmtId="167" fontId="168" fillId="71" borderId="5" xfId="12427" applyNumberFormat="1" applyFont="1" applyFill="1" applyBorder="1"/>
    <xf numFmtId="167" fontId="160" fillId="71" borderId="5" xfId="0" applyNumberFormat="1" applyFont="1" applyFill="1" applyBorder="1"/>
    <xf numFmtId="8" fontId="158" fillId="0" borderId="0" xfId="0" applyNumberFormat="1" applyFont="1" applyFill="1" applyAlignment="1">
      <alignment horizontal="right"/>
    </xf>
    <xf numFmtId="0" fontId="132" fillId="0" borderId="0" xfId="0" applyFont="1" applyFill="1" applyAlignment="1">
      <alignment horizontal="right" wrapText="1"/>
    </xf>
    <xf numFmtId="169" fontId="158" fillId="73" borderId="0" xfId="0" applyNumberFormat="1" applyFont="1" applyFill="1"/>
    <xf numFmtId="8" fontId="158" fillId="0" borderId="49" xfId="0" applyNumberFormat="1" applyFont="1" applyBorder="1"/>
    <xf numFmtId="8" fontId="158" fillId="0" borderId="132" xfId="0" applyNumberFormat="1" applyFont="1" applyBorder="1"/>
    <xf numFmtId="8" fontId="158" fillId="0" borderId="118" xfId="0" applyNumberFormat="1" applyFont="1" applyBorder="1"/>
    <xf numFmtId="169" fontId="235" fillId="0" borderId="0" xfId="0" applyNumberFormat="1" applyFont="1" applyFill="1"/>
    <xf numFmtId="8" fontId="235" fillId="0" borderId="0" xfId="0" applyNumberFormat="1" applyFont="1" applyFill="1" applyAlignment="1">
      <alignment horizontal="right"/>
    </xf>
    <xf numFmtId="0" fontId="229" fillId="0" borderId="0" xfId="0" applyFont="1" applyBorder="1" applyAlignment="1">
      <alignment horizontal="centerContinuous"/>
    </xf>
    <xf numFmtId="8" fontId="160" fillId="0" borderId="0" xfId="0" applyNumberFormat="1" applyFont="1" applyBorder="1" applyAlignment="1">
      <alignment horizontal="right"/>
    </xf>
    <xf numFmtId="0" fontId="196" fillId="0" borderId="0" xfId="0" applyFont="1" applyBorder="1" applyAlignment="1">
      <alignment horizontal="centerContinuous"/>
    </xf>
    <xf numFmtId="43" fontId="158" fillId="0" borderId="0" xfId="0" applyNumberFormat="1" applyFont="1"/>
    <xf numFmtId="165" fontId="158" fillId="0" borderId="0" xfId="0" applyNumberFormat="1" applyFont="1" applyBorder="1"/>
    <xf numFmtId="0" fontId="0" fillId="0" borderId="0" xfId="0" applyFill="1"/>
    <xf numFmtId="169" fontId="235" fillId="0" borderId="44" xfId="0" applyNumberFormat="1" applyFont="1" applyFill="1" applyBorder="1"/>
    <xf numFmtId="169" fontId="235" fillId="0" borderId="44" xfId="0" applyNumberFormat="1" applyFont="1" applyBorder="1"/>
    <xf numFmtId="0" fontId="160" fillId="0" borderId="0" xfId="20397" applyFont="1" applyFill="1" applyBorder="1" applyAlignment="1">
      <alignment horizontal="left" indent="1"/>
    </xf>
    <xf numFmtId="0" fontId="158" fillId="0" borderId="0" xfId="20397" quotePrefix="1" applyFont="1" applyBorder="1" applyAlignment="1">
      <alignment horizontal="left" vertical="top"/>
    </xf>
    <xf numFmtId="0" fontId="158" fillId="0" borderId="0" xfId="0" applyFont="1" applyAlignment="1">
      <alignment vertical="top"/>
    </xf>
    <xf numFmtId="0" fontId="248" fillId="0" borderId="0" xfId="0" applyFont="1" applyAlignment="1">
      <alignment vertical="top"/>
    </xf>
    <xf numFmtId="243" fontId="158" fillId="0" borderId="0" xfId="0" applyNumberFormat="1" applyFont="1" applyAlignment="1">
      <alignment horizontal="right"/>
    </xf>
    <xf numFmtId="0" fontId="30" fillId="0" borderId="0" xfId="0" applyFont="1" applyFill="1" applyBorder="1" applyAlignment="1">
      <alignment horizontal="right"/>
    </xf>
    <xf numFmtId="0" fontId="170" fillId="0" borderId="0" xfId="0" applyFont="1" applyFill="1" applyBorder="1" applyAlignment="1">
      <alignment horizontal="right"/>
    </xf>
    <xf numFmtId="165" fontId="235" fillId="0" borderId="0" xfId="0" applyNumberFormat="1" applyFont="1" applyFill="1" applyBorder="1" applyAlignment="1">
      <alignment horizontal="right"/>
    </xf>
    <xf numFmtId="8" fontId="158" fillId="0" borderId="0" xfId="0" applyNumberFormat="1" applyFont="1" applyFill="1" applyBorder="1" applyAlignment="1">
      <alignment horizontal="right"/>
    </xf>
    <xf numFmtId="0" fontId="170" fillId="72" borderId="127" xfId="0" applyFont="1" applyFill="1" applyBorder="1" applyAlignment="1">
      <alignment horizontal="right"/>
    </xf>
    <xf numFmtId="0" fontId="170" fillId="72" borderId="128" xfId="0" applyFont="1" applyFill="1" applyBorder="1" applyAlignment="1">
      <alignment horizontal="right"/>
    </xf>
    <xf numFmtId="8" fontId="160" fillId="0" borderId="0" xfId="0" applyNumberFormat="1" applyFont="1" applyFill="1" applyBorder="1"/>
    <xf numFmtId="169" fontId="158" fillId="0" borderId="0" xfId="0" applyNumberFormat="1" applyFont="1" applyBorder="1"/>
    <xf numFmtId="0" fontId="235" fillId="0" borderId="0" xfId="0" applyFont="1" applyBorder="1"/>
    <xf numFmtId="0" fontId="158" fillId="0" borderId="126" xfId="0" applyFont="1" applyBorder="1"/>
    <xf numFmtId="0" fontId="158" fillId="0" borderId="127" xfId="0" applyFont="1" applyBorder="1"/>
    <xf numFmtId="164" fontId="158" fillId="0" borderId="128" xfId="0" applyNumberFormat="1" applyFont="1" applyBorder="1" applyAlignment="1">
      <alignment horizontal="right"/>
    </xf>
    <xf numFmtId="2" fontId="235" fillId="0" borderId="0" xfId="0" applyNumberFormat="1" applyFont="1" applyFill="1" applyBorder="1" applyAlignment="1">
      <alignment horizontal="right"/>
    </xf>
    <xf numFmtId="2" fontId="235" fillId="0" borderId="0" xfId="0" applyNumberFormat="1" applyFont="1"/>
    <xf numFmtId="0" fontId="159" fillId="28" borderId="126" xfId="0" applyFont="1" applyFill="1" applyBorder="1" applyAlignment="1">
      <alignment horizontal="center" wrapText="1"/>
    </xf>
    <xf numFmtId="0" fontId="159" fillId="28" borderId="127" xfId="0" applyFont="1" applyFill="1" applyBorder="1" applyAlignment="1">
      <alignment horizontal="center" wrapText="1"/>
    </xf>
    <xf numFmtId="0" fontId="159" fillId="28" borderId="128" xfId="0" applyFont="1" applyFill="1" applyBorder="1" applyAlignment="1">
      <alignment horizontal="center" wrapText="1"/>
    </xf>
    <xf numFmtId="167" fontId="286" fillId="71" borderId="5" xfId="12427" applyNumberFormat="1" applyFont="1" applyFill="1" applyBorder="1"/>
    <xf numFmtId="0" fontId="170" fillId="72" borderId="126" xfId="0" applyFont="1" applyFill="1" applyBorder="1" applyAlignment="1">
      <alignment horizontal="centerContinuous"/>
    </xf>
    <xf numFmtId="0" fontId="170" fillId="72" borderId="127" xfId="0" applyFont="1" applyFill="1" applyBorder="1" applyAlignment="1">
      <alignment horizontal="centerContinuous"/>
    </xf>
    <xf numFmtId="0" fontId="170" fillId="72" borderId="128" xfId="0" applyFont="1" applyFill="1" applyBorder="1" applyAlignment="1">
      <alignment horizontal="centerContinuous"/>
    </xf>
    <xf numFmtId="0" fontId="158" fillId="0" borderId="129" xfId="0" applyFont="1" applyBorder="1"/>
    <xf numFmtId="0" fontId="158" fillId="0" borderId="130" xfId="0" applyFont="1" applyBorder="1"/>
    <xf numFmtId="169" fontId="162" fillId="0" borderId="131" xfId="0" applyNumberFormat="1" applyFont="1" applyBorder="1"/>
    <xf numFmtId="8" fontId="158" fillId="0" borderId="131" xfId="0" applyNumberFormat="1" applyFont="1" applyBorder="1"/>
    <xf numFmtId="169" fontId="158" fillId="0" borderId="131" xfId="0" applyNumberFormat="1" applyFont="1" applyBorder="1"/>
    <xf numFmtId="0" fontId="160" fillId="71" borderId="126" xfId="0" applyFont="1" applyFill="1" applyBorder="1"/>
    <xf numFmtId="0" fontId="160" fillId="71" borderId="127" xfId="0" applyFont="1" applyFill="1" applyBorder="1"/>
    <xf numFmtId="165" fontId="234" fillId="0" borderId="0" xfId="0" applyNumberFormat="1" applyFont="1" applyBorder="1"/>
    <xf numFmtId="1" fontId="161" fillId="0" borderId="128" xfId="0" applyNumberFormat="1" applyFont="1" applyFill="1" applyBorder="1" applyAlignment="1">
      <alignment horizontal="right"/>
    </xf>
    <xf numFmtId="0" fontId="170" fillId="72" borderId="73" xfId="0" applyFont="1" applyFill="1" applyBorder="1" applyAlignment="1">
      <alignment horizontal="right" wrapText="1"/>
    </xf>
    <xf numFmtId="167" fontId="30" fillId="0" borderId="0" xfId="12427" applyNumberFormat="1" applyFont="1" applyFill="1"/>
    <xf numFmtId="167" fontId="30" fillId="0" borderId="44" xfId="12427" applyNumberFormat="1" applyFont="1" applyBorder="1"/>
    <xf numFmtId="167" fontId="161" fillId="0" borderId="0" xfId="12427" applyNumberFormat="1" applyFont="1" applyBorder="1"/>
    <xf numFmtId="0" fontId="160" fillId="0" borderId="130" xfId="0" applyFont="1" applyBorder="1"/>
    <xf numFmtId="165" fontId="160" fillId="0" borderId="130" xfId="0" applyNumberFormat="1" applyFont="1" applyBorder="1" applyAlignment="1">
      <alignment horizontal="right"/>
    </xf>
    <xf numFmtId="167" fontId="161" fillId="0" borderId="130" xfId="12427" applyNumberFormat="1" applyFont="1" applyBorder="1"/>
    <xf numFmtId="164" fontId="30" fillId="0" borderId="0" xfId="0" applyNumberFormat="1" applyFont="1" applyAlignment="1">
      <alignment horizontal="right"/>
    </xf>
    <xf numFmtId="167" fontId="30" fillId="0" borderId="0" xfId="12427" applyNumberFormat="1" applyFont="1" applyAlignment="1">
      <alignment horizontal="right"/>
    </xf>
    <xf numFmtId="0" fontId="170" fillId="72" borderId="73" xfId="0" applyFont="1" applyFill="1" applyBorder="1" applyAlignment="1">
      <alignment horizontal="center" wrapText="1"/>
    </xf>
    <xf numFmtId="167" fontId="30" fillId="73" borderId="0" xfId="0" applyNumberFormat="1" applyFont="1" applyFill="1"/>
    <xf numFmtId="0" fontId="170" fillId="72" borderId="4" xfId="0" applyFont="1" applyFill="1" applyBorder="1" applyAlignment="1">
      <alignment horizontal="centerContinuous" wrapText="1"/>
    </xf>
    <xf numFmtId="0" fontId="170" fillId="72" borderId="6" xfId="0" applyFont="1" applyFill="1" applyBorder="1" applyAlignment="1">
      <alignment horizontal="centerContinuous" wrapText="1"/>
    </xf>
    <xf numFmtId="167" fontId="161" fillId="0" borderId="0" xfId="12427" applyNumberFormat="1" applyFont="1"/>
    <xf numFmtId="167" fontId="161" fillId="0" borderId="34" xfId="12427" applyNumberFormat="1" applyFont="1" applyFill="1" applyBorder="1"/>
    <xf numFmtId="167" fontId="30" fillId="0" borderId="44" xfId="0" applyNumberFormat="1" applyFont="1" applyBorder="1"/>
    <xf numFmtId="167" fontId="161" fillId="0" borderId="0" xfId="0" applyNumberFormat="1" applyFont="1"/>
    <xf numFmtId="167" fontId="161" fillId="0" borderId="41" xfId="0" applyNumberFormat="1" applyFont="1" applyFill="1" applyBorder="1"/>
    <xf numFmtId="169" fontId="30" fillId="0" borderId="0" xfId="0" applyNumberFormat="1" applyFont="1" applyBorder="1"/>
    <xf numFmtId="0" fontId="161" fillId="0" borderId="0" xfId="0" applyFont="1" applyBorder="1"/>
    <xf numFmtId="167" fontId="132" fillId="0" borderId="0" xfId="12427" applyNumberFormat="1" applyFont="1" applyAlignment="1">
      <alignment horizontal="right" vertical="top"/>
    </xf>
    <xf numFmtId="167" fontId="158" fillId="0" borderId="130" xfId="0" applyNumberFormat="1" applyFont="1" applyBorder="1"/>
    <xf numFmtId="169" fontId="160" fillId="0" borderId="0" xfId="0" applyNumberFormat="1" applyFont="1" applyBorder="1"/>
    <xf numFmtId="43" fontId="234" fillId="0" borderId="0" xfId="12427" applyFont="1" applyBorder="1"/>
    <xf numFmtId="165" fontId="235" fillId="0" borderId="0" xfId="12427" applyNumberFormat="1" applyFont="1"/>
    <xf numFmtId="169" fontId="235" fillId="0" borderId="0" xfId="0" applyNumberFormat="1" applyFont="1" applyFill="1" applyAlignment="1">
      <alignment horizontal="right"/>
    </xf>
    <xf numFmtId="0" fontId="158" fillId="0" borderId="133" xfId="0" applyFont="1" applyBorder="1" applyAlignment="1">
      <alignment horizontal="justify" vertical="center" wrapText="1"/>
    </xf>
    <xf numFmtId="0" fontId="158" fillId="0" borderId="133" xfId="0" applyFont="1" applyBorder="1"/>
    <xf numFmtId="0" fontId="158" fillId="0" borderId="0" xfId="0" applyFont="1" applyBorder="1" applyAlignment="1">
      <alignment horizontal="justify" vertical="center" wrapText="1"/>
    </xf>
    <xf numFmtId="0" fontId="160" fillId="0" borderId="0" xfId="0" applyFont="1" applyBorder="1" applyAlignment="1">
      <alignment horizontal="justify" vertical="center" wrapText="1"/>
    </xf>
    <xf numFmtId="0" fontId="158" fillId="0" borderId="117" xfId="0" applyFont="1" applyBorder="1" applyAlignment="1">
      <alignment horizontal="center"/>
    </xf>
    <xf numFmtId="165" fontId="158" fillId="73" borderId="0" xfId="0" applyNumberFormat="1" applyFont="1" applyFill="1" applyAlignment="1">
      <alignment horizontal="right"/>
    </xf>
    <xf numFmtId="0" fontId="158" fillId="0" borderId="74" xfId="0" applyFont="1" applyBorder="1"/>
    <xf numFmtId="9" fontId="189" fillId="0" borderId="128" xfId="12422" applyFont="1" applyBorder="1" applyAlignment="1">
      <alignment horizontal="right"/>
    </xf>
    <xf numFmtId="164" fontId="162" fillId="0" borderId="128" xfId="0" applyNumberFormat="1" applyFont="1" applyFill="1" applyBorder="1" applyAlignment="1">
      <alignment horizontal="center"/>
    </xf>
    <xf numFmtId="0" fontId="161" fillId="0" borderId="73" xfId="0" applyFont="1" applyFill="1" applyBorder="1" applyAlignment="1">
      <alignment horizontal="left" wrapText="1"/>
    </xf>
    <xf numFmtId="168" fontId="161" fillId="0" borderId="74" xfId="0" applyNumberFormat="1" applyFont="1" applyFill="1" applyBorder="1" applyAlignment="1">
      <alignment horizontal="center"/>
    </xf>
    <xf numFmtId="168" fontId="161" fillId="0" borderId="127" xfId="0" applyNumberFormat="1" applyFont="1" applyFill="1" applyBorder="1" applyAlignment="1">
      <alignment horizontal="center"/>
    </xf>
    <xf numFmtId="168" fontId="161" fillId="0" borderId="128" xfId="0" applyNumberFormat="1" applyFont="1" applyFill="1" applyBorder="1" applyAlignment="1">
      <alignment horizontal="center"/>
    </xf>
    <xf numFmtId="165" fontId="158" fillId="0" borderId="0" xfId="0" applyNumberFormat="1" applyFont="1" applyFill="1" applyAlignment="1">
      <alignment horizontal="right"/>
    </xf>
    <xf numFmtId="0" fontId="160" fillId="71" borderId="129" xfId="0" applyFont="1" applyFill="1" applyBorder="1"/>
    <xf numFmtId="165" fontId="160" fillId="71" borderId="130" xfId="0" applyNumberFormat="1" applyFont="1" applyFill="1" applyBorder="1"/>
    <xf numFmtId="165" fontId="160" fillId="71" borderId="131" xfId="0" applyNumberFormat="1" applyFont="1" applyFill="1" applyBorder="1"/>
    <xf numFmtId="0" fontId="160" fillId="71" borderId="117" xfId="0" applyFont="1" applyFill="1" applyBorder="1"/>
    <xf numFmtId="0" fontId="0" fillId="0" borderId="0" xfId="0" applyFill="1" applyAlignment="1">
      <alignment horizontal="justify" vertical="top" wrapText="1"/>
    </xf>
    <xf numFmtId="43" fontId="158" fillId="0" borderId="0" xfId="0" applyNumberFormat="1" applyFont="1" applyFill="1" applyAlignment="1">
      <alignment horizontal="center" vertical="center"/>
    </xf>
    <xf numFmtId="0" fontId="249" fillId="0" borderId="73" xfId="0" applyFont="1" applyBorder="1"/>
    <xf numFmtId="165" fontId="285" fillId="0" borderId="44" xfId="0" applyNumberFormat="1" applyFont="1" applyFill="1" applyBorder="1" applyAlignment="1">
      <alignment horizontal="right"/>
    </xf>
    <xf numFmtId="0" fontId="160" fillId="0" borderId="0" xfId="0" applyFont="1" applyBorder="1" applyAlignment="1">
      <alignment horizontal="right"/>
    </xf>
    <xf numFmtId="0" fontId="0" fillId="0" borderId="0" xfId="0" applyBorder="1"/>
    <xf numFmtId="167" fontId="235" fillId="0" borderId="0" xfId="12427" applyNumberFormat="1" applyFont="1" applyBorder="1"/>
    <xf numFmtId="43" fontId="158" fillId="0" borderId="0" xfId="0" applyNumberFormat="1" applyFont="1" applyBorder="1" applyAlignment="1">
      <alignment horizontal="right"/>
    </xf>
    <xf numFmtId="8" fontId="235" fillId="0" borderId="0" xfId="0" applyNumberFormat="1" applyFont="1" applyFill="1" applyBorder="1" applyAlignment="1">
      <alignment horizontal="right"/>
    </xf>
    <xf numFmtId="41" fontId="158" fillId="0" borderId="0" xfId="0" applyNumberFormat="1" applyFont="1" applyBorder="1"/>
    <xf numFmtId="0" fontId="229" fillId="0" borderId="0" xfId="0" applyFont="1" applyBorder="1"/>
    <xf numFmtId="0" fontId="229" fillId="0" borderId="130" xfId="0" applyFont="1" applyBorder="1"/>
    <xf numFmtId="165" fontId="158" fillId="0" borderId="0" xfId="12422" applyNumberFormat="1" applyFont="1" applyBorder="1"/>
    <xf numFmtId="0" fontId="244" fillId="0" borderId="0" xfId="0" applyFont="1" applyBorder="1"/>
    <xf numFmtId="0" fontId="234" fillId="0" borderId="0" xfId="0" applyFont="1" applyBorder="1"/>
    <xf numFmtId="0" fontId="276" fillId="0" borderId="124" xfId="20401" applyFont="1" applyBorder="1"/>
    <xf numFmtId="43" fontId="276" fillId="0" borderId="0" xfId="20401" applyNumberFormat="1" applyFont="1"/>
    <xf numFmtId="169" fontId="158" fillId="0" borderId="0" xfId="0" applyNumberFormat="1" applyFont="1" applyAlignment="1">
      <alignment vertical="top"/>
    </xf>
    <xf numFmtId="165" fontId="158" fillId="0" borderId="0" xfId="0" applyNumberFormat="1" applyFont="1" applyAlignment="1">
      <alignment horizontal="right" vertical="top"/>
    </xf>
    <xf numFmtId="10" fontId="158" fillId="0" borderId="0" xfId="0" applyNumberFormat="1" applyFont="1" applyAlignment="1">
      <alignment horizontal="right" vertical="top"/>
    </xf>
    <xf numFmtId="10" fontId="30" fillId="0" borderId="0" xfId="0" applyNumberFormat="1" applyFont="1" applyFill="1" applyAlignment="1">
      <alignment vertical="top"/>
    </xf>
    <xf numFmtId="165" fontId="30" fillId="0" borderId="0" xfId="0" applyNumberFormat="1" applyFont="1" applyFill="1" applyAlignment="1">
      <alignment horizontal="right" vertical="top"/>
    </xf>
    <xf numFmtId="165" fontId="30" fillId="0" borderId="0" xfId="0" applyNumberFormat="1" applyFont="1" applyFill="1" applyAlignment="1">
      <alignment vertical="top"/>
    </xf>
    <xf numFmtId="168" fontId="158" fillId="0" borderId="0" xfId="0" applyNumberFormat="1" applyFont="1" applyAlignment="1">
      <alignment horizontal="right" vertical="top"/>
    </xf>
    <xf numFmtId="168" fontId="30" fillId="0" borderId="0" xfId="0" applyNumberFormat="1" applyFont="1" applyFill="1" applyAlignment="1">
      <alignment horizontal="right" vertical="top"/>
    </xf>
    <xf numFmtId="0" fontId="160" fillId="88" borderId="44" xfId="20392" applyFont="1" applyFill="1" applyBorder="1" applyAlignment="1">
      <alignment horizontal="right" wrapText="1"/>
    </xf>
    <xf numFmtId="0" fontId="160" fillId="88" borderId="130" xfId="20392" applyFont="1" applyFill="1" applyBorder="1" applyAlignment="1">
      <alignment horizontal="center" wrapText="1"/>
    </xf>
    <xf numFmtId="0" fontId="160" fillId="88" borderId="44" xfId="20392" applyFont="1" applyFill="1" applyBorder="1" applyAlignment="1">
      <alignment horizontal="center" wrapText="1"/>
    </xf>
    <xf numFmtId="0" fontId="160" fillId="89" borderId="0" xfId="20392" applyFont="1" applyFill="1" applyBorder="1" applyAlignment="1">
      <alignment horizontal="center" wrapText="1"/>
    </xf>
    <xf numFmtId="43" fontId="161" fillId="0" borderId="117" xfId="20383" applyNumberFormat="1" applyFont="1" applyBorder="1"/>
    <xf numFmtId="43" fontId="234" fillId="0" borderId="124" xfId="20383" applyNumberFormat="1" applyFont="1" applyBorder="1"/>
    <xf numFmtId="43" fontId="243" fillId="68" borderId="55" xfId="11155" quotePrefix="1" applyFont="1" applyFill="1" applyBorder="1" applyAlignment="1"/>
    <xf numFmtId="0" fontId="178" fillId="0" borderId="0" xfId="20380"/>
    <xf numFmtId="0" fontId="158" fillId="0" borderId="0" xfId="20380" applyFont="1"/>
    <xf numFmtId="0" fontId="158" fillId="0" borderId="0" xfId="20380" applyFont="1" applyBorder="1"/>
    <xf numFmtId="0" fontId="170" fillId="72" borderId="126" xfId="20380" applyFont="1" applyFill="1" applyBorder="1" applyAlignment="1">
      <alignment wrapText="1"/>
    </xf>
    <xf numFmtId="0" fontId="170" fillId="72" borderId="127" xfId="20380" applyFont="1" applyFill="1" applyBorder="1" applyAlignment="1">
      <alignment wrapText="1"/>
    </xf>
    <xf numFmtId="0" fontId="170" fillId="72" borderId="127" xfId="20380" applyFont="1" applyFill="1" applyBorder="1" applyAlignment="1">
      <alignment horizontal="right" wrapText="1"/>
    </xf>
    <xf numFmtId="0" fontId="170" fillId="72" borderId="128" xfId="20380" applyFont="1" applyFill="1" applyBorder="1" applyAlignment="1">
      <alignment horizontal="right" wrapText="1"/>
    </xf>
    <xf numFmtId="167" fontId="235" fillId="0" borderId="0" xfId="20410" applyNumberFormat="1" applyFont="1"/>
    <xf numFmtId="167" fontId="158" fillId="0" borderId="0" xfId="20410" applyNumberFormat="1" applyFont="1"/>
    <xf numFmtId="0" fontId="287" fillId="0" borderId="0" xfId="11906" applyFont="1" applyFill="1" applyBorder="1" applyAlignment="1">
      <alignment horizontal="left" indent="1"/>
    </xf>
    <xf numFmtId="165" fontId="285" fillId="0" borderId="0" xfId="20380" applyNumberFormat="1" applyFont="1"/>
    <xf numFmtId="0" fontId="161" fillId="0" borderId="0" xfId="11906" applyFont="1" applyFill="1" applyBorder="1"/>
    <xf numFmtId="167" fontId="160" fillId="0" borderId="130" xfId="20410" applyNumberFormat="1" applyFont="1" applyBorder="1"/>
    <xf numFmtId="0" fontId="160" fillId="0" borderId="0" xfId="20380" applyFont="1"/>
    <xf numFmtId="0" fontId="158" fillId="0" borderId="0" xfId="20380" applyFont="1" applyAlignment="1">
      <alignment horizontal="left" indent="1"/>
    </xf>
    <xf numFmtId="169" fontId="158" fillId="0" borderId="0" xfId="20410" applyNumberFormat="1" applyFont="1" applyAlignment="1">
      <alignment horizontal="right" vertical="top"/>
    </xf>
    <xf numFmtId="167" fontId="158" fillId="0" borderId="0" xfId="20380" applyNumberFormat="1" applyFont="1"/>
    <xf numFmtId="167" fontId="160" fillId="0" borderId="130" xfId="20380" applyNumberFormat="1" applyFont="1" applyBorder="1"/>
    <xf numFmtId="0" fontId="161" fillId="0" borderId="0" xfId="20380" applyFont="1"/>
    <xf numFmtId="167" fontId="160" fillId="0" borderId="0" xfId="20380" applyNumberFormat="1" applyFont="1" applyBorder="1"/>
    <xf numFmtId="167" fontId="160" fillId="0" borderId="0" xfId="20380" applyNumberFormat="1" applyFont="1"/>
    <xf numFmtId="167" fontId="158" fillId="0" borderId="0" xfId="20410" applyNumberFormat="1" applyFont="1" applyBorder="1"/>
    <xf numFmtId="0" fontId="158" fillId="0" borderId="0" xfId="20380" applyFont="1" applyAlignment="1">
      <alignment horizontal="left" indent="2"/>
    </xf>
    <xf numFmtId="167" fontId="158" fillId="0" borderId="130" xfId="20410" applyNumberFormat="1" applyFont="1" applyBorder="1"/>
    <xf numFmtId="167" fontId="158" fillId="0" borderId="130" xfId="20380" applyNumberFormat="1" applyFont="1" applyBorder="1"/>
    <xf numFmtId="165" fontId="189" fillId="0" borderId="0" xfId="20380" applyNumberFormat="1" applyFont="1"/>
    <xf numFmtId="165" fontId="235" fillId="0" borderId="0" xfId="20380" applyNumberFormat="1" applyFont="1"/>
    <xf numFmtId="167" fontId="30" fillId="0" borderId="0" xfId="20410" applyNumberFormat="1" applyFont="1" applyBorder="1"/>
    <xf numFmtId="0" fontId="158" fillId="0" borderId="0" xfId="20380" quotePrefix="1" applyFont="1"/>
    <xf numFmtId="43" fontId="158" fillId="0" borderId="0" xfId="20380" applyNumberFormat="1" applyFont="1"/>
    <xf numFmtId="2" fontId="30" fillId="0" borderId="0" xfId="20380" applyNumberFormat="1" applyFont="1" applyFill="1"/>
    <xf numFmtId="2" fontId="158" fillId="0" borderId="0" xfId="20380" applyNumberFormat="1" applyFont="1"/>
    <xf numFmtId="266" fontId="158" fillId="0" borderId="0" xfId="20410" applyNumberFormat="1" applyFont="1"/>
    <xf numFmtId="0" fontId="160" fillId="0" borderId="0" xfId="20380" applyFont="1" applyFill="1" applyBorder="1"/>
    <xf numFmtId="0" fontId="169" fillId="0" borderId="0" xfId="20380" applyFont="1" applyFill="1" applyBorder="1" applyAlignment="1">
      <alignment horizontal="center"/>
    </xf>
    <xf numFmtId="0" fontId="160" fillId="0" borderId="0" xfId="20380" applyFont="1" applyFill="1" applyBorder="1" applyAlignment="1">
      <alignment horizontal="center"/>
    </xf>
    <xf numFmtId="0" fontId="158" fillId="0" borderId="0" xfId="20380" applyFont="1" applyFill="1" applyBorder="1"/>
    <xf numFmtId="0" fontId="163" fillId="0" borderId="0" xfId="20380" applyFont="1"/>
    <xf numFmtId="0" fontId="158" fillId="0" borderId="126" xfId="20380" applyFont="1" applyFill="1" applyBorder="1"/>
    <xf numFmtId="0" fontId="189" fillId="0" borderId="128" xfId="20380" applyFont="1" applyBorder="1"/>
    <xf numFmtId="0" fontId="160" fillId="0" borderId="0" xfId="20411" applyFont="1" applyAlignment="1">
      <alignment horizontal="center"/>
    </xf>
    <xf numFmtId="0" fontId="158" fillId="0" borderId="0" xfId="20411" applyFont="1"/>
    <xf numFmtId="167" fontId="158" fillId="0" borderId="0" xfId="20411" applyNumberFormat="1" applyFont="1"/>
    <xf numFmtId="0" fontId="160" fillId="0" borderId="0" xfId="20411" applyFont="1" applyAlignment="1">
      <alignment horizontal="right"/>
    </xf>
    <xf numFmtId="167" fontId="160" fillId="0" borderId="130" xfId="20411" applyNumberFormat="1" applyFont="1" applyBorder="1"/>
    <xf numFmtId="0" fontId="196" fillId="0" borderId="0" xfId="20412" applyFont="1" applyFill="1" applyAlignment="1">
      <alignment vertical="top"/>
    </xf>
    <xf numFmtId="0" fontId="166" fillId="0" borderId="134" xfId="20412" applyFont="1" applyBorder="1"/>
    <xf numFmtId="0" fontId="196" fillId="0" borderId="0" xfId="20412" applyFont="1" applyAlignment="1">
      <alignment horizontal="right" vertical="top"/>
    </xf>
    <xf numFmtId="0" fontId="184" fillId="0" borderId="0" xfId="20412" applyFont="1" applyFill="1" applyAlignment="1">
      <alignment horizontal="left"/>
    </xf>
    <xf numFmtId="43" fontId="288" fillId="98" borderId="0" xfId="20413" applyFont="1" applyFill="1" applyBorder="1" applyAlignment="1">
      <alignment horizontal="left"/>
    </xf>
    <xf numFmtId="0" fontId="184" fillId="0" borderId="0" xfId="20412" applyFont="1"/>
    <xf numFmtId="0" fontId="184" fillId="0" borderId="0" xfId="20412" applyFont="1" applyFill="1" applyBorder="1" applyAlignment="1">
      <alignment horizontal="left" vertical="top"/>
    </xf>
    <xf numFmtId="43" fontId="288" fillId="98" borderId="135" xfId="20413" applyFont="1" applyFill="1" applyBorder="1" applyAlignment="1">
      <alignment horizontal="left"/>
    </xf>
    <xf numFmtId="43" fontId="243" fillId="0" borderId="0" xfId="20413" applyFont="1" applyFill="1" applyBorder="1" applyAlignment="1">
      <alignment horizontal="left"/>
    </xf>
    <xf numFmtId="0" fontId="158" fillId="0" borderId="0" xfId="20412" applyFont="1" applyFill="1"/>
    <xf numFmtId="0" fontId="175" fillId="72" borderId="126" xfId="20412" quotePrefix="1" applyFont="1" applyFill="1" applyBorder="1"/>
    <xf numFmtId="0" fontId="289" fillId="72" borderId="127" xfId="20412" applyFont="1" applyFill="1" applyBorder="1"/>
    <xf numFmtId="0" fontId="289" fillId="72" borderId="128" xfId="20412" applyFont="1" applyFill="1" applyBorder="1"/>
    <xf numFmtId="0" fontId="30" fillId="0" borderId="0" xfId="11846" applyFont="1"/>
    <xf numFmtId="0" fontId="71" fillId="0" borderId="0" xfId="11846" applyFont="1"/>
    <xf numFmtId="0" fontId="30" fillId="0" borderId="0" xfId="11846" applyFont="1" applyBorder="1"/>
    <xf numFmtId="0" fontId="175" fillId="72" borderId="132" xfId="20414" applyNumberFormat="1" applyFont="1" applyFill="1" applyBorder="1" applyAlignment="1">
      <alignment horizontal="left"/>
    </xf>
    <xf numFmtId="0" fontId="175" fillId="72" borderId="127" xfId="20414" applyNumberFormat="1" applyFont="1" applyFill="1" applyBorder="1" applyAlignment="1">
      <alignment horizontal="centerContinuous"/>
    </xf>
    <xf numFmtId="0" fontId="175" fillId="72" borderId="128" xfId="20414" applyNumberFormat="1" applyFont="1" applyFill="1" applyBorder="1" applyAlignment="1">
      <alignment horizontal="centerContinuous"/>
    </xf>
    <xf numFmtId="0" fontId="175" fillId="72" borderId="49" xfId="20414" applyNumberFormat="1" applyFont="1" applyFill="1" applyBorder="1" applyAlignment="1">
      <alignment horizontal="center"/>
    </xf>
    <xf numFmtId="0" fontId="175" fillId="72" borderId="126" xfId="20414" applyNumberFormat="1" applyFont="1" applyFill="1" applyBorder="1" applyAlignment="1">
      <alignment horizontal="center"/>
    </xf>
    <xf numFmtId="0" fontId="175" fillId="72" borderId="127" xfId="20414" applyNumberFormat="1" applyFont="1" applyFill="1" applyBorder="1" applyAlignment="1">
      <alignment horizontal="center"/>
    </xf>
    <xf numFmtId="0" fontId="175" fillId="72" borderId="128" xfId="20414" applyNumberFormat="1" applyFont="1" applyFill="1" applyBorder="1" applyAlignment="1">
      <alignment horizontal="center"/>
    </xf>
    <xf numFmtId="0" fontId="30" fillId="0" borderId="132" xfId="11846" applyFont="1" applyBorder="1"/>
    <xf numFmtId="165" fontId="30" fillId="0" borderId="130" xfId="11846" applyNumberFormat="1" applyFont="1" applyBorder="1" applyAlignment="1">
      <alignment horizontal="center"/>
    </xf>
    <xf numFmtId="165" fontId="30" fillId="0" borderId="131" xfId="11846" applyNumberFormat="1" applyFont="1" applyBorder="1" applyAlignment="1">
      <alignment horizontal="center"/>
    </xf>
    <xf numFmtId="0" fontId="30" fillId="0" borderId="49" xfId="11846" applyFont="1" applyBorder="1"/>
    <xf numFmtId="165" fontId="30" fillId="0" borderId="0" xfId="11846" applyNumberFormat="1" applyFont="1" applyBorder="1" applyAlignment="1">
      <alignment horizontal="center"/>
    </xf>
    <xf numFmtId="165" fontId="30" fillId="0" borderId="13" xfId="11846" applyNumberFormat="1" applyFont="1" applyBorder="1" applyAlignment="1">
      <alignment horizontal="center"/>
    </xf>
    <xf numFmtId="0" fontId="30" fillId="0" borderId="118" xfId="11846" applyFont="1" applyBorder="1"/>
    <xf numFmtId="165" fontId="30" fillId="0" borderId="44" xfId="11846" applyNumberFormat="1" applyFont="1" applyBorder="1" applyAlignment="1">
      <alignment horizontal="center"/>
    </xf>
    <xf numFmtId="165" fontId="30" fillId="0" borderId="90" xfId="11846" applyNumberFormat="1" applyFont="1" applyBorder="1" applyAlignment="1">
      <alignment horizontal="center"/>
    </xf>
    <xf numFmtId="0" fontId="71" fillId="0" borderId="0" xfId="11846" applyFont="1" applyBorder="1"/>
    <xf numFmtId="0" fontId="175" fillId="72" borderId="126" xfId="20412" quotePrefix="1" applyFont="1" applyFill="1" applyBorder="1" applyAlignment="1">
      <alignment vertical="center"/>
    </xf>
    <xf numFmtId="0" fontId="289" fillId="72" borderId="127" xfId="20412" applyFont="1" applyFill="1" applyBorder="1" applyAlignment="1">
      <alignment vertical="center"/>
    </xf>
    <xf numFmtId="0" fontId="289" fillId="72" borderId="128" xfId="20412" applyFont="1" applyFill="1" applyBorder="1" applyAlignment="1">
      <alignment vertical="center"/>
    </xf>
    <xf numFmtId="0" fontId="175" fillId="72" borderId="124" xfId="20414" applyNumberFormat="1" applyFont="1" applyFill="1" applyBorder="1" applyAlignment="1">
      <alignment horizontal="left"/>
    </xf>
    <xf numFmtId="0" fontId="175" fillId="72" borderId="124" xfId="20414" applyNumberFormat="1" applyFont="1" applyFill="1" applyBorder="1" applyAlignment="1">
      <alignment horizontal="centerContinuous"/>
    </xf>
    <xf numFmtId="0" fontId="163" fillId="0" borderId="0" xfId="20380" applyFont="1" applyFill="1"/>
    <xf numFmtId="0" fontId="158" fillId="0" borderId="0" xfId="20380" quotePrefix="1" applyFont="1" applyFill="1" applyAlignment="1">
      <alignment horizontal="right" vertical="top"/>
    </xf>
    <xf numFmtId="0" fontId="30" fillId="0" borderId="0" xfId="20380" quotePrefix="1" applyFont="1" applyFill="1" applyAlignment="1">
      <alignment vertical="top"/>
    </xf>
    <xf numFmtId="0" fontId="30" fillId="0" borderId="0" xfId="20380" quotePrefix="1" applyFont="1" applyFill="1" applyAlignment="1">
      <alignment horizontal="justify" vertical="top" wrapText="1"/>
    </xf>
    <xf numFmtId="0" fontId="158" fillId="0" borderId="0" xfId="20380" quotePrefix="1" applyFont="1" applyFill="1" applyAlignment="1">
      <alignment horizontal="center" vertical="top"/>
    </xf>
    <xf numFmtId="0" fontId="30" fillId="0" borderId="0" xfId="20380" quotePrefix="1" applyFont="1" applyFill="1" applyAlignment="1">
      <alignment vertical="top" wrapText="1"/>
    </xf>
    <xf numFmtId="0" fontId="290" fillId="0" borderId="0" xfId="11875" applyFont="1" applyAlignment="1">
      <alignment vertical="center"/>
    </xf>
    <xf numFmtId="0" fontId="291" fillId="0" borderId="0" xfId="11875" applyFont="1"/>
    <xf numFmtId="0" fontId="292" fillId="0" borderId="0" xfId="11853" applyFont="1" applyAlignment="1">
      <alignment vertical="center"/>
    </xf>
    <xf numFmtId="0" fontId="293" fillId="0" borderId="0" xfId="11875" applyFont="1" applyAlignment="1">
      <alignment vertical="center"/>
    </xf>
    <xf numFmtId="0" fontId="294" fillId="0" borderId="0" xfId="11875" applyFont="1" applyAlignment="1">
      <alignment vertical="center"/>
    </xf>
    <xf numFmtId="0" fontId="295" fillId="0" borderId="0" xfId="11875" applyFont="1" applyAlignment="1">
      <alignment horizontal="centerContinuous" vertical="center"/>
    </xf>
    <xf numFmtId="0" fontId="291" fillId="0" borderId="0" xfId="11875" applyFont="1" applyAlignment="1">
      <alignment vertical="center"/>
    </xf>
    <xf numFmtId="0" fontId="295" fillId="0" borderId="0" xfId="11875" applyFont="1" applyAlignment="1">
      <alignment horizontal="center" vertical="center"/>
    </xf>
    <xf numFmtId="1" fontId="294" fillId="0" borderId="0" xfId="11875" quotePrefix="1" applyNumberFormat="1" applyFont="1" applyAlignment="1">
      <alignment horizontal="center" vertical="center"/>
    </xf>
    <xf numFmtId="1" fontId="295" fillId="0" borderId="0" xfId="11875" quotePrefix="1" applyNumberFormat="1" applyFont="1" applyAlignment="1">
      <alignment horizontal="center" vertical="center"/>
    </xf>
    <xf numFmtId="0" fontId="296" fillId="0" borderId="0" xfId="11875" applyFont="1" applyAlignment="1">
      <alignment vertical="center"/>
    </xf>
    <xf numFmtId="0" fontId="297" fillId="0" borderId="0" xfId="11875" applyFont="1" applyAlignment="1">
      <alignment vertical="center"/>
    </xf>
    <xf numFmtId="0" fontId="298" fillId="0" borderId="0" xfId="11875" applyFont="1" applyBorder="1" applyAlignment="1">
      <alignment vertical="center"/>
    </xf>
    <xf numFmtId="174" fontId="299" fillId="0" borderId="0" xfId="11875" applyNumberFormat="1" applyFont="1" applyBorder="1" applyAlignment="1">
      <alignment vertical="center"/>
    </xf>
    <xf numFmtId="174" fontId="298" fillId="0" borderId="0" xfId="11875" applyNumberFormat="1" applyFont="1" applyBorder="1" applyAlignment="1">
      <alignment vertical="center"/>
    </xf>
    <xf numFmtId="174" fontId="293" fillId="69" borderId="0" xfId="11875" applyNumberFormat="1" applyFont="1" applyFill="1" applyBorder="1" applyAlignment="1">
      <alignment vertical="center"/>
    </xf>
    <xf numFmtId="0" fontId="300" fillId="0" borderId="0" xfId="11875" applyFont="1" applyBorder="1" applyAlignment="1">
      <alignment vertical="center"/>
    </xf>
    <xf numFmtId="165" fontId="301" fillId="0" borderId="0" xfId="11875" applyNumberFormat="1" applyFont="1" applyBorder="1" applyAlignment="1">
      <alignment vertical="center"/>
    </xf>
    <xf numFmtId="165" fontId="301" fillId="0" borderId="0" xfId="11875" applyNumberFormat="1" applyFont="1" applyFill="1" applyBorder="1" applyAlignment="1">
      <alignment vertical="center"/>
    </xf>
    <xf numFmtId="165" fontId="302" fillId="69" borderId="0" xfId="11875" applyNumberFormat="1" applyFont="1" applyFill="1" applyBorder="1" applyAlignment="1">
      <alignment vertical="center"/>
    </xf>
    <xf numFmtId="174" fontId="298" fillId="0" borderId="0" xfId="11875" applyNumberFormat="1" applyFont="1" applyFill="1" applyBorder="1" applyAlignment="1">
      <alignment vertical="center"/>
    </xf>
    <xf numFmtId="369" fontId="293" fillId="69" borderId="0" xfId="11875" applyNumberFormat="1" applyFont="1" applyFill="1" applyBorder="1" applyAlignment="1">
      <alignment vertical="center"/>
    </xf>
    <xf numFmtId="9" fontId="301" fillId="0" borderId="0" xfId="11875" applyNumberFormat="1" applyFont="1" applyBorder="1" applyAlignment="1">
      <alignment vertical="center"/>
    </xf>
    <xf numFmtId="9" fontId="300" fillId="0" borderId="0" xfId="11875" applyNumberFormat="1" applyFont="1" applyBorder="1" applyAlignment="1">
      <alignment vertical="center"/>
    </xf>
    <xf numFmtId="9" fontId="293" fillId="69" borderId="0" xfId="11875" applyNumberFormat="1" applyFont="1" applyFill="1" applyBorder="1" applyAlignment="1">
      <alignment vertical="center"/>
    </xf>
    <xf numFmtId="9" fontId="300" fillId="0" borderId="0" xfId="11875" applyNumberFormat="1" applyFont="1" applyFill="1" applyBorder="1" applyAlignment="1">
      <alignment vertical="center"/>
    </xf>
    <xf numFmtId="0" fontId="293" fillId="0" borderId="0" xfId="11875" applyFont="1" applyBorder="1" applyAlignment="1">
      <alignment vertical="center"/>
    </xf>
    <xf numFmtId="0" fontId="293" fillId="0" borderId="0" xfId="11875" applyNumberFormat="1" applyFont="1" applyFill="1" applyBorder="1" applyAlignment="1">
      <alignment vertical="center"/>
    </xf>
    <xf numFmtId="37" fontId="293" fillId="0" borderId="0" xfId="11875" applyNumberFormat="1" applyFont="1" applyFill="1" applyBorder="1" applyAlignment="1">
      <alignment vertical="center"/>
    </xf>
    <xf numFmtId="37" fontId="293" fillId="69" borderId="0" xfId="11875" applyNumberFormat="1" applyFont="1" applyFill="1" applyBorder="1" applyAlignment="1">
      <alignment vertical="center"/>
    </xf>
    <xf numFmtId="0" fontId="291" fillId="0" borderId="0" xfId="11875" applyNumberFormat="1" applyFont="1" applyAlignment="1">
      <alignment vertical="center"/>
    </xf>
    <xf numFmtId="0" fontId="298" fillId="0" borderId="0" xfId="20415" applyNumberFormat="1" applyFont="1" applyFill="1" applyBorder="1" applyAlignment="1">
      <alignment vertical="center"/>
    </xf>
    <xf numFmtId="3" fontId="299" fillId="0" borderId="0" xfId="11875" applyNumberFormat="1" applyFont="1" applyFill="1" applyBorder="1" applyAlignment="1">
      <alignment vertical="center"/>
    </xf>
    <xf numFmtId="37" fontId="299" fillId="69" borderId="0" xfId="20415" applyNumberFormat="1" applyFont="1" applyFill="1" applyBorder="1" applyAlignment="1">
      <alignment vertical="center"/>
    </xf>
    <xf numFmtId="37" fontId="299" fillId="0" borderId="0" xfId="11875" applyNumberFormat="1" applyFont="1" applyFill="1" applyBorder="1" applyAlignment="1">
      <alignment vertical="center"/>
    </xf>
    <xf numFmtId="37" fontId="298" fillId="0" borderId="0" xfId="11875" applyNumberFormat="1" applyFont="1" applyFill="1" applyBorder="1" applyAlignment="1">
      <alignment vertical="center"/>
    </xf>
    <xf numFmtId="192" fontId="298" fillId="69" borderId="0" xfId="11875" applyNumberFormat="1" applyFont="1" applyFill="1" applyBorder="1" applyAlignment="1">
      <alignment vertical="center"/>
    </xf>
    <xf numFmtId="243" fontId="299" fillId="0" borderId="0" xfId="11875" applyNumberFormat="1" applyFont="1" applyBorder="1" applyAlignment="1">
      <alignment vertical="center"/>
    </xf>
    <xf numFmtId="177" fontId="299" fillId="0" borderId="0" xfId="11875" applyNumberFormat="1" applyFont="1" applyBorder="1" applyAlignment="1">
      <alignment vertical="center"/>
    </xf>
    <xf numFmtId="177" fontId="298" fillId="0" borderId="0" xfId="11875" applyNumberFormat="1" applyFont="1" applyBorder="1" applyAlignment="1">
      <alignment vertical="center"/>
    </xf>
    <xf numFmtId="177" fontId="298" fillId="0" borderId="0" xfId="11875" applyNumberFormat="1" applyFont="1" applyFill="1" applyBorder="1" applyAlignment="1">
      <alignment vertical="center"/>
    </xf>
    <xf numFmtId="7" fontId="298" fillId="69" borderId="0" xfId="11875" applyNumberFormat="1" applyFont="1" applyFill="1" applyBorder="1" applyAlignment="1">
      <alignment vertical="center"/>
    </xf>
    <xf numFmtId="0" fontId="303" fillId="0" borderId="0" xfId="11875" applyFont="1" applyBorder="1" applyAlignment="1">
      <alignment vertical="center"/>
    </xf>
    <xf numFmtId="165" fontId="299" fillId="0" borderId="0" xfId="11875" applyNumberFormat="1" applyFont="1" applyBorder="1" applyAlignment="1">
      <alignment vertical="center"/>
    </xf>
    <xf numFmtId="165" fontId="304" fillId="0" borderId="0" xfId="11875" applyNumberFormat="1" applyFont="1" applyBorder="1" applyAlignment="1">
      <alignment vertical="center"/>
    </xf>
    <xf numFmtId="165" fontId="304" fillId="0" borderId="0" xfId="11875" applyNumberFormat="1" applyFont="1" applyFill="1" applyBorder="1" applyAlignment="1">
      <alignment vertical="center"/>
    </xf>
    <xf numFmtId="165" fontId="299" fillId="69" borderId="0" xfId="11875" applyNumberFormat="1" applyFont="1" applyFill="1" applyBorder="1" applyAlignment="1">
      <alignment vertical="center"/>
    </xf>
    <xf numFmtId="0" fontId="305" fillId="99" borderId="0" xfId="11875" applyFont="1" applyFill="1" applyAlignment="1">
      <alignment vertical="center"/>
    </xf>
    <xf numFmtId="0" fontId="306" fillId="99" borderId="0" xfId="11875" applyFont="1" applyFill="1" applyAlignment="1">
      <alignment vertical="center"/>
    </xf>
    <xf numFmtId="5" fontId="305" fillId="99" borderId="0" xfId="11875" applyNumberFormat="1" applyFont="1" applyFill="1" applyAlignment="1">
      <alignment vertical="center"/>
    </xf>
    <xf numFmtId="165" fontId="302" fillId="100" borderId="136" xfId="20415" applyNumberFormat="1" applyFont="1" applyFill="1" applyBorder="1" applyAlignment="1">
      <alignment vertical="center"/>
    </xf>
    <xf numFmtId="0" fontId="300" fillId="0" borderId="0" xfId="11875" applyFont="1" applyFill="1" applyAlignment="1">
      <alignment horizontal="left" vertical="center"/>
    </xf>
    <xf numFmtId="0" fontId="307" fillId="0" borderId="0" xfId="11875" applyFont="1" applyFill="1" applyAlignment="1">
      <alignment vertical="center"/>
    </xf>
    <xf numFmtId="165" fontId="300" fillId="0" borderId="0" xfId="20415" applyNumberFormat="1" applyFont="1" applyFill="1" applyBorder="1" applyAlignment="1">
      <alignment vertical="center"/>
    </xf>
    <xf numFmtId="219" fontId="305" fillId="99" borderId="0" xfId="11875" applyNumberFormat="1" applyFont="1" applyFill="1" applyAlignment="1">
      <alignment vertical="center"/>
    </xf>
    <xf numFmtId="37" fontId="293" fillId="0" borderId="0" xfId="11875" applyNumberFormat="1" applyFont="1" applyAlignment="1">
      <alignment vertical="center"/>
    </xf>
    <xf numFmtId="37" fontId="302" fillId="0" borderId="0" xfId="20415" applyNumberFormat="1" applyFont="1" applyFill="1" applyBorder="1" applyAlignment="1">
      <alignment vertical="center"/>
    </xf>
    <xf numFmtId="0" fontId="305" fillId="101" borderId="0" xfId="11875" applyFont="1" applyFill="1" applyAlignment="1">
      <alignment vertical="center"/>
    </xf>
    <xf numFmtId="219" fontId="305" fillId="101" borderId="0" xfId="11875" applyNumberFormat="1" applyFont="1" applyFill="1" applyAlignment="1">
      <alignment vertical="center"/>
    </xf>
    <xf numFmtId="5" fontId="305" fillId="101" borderId="0" xfId="11875" applyNumberFormat="1" applyFont="1" applyFill="1" applyAlignment="1">
      <alignment vertical="center"/>
    </xf>
    <xf numFmtId="0" fontId="300" fillId="0" borderId="0" xfId="11875" applyFont="1" applyAlignment="1">
      <alignment vertical="center"/>
    </xf>
    <xf numFmtId="165" fontId="291" fillId="0" borderId="0" xfId="11875" applyNumberFormat="1" applyFont="1" applyAlignment="1">
      <alignment vertical="center"/>
    </xf>
    <xf numFmtId="0" fontId="300" fillId="0" borderId="0" xfId="20415" applyNumberFormat="1" applyFont="1" applyFill="1" applyBorder="1" applyAlignment="1">
      <alignment horizontal="right" vertical="center"/>
    </xf>
    <xf numFmtId="165" fontId="300" fillId="0" borderId="0" xfId="20415" applyNumberFormat="1" applyFont="1" applyFill="1" applyBorder="1" applyAlignment="1">
      <alignment horizontal="right" vertical="center"/>
    </xf>
    <xf numFmtId="0" fontId="293" fillId="0" borderId="0" xfId="11875" applyFont="1" applyFill="1" applyAlignment="1">
      <alignment vertical="center"/>
    </xf>
    <xf numFmtId="0" fontId="291" fillId="0" borderId="0" xfId="11875" applyFont="1" applyFill="1" applyAlignment="1">
      <alignment vertical="center"/>
    </xf>
    <xf numFmtId="3" fontId="302" fillId="0" borderId="0" xfId="20415" applyNumberFormat="1" applyFont="1" applyFill="1" applyBorder="1" applyAlignment="1">
      <alignment vertical="center"/>
    </xf>
    <xf numFmtId="0" fontId="305" fillId="0" borderId="0" xfId="11875" applyFont="1" applyFill="1" applyAlignment="1">
      <alignment vertical="center"/>
    </xf>
    <xf numFmtId="0" fontId="306" fillId="0" borderId="0" xfId="11875" applyFont="1" applyFill="1" applyAlignment="1">
      <alignment vertical="center"/>
    </xf>
    <xf numFmtId="219" fontId="305" fillId="0" borderId="0" xfId="11875" applyNumberFormat="1" applyFont="1" applyFill="1" applyAlignment="1">
      <alignment vertical="center"/>
    </xf>
    <xf numFmtId="37" fontId="293" fillId="0" borderId="0" xfId="20415" applyNumberFormat="1" applyFont="1" applyFill="1" applyBorder="1" applyAlignment="1">
      <alignment vertical="center"/>
    </xf>
    <xf numFmtId="9" fontId="293" fillId="0" borderId="0" xfId="20416" applyFont="1" applyAlignment="1">
      <alignment vertical="center"/>
    </xf>
    <xf numFmtId="0" fontId="305" fillId="102" borderId="0" xfId="11875" applyFont="1" applyFill="1" applyAlignment="1">
      <alignment vertical="center"/>
    </xf>
    <xf numFmtId="219" fontId="305" fillId="102" borderId="0" xfId="11875" applyNumberFormat="1" applyFont="1" applyFill="1" applyAlignment="1">
      <alignment vertical="center"/>
    </xf>
    <xf numFmtId="5" fontId="305" fillId="102" borderId="0" xfId="11875" applyNumberFormat="1" applyFont="1" applyFill="1" applyAlignment="1">
      <alignment vertical="center"/>
    </xf>
    <xf numFmtId="0" fontId="293" fillId="0" borderId="0" xfId="11875" applyFont="1" applyFill="1" applyAlignment="1">
      <alignment horizontal="left" vertical="center"/>
    </xf>
    <xf numFmtId="165" fontId="302" fillId="0" borderId="0" xfId="11875" applyNumberFormat="1" applyFont="1" applyBorder="1" applyAlignment="1">
      <alignment vertical="center"/>
    </xf>
    <xf numFmtId="0" fontId="293" fillId="0" borderId="0" xfId="11875" applyFont="1" applyFill="1" applyBorder="1" applyAlignment="1">
      <alignment vertical="center"/>
    </xf>
    <xf numFmtId="3" fontId="302" fillId="0" borderId="0" xfId="11875" applyNumberFormat="1" applyFont="1" applyBorder="1" applyAlignment="1">
      <alignment vertical="center"/>
    </xf>
    <xf numFmtId="165" fontId="302" fillId="0" borderId="0" xfId="20415" applyNumberFormat="1" applyFont="1" applyFill="1" applyBorder="1" applyAlignment="1">
      <alignment vertical="center"/>
    </xf>
    <xf numFmtId="0" fontId="291" fillId="0" borderId="0" xfId="11875" applyFont="1" applyFill="1" applyBorder="1" applyAlignment="1">
      <alignment vertical="center"/>
    </xf>
    <xf numFmtId="37" fontId="308" fillId="0" borderId="0" xfId="11875" applyNumberFormat="1" applyFont="1" applyFill="1" applyBorder="1" applyAlignment="1">
      <alignment vertical="center"/>
    </xf>
    <xf numFmtId="0" fontId="307" fillId="0" borderId="0" xfId="11875" applyFont="1" applyAlignment="1">
      <alignment vertical="center"/>
    </xf>
    <xf numFmtId="37" fontId="291" fillId="0" borderId="0" xfId="11875" applyNumberFormat="1" applyFont="1" applyFill="1" applyBorder="1" applyAlignment="1">
      <alignment vertical="center"/>
    </xf>
    <xf numFmtId="3" fontId="291" fillId="0" borderId="0" xfId="11875" applyNumberFormat="1" applyFont="1"/>
    <xf numFmtId="0" fontId="158" fillId="0" borderId="0" xfId="20380" applyFont="1" applyFill="1" applyAlignment="1">
      <alignment vertical="top"/>
    </xf>
    <xf numFmtId="0" fontId="170" fillId="72" borderId="124" xfId="0" applyFont="1" applyFill="1" applyBorder="1" applyAlignment="1">
      <alignment horizontal="centerContinuous" wrapText="1"/>
    </xf>
    <xf numFmtId="0" fontId="161" fillId="0" borderId="124" xfId="0" applyFont="1" applyFill="1" applyBorder="1" applyAlignment="1">
      <alignment horizontal="right" wrapText="1"/>
    </xf>
    <xf numFmtId="10" fontId="158" fillId="71" borderId="130" xfId="0" applyNumberFormat="1" applyFont="1" applyFill="1" applyBorder="1"/>
    <xf numFmtId="169" fontId="160" fillId="71" borderId="130" xfId="0" applyNumberFormat="1" applyFont="1" applyFill="1" applyBorder="1"/>
    <xf numFmtId="234" fontId="160" fillId="71" borderId="130" xfId="0" applyNumberFormat="1" applyFont="1" applyFill="1" applyBorder="1"/>
    <xf numFmtId="0" fontId="158" fillId="0" borderId="130" xfId="0" applyFont="1" applyFill="1" applyBorder="1"/>
    <xf numFmtId="0" fontId="158" fillId="0" borderId="60" xfId="0" applyFont="1" applyBorder="1" applyAlignment="1">
      <alignment horizontal="justify" vertical="top" wrapText="1"/>
    </xf>
    <xf numFmtId="164" fontId="158" fillId="0" borderId="0" xfId="20380" applyNumberFormat="1" applyFont="1"/>
    <xf numFmtId="0" fontId="170" fillId="0" borderId="13" xfId="0" applyFont="1" applyFill="1" applyBorder="1" applyAlignment="1">
      <alignment horizontal="centerContinuous"/>
    </xf>
    <xf numFmtId="1" fontId="161" fillId="0" borderId="126" xfId="0" applyNumberFormat="1" applyFont="1" applyFill="1" applyBorder="1" applyAlignment="1">
      <alignment horizontal="right"/>
    </xf>
    <xf numFmtId="0" fontId="160" fillId="88" borderId="130" xfId="20392" applyFont="1" applyFill="1" applyBorder="1" applyAlignment="1">
      <alignment horizontal="right" wrapText="1"/>
    </xf>
    <xf numFmtId="0" fontId="160" fillId="88" borderId="44" xfId="20392" applyFont="1" applyFill="1" applyBorder="1" applyAlignment="1">
      <alignment horizontal="right" wrapText="1"/>
    </xf>
    <xf numFmtId="0" fontId="160" fillId="88" borderId="131" xfId="20392" applyFont="1" applyFill="1" applyBorder="1" applyAlignment="1">
      <alignment horizontal="right" wrapText="1"/>
    </xf>
    <xf numFmtId="0" fontId="160" fillId="88" borderId="90" xfId="20392" applyFont="1" applyFill="1" applyBorder="1" applyAlignment="1">
      <alignment horizontal="right" wrapText="1"/>
    </xf>
    <xf numFmtId="169" fontId="132" fillId="0" borderId="0" xfId="0" applyNumberFormat="1" applyFont="1" applyFill="1" applyAlignment="1">
      <alignment horizontal="right"/>
    </xf>
    <xf numFmtId="43" fontId="132" fillId="0" borderId="0" xfId="12427" applyNumberFormat="1" applyFont="1" applyFill="1" applyAlignment="1">
      <alignment horizontal="right"/>
    </xf>
    <xf numFmtId="0" fontId="170" fillId="0" borderId="0" xfId="0" applyFont="1" applyFill="1" applyBorder="1" applyAlignment="1">
      <alignment horizontal="center"/>
    </xf>
    <xf numFmtId="0" fontId="160" fillId="0" borderId="0" xfId="20392" applyFont="1" applyFill="1" applyBorder="1" applyAlignment="1">
      <alignment horizontal="right" wrapText="1"/>
    </xf>
    <xf numFmtId="0" fontId="160" fillId="88" borderId="117" xfId="20392" applyFont="1" applyFill="1" applyBorder="1" applyAlignment="1">
      <alignment horizontal="right" wrapText="1"/>
    </xf>
    <xf numFmtId="0" fontId="160" fillId="88" borderId="129" xfId="20392" applyFont="1" applyFill="1" applyBorder="1" applyAlignment="1">
      <alignment horizontal="right"/>
    </xf>
    <xf numFmtId="164" fontId="161" fillId="0" borderId="128" xfId="20383" applyNumberFormat="1" applyFont="1" applyBorder="1"/>
    <xf numFmtId="0" fontId="160" fillId="0" borderId="126" xfId="20383" applyFont="1" applyBorder="1"/>
    <xf numFmtId="243" fontId="30" fillId="0" borderId="0" xfId="20393" applyNumberFormat="1" applyFont="1" applyFill="1" applyBorder="1" applyAlignment="1">
      <alignment horizontal="right"/>
    </xf>
    <xf numFmtId="234" fontId="160" fillId="71" borderId="131" xfId="0" applyNumberFormat="1" applyFont="1" applyFill="1" applyBorder="1"/>
    <xf numFmtId="234" fontId="160" fillId="71" borderId="90" xfId="0" applyNumberFormat="1" applyFont="1" applyFill="1" applyBorder="1"/>
    <xf numFmtId="0" fontId="158" fillId="0" borderId="0" xfId="0" applyFont="1" applyFill="1" applyAlignment="1">
      <alignment horizontal="center" vertical="top" wrapText="1"/>
    </xf>
    <xf numFmtId="0" fontId="189" fillId="0" borderId="0" xfId="0" applyFont="1" applyFill="1" applyAlignment="1">
      <alignment vertical="top"/>
    </xf>
    <xf numFmtId="167" fontId="158" fillId="0" borderId="0" xfId="12427" applyNumberFormat="1" applyFont="1" applyFill="1" applyAlignment="1">
      <alignment horizontal="right" vertical="top"/>
    </xf>
    <xf numFmtId="0" fontId="309" fillId="0" borderId="0" xfId="20417" applyFont="1"/>
    <xf numFmtId="0" fontId="309" fillId="0" borderId="0" xfId="20417" applyFont="1" applyAlignment="1">
      <alignment horizontal="center"/>
    </xf>
    <xf numFmtId="0" fontId="309" fillId="0" borderId="0" xfId="20417" applyFont="1" applyAlignment="1">
      <alignment horizontal="left"/>
    </xf>
    <xf numFmtId="0" fontId="310" fillId="0" borderId="0" xfId="20417" applyFont="1" applyAlignment="1">
      <alignment vertical="center" wrapText="1"/>
    </xf>
    <xf numFmtId="0" fontId="310" fillId="0" borderId="143" xfId="20417" applyFont="1" applyBorder="1" applyAlignment="1">
      <alignment vertical="center" wrapText="1"/>
    </xf>
    <xf numFmtId="0" fontId="310" fillId="0" borderId="144" xfId="20417" applyFont="1" applyFill="1" applyBorder="1" applyAlignment="1">
      <alignment vertical="center" wrapText="1"/>
    </xf>
    <xf numFmtId="0" fontId="310" fillId="0" borderId="145" xfId="20417" applyFont="1" applyFill="1" applyBorder="1" applyAlignment="1">
      <alignment vertical="center" wrapText="1"/>
    </xf>
    <xf numFmtId="0" fontId="309" fillId="0" borderId="143" xfId="20417" applyFont="1" applyFill="1" applyBorder="1" applyAlignment="1">
      <alignment horizontal="center" vertical="center" wrapText="1"/>
    </xf>
    <xf numFmtId="0" fontId="309" fillId="0" borderId="147" xfId="20417" applyFont="1" applyFill="1" applyBorder="1" applyAlignment="1">
      <alignment horizontal="center" vertical="center" wrapText="1"/>
    </xf>
    <xf numFmtId="0" fontId="309" fillId="0" borderId="148" xfId="20417" applyFont="1" applyFill="1" applyBorder="1" applyAlignment="1">
      <alignment horizontal="center" vertical="center" wrapText="1"/>
    </xf>
    <xf numFmtId="0" fontId="309" fillId="0" borderId="149" xfId="20417" applyFont="1" applyFill="1" applyBorder="1" applyAlignment="1">
      <alignment horizontal="center" vertical="center" wrapText="1"/>
    </xf>
    <xf numFmtId="0" fontId="309" fillId="0" borderId="150" xfId="20417" applyFont="1" applyFill="1" applyBorder="1" applyAlignment="1">
      <alignment horizontal="center" vertical="center" wrapText="1"/>
    </xf>
    <xf numFmtId="0" fontId="309" fillId="0" borderId="151" xfId="20417" applyFont="1" applyFill="1" applyBorder="1" applyAlignment="1">
      <alignment horizontal="center" vertical="center" wrapText="1"/>
    </xf>
    <xf numFmtId="0" fontId="309" fillId="0" borderId="15" xfId="20417" applyFont="1" applyBorder="1"/>
    <xf numFmtId="0" fontId="309" fillId="0" borderId="128" xfId="20417" applyFont="1" applyBorder="1" applyAlignment="1">
      <alignment horizontal="center" vertical="center" wrapText="1"/>
    </xf>
    <xf numFmtId="0" fontId="309" fillId="0" borderId="15" xfId="20417" applyFont="1" applyBorder="1" applyAlignment="1">
      <alignment horizontal="left"/>
    </xf>
    <xf numFmtId="0" fontId="309" fillId="95" borderId="31" xfId="20417" applyNumberFormat="1" applyFont="1" applyFill="1" applyBorder="1"/>
    <xf numFmtId="0" fontId="309" fillId="0" borderId="15" xfId="20406" applyNumberFormat="1" applyFont="1" applyBorder="1" applyAlignment="1"/>
    <xf numFmtId="296" fontId="309" fillId="0" borderId="31" xfId="20406" applyFont="1" applyBorder="1" applyAlignment="1"/>
    <xf numFmtId="0" fontId="309" fillId="0" borderId="15" xfId="20417" applyNumberFormat="1" applyFont="1" applyBorder="1" applyAlignment="1">
      <alignment horizontal="center"/>
    </xf>
    <xf numFmtId="0" fontId="309" fillId="0" borderId="15" xfId="20417" applyFont="1" applyBorder="1" applyAlignment="1">
      <alignment horizontal="center"/>
    </xf>
    <xf numFmtId="296" fontId="309" fillId="0" borderId="15" xfId="20406" applyFont="1" applyBorder="1" applyAlignment="1"/>
    <xf numFmtId="0" fontId="309" fillId="0" borderId="15" xfId="20406" applyNumberFormat="1" applyFont="1" applyFill="1" applyBorder="1" applyAlignment="1"/>
    <xf numFmtId="296" fontId="309" fillId="0" borderId="31" xfId="20406" applyFont="1" applyFill="1" applyBorder="1" applyAlignment="1"/>
    <xf numFmtId="0" fontId="309" fillId="0" borderId="31" xfId="20417" applyNumberFormat="1" applyFont="1" applyFill="1" applyBorder="1" applyAlignment="1">
      <alignment horizontal="center"/>
    </xf>
    <xf numFmtId="3" fontId="309" fillId="0" borderId="15" xfId="20417" applyNumberFormat="1" applyFont="1" applyBorder="1"/>
    <xf numFmtId="0" fontId="309" fillId="0" borderId="15" xfId="20417" applyNumberFormat="1" applyFont="1" applyFill="1" applyBorder="1" applyAlignment="1">
      <alignment horizontal="center"/>
    </xf>
    <xf numFmtId="0" fontId="309" fillId="0" borderId="31" xfId="20417" applyFont="1" applyBorder="1"/>
    <xf numFmtId="0" fontId="309" fillId="0" borderId="31" xfId="20406" applyNumberFormat="1" applyFont="1" applyBorder="1" applyAlignment="1"/>
    <xf numFmtId="0" fontId="309" fillId="0" borderId="31" xfId="20417" applyFont="1" applyFill="1" applyBorder="1" applyAlignment="1">
      <alignment horizontal="center"/>
    </xf>
    <xf numFmtId="296" fontId="309" fillId="74" borderId="31" xfId="20406" applyFont="1" applyFill="1" applyBorder="1" applyAlignment="1"/>
    <xf numFmtId="0" fontId="309" fillId="0" borderId="128" xfId="20417" applyFont="1" applyBorder="1" applyAlignment="1">
      <alignment horizontal="center" vertical="center"/>
    </xf>
    <xf numFmtId="0" fontId="309" fillId="0" borderId="15" xfId="20417" applyFont="1" applyFill="1" applyBorder="1" applyAlignment="1">
      <alignment horizontal="left"/>
    </xf>
    <xf numFmtId="0" fontId="309" fillId="0" borderId="128" xfId="20417" applyFont="1" applyFill="1" applyBorder="1" applyAlignment="1">
      <alignment horizontal="center"/>
    </xf>
    <xf numFmtId="0" fontId="309" fillId="0" borderId="15" xfId="20417" applyFont="1" applyFill="1" applyBorder="1"/>
    <xf numFmtId="296" fontId="309" fillId="0" borderId="15" xfId="20406" applyFont="1" applyFill="1" applyBorder="1" applyAlignment="1"/>
    <xf numFmtId="0" fontId="309" fillId="74" borderId="15" xfId="20406" applyNumberFormat="1" applyFont="1" applyFill="1" applyBorder="1" applyAlignment="1"/>
    <xf numFmtId="0" fontId="309" fillId="0" borderId="11" xfId="20417" applyFont="1" applyBorder="1" applyAlignment="1">
      <alignment horizontal="center" vertical="center" wrapText="1"/>
    </xf>
    <xf numFmtId="0" fontId="309" fillId="0" borderId="31" xfId="20406" applyNumberFormat="1" applyFont="1" applyFill="1" applyBorder="1" applyAlignment="1"/>
    <xf numFmtId="0" fontId="309" fillId="0" borderId="31" xfId="20417" applyNumberFormat="1" applyFont="1" applyBorder="1" applyAlignment="1">
      <alignment horizontal="center"/>
    </xf>
    <xf numFmtId="0" fontId="309" fillId="0" borderId="31" xfId="20417" applyFont="1" applyBorder="1" applyAlignment="1">
      <alignment horizontal="center"/>
    </xf>
    <xf numFmtId="0" fontId="309" fillId="0" borderId="31" xfId="20417" applyNumberFormat="1" applyFont="1" applyBorder="1"/>
    <xf numFmtId="0" fontId="309" fillId="0" borderId="15" xfId="20417" applyNumberFormat="1" applyFont="1" applyBorder="1"/>
    <xf numFmtId="0" fontId="309" fillId="0" borderId="15" xfId="20417" applyNumberFormat="1" applyFont="1" applyFill="1" applyBorder="1"/>
    <xf numFmtId="0" fontId="310" fillId="0" borderId="128" xfId="20417" applyFont="1" applyBorder="1" applyAlignment="1">
      <alignment horizontal="center"/>
    </xf>
    <xf numFmtId="0" fontId="310" fillId="0" borderId="15" xfId="20417" applyFont="1" applyBorder="1" applyAlignment="1">
      <alignment horizontal="left"/>
    </xf>
    <xf numFmtId="0" fontId="310" fillId="0" borderId="15" xfId="20417" applyNumberFormat="1" applyFont="1" applyBorder="1"/>
    <xf numFmtId="0" fontId="310" fillId="0" borderId="15" xfId="20417" applyFont="1" applyBorder="1"/>
    <xf numFmtId="0" fontId="310" fillId="0" borderId="0" xfId="20417" applyFont="1"/>
    <xf numFmtId="0" fontId="309" fillId="0" borderId="0" xfId="20417" applyFont="1" applyFill="1"/>
    <xf numFmtId="10" fontId="310" fillId="0" borderId="0" xfId="20417" applyNumberFormat="1" applyFont="1" applyFill="1"/>
    <xf numFmtId="0" fontId="309" fillId="0" borderId="0" xfId="20417" applyNumberFormat="1" applyFont="1" applyAlignment="1">
      <alignment horizontal="left"/>
    </xf>
    <xf numFmtId="3" fontId="309" fillId="0" borderId="0" xfId="20417" applyNumberFormat="1" applyFont="1"/>
    <xf numFmtId="8" fontId="309" fillId="0" borderId="0" xfId="20417" applyNumberFormat="1" applyFont="1"/>
    <xf numFmtId="0" fontId="309" fillId="0" borderId="0" xfId="20417" applyFont="1" applyAlignment="1">
      <alignment wrapText="1"/>
    </xf>
    <xf numFmtId="0" fontId="309" fillId="0" borderId="0" xfId="20417" applyFont="1" applyAlignment="1">
      <alignment horizontal="center" wrapText="1"/>
    </xf>
    <xf numFmtId="167" fontId="309" fillId="0" borderId="0" xfId="12427" applyNumberFormat="1" applyFont="1"/>
    <xf numFmtId="167" fontId="310" fillId="0" borderId="0" xfId="12427" applyNumberFormat="1" applyFont="1"/>
    <xf numFmtId="272" fontId="309" fillId="0" borderId="0" xfId="20417" applyNumberFormat="1" applyFont="1"/>
    <xf numFmtId="0" fontId="158" fillId="71" borderId="131" xfId="0" applyFont="1" applyFill="1" applyBorder="1"/>
    <xf numFmtId="0" fontId="189" fillId="0" borderId="0" xfId="0" applyFont="1" applyFill="1" applyAlignment="1">
      <alignment horizontal="right" vertical="top"/>
    </xf>
    <xf numFmtId="0" fontId="234" fillId="0" borderId="0" xfId="0" applyFont="1" applyFill="1" applyAlignment="1">
      <alignment horizontal="center"/>
    </xf>
    <xf numFmtId="43" fontId="310" fillId="0" borderId="15" xfId="12427" applyFont="1" applyBorder="1"/>
    <xf numFmtId="167" fontId="158" fillId="0" borderId="0" xfId="12427" applyNumberFormat="1" applyFont="1" applyAlignment="1">
      <alignment horizontal="right" vertical="top"/>
    </xf>
    <xf numFmtId="169" fontId="235" fillId="0" borderId="0" xfId="0" applyNumberFormat="1" applyFont="1" applyFill="1" applyBorder="1"/>
    <xf numFmtId="0" fontId="0" fillId="0" borderId="0" xfId="0" applyFill="1" applyBorder="1"/>
    <xf numFmtId="8" fontId="158" fillId="0" borderId="0" xfId="0" applyNumberFormat="1" applyFont="1" applyBorder="1" applyAlignment="1">
      <alignment horizontal="right"/>
    </xf>
    <xf numFmtId="0" fontId="158" fillId="73" borderId="3" xfId="0" applyFont="1" applyFill="1" applyBorder="1" applyAlignment="1">
      <alignment horizontal="center"/>
    </xf>
    <xf numFmtId="169" fontId="235" fillId="0" borderId="3" xfId="0" applyNumberFormat="1" applyFont="1" applyFill="1" applyBorder="1"/>
    <xf numFmtId="169" fontId="235" fillId="0" borderId="3" xfId="0" applyNumberFormat="1" applyFont="1" applyBorder="1"/>
    <xf numFmtId="169" fontId="162" fillId="0" borderId="0" xfId="0" applyNumberFormat="1" applyFont="1" applyFill="1" applyBorder="1" applyAlignment="1">
      <alignment horizontal="center"/>
    </xf>
    <xf numFmtId="169" fontId="162" fillId="0" borderId="3" xfId="0" applyNumberFormat="1" applyFont="1" applyFill="1" applyBorder="1" applyAlignment="1">
      <alignment horizontal="center"/>
    </xf>
    <xf numFmtId="0" fontId="158" fillId="0" borderId="3" xfId="0" applyFont="1" applyBorder="1"/>
    <xf numFmtId="0" fontId="158" fillId="0" borderId="0" xfId="0" applyFont="1" applyAlignment="1">
      <alignment horizontal="left" vertical="center" wrapText="1" indent="1"/>
    </xf>
    <xf numFmtId="0" fontId="160" fillId="0" borderId="0" xfId="0" applyFont="1" applyAlignment="1">
      <alignment horizontal="left" vertical="center" wrapText="1"/>
    </xf>
    <xf numFmtId="0" fontId="158" fillId="0" borderId="3" xfId="0" applyFont="1" applyBorder="1" applyAlignment="1">
      <alignment horizontal="left" vertical="center" wrapText="1"/>
    </xf>
    <xf numFmtId="0" fontId="311" fillId="0" borderId="0" xfId="0" applyFont="1" applyAlignment="1">
      <alignment horizontal="left" vertical="center" wrapText="1" indent="1"/>
    </xf>
    <xf numFmtId="169" fontId="311" fillId="0" borderId="0" xfId="0" applyNumberFormat="1" applyFont="1"/>
    <xf numFmtId="165" fontId="189" fillId="0" borderId="0" xfId="12422" applyNumberFormat="1" applyFont="1" applyFill="1" applyAlignment="1">
      <alignment horizontal="right"/>
    </xf>
    <xf numFmtId="164" fontId="194" fillId="0" borderId="0" xfId="0" applyNumberFormat="1" applyFont="1" applyFill="1" applyAlignment="1">
      <alignment horizontal="right"/>
    </xf>
    <xf numFmtId="169" fontId="194" fillId="0" borderId="0" xfId="0" applyNumberFormat="1" applyFont="1" applyFill="1"/>
    <xf numFmtId="169" fontId="161" fillId="71" borderId="5" xfId="0" applyNumberFormat="1" applyFont="1" applyFill="1" applyBorder="1" applyAlignment="1">
      <alignment horizontal="right"/>
    </xf>
    <xf numFmtId="165" fontId="161" fillId="71" borderId="128" xfId="12422" applyNumberFormat="1" applyFont="1" applyFill="1" applyBorder="1"/>
    <xf numFmtId="167" fontId="158" fillId="0" borderId="0" xfId="12427" quotePrefix="1" applyNumberFormat="1" applyFont="1"/>
    <xf numFmtId="165" fontId="158" fillId="0" borderId="0" xfId="12422" applyNumberFormat="1" applyFont="1" applyAlignment="1">
      <alignment horizontal="right"/>
    </xf>
    <xf numFmtId="0" fontId="161" fillId="0" borderId="0" xfId="0" quotePrefix="1" applyFont="1" applyFill="1" applyBorder="1" applyAlignment="1">
      <alignment horizontal="center" wrapText="1"/>
    </xf>
    <xf numFmtId="167" fontId="189" fillId="0" borderId="0" xfId="0" applyNumberFormat="1" applyFont="1"/>
    <xf numFmtId="10" fontId="158" fillId="0" borderId="90" xfId="12422" applyNumberFormat="1" applyFont="1" applyBorder="1"/>
    <xf numFmtId="0" fontId="158" fillId="0" borderId="44" xfId="0" applyFont="1" applyBorder="1" applyAlignment="1">
      <alignment wrapText="1"/>
    </xf>
    <xf numFmtId="0" fontId="158" fillId="0" borderId="53" xfId="0" applyFont="1" applyBorder="1"/>
    <xf numFmtId="0" fontId="158" fillId="0" borderId="63" xfId="0" applyFont="1" applyBorder="1"/>
    <xf numFmtId="10" fontId="30" fillId="0" borderId="90" xfId="12074" applyNumberFormat="1" applyFont="1" applyFill="1" applyBorder="1" applyAlignment="1" applyProtection="1">
      <alignment horizontal="right"/>
      <protection locked="0"/>
    </xf>
    <xf numFmtId="0" fontId="30" fillId="0" borderId="44" xfId="11155" applyNumberFormat="1" applyFont="1" applyFill="1" applyBorder="1" applyProtection="1">
      <protection locked="0"/>
    </xf>
    <xf numFmtId="0" fontId="30" fillId="0" borderId="44" xfId="20419" applyFont="1" applyFill="1" applyBorder="1" applyProtection="1">
      <protection locked="0"/>
    </xf>
    <xf numFmtId="0" fontId="30" fillId="0" borderId="10" xfId="20419" applyFont="1" applyFill="1" applyBorder="1" applyProtection="1">
      <protection locked="0"/>
    </xf>
    <xf numFmtId="10" fontId="30" fillId="0" borderId="13" xfId="12074" applyNumberFormat="1" applyFont="1" applyFill="1" applyBorder="1" applyAlignment="1" applyProtection="1">
      <alignment horizontal="right"/>
      <protection locked="0"/>
    </xf>
    <xf numFmtId="0" fontId="30" fillId="0" borderId="0" xfId="11155" applyNumberFormat="1" applyFont="1" applyFill="1" applyBorder="1" applyProtection="1">
      <protection locked="0"/>
    </xf>
    <xf numFmtId="0" fontId="30" fillId="0" borderId="0" xfId="20419" applyFont="1" applyFill="1" applyBorder="1" applyProtection="1">
      <protection locked="0"/>
    </xf>
    <xf numFmtId="0" fontId="30" fillId="0" borderId="59" xfId="20419" applyFont="1" applyFill="1" applyBorder="1" applyProtection="1">
      <protection locked="0"/>
    </xf>
    <xf numFmtId="0" fontId="30" fillId="0" borderId="13" xfId="20419" applyFont="1" applyFill="1" applyBorder="1" applyAlignment="1" applyProtection="1">
      <alignment horizontal="right"/>
      <protection locked="0"/>
    </xf>
    <xf numFmtId="0" fontId="161" fillId="0" borderId="62" xfId="20419" applyFont="1" applyFill="1" applyBorder="1" applyAlignment="1" applyProtection="1">
      <alignment horizontal="right"/>
      <protection locked="0"/>
    </xf>
    <xf numFmtId="0" fontId="158" fillId="0" borderId="75" xfId="0" applyFont="1" applyBorder="1"/>
    <xf numFmtId="0" fontId="161" fillId="0" borderId="75" xfId="20419" applyFont="1" applyFill="1" applyBorder="1" applyAlignment="1" applyProtection="1">
      <alignment horizontal="right"/>
      <protection locked="0"/>
    </xf>
    <xf numFmtId="0" fontId="161" fillId="0" borderId="75" xfId="20419" applyFont="1" applyFill="1" applyBorder="1" applyAlignment="1" applyProtection="1">
      <alignment horizontal="center"/>
      <protection locked="0"/>
    </xf>
    <xf numFmtId="0" fontId="161" fillId="0" borderId="74" xfId="20419" applyFont="1" applyFill="1" applyBorder="1" applyAlignment="1" applyProtection="1">
      <alignment horizontal="left"/>
      <protection locked="0"/>
    </xf>
    <xf numFmtId="0" fontId="30" fillId="74" borderId="0" xfId="0" quotePrefix="1" applyFont="1" applyFill="1" applyAlignment="1">
      <alignment horizontal="left"/>
    </xf>
    <xf numFmtId="165" fontId="160" fillId="0" borderId="75" xfId="0" applyNumberFormat="1" applyFont="1" applyFill="1" applyBorder="1"/>
    <xf numFmtId="0" fontId="158" fillId="0" borderId="75" xfId="0" applyFont="1" applyFill="1" applyBorder="1"/>
    <xf numFmtId="0" fontId="160" fillId="0" borderId="75" xfId="0" applyFont="1" applyFill="1" applyBorder="1"/>
    <xf numFmtId="0" fontId="30" fillId="0" borderId="0" xfId="0" quotePrefix="1" applyFont="1" applyFill="1" applyAlignment="1">
      <alignment horizontal="center"/>
    </xf>
    <xf numFmtId="10" fontId="235" fillId="0" borderId="0" xfId="0" applyNumberFormat="1" applyFont="1"/>
    <xf numFmtId="10" fontId="132" fillId="0" borderId="0" xfId="0" applyNumberFormat="1" applyFont="1"/>
    <xf numFmtId="234" fontId="30" fillId="0" borderId="0" xfId="0" applyNumberFormat="1" applyFont="1" applyFill="1" applyBorder="1"/>
    <xf numFmtId="234" fontId="235" fillId="0" borderId="0" xfId="0" applyNumberFormat="1" applyFont="1" applyFill="1" applyBorder="1"/>
    <xf numFmtId="0" fontId="175" fillId="72" borderId="62" xfId="0" applyFont="1" applyFill="1" applyBorder="1" applyAlignment="1">
      <alignment horizontal="centerContinuous" wrapText="1"/>
    </xf>
    <xf numFmtId="0" fontId="289" fillId="72" borderId="75" xfId="0" applyFont="1" applyFill="1" applyBorder="1"/>
    <xf numFmtId="0" fontId="175" fillId="72" borderId="74" xfId="0" applyFont="1" applyFill="1" applyBorder="1"/>
    <xf numFmtId="10" fontId="158" fillId="0" borderId="44" xfId="0" applyNumberFormat="1" applyFont="1" applyBorder="1"/>
    <xf numFmtId="165" fontId="235" fillId="0" borderId="0" xfId="0" applyNumberFormat="1" applyFont="1"/>
    <xf numFmtId="0" fontId="160" fillId="71" borderId="75" xfId="0" applyFont="1" applyFill="1" applyBorder="1"/>
    <xf numFmtId="0" fontId="160" fillId="71" borderId="74" xfId="0" applyFont="1" applyFill="1" applyBorder="1"/>
    <xf numFmtId="10" fontId="160" fillId="0" borderId="75" xfId="0" applyNumberFormat="1" applyFont="1" applyFill="1" applyBorder="1"/>
    <xf numFmtId="165" fontId="235" fillId="0" borderId="0" xfId="12422" applyNumberFormat="1" applyFont="1"/>
    <xf numFmtId="164" fontId="162" fillId="0" borderId="44" xfId="0" applyNumberFormat="1" applyFont="1" applyFill="1" applyBorder="1" applyAlignment="1">
      <alignment horizontal="center"/>
    </xf>
    <xf numFmtId="0" fontId="158" fillId="72" borderId="44" xfId="0" applyFont="1" applyFill="1" applyBorder="1"/>
    <xf numFmtId="0" fontId="175" fillId="72" borderId="15" xfId="0" applyFont="1" applyFill="1" applyBorder="1" applyAlignment="1">
      <alignment horizontal="centerContinuous"/>
    </xf>
    <xf numFmtId="0" fontId="175" fillId="72" borderId="62" xfId="0" applyFont="1" applyFill="1" applyBorder="1" applyAlignment="1">
      <alignment horizontal="right"/>
    </xf>
    <xf numFmtId="0" fontId="175" fillId="72" borderId="75" xfId="0" applyFont="1" applyFill="1" applyBorder="1" applyAlignment="1">
      <alignment horizontal="right"/>
    </xf>
    <xf numFmtId="0" fontId="175" fillId="72" borderId="74" xfId="0" applyFont="1" applyFill="1" applyBorder="1" applyAlignment="1">
      <alignment horizontal="right"/>
    </xf>
    <xf numFmtId="0" fontId="175" fillId="72" borderId="15" xfId="0" applyFont="1" applyFill="1" applyBorder="1" applyAlignment="1">
      <alignment horizontal="left"/>
    </xf>
    <xf numFmtId="165" fontId="160" fillId="71" borderId="0" xfId="12422" applyNumberFormat="1" applyFont="1" applyFill="1" applyBorder="1"/>
    <xf numFmtId="169" fontId="160" fillId="71" borderId="90" xfId="0" applyNumberFormat="1" applyFont="1" applyFill="1" applyBorder="1"/>
    <xf numFmtId="169" fontId="160" fillId="71" borderId="13" xfId="0" applyNumberFormat="1" applyFont="1" applyFill="1" applyBorder="1"/>
    <xf numFmtId="169" fontId="160" fillId="71" borderId="53" xfId="0" applyNumberFormat="1" applyFont="1" applyFill="1" applyBorder="1"/>
    <xf numFmtId="0" fontId="160" fillId="71" borderId="63" xfId="0" applyFont="1" applyFill="1" applyBorder="1"/>
    <xf numFmtId="164" fontId="158" fillId="0" borderId="0" xfId="0" applyNumberFormat="1" applyFont="1" applyAlignment="1">
      <alignment horizontal="center"/>
    </xf>
    <xf numFmtId="234" fontId="158" fillId="0" borderId="0" xfId="0" quotePrefix="1" applyNumberFormat="1" applyFont="1" applyAlignment="1">
      <alignment horizontal="right"/>
    </xf>
    <xf numFmtId="0" fontId="229" fillId="0" borderId="15" xfId="0" applyFont="1" applyBorder="1" applyAlignment="1">
      <alignment wrapText="1"/>
    </xf>
    <xf numFmtId="0" fontId="159" fillId="28" borderId="62" xfId="0" applyFont="1" applyFill="1" applyBorder="1" applyAlignment="1">
      <alignment horizontal="center" wrapText="1"/>
    </xf>
    <xf numFmtId="0" fontId="159" fillId="28" borderId="75" xfId="0" applyFont="1" applyFill="1" applyBorder="1" applyAlignment="1">
      <alignment horizontal="center" wrapText="1"/>
    </xf>
    <xf numFmtId="0" fontId="159" fillId="28" borderId="74" xfId="0" applyFont="1" applyFill="1" applyBorder="1" applyAlignment="1">
      <alignment horizontal="center" wrapText="1"/>
    </xf>
    <xf numFmtId="0" fontId="161" fillId="0" borderId="75" xfId="0" applyFont="1" applyFill="1" applyBorder="1" applyAlignment="1">
      <alignment horizontal="right" wrapText="1"/>
    </xf>
    <xf numFmtId="0" fontId="158" fillId="0" borderId="75" xfId="0" applyFont="1" applyBorder="1" applyAlignment="1">
      <alignment horizontal="right" wrapText="1"/>
    </xf>
    <xf numFmtId="0" fontId="161" fillId="0" borderId="15" xfId="0" applyFont="1" applyFill="1" applyBorder="1" applyAlignment="1">
      <alignment horizontal="center" wrapText="1"/>
    </xf>
    <xf numFmtId="165" fontId="162" fillId="0" borderId="0" xfId="0" applyNumberFormat="1" applyFont="1"/>
    <xf numFmtId="0" fontId="161" fillId="72" borderId="53" xfId="0" applyFont="1" applyFill="1" applyBorder="1" applyAlignment="1">
      <alignment horizontal="centerContinuous"/>
    </xf>
    <xf numFmtId="0" fontId="161" fillId="72" borderId="130" xfId="0" applyFont="1" applyFill="1" applyBorder="1" applyAlignment="1">
      <alignment horizontal="centerContinuous"/>
    </xf>
    <xf numFmtId="0" fontId="159" fillId="72" borderId="63" xfId="0" applyFont="1" applyFill="1" applyBorder="1" applyAlignment="1">
      <alignment horizontal="centerContinuous"/>
    </xf>
    <xf numFmtId="0" fontId="159" fillId="72" borderId="53" xfId="0" applyFont="1" applyFill="1" applyBorder="1" applyAlignment="1">
      <alignment horizontal="centerContinuous"/>
    </xf>
    <xf numFmtId="0" fontId="159" fillId="72" borderId="130" xfId="0" applyFont="1" applyFill="1" applyBorder="1" applyAlignment="1">
      <alignment horizontal="centerContinuous"/>
    </xf>
    <xf numFmtId="8" fontId="158" fillId="0" borderId="0" xfId="20418" applyNumberFormat="1" applyFont="1"/>
    <xf numFmtId="8" fontId="235" fillId="0" borderId="0" xfId="20418" applyNumberFormat="1" applyFont="1"/>
    <xf numFmtId="0" fontId="158" fillId="0" borderId="0" xfId="0" applyFont="1" applyBorder="1" applyAlignment="1">
      <alignment horizontal="right" wrapText="1"/>
    </xf>
    <xf numFmtId="0" fontId="159" fillId="28" borderId="0" xfId="0" applyFont="1" applyFill="1" applyBorder="1" applyAlignment="1">
      <alignment horizontal="center" wrapText="1"/>
    </xf>
    <xf numFmtId="0" fontId="229" fillId="0" borderId="0" xfId="0" applyFont="1" applyBorder="1" applyAlignment="1">
      <alignment wrapText="1"/>
    </xf>
    <xf numFmtId="169" fontId="132" fillId="0" borderId="0" xfId="0" applyNumberFormat="1" applyFont="1" applyFill="1"/>
    <xf numFmtId="0" fontId="158" fillId="0" borderId="30" xfId="0" applyFont="1" applyBorder="1"/>
    <xf numFmtId="0" fontId="158" fillId="0" borderId="49" xfId="0" applyFont="1" applyBorder="1"/>
    <xf numFmtId="0" fontId="158" fillId="0" borderId="118" xfId="0" applyFont="1" applyBorder="1"/>
    <xf numFmtId="234" fontId="160" fillId="71" borderId="0" xfId="0" applyNumberFormat="1" applyFont="1" applyFill="1" applyBorder="1" applyAlignment="1">
      <alignment horizontal="right"/>
    </xf>
    <xf numFmtId="234" fontId="160" fillId="71" borderId="44" xfId="0" applyNumberFormat="1" applyFont="1" applyFill="1" applyBorder="1" applyAlignment="1">
      <alignment horizontal="right"/>
    </xf>
    <xf numFmtId="234" fontId="160" fillId="71" borderId="130" xfId="0" applyNumberFormat="1" applyFont="1" applyFill="1" applyBorder="1" applyAlignment="1">
      <alignment horizontal="right"/>
    </xf>
    <xf numFmtId="0" fontId="160" fillId="0" borderId="0" xfId="0" applyFont="1" applyFill="1" applyBorder="1"/>
    <xf numFmtId="234" fontId="160" fillId="0" borderId="0" xfId="0" applyNumberFormat="1" applyFont="1" applyFill="1" applyBorder="1"/>
    <xf numFmtId="169" fontId="160" fillId="0" borderId="0" xfId="0" applyNumberFormat="1" applyFont="1" applyFill="1" applyBorder="1"/>
    <xf numFmtId="165" fontId="160" fillId="0" borderId="0" xfId="12422" applyNumberFormat="1" applyFont="1" applyFill="1" applyBorder="1"/>
    <xf numFmtId="234" fontId="160" fillId="0" borderId="0" xfId="0" applyNumberFormat="1" applyFont="1" applyFill="1" applyBorder="1" applyAlignment="1">
      <alignment horizontal="right"/>
    </xf>
    <xf numFmtId="168" fontId="158" fillId="0" borderId="0" xfId="0" applyNumberFormat="1" applyFont="1" applyFill="1"/>
    <xf numFmtId="0" fontId="132" fillId="0" borderId="0" xfId="0" applyFont="1" applyFill="1"/>
    <xf numFmtId="14" fontId="158" fillId="0" borderId="0" xfId="0" applyNumberFormat="1" applyFont="1"/>
    <xf numFmtId="234" fontId="158" fillId="73" borderId="0" xfId="0" applyNumberFormat="1" applyFont="1" applyFill="1" applyAlignment="1">
      <alignment horizontal="right"/>
    </xf>
    <xf numFmtId="234" fontId="158" fillId="73" borderId="0" xfId="0" quotePrefix="1" applyNumberFormat="1" applyFont="1" applyFill="1" applyAlignment="1">
      <alignment horizontal="right"/>
    </xf>
    <xf numFmtId="169" fontId="132" fillId="73" borderId="0" xfId="0" applyNumberFormat="1" applyFont="1" applyFill="1"/>
    <xf numFmtId="165" fontId="132" fillId="0" borderId="0" xfId="0" applyNumberFormat="1" applyFont="1" applyFill="1"/>
    <xf numFmtId="165" fontId="30" fillId="0" borderId="0" xfId="12422" applyNumberFormat="1" applyFont="1"/>
    <xf numFmtId="0" fontId="158" fillId="0" borderId="74" xfId="20380" applyFont="1" applyBorder="1"/>
    <xf numFmtId="0" fontId="158" fillId="0" borderId="75" xfId="20380" applyFont="1" applyBorder="1"/>
    <xf numFmtId="167" fontId="235" fillId="0" borderId="62" xfId="20410" applyNumberFormat="1" applyFont="1" applyBorder="1"/>
    <xf numFmtId="167" fontId="235" fillId="0" borderId="0" xfId="20410" applyNumberFormat="1" applyFont="1" applyBorder="1"/>
    <xf numFmtId="0" fontId="158" fillId="0" borderId="0" xfId="20380" quotePrefix="1" applyFont="1" applyAlignment="1">
      <alignment vertical="top"/>
    </xf>
    <xf numFmtId="0" fontId="158" fillId="0" borderId="0" xfId="0" quotePrefix="1" applyFont="1" applyAlignment="1">
      <alignment horizontal="center" vertical="top"/>
    </xf>
    <xf numFmtId="3" fontId="158" fillId="0" borderId="0" xfId="0" applyNumberFormat="1" applyFont="1"/>
    <xf numFmtId="49" fontId="312" fillId="103" borderId="44" xfId="11821" applyNumberFormat="1" applyFont="1" applyFill="1" applyBorder="1" applyAlignment="1" applyProtection="1">
      <alignment horizontal="center" vertical="top" wrapText="1"/>
    </xf>
    <xf numFmtId="0" fontId="26" fillId="103" borderId="44" xfId="11821" applyFont="1" applyFill="1" applyBorder="1" applyAlignment="1" applyProtection="1">
      <alignment horizontal="center" vertical="center"/>
    </xf>
    <xf numFmtId="0" fontId="26" fillId="103" borderId="0" xfId="11821" applyFont="1" applyFill="1" applyBorder="1" applyProtection="1"/>
    <xf numFmtId="0" fontId="318" fillId="104" borderId="155" xfId="20420" applyFont="1" applyFill="1" applyBorder="1" applyAlignment="1" applyProtection="1">
      <alignment vertical="center"/>
    </xf>
    <xf numFmtId="0" fontId="315" fillId="105" borderId="155" xfId="106" applyFont="1" applyFill="1" applyBorder="1" applyAlignment="1" applyProtection="1">
      <alignment horizontal="center" vertical="center" wrapText="1"/>
    </xf>
    <xf numFmtId="0" fontId="315" fillId="105" borderId="156" xfId="106" applyFont="1" applyFill="1" applyBorder="1" applyAlignment="1" applyProtection="1">
      <alignment horizontal="center" vertical="center" wrapText="1"/>
    </xf>
    <xf numFmtId="0" fontId="315" fillId="105" borderId="156" xfId="20420" applyFont="1" applyFill="1" applyBorder="1" applyAlignment="1" applyProtection="1">
      <alignment horizontal="center" vertical="center"/>
    </xf>
    <xf numFmtId="0" fontId="315" fillId="105" borderId="155" xfId="20420" applyFont="1" applyFill="1" applyBorder="1" applyAlignment="1" applyProtection="1">
      <alignment horizontal="center" vertical="center"/>
    </xf>
    <xf numFmtId="0" fontId="319" fillId="105" borderId="155" xfId="20420" applyFont="1" applyFill="1" applyBorder="1" applyAlignment="1" applyProtection="1">
      <alignment horizontal="center" vertical="center"/>
    </xf>
    <xf numFmtId="0" fontId="320" fillId="69" borderId="157" xfId="106" applyFont="1" applyFill="1" applyBorder="1" applyAlignment="1" applyProtection="1">
      <alignment horizontal="left" wrapText="1" indent="1"/>
      <protection locked="0"/>
    </xf>
    <xf numFmtId="37" fontId="82" fillId="104" borderId="15" xfId="20421" applyNumberFormat="1" applyFont="1" applyFill="1" applyBorder="1" applyAlignment="1">
      <alignment horizontal="center" vertical="center" readingOrder="1"/>
    </xf>
    <xf numFmtId="0" fontId="6" fillId="0" borderId="158" xfId="20420" applyFont="1" applyBorder="1" applyProtection="1">
      <protection locked="0"/>
    </xf>
    <xf numFmtId="0" fontId="6" fillId="0" borderId="159" xfId="20420" applyFont="1" applyBorder="1" applyProtection="1">
      <protection locked="0"/>
    </xf>
    <xf numFmtId="0" fontId="320" fillId="69" borderId="159" xfId="106" applyFont="1" applyFill="1" applyBorder="1" applyAlignment="1" applyProtection="1">
      <alignment horizontal="left" wrapText="1" indent="1"/>
      <protection locked="0"/>
    </xf>
    <xf numFmtId="3" fontId="6" fillId="73" borderId="160" xfId="20420" applyNumberFormat="1" applyFont="1" applyFill="1" applyBorder="1" applyProtection="1">
      <protection locked="0"/>
    </xf>
    <xf numFmtId="248" fontId="320" fillId="106" borderId="160" xfId="20422" applyNumberFormat="1" applyFont="1" applyFill="1" applyBorder="1" applyAlignment="1" applyProtection="1">
      <alignment wrapText="1"/>
      <protection locked="0"/>
    </xf>
    <xf numFmtId="9" fontId="320" fillId="107" borderId="159" xfId="20422" applyNumberFormat="1" applyFont="1" applyFill="1" applyBorder="1" applyAlignment="1" applyProtection="1">
      <alignment wrapText="1"/>
      <protection locked="0"/>
    </xf>
    <xf numFmtId="9" fontId="320" fillId="108" borderId="159" xfId="20422" applyNumberFormat="1" applyFont="1" applyFill="1" applyBorder="1" applyAlignment="1" applyProtection="1">
      <alignment wrapText="1"/>
      <protection locked="0"/>
    </xf>
    <xf numFmtId="0" fontId="6" fillId="73" borderId="159" xfId="20422" applyNumberFormat="1" applyFont="1" applyFill="1" applyBorder="1" applyAlignment="1" applyProtection="1">
      <alignment wrapText="1"/>
      <protection locked="0"/>
    </xf>
    <xf numFmtId="0" fontId="321" fillId="69" borderId="159" xfId="106" applyFont="1" applyFill="1" applyBorder="1" applyAlignment="1" applyProtection="1">
      <alignment horizontal="left" wrapText="1"/>
      <protection locked="0"/>
    </xf>
    <xf numFmtId="0" fontId="6" fillId="0" borderId="159" xfId="20422" applyNumberFormat="1" applyFont="1" applyFill="1" applyBorder="1" applyAlignment="1" applyProtection="1">
      <alignment wrapText="1"/>
      <protection locked="0"/>
    </xf>
    <xf numFmtId="0" fontId="320" fillId="69" borderId="159" xfId="106" applyFont="1" applyFill="1" applyBorder="1" applyAlignment="1" applyProtection="1">
      <alignment horizontal="left" indent="1"/>
      <protection locked="0"/>
    </xf>
    <xf numFmtId="248" fontId="6" fillId="0" borderId="159" xfId="20422" applyNumberFormat="1" applyFont="1" applyFill="1" applyBorder="1" applyAlignment="1" applyProtection="1">
      <alignment wrapText="1"/>
      <protection locked="0"/>
    </xf>
    <xf numFmtId="9" fontId="6" fillId="0" borderId="159" xfId="20420" applyNumberFormat="1" applyFont="1" applyBorder="1" applyProtection="1">
      <protection locked="0"/>
    </xf>
    <xf numFmtId="0" fontId="322" fillId="69" borderId="159" xfId="106" applyFont="1" applyFill="1" applyBorder="1" applyAlignment="1" applyProtection="1">
      <alignment horizontal="left"/>
      <protection locked="0"/>
    </xf>
    <xf numFmtId="10" fontId="6" fillId="0" borderId="159" xfId="20420" applyNumberFormat="1" applyFont="1" applyBorder="1" applyProtection="1">
      <protection locked="0"/>
    </xf>
    <xf numFmtId="10" fontId="321" fillId="69" borderId="159" xfId="106" applyNumberFormat="1" applyFont="1" applyFill="1" applyBorder="1" applyAlignment="1" applyProtection="1">
      <protection locked="0"/>
    </xf>
    <xf numFmtId="10" fontId="320" fillId="107" borderId="159" xfId="20420" applyNumberFormat="1" applyFont="1" applyFill="1" applyBorder="1" applyProtection="1">
      <protection locked="0"/>
    </xf>
    <xf numFmtId="10" fontId="320" fillId="108" borderId="159" xfId="20420" applyNumberFormat="1" applyFont="1" applyFill="1" applyBorder="1" applyProtection="1">
      <protection locked="0"/>
    </xf>
    <xf numFmtId="10" fontId="156" fillId="69" borderId="159" xfId="20420" applyNumberFormat="1" applyFont="1" applyFill="1" applyBorder="1" applyAlignment="1" applyProtection="1">
      <protection locked="0"/>
    </xf>
    <xf numFmtId="10" fontId="156" fillId="69" borderId="161" xfId="20420" applyNumberFormat="1" applyFont="1" applyFill="1" applyBorder="1" applyAlignment="1" applyProtection="1">
      <protection locked="0"/>
    </xf>
    <xf numFmtId="10" fontId="320" fillId="107" borderId="161" xfId="20420" applyNumberFormat="1" applyFont="1" applyFill="1" applyBorder="1" applyProtection="1">
      <protection locked="0"/>
    </xf>
    <xf numFmtId="10" fontId="320" fillId="108" borderId="161" xfId="20420" applyNumberFormat="1" applyFont="1" applyFill="1" applyBorder="1" applyProtection="1">
      <protection locked="0"/>
    </xf>
    <xf numFmtId="10" fontId="156" fillId="69" borderId="162" xfId="20420" applyNumberFormat="1" applyFont="1" applyFill="1" applyBorder="1" applyAlignment="1" applyProtection="1">
      <protection locked="0"/>
    </xf>
    <xf numFmtId="10" fontId="320" fillId="73" borderId="163" xfId="20420" applyNumberFormat="1" applyFont="1" applyFill="1" applyBorder="1" applyProtection="1">
      <protection locked="0"/>
    </xf>
    <xf numFmtId="10" fontId="320" fillId="73" borderId="164" xfId="20420" applyNumberFormat="1" applyFont="1" applyFill="1" applyBorder="1" applyProtection="1">
      <protection locked="0"/>
    </xf>
    <xf numFmtId="10" fontId="6" fillId="0" borderId="158" xfId="20420" applyNumberFormat="1" applyFont="1" applyFill="1" applyBorder="1" applyProtection="1">
      <protection locked="0"/>
    </xf>
    <xf numFmtId="10" fontId="6" fillId="69" borderId="165" xfId="20420" applyNumberFormat="1" applyFont="1" applyFill="1" applyBorder="1" applyAlignment="1" applyProtection="1">
      <alignment horizontal="left" indent="1"/>
      <protection locked="0"/>
    </xf>
    <xf numFmtId="10" fontId="320" fillId="108" borderId="166" xfId="20420" applyNumberFormat="1" applyFont="1" applyFill="1" applyBorder="1" applyProtection="1">
      <protection locked="0"/>
    </xf>
    <xf numFmtId="10" fontId="323" fillId="69" borderId="167" xfId="20420" applyNumberFormat="1" applyFont="1" applyFill="1" applyBorder="1" applyAlignment="1" applyProtection="1">
      <alignment horizontal="left" indent="1"/>
      <protection locked="0"/>
    </xf>
    <xf numFmtId="10" fontId="320" fillId="107" borderId="168" xfId="20420" applyNumberFormat="1" applyFont="1" applyFill="1" applyBorder="1" applyProtection="1">
      <protection locked="0"/>
    </xf>
    <xf numFmtId="10" fontId="320" fillId="108" borderId="168" xfId="20420" applyNumberFormat="1" applyFont="1" applyFill="1" applyBorder="1" applyProtection="1">
      <protection locked="0"/>
    </xf>
    <xf numFmtId="10" fontId="320" fillId="108" borderId="169" xfId="20420" applyNumberFormat="1" applyFont="1" applyFill="1" applyBorder="1" applyProtection="1">
      <protection locked="0"/>
    </xf>
    <xf numFmtId="0" fontId="6" fillId="0" borderId="158" xfId="20420" applyFont="1" applyFill="1" applyBorder="1" applyProtection="1">
      <protection locked="0"/>
    </xf>
    <xf numFmtId="10" fontId="321" fillId="69" borderId="162" xfId="106" applyNumberFormat="1" applyFont="1" applyFill="1" applyBorder="1" applyAlignment="1" applyProtection="1">
      <alignment horizontal="left"/>
      <protection locked="0"/>
    </xf>
    <xf numFmtId="10" fontId="6" fillId="73" borderId="163" xfId="20420" applyNumberFormat="1" applyFont="1" applyFill="1" applyBorder="1" applyProtection="1">
      <protection locked="0"/>
    </xf>
    <xf numFmtId="10" fontId="6" fillId="73" borderId="164" xfId="20420" applyNumberFormat="1" applyFont="1" applyFill="1" applyBorder="1" applyProtection="1">
      <protection locked="0"/>
    </xf>
    <xf numFmtId="10" fontId="6" fillId="0" borderId="170" xfId="20420" applyNumberFormat="1" applyFont="1" applyBorder="1" applyProtection="1">
      <protection locked="0"/>
    </xf>
    <xf numFmtId="0" fontId="6" fillId="0" borderId="160" xfId="20420" applyFont="1" applyBorder="1" applyProtection="1">
      <protection locked="0"/>
    </xf>
    <xf numFmtId="10" fontId="320" fillId="69" borderId="165" xfId="106" applyNumberFormat="1" applyFont="1" applyFill="1" applyBorder="1" applyAlignment="1" applyProtection="1">
      <alignment horizontal="left" indent="1"/>
      <protection locked="0"/>
    </xf>
    <xf numFmtId="10" fontId="320" fillId="109" borderId="159" xfId="20420" applyNumberFormat="1" applyFont="1" applyFill="1" applyBorder="1" applyProtection="1">
      <protection locked="0"/>
    </xf>
    <xf numFmtId="10" fontId="324" fillId="69" borderId="165" xfId="106" applyNumberFormat="1" applyFont="1" applyFill="1" applyBorder="1" applyAlignment="1" applyProtection="1">
      <alignment horizontal="left" indent="1"/>
      <protection locked="0"/>
    </xf>
    <xf numFmtId="10" fontId="320" fillId="86" borderId="159" xfId="20420" applyNumberFormat="1" applyFont="1" applyFill="1" applyBorder="1" applyProtection="1">
      <protection locked="0"/>
    </xf>
    <xf numFmtId="10" fontId="320" fillId="109" borderId="166" xfId="20420" applyNumberFormat="1" applyFont="1" applyFill="1" applyBorder="1" applyProtection="1">
      <protection locked="0"/>
    </xf>
    <xf numFmtId="10" fontId="320" fillId="108" borderId="159" xfId="20420" applyNumberFormat="1" applyFont="1" applyFill="1" applyBorder="1" applyAlignment="1" applyProtection="1">
      <alignment horizontal="right"/>
      <protection locked="0"/>
    </xf>
    <xf numFmtId="10" fontId="320" fillId="86" borderId="166" xfId="20420" applyNumberFormat="1" applyFont="1" applyFill="1" applyBorder="1" applyProtection="1">
      <protection locked="0"/>
    </xf>
    <xf numFmtId="10" fontId="324" fillId="69" borderId="167" xfId="106" applyNumberFormat="1" applyFont="1" applyFill="1" applyBorder="1" applyAlignment="1" applyProtection="1">
      <alignment horizontal="left" indent="1"/>
      <protection locked="0"/>
    </xf>
    <xf numFmtId="0" fontId="6" fillId="0" borderId="170" xfId="20420" applyFont="1" applyBorder="1" applyProtection="1">
      <protection locked="0"/>
    </xf>
    <xf numFmtId="10" fontId="320" fillId="0" borderId="158" xfId="20420" applyNumberFormat="1" applyFont="1" applyFill="1" applyBorder="1" applyProtection="1">
      <protection locked="0"/>
    </xf>
    <xf numFmtId="0" fontId="6" fillId="0" borderId="171" xfId="20420" applyFont="1" applyBorder="1" applyProtection="1">
      <protection locked="0"/>
    </xf>
    <xf numFmtId="10" fontId="320" fillId="86" borderId="157" xfId="20420" applyNumberFormat="1" applyFont="1" applyFill="1" applyBorder="1" applyProtection="1">
      <protection locked="0"/>
    </xf>
    <xf numFmtId="10" fontId="320" fillId="0" borderId="0" xfId="20420" applyNumberFormat="1" applyFont="1" applyFill="1" applyBorder="1" applyProtection="1">
      <protection locked="0"/>
    </xf>
    <xf numFmtId="0" fontId="6" fillId="0" borderId="0" xfId="20420" applyFont="1" applyFill="1" applyBorder="1" applyProtection="1">
      <protection locked="0"/>
    </xf>
    <xf numFmtId="10" fontId="323" fillId="69" borderId="165" xfId="20420" applyNumberFormat="1" applyFont="1" applyFill="1" applyBorder="1" applyAlignment="1" applyProtection="1">
      <alignment horizontal="left" indent="1"/>
      <protection locked="0"/>
    </xf>
    <xf numFmtId="0" fontId="6" fillId="0" borderId="158" xfId="20420" applyNumberFormat="1" applyFont="1" applyBorder="1" applyProtection="1">
      <protection locked="0"/>
    </xf>
    <xf numFmtId="10" fontId="320" fillId="69" borderId="172" xfId="106" applyNumberFormat="1" applyFont="1" applyFill="1" applyBorder="1" applyAlignment="1" applyProtection="1">
      <alignment horizontal="left" indent="1"/>
      <protection locked="0"/>
    </xf>
    <xf numFmtId="10" fontId="324" fillId="69" borderId="173" xfId="106" applyNumberFormat="1" applyFont="1" applyFill="1" applyBorder="1" applyAlignment="1" applyProtection="1">
      <protection locked="0"/>
    </xf>
    <xf numFmtId="10" fontId="324" fillId="69" borderId="174" xfId="106" applyNumberFormat="1" applyFont="1" applyFill="1" applyBorder="1" applyAlignment="1" applyProtection="1">
      <alignment horizontal="left" indent="1"/>
      <protection locked="0"/>
    </xf>
    <xf numFmtId="10" fontId="322" fillId="69" borderId="160" xfId="106" applyNumberFormat="1" applyFont="1" applyFill="1" applyBorder="1" applyAlignment="1" applyProtection="1">
      <alignment horizontal="left"/>
      <protection locked="0"/>
    </xf>
    <xf numFmtId="10" fontId="6" fillId="0" borderId="160" xfId="20420" applyNumberFormat="1" applyFont="1" applyBorder="1" applyProtection="1">
      <protection locked="0"/>
    </xf>
    <xf numFmtId="1" fontId="320" fillId="73" borderId="159" xfId="20420" applyNumberFormat="1" applyFont="1" applyFill="1" applyBorder="1" applyProtection="1">
      <protection locked="0"/>
    </xf>
    <xf numFmtId="1" fontId="320" fillId="0" borderId="159" xfId="20420" applyNumberFormat="1" applyFont="1" applyFill="1" applyBorder="1" applyProtection="1">
      <protection locked="0"/>
    </xf>
    <xf numFmtId="0" fontId="6" fillId="0" borderId="159" xfId="20420" applyFont="1" applyFill="1" applyBorder="1" applyProtection="1">
      <protection locked="0"/>
    </xf>
    <xf numFmtId="10" fontId="6" fillId="69" borderId="159" xfId="20420" applyNumberFormat="1" applyFont="1" applyFill="1" applyBorder="1" applyAlignment="1" applyProtection="1">
      <alignment horizontal="left" indent="1"/>
      <protection locked="0"/>
    </xf>
    <xf numFmtId="10" fontId="323" fillId="69" borderId="159" xfId="20420" applyNumberFormat="1" applyFont="1" applyFill="1" applyBorder="1" applyAlignment="1" applyProtection="1">
      <alignment horizontal="left" indent="1"/>
      <protection locked="0"/>
    </xf>
    <xf numFmtId="10" fontId="321" fillId="69" borderId="159" xfId="106" applyNumberFormat="1" applyFont="1" applyFill="1" applyBorder="1" applyAlignment="1" applyProtection="1">
      <alignment horizontal="left"/>
      <protection locked="0"/>
    </xf>
    <xf numFmtId="1" fontId="6" fillId="0" borderId="159" xfId="20420" applyNumberFormat="1" applyFont="1" applyFill="1" applyBorder="1" applyProtection="1">
      <protection locked="0"/>
    </xf>
    <xf numFmtId="10" fontId="320" fillId="69" borderId="159" xfId="106" applyNumberFormat="1" applyFont="1" applyFill="1" applyBorder="1" applyAlignment="1" applyProtection="1">
      <alignment horizontal="left" indent="1"/>
      <protection locked="0"/>
    </xf>
    <xf numFmtId="10" fontId="324" fillId="69" borderId="159" xfId="106" applyNumberFormat="1" applyFont="1" applyFill="1" applyBorder="1" applyAlignment="1" applyProtection="1">
      <alignment horizontal="left" indent="1"/>
      <protection locked="0"/>
    </xf>
    <xf numFmtId="10" fontId="320" fillId="69" borderId="175" xfId="106" applyNumberFormat="1" applyFont="1" applyFill="1" applyBorder="1" applyAlignment="1" applyProtection="1">
      <alignment horizontal="left" indent="1"/>
      <protection locked="0"/>
    </xf>
    <xf numFmtId="10" fontId="324" fillId="69" borderId="176" xfId="106" applyNumberFormat="1" applyFont="1" applyFill="1" applyBorder="1" applyAlignment="1" applyProtection="1">
      <alignment horizontal="left" indent="1"/>
      <protection locked="0"/>
    </xf>
    <xf numFmtId="10" fontId="324" fillId="69" borderId="177" xfId="106" applyNumberFormat="1" applyFont="1" applyFill="1" applyBorder="1" applyAlignment="1" applyProtection="1">
      <alignment horizontal="left" indent="1"/>
      <protection locked="0"/>
    </xf>
    <xf numFmtId="2" fontId="320" fillId="107" borderId="159" xfId="20420" applyNumberFormat="1" applyFont="1" applyFill="1" applyBorder="1" applyProtection="1">
      <protection locked="0"/>
    </xf>
    <xf numFmtId="2" fontId="320" fillId="108" borderId="159" xfId="20420" applyNumberFormat="1" applyFont="1" applyFill="1" applyBorder="1" applyProtection="1">
      <protection locked="0"/>
    </xf>
    <xf numFmtId="2" fontId="320" fillId="0" borderId="159" xfId="20420" applyNumberFormat="1" applyFont="1" applyFill="1" applyBorder="1" applyProtection="1">
      <protection locked="0"/>
    </xf>
    <xf numFmtId="0" fontId="320" fillId="0" borderId="159" xfId="20420" applyFont="1" applyBorder="1" applyProtection="1">
      <protection locked="0"/>
    </xf>
    <xf numFmtId="9" fontId="320" fillId="0" borderId="159" xfId="20420" applyNumberFormat="1" applyFont="1" applyBorder="1" applyProtection="1">
      <protection locked="0"/>
    </xf>
    <xf numFmtId="10" fontId="324" fillId="69" borderId="176" xfId="106" applyNumberFormat="1" applyFont="1" applyFill="1" applyBorder="1" applyAlignment="1" applyProtection="1">
      <protection locked="0"/>
    </xf>
    <xf numFmtId="0" fontId="6" fillId="0" borderId="159" xfId="20420" applyFont="1" applyBorder="1" applyAlignment="1" applyProtection="1">
      <protection locked="0"/>
    </xf>
    <xf numFmtId="0" fontId="322" fillId="0" borderId="159" xfId="106" applyFont="1" applyFill="1" applyBorder="1" applyAlignment="1" applyProtection="1">
      <protection locked="0"/>
    </xf>
    <xf numFmtId="1" fontId="320" fillId="108" borderId="159" xfId="20420" applyNumberFormat="1" applyFont="1" applyFill="1" applyBorder="1" applyProtection="1">
      <protection locked="0"/>
    </xf>
    <xf numFmtId="2" fontId="320" fillId="73" borderId="159" xfId="20420" applyNumberFormat="1" applyFont="1" applyFill="1" applyBorder="1" applyProtection="1">
      <protection locked="0"/>
    </xf>
    <xf numFmtId="2" fontId="6" fillId="0" borderId="159" xfId="20420" applyNumberFormat="1" applyFont="1" applyFill="1" applyBorder="1" applyProtection="1">
      <protection locked="0"/>
    </xf>
    <xf numFmtId="2" fontId="320" fillId="73" borderId="159" xfId="20420" applyNumberFormat="1" applyFont="1" applyFill="1" applyBorder="1" applyAlignment="1" applyProtection="1">
      <protection locked="0"/>
    </xf>
    <xf numFmtId="0" fontId="322" fillId="0" borderId="159" xfId="106" applyFont="1" applyFill="1" applyBorder="1" applyAlignment="1" applyProtection="1">
      <alignment horizontal="left"/>
      <protection locked="0"/>
    </xf>
    <xf numFmtId="4" fontId="6" fillId="0" borderId="159" xfId="20420" applyNumberFormat="1" applyFont="1" applyFill="1" applyBorder="1" applyProtection="1">
      <protection locked="0"/>
    </xf>
    <xf numFmtId="9" fontId="320" fillId="107" borderId="159" xfId="20420" applyNumberFormat="1" applyFont="1" applyFill="1" applyBorder="1" applyProtection="1">
      <protection locked="0"/>
    </xf>
    <xf numFmtId="9" fontId="320" fillId="108" borderId="159" xfId="20420" applyNumberFormat="1" applyFont="1" applyFill="1" applyBorder="1" applyProtection="1">
      <protection locked="0"/>
    </xf>
    <xf numFmtId="9" fontId="320" fillId="0" borderId="159" xfId="20420" applyNumberFormat="1" applyFont="1" applyFill="1" applyBorder="1" applyProtection="1">
      <protection locked="0"/>
    </xf>
    <xf numFmtId="9" fontId="6" fillId="0" borderId="159" xfId="20420" applyNumberFormat="1" applyFont="1" applyFill="1" applyBorder="1" applyProtection="1">
      <protection locked="0"/>
    </xf>
    <xf numFmtId="165" fontId="318" fillId="110" borderId="155" xfId="20423" applyNumberFormat="1" applyFont="1" applyFill="1" applyBorder="1" applyAlignment="1" applyProtection="1">
      <alignment horizontal="right" vertical="center"/>
      <protection locked="0"/>
    </xf>
    <xf numFmtId="4" fontId="6" fillId="73" borderId="159" xfId="20420" applyNumberFormat="1" applyFont="1" applyFill="1" applyBorder="1" applyProtection="1">
      <protection locked="0"/>
    </xf>
    <xf numFmtId="4" fontId="320" fillId="73" borderId="159" xfId="20420" applyNumberFormat="1" applyFont="1" applyFill="1" applyBorder="1" applyProtection="1">
      <protection locked="0"/>
    </xf>
    <xf numFmtId="4" fontId="320" fillId="0" borderId="159" xfId="20420" applyNumberFormat="1" applyFont="1" applyFill="1" applyBorder="1" applyProtection="1">
      <protection locked="0"/>
    </xf>
    <xf numFmtId="0" fontId="6" fillId="0" borderId="159" xfId="20420" applyFont="1" applyBorder="1" applyProtection="1"/>
    <xf numFmtId="0" fontId="6" fillId="0" borderId="161" xfId="20420" applyFont="1" applyBorder="1" applyProtection="1"/>
    <xf numFmtId="0" fontId="6" fillId="0" borderId="157" xfId="20420" applyFont="1" applyBorder="1" applyProtection="1"/>
    <xf numFmtId="0" fontId="6" fillId="0" borderId="0" xfId="20420" applyFont="1" applyFill="1" applyBorder="1" applyProtection="1"/>
    <xf numFmtId="10" fontId="320" fillId="0" borderId="0" xfId="20420" applyNumberFormat="1" applyFont="1" applyFill="1" applyBorder="1" applyProtection="1"/>
    <xf numFmtId="10" fontId="6" fillId="0" borderId="0" xfId="20420" applyNumberFormat="1" applyFont="1" applyFill="1" applyBorder="1" applyProtection="1"/>
    <xf numFmtId="0" fontId="6" fillId="0" borderId="160" xfId="20420" applyFont="1" applyBorder="1" applyProtection="1"/>
    <xf numFmtId="0" fontId="6" fillId="0" borderId="0" xfId="20424" applyFont="1" applyFill="1" applyBorder="1" applyProtection="1"/>
    <xf numFmtId="0" fontId="6" fillId="0" borderId="0" xfId="20424" applyFont="1" applyBorder="1" applyProtection="1"/>
    <xf numFmtId="0" fontId="158" fillId="0" borderId="0" xfId="20424" applyFont="1" applyFill="1" applyBorder="1" applyProtection="1"/>
    <xf numFmtId="0" fontId="158" fillId="0" borderId="0" xfId="20424" applyFont="1" applyBorder="1" applyProtection="1"/>
    <xf numFmtId="0" fontId="158" fillId="0" borderId="0" xfId="20425" applyFont="1" applyFill="1" applyBorder="1" applyProtection="1"/>
    <xf numFmtId="0" fontId="170" fillId="105" borderId="74" xfId="106" applyFont="1" applyFill="1" applyBorder="1" applyAlignment="1" applyProtection="1">
      <alignment horizontal="left" vertical="center" wrapText="1"/>
    </xf>
    <xf numFmtId="0" fontId="170" fillId="105" borderId="75" xfId="106" applyFont="1" applyFill="1" applyBorder="1" applyAlignment="1" applyProtection="1">
      <alignment horizontal="center" vertical="center" wrapText="1"/>
    </xf>
    <xf numFmtId="0" fontId="170" fillId="105" borderId="62" xfId="106" applyFont="1" applyFill="1" applyBorder="1" applyAlignment="1" applyProtection="1">
      <alignment horizontal="center" vertical="center" wrapText="1"/>
    </xf>
    <xf numFmtId="0" fontId="158" fillId="0" borderId="0" xfId="20425" applyFont="1" applyBorder="1" applyProtection="1"/>
    <xf numFmtId="0" fontId="6" fillId="0" borderId="0" xfId="20425" applyFont="1" applyBorder="1" applyProtection="1"/>
    <xf numFmtId="0" fontId="170" fillId="0" borderId="0" xfId="106" applyFont="1" applyFill="1" applyBorder="1" applyAlignment="1" applyProtection="1">
      <alignment horizontal="left" vertical="center" wrapText="1"/>
    </xf>
    <xf numFmtId="0" fontId="170" fillId="0" borderId="0" xfId="106" applyFont="1" applyFill="1" applyBorder="1" applyAlignment="1" applyProtection="1">
      <alignment horizontal="center" vertical="center" wrapText="1"/>
    </xf>
    <xf numFmtId="0" fontId="161" fillId="0" borderId="0" xfId="20425" applyFont="1" applyFill="1" applyBorder="1" applyAlignment="1">
      <alignment horizontal="left"/>
    </xf>
    <xf numFmtId="0" fontId="161" fillId="0" borderId="63" xfId="20425" applyFont="1" applyFill="1" applyBorder="1" applyAlignment="1">
      <alignment horizontal="left"/>
    </xf>
    <xf numFmtId="42" fontId="158" fillId="0" borderId="76" xfId="0" applyNumberFormat="1" applyFont="1" applyFill="1" applyBorder="1" applyAlignment="1">
      <alignment horizontal="center"/>
    </xf>
    <xf numFmtId="165" fontId="30" fillId="0" borderId="53" xfId="20423" applyNumberFormat="1" applyFont="1" applyFill="1" applyBorder="1" applyAlignment="1">
      <alignment horizontal="center" vertical="center"/>
    </xf>
    <xf numFmtId="0" fontId="158" fillId="111" borderId="0" xfId="20424" applyFont="1" applyFill="1" applyBorder="1" applyProtection="1"/>
    <xf numFmtId="0" fontId="161" fillId="0" borderId="59" xfId="20425" applyFont="1" applyFill="1" applyBorder="1" applyAlignment="1">
      <alignment horizontal="left"/>
    </xf>
    <xf numFmtId="191" fontId="158" fillId="0" borderId="0" xfId="0" applyNumberFormat="1" applyFont="1" applyFill="1" applyBorder="1" applyAlignment="1">
      <alignment horizontal="right"/>
    </xf>
    <xf numFmtId="42" fontId="158" fillId="0" borderId="0" xfId="0" applyNumberFormat="1" applyFont="1" applyFill="1" applyBorder="1" applyAlignment="1">
      <alignment horizontal="center"/>
    </xf>
    <xf numFmtId="165" fontId="30" fillId="0" borderId="13" xfId="20423" applyNumberFormat="1" applyFont="1" applyFill="1" applyBorder="1" applyAlignment="1">
      <alignment horizontal="center" vertical="center"/>
    </xf>
    <xf numFmtId="0" fontId="160" fillId="0" borderId="0" xfId="20424" applyFont="1" applyFill="1" applyBorder="1" applyProtection="1"/>
    <xf numFmtId="10" fontId="161" fillId="0" borderId="59" xfId="20425" applyNumberFormat="1" applyFont="1" applyFill="1" applyBorder="1" applyAlignment="1">
      <alignment horizontal="left"/>
    </xf>
    <xf numFmtId="169" fontId="161" fillId="0" borderId="0" xfId="0" applyNumberFormat="1" applyFont="1" applyBorder="1"/>
    <xf numFmtId="165" fontId="160" fillId="0" borderId="13" xfId="0" applyNumberFormat="1" applyFont="1" applyFill="1" applyBorder="1" applyAlignment="1">
      <alignment horizontal="right"/>
    </xf>
    <xf numFmtId="0" fontId="160" fillId="111" borderId="0" xfId="20424" applyFont="1" applyFill="1" applyBorder="1" applyProtection="1"/>
    <xf numFmtId="10" fontId="287" fillId="0" borderId="59" xfId="20425" applyNumberFormat="1" applyFont="1" applyFill="1" applyBorder="1" applyAlignment="1">
      <alignment horizontal="left"/>
    </xf>
    <xf numFmtId="169" fontId="287" fillId="0" borderId="0" xfId="0" applyNumberFormat="1" applyFont="1" applyBorder="1"/>
    <xf numFmtId="165" fontId="158" fillId="0" borderId="13" xfId="0" applyNumberFormat="1" applyFont="1" applyFill="1" applyBorder="1" applyAlignment="1">
      <alignment horizontal="right"/>
    </xf>
    <xf numFmtId="10" fontId="30" fillId="0" borderId="59" xfId="20425" applyNumberFormat="1" applyFont="1" applyFill="1" applyBorder="1" applyAlignment="1">
      <alignment horizontal="left"/>
    </xf>
    <xf numFmtId="191" fontId="158" fillId="111" borderId="0" xfId="20424" applyNumberFormat="1" applyFont="1" applyFill="1" applyBorder="1" applyProtection="1"/>
    <xf numFmtId="2" fontId="30" fillId="0" borderId="59" xfId="20425" applyNumberFormat="1" applyFont="1" applyFill="1" applyBorder="1" applyAlignment="1">
      <alignment horizontal="left"/>
    </xf>
    <xf numFmtId="191" fontId="30" fillId="0" borderId="0" xfId="20425" applyNumberFormat="1" applyFont="1" applyFill="1" applyBorder="1" applyAlignment="1">
      <alignment horizontal="right"/>
    </xf>
    <xf numFmtId="0" fontId="161" fillId="0" borderId="0" xfId="106" applyFont="1" applyFill="1" applyBorder="1" applyAlignment="1">
      <alignment horizontal="left"/>
    </xf>
    <xf numFmtId="201" fontId="325" fillId="0" borderId="44" xfId="20426" applyNumberFormat="1" applyFont="1" applyFill="1" applyBorder="1" applyAlignment="1">
      <alignment horizontal="center" vertical="center"/>
    </xf>
    <xf numFmtId="0" fontId="325" fillId="0" borderId="0" xfId="20426" applyNumberFormat="1" applyFont="1" applyFill="1" applyBorder="1" applyAlignment="1">
      <alignment horizontal="center" vertical="center"/>
    </xf>
    <xf numFmtId="3" fontId="161" fillId="71" borderId="63" xfId="20425" applyNumberFormat="1" applyFont="1" applyFill="1" applyBorder="1" applyAlignment="1">
      <alignment horizontal="left" vertical="center"/>
    </xf>
    <xf numFmtId="169" fontId="161" fillId="71" borderId="76" xfId="0" applyNumberFormat="1" applyFont="1" applyFill="1" applyBorder="1"/>
    <xf numFmtId="169" fontId="161" fillId="71" borderId="53" xfId="0" applyNumberFormat="1" applyFont="1" applyFill="1" applyBorder="1"/>
    <xf numFmtId="3" fontId="161" fillId="71" borderId="59" xfId="20425" applyNumberFormat="1" applyFont="1" applyFill="1" applyBorder="1" applyAlignment="1">
      <alignment horizontal="left" vertical="center"/>
    </xf>
    <xf numFmtId="165" fontId="160" fillId="71" borderId="0" xfId="20425" applyNumberFormat="1" applyFont="1" applyFill="1" applyBorder="1" applyProtection="1"/>
    <xf numFmtId="165" fontId="160" fillId="71" borderId="13" xfId="20425" applyNumberFormat="1" applyFont="1" applyFill="1" applyBorder="1" applyProtection="1"/>
    <xf numFmtId="169" fontId="161" fillId="71" borderId="0" xfId="0" applyNumberFormat="1" applyFont="1" applyFill="1" applyBorder="1"/>
    <xf numFmtId="169" fontId="161" fillId="71" borderId="13" xfId="0" applyNumberFormat="1" applyFont="1" applyFill="1" applyBorder="1"/>
    <xf numFmtId="3" fontId="161" fillId="71" borderId="117" xfId="20425" applyNumberFormat="1" applyFont="1" applyFill="1" applyBorder="1" applyAlignment="1">
      <alignment horizontal="left" vertical="center"/>
    </xf>
    <xf numFmtId="165" fontId="160" fillId="71" borderId="44" xfId="20425" applyNumberFormat="1" applyFont="1" applyFill="1" applyBorder="1" applyProtection="1"/>
    <xf numFmtId="165" fontId="160" fillId="71" borderId="90" xfId="20425" applyNumberFormat="1" applyFont="1" applyFill="1" applyBorder="1" applyProtection="1"/>
    <xf numFmtId="0" fontId="30" fillId="0" borderId="0" xfId="106" applyFont="1" applyFill="1" applyBorder="1" applyAlignment="1">
      <alignment horizontal="left" indent="1"/>
    </xf>
    <xf numFmtId="9" fontId="161" fillId="0" borderId="0" xfId="106" applyNumberFormat="1" applyFont="1" applyFill="1" applyBorder="1" applyAlignment="1">
      <alignment horizontal="left"/>
    </xf>
    <xf numFmtId="0" fontId="325" fillId="0" borderId="0" xfId="20424" applyFont="1" applyFill="1" applyBorder="1" applyAlignment="1">
      <alignment horizontal="center" vertical="center"/>
    </xf>
    <xf numFmtId="9" fontId="158" fillId="0" borderId="0" xfId="20423" applyFont="1" applyBorder="1"/>
    <xf numFmtId="0" fontId="158" fillId="0" borderId="0" xfId="20424" applyFont="1" applyBorder="1"/>
    <xf numFmtId="0" fontId="30" fillId="0" borderId="0" xfId="106" quotePrefix="1" applyFont="1" applyFill="1" applyBorder="1" applyAlignment="1">
      <alignment horizontal="left"/>
    </xf>
    <xf numFmtId="9" fontId="161" fillId="0" borderId="0" xfId="106" applyNumberFormat="1" applyFont="1" applyFill="1" applyBorder="1" applyAlignment="1">
      <alignment horizontal="justify" vertical="top"/>
    </xf>
    <xf numFmtId="165" fontId="30" fillId="0" borderId="0" xfId="20423" applyNumberFormat="1" applyFont="1" applyFill="1" applyBorder="1" applyAlignment="1">
      <alignment horizontal="right" vertical="center"/>
    </xf>
    <xf numFmtId="191" fontId="30" fillId="0" borderId="59" xfId="20425" applyNumberFormat="1" applyFont="1" applyFill="1" applyBorder="1" applyAlignment="1">
      <alignment horizontal="left"/>
    </xf>
    <xf numFmtId="191" fontId="161" fillId="0" borderId="117" xfId="20425" applyNumberFormat="1" applyFont="1" applyFill="1" applyBorder="1" applyAlignment="1">
      <alignment horizontal="left"/>
    </xf>
    <xf numFmtId="191" fontId="161" fillId="0" borderId="44" xfId="20425" applyNumberFormat="1" applyFont="1" applyFill="1" applyBorder="1" applyAlignment="1">
      <alignment horizontal="right"/>
    </xf>
    <xf numFmtId="165" fontId="161" fillId="0" borderId="90" xfId="20423" applyNumberFormat="1" applyFont="1" applyFill="1" applyBorder="1" applyAlignment="1">
      <alignment horizontal="center" vertical="center"/>
    </xf>
    <xf numFmtId="10" fontId="287" fillId="0" borderId="59" xfId="20425" applyNumberFormat="1" applyFont="1" applyFill="1" applyBorder="1" applyAlignment="1">
      <alignment horizontal="left" indent="1"/>
    </xf>
    <xf numFmtId="165" fontId="189" fillId="0" borderId="0" xfId="12422" applyNumberFormat="1" applyFont="1" applyFill="1"/>
    <xf numFmtId="0" fontId="158" fillId="0" borderId="0" xfId="20380" applyFont="1" applyFill="1"/>
    <xf numFmtId="0" fontId="160" fillId="0" borderId="0" xfId="0" applyFont="1" applyFill="1" applyBorder="1" applyAlignment="1">
      <alignment horizontal="left" indent="1"/>
    </xf>
    <xf numFmtId="167" fontId="158" fillId="0" borderId="0" xfId="0" applyNumberFormat="1" applyFont="1" applyFill="1" applyBorder="1"/>
    <xf numFmtId="165" fontId="158" fillId="0" borderId="53" xfId="0" applyNumberFormat="1" applyFont="1" applyFill="1" applyBorder="1" applyAlignment="1">
      <alignment horizontal="right"/>
    </xf>
    <xf numFmtId="10" fontId="287" fillId="0" borderId="117" xfId="20425" applyNumberFormat="1" applyFont="1" applyFill="1" applyBorder="1" applyAlignment="1">
      <alignment horizontal="left"/>
    </xf>
    <xf numFmtId="169" fontId="287" fillId="0" borderId="44" xfId="0" applyNumberFormat="1" applyFont="1" applyBorder="1"/>
    <xf numFmtId="165" fontId="158" fillId="0" borderId="90" xfId="0" applyNumberFormat="1" applyFont="1" applyFill="1" applyBorder="1" applyAlignment="1">
      <alignment horizontal="right"/>
    </xf>
    <xf numFmtId="10" fontId="161" fillId="0" borderId="63" xfId="20425" applyNumberFormat="1" applyFont="1" applyFill="1" applyBorder="1" applyAlignment="1">
      <alignment horizontal="left"/>
    </xf>
    <xf numFmtId="169" fontId="30" fillId="0" borderId="76" xfId="0" applyNumberFormat="1" applyFont="1" applyBorder="1"/>
    <xf numFmtId="0" fontId="158" fillId="0" borderId="0" xfId="20380" applyFont="1" applyAlignment="1">
      <alignment horizontal="center"/>
    </xf>
    <xf numFmtId="10" fontId="158" fillId="0" borderId="0" xfId="20380" applyNumberFormat="1" applyFont="1" applyAlignment="1">
      <alignment horizontal="center"/>
    </xf>
    <xf numFmtId="0" fontId="160" fillId="0" borderId="0" xfId="20380" applyFont="1" applyBorder="1"/>
    <xf numFmtId="43" fontId="158" fillId="0" borderId="0" xfId="20380" applyNumberFormat="1" applyFont="1" applyBorder="1"/>
    <xf numFmtId="164" fontId="30" fillId="73" borderId="0" xfId="0" applyNumberFormat="1" applyFont="1" applyFill="1" applyAlignment="1">
      <alignment horizontal="right"/>
    </xf>
    <xf numFmtId="272" fontId="158" fillId="0" borderId="0" xfId="20380" applyNumberFormat="1" applyFont="1"/>
    <xf numFmtId="0" fontId="170" fillId="72" borderId="62" xfId="20380" applyFont="1" applyFill="1" applyBorder="1" applyAlignment="1">
      <alignment horizontal="right" wrapText="1"/>
    </xf>
    <xf numFmtId="14" fontId="309" fillId="0" borderId="15" xfId="20417" applyNumberFormat="1" applyFont="1" applyBorder="1" applyAlignment="1">
      <alignment horizontal="center"/>
    </xf>
    <xf numFmtId="14" fontId="309" fillId="0" borderId="31" xfId="20417" applyNumberFormat="1" applyFont="1" applyBorder="1" applyAlignment="1">
      <alignment horizontal="center"/>
    </xf>
    <xf numFmtId="14" fontId="310" fillId="0" borderId="15" xfId="20417" applyNumberFormat="1" applyFont="1" applyBorder="1"/>
    <xf numFmtId="0" fontId="160" fillId="0" borderId="63" xfId="20380" applyFont="1" applyBorder="1"/>
    <xf numFmtId="167" fontId="160" fillId="0" borderId="53" xfId="20380" applyNumberFormat="1" applyFont="1" applyBorder="1"/>
    <xf numFmtId="0" fontId="158" fillId="0" borderId="59" xfId="20380" applyFont="1" applyBorder="1" applyAlignment="1">
      <alignment horizontal="left" indent="1"/>
    </xf>
    <xf numFmtId="0" fontId="160" fillId="0" borderId="74" xfId="20380" applyFont="1" applyBorder="1"/>
    <xf numFmtId="167" fontId="160" fillId="0" borderId="62" xfId="20380" applyNumberFormat="1" applyFont="1" applyBorder="1"/>
    <xf numFmtId="167" fontId="235" fillId="0" borderId="13" xfId="20380" applyNumberFormat="1" applyFont="1" applyBorder="1"/>
    <xf numFmtId="0" fontId="158" fillId="0" borderId="117" xfId="0" applyFont="1" applyBorder="1"/>
    <xf numFmtId="9" fontId="189" fillId="0" borderId="62" xfId="12422" applyFont="1" applyBorder="1" applyAlignment="1">
      <alignment horizontal="right"/>
    </xf>
    <xf numFmtId="0" fontId="161" fillId="0" borderId="117" xfId="0" applyFont="1" applyFill="1" applyBorder="1" applyAlignment="1">
      <alignment horizontal="right" wrapText="1"/>
    </xf>
    <xf numFmtId="0" fontId="161" fillId="0" borderId="90" xfId="0" applyFont="1" applyFill="1" applyBorder="1" applyAlignment="1">
      <alignment horizontal="right" wrapText="1"/>
    </xf>
    <xf numFmtId="0" fontId="158" fillId="0" borderId="74" xfId="0" applyFont="1" applyBorder="1" applyAlignment="1">
      <alignment wrapText="1"/>
    </xf>
    <xf numFmtId="0" fontId="158" fillId="0" borderId="75" xfId="0" applyFont="1" applyBorder="1" applyAlignment="1">
      <alignment wrapText="1"/>
    </xf>
    <xf numFmtId="0" fontId="132" fillId="0" borderId="75" xfId="0" applyFont="1" applyBorder="1" applyAlignment="1">
      <alignment wrapText="1"/>
    </xf>
    <xf numFmtId="165" fontId="160" fillId="71" borderId="53" xfId="0" applyNumberFormat="1" applyFont="1" applyFill="1" applyBorder="1"/>
    <xf numFmtId="10" fontId="160" fillId="71" borderId="130" xfId="0" applyNumberFormat="1" applyFont="1" applyFill="1" applyBorder="1"/>
    <xf numFmtId="168" fontId="160" fillId="71" borderId="130" xfId="0" applyNumberFormat="1" applyFont="1" applyFill="1" applyBorder="1" applyAlignment="1">
      <alignment horizontal="right"/>
    </xf>
    <xf numFmtId="165" fontId="161" fillId="71" borderId="0" xfId="0" applyNumberFormat="1" applyFont="1" applyFill="1" applyBorder="1" applyAlignment="1">
      <alignment horizontal="right"/>
    </xf>
    <xf numFmtId="165" fontId="160" fillId="0" borderId="0" xfId="0" applyNumberFormat="1" applyFont="1" applyFill="1" applyBorder="1"/>
    <xf numFmtId="10" fontId="160" fillId="0" borderId="0" xfId="0" applyNumberFormat="1" applyFont="1" applyFill="1" applyBorder="1"/>
    <xf numFmtId="165" fontId="161" fillId="0" borderId="0" xfId="0" applyNumberFormat="1" applyFont="1" applyFill="1" applyBorder="1"/>
    <xf numFmtId="168" fontId="160" fillId="0" borderId="0" xfId="0" applyNumberFormat="1" applyFont="1" applyFill="1" applyBorder="1" applyAlignment="1">
      <alignment horizontal="right"/>
    </xf>
    <xf numFmtId="168" fontId="161" fillId="0" borderId="0" xfId="0" applyNumberFormat="1" applyFont="1" applyFill="1" applyBorder="1" applyAlignment="1">
      <alignment horizontal="right"/>
    </xf>
    <xf numFmtId="165" fontId="161" fillId="0" borderId="0" xfId="0" applyNumberFormat="1" applyFont="1" applyFill="1" applyBorder="1" applyAlignment="1">
      <alignment horizontal="right"/>
    </xf>
    <xf numFmtId="165" fontId="160" fillId="71" borderId="130" xfId="0" applyNumberFormat="1" applyFont="1" applyFill="1" applyBorder="1" applyAlignment="1">
      <alignment horizontal="right"/>
    </xf>
    <xf numFmtId="165" fontId="160" fillId="71" borderId="0" xfId="0" applyNumberFormat="1" applyFont="1" applyFill="1" applyBorder="1" applyAlignment="1">
      <alignment horizontal="right"/>
    </xf>
    <xf numFmtId="165" fontId="160" fillId="71" borderId="44" xfId="0" applyNumberFormat="1" applyFont="1" applyFill="1" applyBorder="1" applyAlignment="1">
      <alignment horizontal="right"/>
    </xf>
    <xf numFmtId="165" fontId="235" fillId="0" borderId="0" xfId="20380" applyNumberFormat="1" applyFont="1" applyFill="1"/>
    <xf numFmtId="0" fontId="132" fillId="0" borderId="0" xfId="20380" applyFont="1" applyAlignment="1">
      <alignment horizontal="center"/>
    </xf>
    <xf numFmtId="169" fontId="158" fillId="0" borderId="0" xfId="20380" applyNumberFormat="1" applyFont="1"/>
    <xf numFmtId="169" fontId="132" fillId="0" borderId="0" xfId="20380" applyNumberFormat="1" applyFont="1"/>
    <xf numFmtId="0" fontId="158" fillId="0" borderId="0" xfId="20380" applyFont="1" applyAlignment="1">
      <alignment horizontal="right"/>
    </xf>
    <xf numFmtId="0" fontId="170" fillId="72" borderId="15" xfId="20380" applyFont="1" applyFill="1" applyBorder="1" applyAlignment="1">
      <alignment horizontal="right" wrapText="1"/>
    </xf>
    <xf numFmtId="9" fontId="132" fillId="0" borderId="0" xfId="20380" applyNumberFormat="1" applyFont="1"/>
    <xf numFmtId="165" fontId="287" fillId="0" borderId="0" xfId="20380" applyNumberFormat="1" applyFont="1" applyFill="1"/>
    <xf numFmtId="165" fontId="158" fillId="0" borderId="0" xfId="20380" applyNumberFormat="1" applyFont="1"/>
    <xf numFmtId="167" fontId="132" fillId="0" borderId="0" xfId="20410" applyNumberFormat="1" applyFont="1" applyFill="1" applyBorder="1"/>
    <xf numFmtId="167" fontId="158" fillId="29" borderId="0" xfId="20410" applyNumberFormat="1" applyFont="1" applyFill="1" applyBorder="1"/>
    <xf numFmtId="2" fontId="30" fillId="29" borderId="0" xfId="20380" applyNumberFormat="1" applyFont="1" applyFill="1"/>
    <xf numFmtId="2" fontId="158" fillId="29" borderId="0" xfId="20380" applyNumberFormat="1" applyFont="1" applyFill="1"/>
    <xf numFmtId="0" fontId="158" fillId="29" borderId="0" xfId="20380" applyFont="1" applyFill="1"/>
    <xf numFmtId="167" fontId="160" fillId="29" borderId="130" xfId="20410" applyNumberFormat="1" applyFont="1" applyFill="1" applyBorder="1"/>
    <xf numFmtId="0" fontId="160" fillId="0" borderId="59" xfId="20380" applyFont="1" applyBorder="1"/>
    <xf numFmtId="167" fontId="160" fillId="0" borderId="13" xfId="20380" applyNumberFormat="1" applyFont="1" applyBorder="1"/>
    <xf numFmtId="0" fontId="160" fillId="0" borderId="63" xfId="20380" applyFont="1" applyFill="1" applyBorder="1"/>
    <xf numFmtId="0" fontId="160" fillId="0" borderId="76" xfId="20380" applyFont="1" applyFill="1" applyBorder="1"/>
    <xf numFmtId="165" fontId="173" fillId="0" borderId="53" xfId="20380" applyNumberFormat="1" applyFont="1" applyFill="1" applyBorder="1" applyAlignment="1">
      <alignment horizontal="right"/>
    </xf>
    <xf numFmtId="0" fontId="160" fillId="0" borderId="59" xfId="20380" applyFont="1" applyFill="1" applyBorder="1"/>
    <xf numFmtId="169" fontId="160" fillId="0" borderId="13" xfId="20380" applyNumberFormat="1" applyFont="1" applyFill="1" applyBorder="1" applyAlignment="1">
      <alignment horizontal="center"/>
    </xf>
    <xf numFmtId="0" fontId="160" fillId="0" borderId="117" xfId="20380" applyFont="1" applyFill="1" applyBorder="1"/>
    <xf numFmtId="0" fontId="160" fillId="0" borderId="44" xfId="20380" applyFont="1" applyFill="1" applyBorder="1"/>
    <xf numFmtId="168" fontId="160" fillId="0" borderId="90" xfId="20380" applyNumberFormat="1" applyFont="1" applyFill="1" applyBorder="1" applyAlignment="1">
      <alignment horizontal="center"/>
    </xf>
    <xf numFmtId="167" fontId="158" fillId="0" borderId="13" xfId="20380" applyNumberFormat="1" applyFont="1" applyBorder="1"/>
    <xf numFmtId="0" fontId="158" fillId="0" borderId="0" xfId="20380" quotePrefix="1" applyFont="1" applyAlignment="1">
      <alignment horizontal="center"/>
    </xf>
    <xf numFmtId="7" fontId="291" fillId="0" borderId="0" xfId="11875" applyNumberFormat="1" applyFont="1" applyAlignment="1">
      <alignment vertical="center"/>
    </xf>
    <xf numFmtId="0" fontId="132" fillId="0" borderId="0" xfId="20380" applyFont="1"/>
    <xf numFmtId="169" fontId="30" fillId="0" borderId="0" xfId="20410" applyNumberFormat="1" applyFont="1" applyFill="1" applyAlignment="1">
      <alignment horizontal="right" vertical="top"/>
    </xf>
    <xf numFmtId="165" fontId="158" fillId="0" borderId="0" xfId="12427" applyNumberFormat="1" applyFont="1"/>
    <xf numFmtId="169" fontId="158" fillId="0" borderId="0" xfId="12427" applyNumberFormat="1" applyFont="1"/>
    <xf numFmtId="0" fontId="170" fillId="72" borderId="117" xfId="0" applyFont="1" applyFill="1" applyBorder="1" applyAlignment="1">
      <alignment horizontal="centerContinuous"/>
    </xf>
    <xf numFmtId="0" fontId="170" fillId="72" borderId="44" xfId="0" applyFont="1" applyFill="1" applyBorder="1" applyAlignment="1">
      <alignment horizontal="centerContinuous"/>
    </xf>
    <xf numFmtId="0" fontId="170" fillId="72" borderId="90" xfId="0" applyFont="1" applyFill="1" applyBorder="1" applyAlignment="1">
      <alignment horizontal="centerContinuous"/>
    </xf>
    <xf numFmtId="0" fontId="160" fillId="0" borderId="44" xfId="0" applyFont="1" applyBorder="1" applyAlignment="1">
      <alignment horizontal="centerContinuous"/>
    </xf>
    <xf numFmtId="0" fontId="158" fillId="0" borderId="44" xfId="0" applyFont="1" applyBorder="1" applyAlignment="1">
      <alignment horizontal="centerContinuous"/>
    </xf>
    <xf numFmtId="165" fontId="161" fillId="71" borderId="62" xfId="0" applyNumberFormat="1" applyFont="1" applyFill="1" applyBorder="1"/>
    <xf numFmtId="165" fontId="189" fillId="0" borderId="0" xfId="12422" applyNumberFormat="1" applyFont="1"/>
    <xf numFmtId="273" fontId="158" fillId="0" borderId="0" xfId="12422" applyNumberFormat="1" applyFont="1"/>
    <xf numFmtId="0" fontId="160" fillId="0" borderId="130" xfId="20380" applyFont="1" applyBorder="1"/>
    <xf numFmtId="165" fontId="160" fillId="0" borderId="130" xfId="20380" applyNumberFormat="1" applyFont="1" applyBorder="1"/>
    <xf numFmtId="167" fontId="35" fillId="0" borderId="0" xfId="12427" applyNumberFormat="1" applyFont="1" applyFill="1" applyAlignment="1">
      <alignment horizontal="right"/>
    </xf>
    <xf numFmtId="0" fontId="196" fillId="0" borderId="0" xfId="20427" applyFont="1" applyAlignment="1">
      <alignment horizontal="center"/>
    </xf>
    <xf numFmtId="0" fontId="184" fillId="0" borderId="0" xfId="20427" applyFont="1"/>
    <xf numFmtId="0" fontId="5" fillId="0" borderId="0" xfId="20427"/>
    <xf numFmtId="0" fontId="196" fillId="0" borderId="0" xfId="20427" applyFont="1" applyAlignment="1">
      <alignment horizontal="center" wrapText="1"/>
    </xf>
    <xf numFmtId="0" fontId="251" fillId="0" borderId="0" xfId="20427" applyFont="1" applyAlignment="1">
      <alignment horizontal="center" wrapText="1"/>
    </xf>
    <xf numFmtId="0" fontId="252" fillId="0" borderId="0" xfId="20427" applyFont="1" applyAlignment="1">
      <alignment horizontal="center" wrapText="1"/>
    </xf>
    <xf numFmtId="10" fontId="252" fillId="0" borderId="0" xfId="20427" applyNumberFormat="1" applyFont="1" applyAlignment="1">
      <alignment horizontal="center" wrapText="1"/>
    </xf>
    <xf numFmtId="0" fontId="252" fillId="0" borderId="0" xfId="20427" applyFont="1" applyAlignment="1">
      <alignment wrapText="1"/>
    </xf>
    <xf numFmtId="3" fontId="196" fillId="90" borderId="0" xfId="20427" applyNumberFormat="1" applyFont="1" applyFill="1" applyAlignment="1">
      <alignment wrapText="1"/>
    </xf>
    <xf numFmtId="0" fontId="196" fillId="0" borderId="0" xfId="20427" applyFont="1"/>
    <xf numFmtId="3" fontId="184" fillId="0" borderId="0" xfId="20427" applyNumberFormat="1" applyFont="1"/>
    <xf numFmtId="10" fontId="184" fillId="0" borderId="0" xfId="20427" applyNumberFormat="1" applyFont="1"/>
    <xf numFmtId="3" fontId="251" fillId="0" borderId="0" xfId="20427" applyNumberFormat="1" applyFont="1"/>
    <xf numFmtId="44" fontId="184" fillId="0" borderId="0" xfId="20428" applyFont="1"/>
    <xf numFmtId="0" fontId="184" fillId="0" borderId="0" xfId="20427" applyFont="1" applyAlignment="1">
      <alignment horizontal="center"/>
    </xf>
    <xf numFmtId="3" fontId="184" fillId="90" borderId="0" xfId="20427" applyNumberFormat="1" applyFont="1" applyFill="1" applyAlignment="1">
      <alignment wrapText="1"/>
    </xf>
    <xf numFmtId="10" fontId="184" fillId="0" borderId="0" xfId="20427" applyNumberFormat="1" applyFont="1" applyFill="1"/>
    <xf numFmtId="0" fontId="196" fillId="0" borderId="0" xfId="20427" applyFont="1" applyAlignment="1"/>
    <xf numFmtId="0" fontId="196" fillId="0" borderId="0" xfId="20427" applyFont="1" applyFill="1"/>
    <xf numFmtId="3" fontId="184" fillId="0" borderId="0" xfId="20427" applyNumberFormat="1" applyFont="1" applyFill="1"/>
    <xf numFmtId="3" fontId="251" fillId="0" borderId="0" xfId="20427" applyNumberFormat="1" applyFont="1" applyFill="1"/>
    <xf numFmtId="44" fontId="184" fillId="0" borderId="0" xfId="20428" applyFont="1" applyFill="1" applyAlignment="1">
      <alignment horizontal="right"/>
    </xf>
    <xf numFmtId="10" fontId="184" fillId="0" borderId="0" xfId="20427" applyNumberFormat="1" applyFont="1" applyFill="1" applyAlignment="1">
      <alignment horizontal="right"/>
    </xf>
    <xf numFmtId="0" fontId="5" fillId="0" borderId="0" xfId="20427" applyFill="1"/>
    <xf numFmtId="3" fontId="184" fillId="0" borderId="0" xfId="20427" applyNumberFormat="1" applyFont="1" applyFill="1" applyAlignment="1">
      <alignment horizontal="right"/>
    </xf>
    <xf numFmtId="0" fontId="184" fillId="0" borderId="0" xfId="20427" applyFont="1" applyFill="1"/>
    <xf numFmtId="44" fontId="184" fillId="0" borderId="0" xfId="20428" applyFont="1" applyFill="1"/>
    <xf numFmtId="0" fontId="251" fillId="0" borderId="0" xfId="20427" applyFont="1" applyFill="1"/>
    <xf numFmtId="0" fontId="253" fillId="0" borderId="0" xfId="20427" applyFont="1"/>
    <xf numFmtId="0" fontId="251" fillId="0" borderId="0" xfId="20427" applyFont="1"/>
    <xf numFmtId="3" fontId="196" fillId="0" borderId="0" xfId="20427" applyNumberFormat="1" applyFont="1"/>
    <xf numFmtId="10" fontId="184" fillId="0" borderId="0" xfId="20427" applyNumberFormat="1" applyFont="1" applyFill="1" applyAlignment="1">
      <alignment horizontal="center"/>
    </xf>
    <xf numFmtId="0" fontId="184" fillId="0" borderId="0" xfId="20427" applyFont="1" applyFill="1" applyAlignment="1">
      <alignment horizontal="center"/>
    </xf>
    <xf numFmtId="3" fontId="158" fillId="0" borderId="0" xfId="20427" applyNumberFormat="1" applyFont="1" applyFill="1"/>
    <xf numFmtId="0" fontId="196" fillId="112" borderId="0" xfId="20427" applyFont="1" applyFill="1"/>
    <xf numFmtId="3" fontId="184" fillId="112" borderId="0" xfId="20427" applyNumberFormat="1" applyFont="1" applyFill="1"/>
    <xf numFmtId="10" fontId="184" fillId="112" borderId="0" xfId="20427" applyNumberFormat="1" applyFont="1" applyFill="1"/>
    <xf numFmtId="0" fontId="184" fillId="112" borderId="0" xfId="20427" applyFont="1" applyFill="1"/>
    <xf numFmtId="0" fontId="251" fillId="112" borderId="0" xfId="20427" applyFont="1" applyFill="1"/>
    <xf numFmtId="44" fontId="184" fillId="112" borderId="0" xfId="20428" applyFont="1" applyFill="1" applyAlignment="1">
      <alignment horizontal="right"/>
    </xf>
    <xf numFmtId="44" fontId="184" fillId="112" borderId="0" xfId="20428" applyFont="1" applyFill="1"/>
    <xf numFmtId="10" fontId="251" fillId="112" borderId="0" xfId="20427" applyNumberFormat="1" applyFont="1" applyFill="1" applyAlignment="1">
      <alignment horizontal="right"/>
    </xf>
    <xf numFmtId="3" fontId="184" fillId="112" borderId="0" xfId="20427" applyNumberFormat="1" applyFont="1" applyFill="1" applyAlignment="1">
      <alignment horizontal="right"/>
    </xf>
    <xf numFmtId="10" fontId="184" fillId="112" borderId="0" xfId="20427" applyNumberFormat="1" applyFont="1" applyFill="1" applyAlignment="1">
      <alignment horizontal="center"/>
    </xf>
    <xf numFmtId="10" fontId="184" fillId="112" borderId="0" xfId="20427" applyNumberFormat="1" applyFont="1" applyFill="1" applyAlignment="1">
      <alignment horizontal="right"/>
    </xf>
    <xf numFmtId="10" fontId="251" fillId="112" borderId="0" xfId="20427" applyNumberFormat="1" applyFont="1" applyFill="1"/>
    <xf numFmtId="273" fontId="184" fillId="0" borderId="0" xfId="20427" applyNumberFormat="1" applyFont="1" applyFill="1"/>
    <xf numFmtId="0" fontId="254" fillId="0" borderId="0" xfId="20427" applyFont="1" applyFill="1"/>
    <xf numFmtId="3" fontId="257" fillId="0" borderId="0" xfId="20427" applyNumberFormat="1" applyFont="1" applyFill="1"/>
    <xf numFmtId="10" fontId="257" fillId="0" borderId="0" xfId="20427" applyNumberFormat="1" applyFont="1" applyFill="1"/>
    <xf numFmtId="0" fontId="257" fillId="0" borderId="0" xfId="20427" applyFont="1" applyFill="1"/>
    <xf numFmtId="0" fontId="258" fillId="0" borderId="0" xfId="20427" applyFont="1" applyFill="1"/>
    <xf numFmtId="273" fontId="257" fillId="0" borderId="0" xfId="20427" applyNumberFormat="1" applyFont="1" applyFill="1"/>
    <xf numFmtId="10" fontId="251" fillId="0" borderId="0" xfId="20427" applyNumberFormat="1" applyFont="1" applyFill="1" applyAlignment="1">
      <alignment horizontal="right"/>
    </xf>
    <xf numFmtId="273" fontId="251" fillId="0" borderId="0" xfId="20427" applyNumberFormat="1" applyFont="1" applyFill="1" applyAlignment="1">
      <alignment horizontal="right"/>
    </xf>
    <xf numFmtId="10" fontId="251" fillId="0" borderId="0" xfId="20427" applyNumberFormat="1" applyFont="1" applyFill="1"/>
    <xf numFmtId="0" fontId="196" fillId="113" borderId="0" xfId="20427" applyFont="1" applyFill="1"/>
    <xf numFmtId="3" fontId="184" fillId="113" borderId="0" xfId="20427" applyNumberFormat="1" applyFont="1" applyFill="1"/>
    <xf numFmtId="10" fontId="257" fillId="113" borderId="0" xfId="20427" applyNumberFormat="1" applyFont="1" applyFill="1"/>
    <xf numFmtId="0" fontId="257" fillId="113" borderId="0" xfId="20427" applyFont="1" applyFill="1"/>
    <xf numFmtId="0" fontId="258" fillId="113" borderId="0" xfId="20427" applyFont="1" applyFill="1"/>
    <xf numFmtId="3" fontId="257" fillId="113" borderId="0" xfId="20427" applyNumberFormat="1" applyFont="1" applyFill="1"/>
    <xf numFmtId="273" fontId="257" fillId="113" borderId="0" xfId="20427" applyNumberFormat="1" applyFont="1" applyFill="1"/>
    <xf numFmtId="10" fontId="184" fillId="113" borderId="0" xfId="20427" applyNumberFormat="1" applyFont="1" applyFill="1"/>
    <xf numFmtId="0" fontId="5" fillId="113" borderId="0" xfId="20427" applyFill="1"/>
    <xf numFmtId="44" fontId="184" fillId="0" borderId="0" xfId="20428" applyFont="1" applyAlignment="1">
      <alignment horizontal="center"/>
    </xf>
    <xf numFmtId="0" fontId="184" fillId="113" borderId="0" xfId="20427" applyFont="1" applyFill="1"/>
    <xf numFmtId="0" fontId="251" fillId="113" borderId="0" xfId="20427" applyFont="1" applyFill="1"/>
    <xf numFmtId="273" fontId="184" fillId="113" borderId="0" xfId="20427" applyNumberFormat="1" applyFont="1" applyFill="1"/>
    <xf numFmtId="273" fontId="184" fillId="0" borderId="0" xfId="20427" applyNumberFormat="1" applyFont="1"/>
    <xf numFmtId="44" fontId="184" fillId="74" borderId="0" xfId="20427" applyNumberFormat="1" applyFont="1" applyFill="1"/>
    <xf numFmtId="44" fontId="184" fillId="74" borderId="0" xfId="20428" applyFont="1" applyFill="1"/>
    <xf numFmtId="0" fontId="251" fillId="0" borderId="0" xfId="20427" applyFont="1" applyAlignment="1">
      <alignment wrapText="1"/>
    </xf>
    <xf numFmtId="3" fontId="251" fillId="0" borderId="0" xfId="20427" applyNumberFormat="1" applyFont="1" applyFill="1" applyAlignment="1">
      <alignment wrapText="1"/>
    </xf>
    <xf numFmtId="273" fontId="5" fillId="0" borderId="0" xfId="20427" applyNumberFormat="1"/>
    <xf numFmtId="44" fontId="184" fillId="0" borderId="0" xfId="20427" applyNumberFormat="1" applyFont="1"/>
    <xf numFmtId="3" fontId="251" fillId="90" borderId="0" xfId="20427" applyNumberFormat="1" applyFont="1" applyFill="1" applyAlignment="1">
      <alignment wrapText="1"/>
    </xf>
    <xf numFmtId="43" fontId="184" fillId="0" borderId="0" xfId="20429" applyFont="1"/>
    <xf numFmtId="3" fontId="184" fillId="90" borderId="0" xfId="20427" applyNumberFormat="1" applyFont="1" applyFill="1"/>
    <xf numFmtId="8" fontId="184" fillId="0" borderId="0" xfId="20427" applyNumberFormat="1" applyFont="1"/>
    <xf numFmtId="0" fontId="158" fillId="0" borderId="178" xfId="20427" applyFont="1" applyBorder="1" applyAlignment="1">
      <alignment vertical="center"/>
    </xf>
    <xf numFmtId="0" fontId="158" fillId="0" borderId="0" xfId="20427" applyFont="1" applyBorder="1" applyAlignment="1">
      <alignment vertical="center"/>
    </xf>
    <xf numFmtId="0" fontId="184" fillId="0" borderId="0" xfId="20427" applyFont="1" applyBorder="1"/>
    <xf numFmtId="3" fontId="171" fillId="0" borderId="0" xfId="20427" applyNumberFormat="1" applyFont="1" applyBorder="1"/>
    <xf numFmtId="10" fontId="184" fillId="0" borderId="0" xfId="20427" applyNumberFormat="1" applyFont="1" applyBorder="1" applyAlignment="1">
      <alignment horizontal="right" vertical="center" wrapText="1"/>
    </xf>
    <xf numFmtId="3" fontId="184" fillId="0" borderId="0" xfId="20427" applyNumberFormat="1" applyFont="1" applyBorder="1" applyAlignment="1">
      <alignment horizontal="right" vertical="center" wrapText="1"/>
    </xf>
    <xf numFmtId="44" fontId="184" fillId="0" borderId="0" xfId="20427" applyNumberFormat="1" applyFont="1" applyFill="1"/>
    <xf numFmtId="3" fontId="184" fillId="0" borderId="0" xfId="20427" applyNumberFormat="1" applyFont="1" applyBorder="1"/>
    <xf numFmtId="0" fontId="196" fillId="74" borderId="0" xfId="20427" applyFont="1" applyFill="1" applyAlignment="1">
      <alignment horizontal="center" wrapText="1"/>
    </xf>
    <xf numFmtId="0" fontId="158" fillId="0" borderId="0" xfId="20427" applyFont="1" applyAlignment="1">
      <alignment vertical="center"/>
    </xf>
    <xf numFmtId="10" fontId="158" fillId="0" borderId="0" xfId="20427" applyNumberFormat="1" applyFont="1" applyAlignment="1">
      <alignment horizontal="right" vertical="center"/>
    </xf>
    <xf numFmtId="0" fontId="259" fillId="0" borderId="0" xfId="20430" applyNumberFormat="1" applyFont="1" applyBorder="1" applyAlignment="1"/>
    <xf numFmtId="10" fontId="158" fillId="0" borderId="178" xfId="20427" applyNumberFormat="1" applyFont="1" applyBorder="1" applyAlignment="1">
      <alignment horizontal="right" vertical="center"/>
    </xf>
    <xf numFmtId="10" fontId="158" fillId="0" borderId="0" xfId="20427" applyNumberFormat="1" applyFont="1" applyBorder="1" applyAlignment="1">
      <alignment horizontal="right" vertical="center"/>
    </xf>
    <xf numFmtId="0" fontId="160" fillId="0" borderId="178" xfId="20427" applyFont="1" applyBorder="1" applyAlignment="1">
      <alignment vertical="center"/>
    </xf>
    <xf numFmtId="10" fontId="160" fillId="0" borderId="178" xfId="20427" applyNumberFormat="1" applyFont="1" applyBorder="1" applyAlignment="1">
      <alignment horizontal="right" vertical="center"/>
    </xf>
    <xf numFmtId="10" fontId="160" fillId="0" borderId="0" xfId="20427" applyNumberFormat="1" applyFont="1" applyBorder="1" applyAlignment="1">
      <alignment horizontal="right" vertical="center"/>
    </xf>
    <xf numFmtId="3" fontId="171" fillId="0" borderId="0" xfId="20427" applyNumberFormat="1" applyFont="1"/>
    <xf numFmtId="10" fontId="184" fillId="0" borderId="0" xfId="20427" applyNumberFormat="1" applyFont="1" applyBorder="1"/>
    <xf numFmtId="0" fontId="160" fillId="0" borderId="0" xfId="20427" applyFont="1" applyFill="1" applyBorder="1" applyAlignment="1">
      <alignment horizontal="left" vertical="center"/>
    </xf>
    <xf numFmtId="0" fontId="160" fillId="0" borderId="0" xfId="20427" applyFont="1" applyFill="1" applyBorder="1" applyAlignment="1">
      <alignment horizontal="left" vertical="center" wrapText="1" indent="4"/>
    </xf>
    <xf numFmtId="0" fontId="251" fillId="0" borderId="0" xfId="20427" applyFont="1" applyBorder="1"/>
    <xf numFmtId="10" fontId="196" fillId="0" borderId="0" xfId="20427" applyNumberFormat="1" applyFont="1"/>
    <xf numFmtId="6" fontId="196" fillId="0" borderId="0" xfId="20427" applyNumberFormat="1" applyFont="1"/>
    <xf numFmtId="0" fontId="196" fillId="0" borderId="0" xfId="20427" applyNumberFormat="1" applyFont="1"/>
    <xf numFmtId="10" fontId="171" fillId="0" borderId="0" xfId="20427" applyNumberFormat="1" applyFont="1"/>
    <xf numFmtId="10" fontId="171" fillId="113" borderId="0" xfId="20427" applyNumberFormat="1" applyFont="1" applyFill="1"/>
    <xf numFmtId="9" fontId="184" fillId="0" borderId="0" xfId="20427" applyNumberFormat="1" applyFont="1"/>
    <xf numFmtId="3" fontId="184" fillId="0" borderId="0" xfId="20427" applyNumberFormat="1" applyFont="1" applyAlignment="1">
      <alignment wrapText="1"/>
    </xf>
    <xf numFmtId="273" fontId="184" fillId="0" borderId="0" xfId="20427" applyNumberFormat="1" applyFont="1" applyAlignment="1">
      <alignment wrapText="1"/>
    </xf>
    <xf numFmtId="3" fontId="263" fillId="0" borderId="0" xfId="20427" applyNumberFormat="1" applyFont="1" applyAlignment="1">
      <alignment wrapText="1"/>
    </xf>
    <xf numFmtId="3" fontId="327" fillId="0" borderId="0" xfId="20427" applyNumberFormat="1" applyFont="1"/>
    <xf numFmtId="273" fontId="264" fillId="0" borderId="0" xfId="20427" applyNumberFormat="1" applyFont="1" applyAlignment="1">
      <alignment wrapText="1"/>
    </xf>
    <xf numFmtId="3" fontId="157" fillId="0" borderId="0" xfId="20427" applyNumberFormat="1" applyFont="1"/>
    <xf numFmtId="0" fontId="196" fillId="0" borderId="0" xfId="20427" applyFont="1" applyAlignment="1">
      <alignment wrapText="1"/>
    </xf>
    <xf numFmtId="0" fontId="184" fillId="0" borderId="0" xfId="20427" applyFont="1" applyAlignment="1">
      <alignment wrapText="1"/>
    </xf>
    <xf numFmtId="3" fontId="329" fillId="0" borderId="0" xfId="20427" applyNumberFormat="1" applyFont="1"/>
    <xf numFmtId="3" fontId="329" fillId="0" borderId="0" xfId="20427" applyNumberFormat="1" applyFont="1" applyAlignment="1">
      <alignment wrapText="1"/>
    </xf>
    <xf numFmtId="310" fontId="184" fillId="0" borderId="0" xfId="20427" applyNumberFormat="1" applyFont="1" applyAlignment="1">
      <alignment wrapText="1"/>
    </xf>
    <xf numFmtId="310" fontId="329" fillId="0" borderId="0" xfId="20427" applyNumberFormat="1" applyFont="1" applyAlignment="1">
      <alignment wrapText="1"/>
    </xf>
    <xf numFmtId="0" fontId="252" fillId="0" borderId="0" xfId="20427" applyFont="1" applyAlignment="1">
      <alignment horizontal="right" wrapText="1"/>
    </xf>
    <xf numFmtId="0" fontId="252" fillId="0" borderId="0" xfId="20427" applyFont="1"/>
    <xf numFmtId="3" fontId="252" fillId="0" borderId="0" xfId="20427" applyNumberFormat="1" applyFont="1"/>
    <xf numFmtId="3" fontId="252" fillId="0" borderId="0" xfId="20427" applyNumberFormat="1" applyFont="1" applyAlignment="1">
      <alignment wrapText="1"/>
    </xf>
    <xf numFmtId="273" fontId="252" fillId="0" borderId="0" xfId="20427" applyNumberFormat="1" applyFont="1"/>
    <xf numFmtId="273" fontId="196" fillId="0" borderId="0" xfId="20427" applyNumberFormat="1" applyFont="1"/>
    <xf numFmtId="3" fontId="331" fillId="0" borderId="0" xfId="20427" applyNumberFormat="1" applyFont="1"/>
    <xf numFmtId="10" fontId="196" fillId="0" borderId="0" xfId="20427" applyNumberFormat="1" applyFont="1" applyAlignment="1">
      <alignment wrapText="1"/>
    </xf>
    <xf numFmtId="10" fontId="196" fillId="0" borderId="0" xfId="20431" applyNumberFormat="1" applyFont="1" applyAlignment="1">
      <alignment wrapText="1"/>
    </xf>
    <xf numFmtId="0" fontId="271" fillId="0" borderId="0" xfId="20427" applyNumberFormat="1" applyFont="1"/>
    <xf numFmtId="0" fontId="271" fillId="0" borderId="0" xfId="20427" applyFont="1"/>
    <xf numFmtId="0" fontId="272" fillId="0" borderId="0" xfId="20427" applyFont="1" applyAlignment="1">
      <alignment wrapText="1"/>
    </xf>
    <xf numFmtId="0" fontId="272" fillId="0" borderId="0" xfId="20427" applyFont="1"/>
    <xf numFmtId="3" fontId="272" fillId="0" borderId="0" xfId="20427" applyNumberFormat="1" applyFont="1"/>
    <xf numFmtId="0" fontId="273" fillId="0" borderId="0" xfId="20427" applyFont="1"/>
    <xf numFmtId="3" fontId="5" fillId="0" borderId="0" xfId="20427" applyNumberFormat="1"/>
    <xf numFmtId="3" fontId="274" fillId="0" borderId="0" xfId="20427" applyNumberFormat="1" applyFont="1"/>
    <xf numFmtId="0" fontId="5" fillId="0" borderId="0" xfId="20427" applyBorder="1"/>
    <xf numFmtId="3" fontId="184" fillId="0" borderId="0" xfId="20427" applyNumberFormat="1" applyFont="1" applyBorder="1" applyAlignment="1">
      <alignment horizontal="center" vertical="center" wrapText="1"/>
    </xf>
    <xf numFmtId="3" fontId="5" fillId="0" borderId="0" xfId="20427" applyNumberFormat="1" applyBorder="1"/>
    <xf numFmtId="270" fontId="158" fillId="0" borderId="0" xfId="0" applyNumberFormat="1" applyFont="1" applyAlignment="1">
      <alignment horizontal="right"/>
    </xf>
    <xf numFmtId="14" fontId="184" fillId="0" borderId="0" xfId="20427" applyNumberFormat="1" applyFont="1"/>
    <xf numFmtId="164" fontId="309" fillId="0" borderId="15" xfId="20417" applyNumberFormat="1" applyFont="1" applyBorder="1" applyAlignment="1">
      <alignment horizontal="center"/>
    </xf>
    <xf numFmtId="164" fontId="309" fillId="0" borderId="15" xfId="20417" applyNumberFormat="1" applyFont="1" applyBorder="1"/>
    <xf numFmtId="164" fontId="309" fillId="0" borderId="15" xfId="20417" applyNumberFormat="1" applyFont="1" applyFill="1" applyBorder="1" applyAlignment="1">
      <alignment horizontal="center"/>
    </xf>
    <xf numFmtId="164" fontId="309" fillId="0" borderId="31" xfId="20417" applyNumberFormat="1" applyFont="1" applyFill="1" applyBorder="1" applyAlignment="1">
      <alignment horizontal="center"/>
    </xf>
    <xf numFmtId="165" fontId="158" fillId="74" borderId="0" xfId="0" applyNumberFormat="1" applyFont="1" applyFill="1" applyAlignment="1">
      <alignment horizontal="right" vertical="top" wrapText="1"/>
    </xf>
    <xf numFmtId="165" fontId="158" fillId="0" borderId="0" xfId="0" applyNumberFormat="1" applyFont="1" applyAlignment="1">
      <alignment horizontal="right" vertical="top" wrapText="1"/>
    </xf>
    <xf numFmtId="0" fontId="158" fillId="0" borderId="0" xfId="20392" applyFont="1" applyFill="1" applyBorder="1" applyAlignment="1">
      <alignment horizontal="left" wrapText="1"/>
    </xf>
    <xf numFmtId="270" fontId="132" fillId="0" borderId="0" xfId="0" applyNumberFormat="1" applyFont="1" applyFill="1"/>
    <xf numFmtId="0" fontId="234" fillId="0" borderId="63" xfId="0" applyFont="1" applyBorder="1"/>
    <xf numFmtId="14" fontId="158" fillId="0" borderId="0" xfId="0" applyNumberFormat="1" applyFont="1" applyBorder="1"/>
    <xf numFmtId="164" fontId="158" fillId="0" borderId="0" xfId="0" applyNumberFormat="1" applyFont="1" applyBorder="1"/>
    <xf numFmtId="0" fontId="158" fillId="0" borderId="11" xfId="0" applyFont="1" applyBorder="1"/>
    <xf numFmtId="0" fontId="160" fillId="0" borderId="59" xfId="0" applyFont="1" applyBorder="1"/>
    <xf numFmtId="270" fontId="158" fillId="0" borderId="0" xfId="0" applyNumberFormat="1" applyFont="1"/>
    <xf numFmtId="191" fontId="189" fillId="0" borderId="0" xfId="0" applyNumberFormat="1" applyFont="1"/>
    <xf numFmtId="43" fontId="158" fillId="0" borderId="0" xfId="0" applyNumberFormat="1" applyFont="1" applyBorder="1" applyAlignment="1">
      <alignment horizontal="center"/>
    </xf>
    <xf numFmtId="0" fontId="249" fillId="0" borderId="0" xfId="0" applyFont="1" applyBorder="1"/>
    <xf numFmtId="0" fontId="170" fillId="72" borderId="15" xfId="0" applyFont="1" applyFill="1" applyBorder="1" applyAlignment="1">
      <alignment horizontal="left"/>
    </xf>
    <xf numFmtId="169" fontId="30" fillId="0" borderId="0" xfId="0" applyNumberFormat="1" applyFont="1" applyFill="1" applyBorder="1" applyAlignment="1">
      <alignment horizontal="center"/>
    </xf>
    <xf numFmtId="43" fontId="0" fillId="0" borderId="0" xfId="0" applyNumberFormat="1"/>
    <xf numFmtId="14" fontId="175" fillId="72" borderId="15" xfId="0" applyNumberFormat="1" applyFont="1" applyFill="1" applyBorder="1" applyAlignment="1">
      <alignment horizontal="center" vertical="center"/>
    </xf>
    <xf numFmtId="0" fontId="184" fillId="96" borderId="15" xfId="20405" applyFont="1" applyFill="1" applyBorder="1" applyAlignment="1">
      <alignment horizontal="left" vertical="center" wrapText="1"/>
    </xf>
    <xf numFmtId="0" fontId="280" fillId="95" borderId="15" xfId="20405" applyFont="1" applyFill="1" applyBorder="1" applyAlignment="1">
      <alignment horizontal="center" vertical="center" wrapText="1"/>
    </xf>
    <xf numFmtId="296" fontId="280" fillId="95" borderId="15" xfId="20405" applyNumberFormat="1" applyFont="1" applyFill="1" applyBorder="1" applyAlignment="1">
      <alignment horizontal="center" vertical="center" wrapText="1"/>
    </xf>
    <xf numFmtId="0" fontId="184" fillId="0" borderId="15" xfId="20405" applyFont="1" applyBorder="1">
      <alignment vertical="center"/>
    </xf>
    <xf numFmtId="296" fontId="158" fillId="0" borderId="15" xfId="20406" applyFont="1" applyBorder="1">
      <alignment vertical="center"/>
    </xf>
    <xf numFmtId="14" fontId="158" fillId="0" borderId="15" xfId="20406" applyNumberFormat="1" applyFont="1" applyBorder="1" applyAlignment="1">
      <alignment horizontal="center" vertical="center"/>
    </xf>
    <xf numFmtId="165" fontId="0" fillId="0" borderId="0" xfId="20432" applyNumberFormat="1" applyFont="1" applyAlignment="1">
      <alignment vertical="center"/>
    </xf>
    <xf numFmtId="0" fontId="158" fillId="0" borderId="15" xfId="20406" applyNumberFormat="1" applyFont="1" applyBorder="1">
      <alignment vertical="center"/>
    </xf>
    <xf numFmtId="0" fontId="277" fillId="0" borderId="15" xfId="20405" applyBorder="1">
      <alignment vertical="center"/>
    </xf>
    <xf numFmtId="296" fontId="283" fillId="0" borderId="15" xfId="20406" applyFont="1" applyBorder="1" applyAlignment="1">
      <alignment horizontal="center" vertical="center"/>
    </xf>
    <xf numFmtId="164" fontId="158" fillId="0" borderId="0" xfId="20405" applyNumberFormat="1" applyFont="1" applyBorder="1" applyAlignment="1"/>
    <xf numFmtId="296" fontId="158" fillId="0" borderId="15" xfId="20406" applyFont="1" applyBorder="1" applyAlignment="1">
      <alignment horizontal="center" vertical="center"/>
    </xf>
    <xf numFmtId="14" fontId="158" fillId="0" borderId="15" xfId="20406" applyNumberFormat="1" applyFont="1" applyBorder="1">
      <alignment vertical="center"/>
    </xf>
    <xf numFmtId="14" fontId="277" fillId="0" borderId="15" xfId="20405" applyNumberFormat="1" applyBorder="1" applyAlignment="1">
      <alignment horizontal="center" vertical="center"/>
    </xf>
    <xf numFmtId="0" fontId="309" fillId="0" borderId="0" xfId="20433" applyFont="1"/>
    <xf numFmtId="0" fontId="309" fillId="0" borderId="0" xfId="20433" applyFont="1" applyAlignment="1">
      <alignment horizontal="center"/>
    </xf>
    <xf numFmtId="0" fontId="309" fillId="0" borderId="0" xfId="20433" applyFont="1" applyAlignment="1">
      <alignment horizontal="left"/>
    </xf>
    <xf numFmtId="0" fontId="310" fillId="0" borderId="39" xfId="20433" applyFont="1" applyFill="1" applyBorder="1" applyAlignment="1">
      <alignment horizontal="centerContinuous" vertical="center" wrapText="1"/>
    </xf>
    <xf numFmtId="0" fontId="310" fillId="0" borderId="142" xfId="20433" applyFont="1" applyFill="1" applyBorder="1" applyAlignment="1">
      <alignment horizontal="centerContinuous" vertical="center" wrapText="1"/>
    </xf>
    <xf numFmtId="0" fontId="310" fillId="0" borderId="0" xfId="20433" applyFont="1" applyAlignment="1">
      <alignment vertical="center" wrapText="1"/>
    </xf>
    <xf numFmtId="0" fontId="310" fillId="0" borderId="143" xfId="20433" applyFont="1" applyBorder="1" applyAlignment="1">
      <alignment vertical="center" wrapText="1"/>
    </xf>
    <xf numFmtId="0" fontId="310" fillId="0" borderId="144" xfId="20433" applyFont="1" applyFill="1" applyBorder="1" applyAlignment="1">
      <alignment vertical="center" wrapText="1"/>
    </xf>
    <xf numFmtId="0" fontId="310" fillId="0" borderId="145" xfId="20433" applyFont="1" applyFill="1" applyBorder="1" applyAlignment="1">
      <alignment vertical="center" wrapText="1"/>
    </xf>
    <xf numFmtId="0" fontId="309" fillId="0" borderId="150" xfId="20433" applyFont="1" applyFill="1" applyBorder="1" applyAlignment="1">
      <alignment horizontal="centerContinuous" vertical="center" wrapText="1"/>
    </xf>
    <xf numFmtId="0" fontId="309" fillId="0" borderId="149" xfId="20433" applyFont="1" applyFill="1" applyBorder="1" applyAlignment="1">
      <alignment vertical="center" wrapText="1"/>
    </xf>
    <xf numFmtId="0" fontId="309" fillId="0" borderId="143" xfId="20433" applyFont="1" applyFill="1" applyBorder="1" applyAlignment="1">
      <alignment horizontal="center" vertical="center" wrapText="1"/>
    </xf>
    <xf numFmtId="0" fontId="309" fillId="0" borderId="147" xfId="20433" applyFont="1" applyFill="1" applyBorder="1" applyAlignment="1">
      <alignment horizontal="center" vertical="center" wrapText="1"/>
    </xf>
    <xf numFmtId="0" fontId="309" fillId="0" borderId="148" xfId="20433" applyFont="1" applyFill="1" applyBorder="1" applyAlignment="1">
      <alignment horizontal="center" vertical="center" wrapText="1"/>
    </xf>
    <xf numFmtId="0" fontId="309" fillId="0" borderId="149" xfId="20433" applyFont="1" applyFill="1" applyBorder="1" applyAlignment="1">
      <alignment horizontal="center" vertical="center" wrapText="1"/>
    </xf>
    <xf numFmtId="0" fontId="309" fillId="0" borderId="150" xfId="20433" applyFont="1" applyFill="1" applyBorder="1" applyAlignment="1">
      <alignment horizontal="center" vertical="center" wrapText="1"/>
    </xf>
    <xf numFmtId="0" fontId="309" fillId="0" borderId="151" xfId="20433" applyFont="1" applyFill="1" applyBorder="1" applyAlignment="1">
      <alignment horizontal="center" vertical="center" wrapText="1"/>
    </xf>
    <xf numFmtId="0" fontId="309" fillId="0" borderId="15" xfId="20433" applyFont="1" applyBorder="1"/>
    <xf numFmtId="0" fontId="309" fillId="0" borderId="62" xfId="20433" applyFont="1" applyBorder="1" applyAlignment="1">
      <alignment horizontal="center" vertical="center" wrapText="1"/>
    </xf>
    <xf numFmtId="0" fontId="309" fillId="0" borderId="15" xfId="20433" applyFont="1" applyBorder="1" applyAlignment="1">
      <alignment horizontal="left"/>
    </xf>
    <xf numFmtId="0" fontId="309" fillId="95" borderId="31" xfId="20433" applyNumberFormat="1" applyFont="1" applyFill="1" applyBorder="1"/>
    <xf numFmtId="10" fontId="309" fillId="95" borderId="31" xfId="20434" applyNumberFormat="1" applyFont="1" applyFill="1" applyBorder="1" applyAlignment="1"/>
    <xf numFmtId="0" fontId="309" fillId="0" borderId="15" xfId="20433" applyNumberFormat="1" applyFont="1" applyBorder="1" applyAlignment="1">
      <alignment horizontal="center"/>
    </xf>
    <xf numFmtId="0" fontId="309" fillId="0" borderId="15" xfId="20433" applyFont="1" applyBorder="1" applyAlignment="1">
      <alignment horizontal="center"/>
    </xf>
    <xf numFmtId="0" fontId="309" fillId="0" borderId="31" xfId="20433" applyNumberFormat="1" applyFont="1" applyFill="1" applyBorder="1" applyAlignment="1">
      <alignment horizontal="center"/>
    </xf>
    <xf numFmtId="3" fontId="309" fillId="0" borderId="15" xfId="20433" applyNumberFormat="1" applyFont="1" applyBorder="1"/>
    <xf numFmtId="0" fontId="309" fillId="0" borderId="15" xfId="20433" applyNumberFormat="1" applyFont="1" applyFill="1" applyBorder="1" applyAlignment="1">
      <alignment horizontal="center"/>
    </xf>
    <xf numFmtId="0" fontId="309" fillId="0" borderId="31" xfId="20433" applyFont="1" applyBorder="1"/>
    <xf numFmtId="0" fontId="309" fillId="0" borderId="31" xfId="20433" applyFont="1" applyFill="1" applyBorder="1" applyAlignment="1">
      <alignment horizontal="center"/>
    </xf>
    <xf numFmtId="0" fontId="309" fillId="0" borderId="0" xfId="20433" applyNumberFormat="1" applyFont="1"/>
    <xf numFmtId="0" fontId="309" fillId="0" borderId="62" xfId="20433" applyFont="1" applyBorder="1" applyAlignment="1">
      <alignment horizontal="center" vertical="center"/>
    </xf>
    <xf numFmtId="0" fontId="309" fillId="0" borderId="15" xfId="20433" applyFont="1" applyFill="1" applyBorder="1" applyAlignment="1">
      <alignment horizontal="left"/>
    </xf>
    <xf numFmtId="0" fontId="309" fillId="0" borderId="62" xfId="20433" applyFont="1" applyFill="1" applyBorder="1" applyAlignment="1">
      <alignment horizontal="center"/>
    </xf>
    <xf numFmtId="0" fontId="309" fillId="0" borderId="15" xfId="20433" applyFont="1" applyFill="1" applyBorder="1"/>
    <xf numFmtId="0" fontId="309" fillId="0" borderId="11" xfId="20433" applyFont="1" applyBorder="1" applyAlignment="1">
      <alignment horizontal="center" vertical="center" wrapText="1"/>
    </xf>
    <xf numFmtId="0" fontId="309" fillId="0" borderId="31" xfId="20433" applyNumberFormat="1" applyFont="1" applyBorder="1" applyAlignment="1">
      <alignment horizontal="center"/>
    </xf>
    <xf numFmtId="0" fontId="309" fillId="0" borderId="31" xfId="20433" applyFont="1" applyBorder="1" applyAlignment="1">
      <alignment horizontal="center"/>
    </xf>
    <xf numFmtId="0" fontId="309" fillId="0" borderId="31" xfId="20433" applyNumberFormat="1" applyFont="1" applyBorder="1"/>
    <xf numFmtId="0" fontId="309" fillId="0" borderId="15" xfId="20433" applyNumberFormat="1" applyFont="1" applyBorder="1"/>
    <xf numFmtId="0" fontId="309" fillId="0" borderId="15" xfId="20433" applyNumberFormat="1" applyFont="1" applyFill="1" applyBorder="1"/>
    <xf numFmtId="0" fontId="310" fillId="0" borderId="62" xfId="20433" applyFont="1" applyBorder="1" applyAlignment="1">
      <alignment horizontal="center"/>
    </xf>
    <xf numFmtId="0" fontId="310" fillId="0" borderId="15" xfId="20433" applyFont="1" applyBorder="1" applyAlignment="1">
      <alignment horizontal="left"/>
    </xf>
    <xf numFmtId="0" fontId="310" fillId="0" borderId="15" xfId="20433" applyNumberFormat="1" applyFont="1" applyBorder="1"/>
    <xf numFmtId="9" fontId="310" fillId="0" borderId="15" xfId="20434" applyFont="1" applyBorder="1" applyAlignment="1"/>
    <xf numFmtId="0" fontId="310" fillId="0" borderId="15" xfId="20433" applyFont="1" applyBorder="1"/>
    <xf numFmtId="0" fontId="310" fillId="0" borderId="0" xfId="20433" applyFont="1"/>
    <xf numFmtId="0" fontId="309" fillId="0" borderId="0" xfId="20433" applyFont="1" applyFill="1"/>
    <xf numFmtId="10" fontId="310" fillId="0" borderId="0" xfId="20433" applyNumberFormat="1" applyFont="1" applyFill="1"/>
    <xf numFmtId="0" fontId="309" fillId="0" borderId="0" xfId="20433" applyNumberFormat="1" applyFont="1" applyAlignment="1">
      <alignment horizontal="left"/>
    </xf>
    <xf numFmtId="3" fontId="309" fillId="0" borderId="0" xfId="20433" applyNumberFormat="1" applyFont="1"/>
    <xf numFmtId="0" fontId="334" fillId="0" borderId="0" xfId="20435" applyFont="1" applyAlignment="1">
      <alignment horizontal="center" vertical="center"/>
    </xf>
    <xf numFmtId="0" fontId="335" fillId="0" borderId="63" xfId="20435" applyFont="1" applyBorder="1" applyAlignment="1">
      <alignment horizontal="left" vertical="center"/>
    </xf>
    <xf numFmtId="0" fontId="335" fillId="0" borderId="53" xfId="20435" applyNumberFormat="1" applyFont="1" applyBorder="1" applyAlignment="1">
      <alignment horizontal="center" vertical="center"/>
    </xf>
    <xf numFmtId="0" fontId="335" fillId="0" borderId="76" xfId="20435" applyFont="1" applyBorder="1" applyAlignment="1">
      <alignment horizontal="left" vertical="center"/>
    </xf>
    <xf numFmtId="0" fontId="335" fillId="0" borderId="0" xfId="20435" applyFont="1" applyAlignment="1">
      <alignment horizontal="center" vertical="center"/>
    </xf>
    <xf numFmtId="0" fontId="335" fillId="0" borderId="59" xfId="20435" applyFont="1" applyBorder="1" applyAlignment="1">
      <alignment horizontal="left" vertical="center"/>
    </xf>
    <xf numFmtId="0" fontId="335" fillId="0" borderId="13" xfId="20435" applyNumberFormat="1" applyFont="1" applyBorder="1" applyAlignment="1">
      <alignment horizontal="center" vertical="center"/>
    </xf>
    <xf numFmtId="0" fontId="335" fillId="0" borderId="0" xfId="20435" applyFont="1" applyBorder="1" applyAlignment="1">
      <alignment horizontal="left" vertical="center"/>
    </xf>
    <xf numFmtId="0" fontId="335" fillId="0" borderId="59" xfId="20435" applyFont="1" applyBorder="1" applyAlignment="1">
      <alignment horizontal="center" vertical="center"/>
    </xf>
    <xf numFmtId="0" fontId="335" fillId="0" borderId="13" xfId="20435" applyFont="1" applyBorder="1" applyAlignment="1">
      <alignment horizontal="center" vertical="center"/>
    </xf>
    <xf numFmtId="0" fontId="336" fillId="0" borderId="13" xfId="20435" applyNumberFormat="1" applyFont="1" applyBorder="1" applyAlignment="1">
      <alignment horizontal="center" vertical="center"/>
    </xf>
    <xf numFmtId="0" fontId="335" fillId="0" borderId="59" xfId="20435" applyNumberFormat="1" applyFont="1" applyBorder="1" applyAlignment="1">
      <alignment horizontal="center" vertical="center"/>
    </xf>
    <xf numFmtId="0" fontId="335" fillId="0" borderId="0" xfId="20435" applyNumberFormat="1" applyFont="1" applyBorder="1" applyAlignment="1">
      <alignment horizontal="center" vertical="center"/>
    </xf>
    <xf numFmtId="0" fontId="335" fillId="0" borderId="117" xfId="20435" applyFont="1" applyBorder="1" applyAlignment="1">
      <alignment horizontal="left" vertical="center"/>
    </xf>
    <xf numFmtId="0" fontId="335" fillId="0" borderId="90" xfId="20435" applyNumberFormat="1" applyFont="1" applyBorder="1" applyAlignment="1">
      <alignment horizontal="center" vertical="center"/>
    </xf>
    <xf numFmtId="0" fontId="335" fillId="0" borderId="117" xfId="20435" applyNumberFormat="1" applyFont="1" applyBorder="1" applyAlignment="1">
      <alignment horizontal="center" vertical="center"/>
    </xf>
    <xf numFmtId="0" fontId="335" fillId="0" borderId="44" xfId="20435" applyNumberFormat="1" applyFont="1" applyBorder="1" applyAlignment="1">
      <alignment horizontal="center" vertical="center"/>
    </xf>
    <xf numFmtId="0" fontId="335" fillId="0" borderId="90" xfId="20435" applyFont="1" applyBorder="1" applyAlignment="1">
      <alignment horizontal="center" vertical="center"/>
    </xf>
    <xf numFmtId="0" fontId="335" fillId="0" borderId="117" xfId="20435" applyFont="1" applyBorder="1" applyAlignment="1">
      <alignment horizontal="center" vertical="center"/>
    </xf>
    <xf numFmtId="0" fontId="337" fillId="0" borderId="0" xfId="20435" applyFont="1" applyAlignment="1">
      <alignment horizontal="center" vertical="center"/>
    </xf>
    <xf numFmtId="0" fontId="337" fillId="0" borderId="0" xfId="20435" applyNumberFormat="1" applyFont="1" applyBorder="1" applyAlignment="1">
      <alignment horizontal="center" vertical="center"/>
    </xf>
    <xf numFmtId="0" fontId="337" fillId="0" borderId="0" xfId="20435" applyFont="1" applyBorder="1" applyAlignment="1">
      <alignment horizontal="center" vertical="center"/>
    </xf>
    <xf numFmtId="0" fontId="335" fillId="0" borderId="141" xfId="20435" applyFont="1" applyBorder="1" applyAlignment="1">
      <alignment vertical="center"/>
    </xf>
    <xf numFmtId="0" fontId="335" fillId="0" borderId="39" xfId="20435" applyNumberFormat="1" applyFont="1" applyBorder="1" applyAlignment="1">
      <alignment horizontal="center" vertical="center"/>
    </xf>
    <xf numFmtId="0" fontId="337" fillId="0" borderId="142" xfId="20435" applyNumberFormat="1" applyFont="1" applyBorder="1" applyAlignment="1">
      <alignment horizontal="center" vertical="center"/>
    </xf>
    <xf numFmtId="0" fontId="335" fillId="0" borderId="179" xfId="20435" applyFont="1" applyBorder="1" applyAlignment="1">
      <alignment vertical="center"/>
    </xf>
    <xf numFmtId="0" fontId="337" fillId="0" borderId="180" xfId="20435" applyNumberFormat="1" applyFont="1" applyBorder="1" applyAlignment="1">
      <alignment horizontal="center" vertical="center"/>
    </xf>
    <xf numFmtId="0" fontId="337" fillId="0" borderId="0" xfId="20435" applyNumberFormat="1" applyFont="1" applyAlignment="1">
      <alignment horizontal="center" vertical="center"/>
    </xf>
    <xf numFmtId="0" fontId="336" fillId="0" borderId="0" xfId="20435" applyNumberFormat="1" applyFont="1" applyBorder="1" applyAlignment="1">
      <alignment horizontal="center" vertical="center"/>
    </xf>
    <xf numFmtId="0" fontId="335" fillId="0" borderId="181" xfId="20435" applyFont="1" applyBorder="1" applyAlignment="1">
      <alignment vertical="center"/>
    </xf>
    <xf numFmtId="0" fontId="335" fillId="0" borderId="178" xfId="20435" applyNumberFormat="1" applyFont="1" applyBorder="1" applyAlignment="1">
      <alignment horizontal="center" vertical="center"/>
    </xf>
    <xf numFmtId="0" fontId="337" fillId="0" borderId="182" xfId="20435" applyNumberFormat="1" applyFont="1" applyBorder="1" applyAlignment="1">
      <alignment horizontal="center" vertical="center"/>
    </xf>
    <xf numFmtId="0" fontId="332" fillId="0" borderId="183" xfId="20435" applyFont="1" applyBorder="1" applyAlignment="1">
      <alignment horizontal="center" vertical="center"/>
    </xf>
    <xf numFmtId="0" fontId="335" fillId="0" borderId="183" xfId="20435" applyFont="1" applyBorder="1" applyAlignment="1">
      <alignment vertical="center"/>
    </xf>
    <xf numFmtId="0" fontId="335" fillId="0" borderId="93" xfId="20435" applyNumberFormat="1" applyFont="1" applyBorder="1" applyAlignment="1">
      <alignment horizontal="center" vertical="center"/>
    </xf>
    <xf numFmtId="0" fontId="337" fillId="0" borderId="184" xfId="20435" applyNumberFormat="1" applyFont="1" applyBorder="1" applyAlignment="1">
      <alignment horizontal="center" vertical="center"/>
    </xf>
    <xf numFmtId="0" fontId="158" fillId="0" borderId="63" xfId="0" applyFont="1" applyBorder="1" applyAlignment="1">
      <alignment wrapText="1"/>
    </xf>
    <xf numFmtId="0" fontId="158" fillId="0" borderId="53" xfId="0" applyFont="1" applyBorder="1" applyAlignment="1">
      <alignment wrapText="1"/>
    </xf>
    <xf numFmtId="8" fontId="189" fillId="0" borderId="59" xfId="0" applyNumberFormat="1" applyFont="1" applyBorder="1"/>
    <xf numFmtId="8" fontId="235" fillId="0" borderId="59" xfId="0" applyNumberFormat="1" applyFont="1" applyBorder="1"/>
    <xf numFmtId="8" fontId="235" fillId="0" borderId="117" xfId="0" applyNumberFormat="1" applyFont="1" applyBorder="1"/>
    <xf numFmtId="0" fontId="170" fillId="72" borderId="62" xfId="0" applyFont="1" applyFill="1" applyBorder="1"/>
    <xf numFmtId="0" fontId="196" fillId="0" borderId="0" xfId="20436" applyFont="1" applyAlignment="1">
      <alignment horizontal="center"/>
    </xf>
    <xf numFmtId="0" fontId="184" fillId="0" borderId="0" xfId="20436" applyFont="1"/>
    <xf numFmtId="0" fontId="3" fillId="0" borderId="0" xfId="20436"/>
    <xf numFmtId="0" fontId="184" fillId="0" borderId="0" xfId="20436" applyFont="1" applyFill="1"/>
    <xf numFmtId="248" fontId="184" fillId="0" borderId="0" xfId="20437" applyNumberFormat="1" applyFont="1"/>
    <xf numFmtId="0" fontId="196" fillId="0" borderId="0" xfId="20436" applyFont="1" applyAlignment="1">
      <alignment horizontal="center" wrapText="1"/>
    </xf>
    <xf numFmtId="0" fontId="196" fillId="74" borderId="0" xfId="20436" applyFont="1" applyFill="1" applyAlignment="1">
      <alignment horizontal="center" wrapText="1"/>
    </xf>
    <xf numFmtId="0" fontId="251" fillId="0" borderId="0" xfId="20436" applyFont="1" applyAlignment="1">
      <alignment horizontal="center" wrapText="1"/>
    </xf>
    <xf numFmtId="0" fontId="251" fillId="74" borderId="0" xfId="20436" applyFont="1" applyFill="1" applyAlignment="1">
      <alignment horizontal="center" wrapText="1"/>
    </xf>
    <xf numFmtId="0" fontId="252" fillId="0" borderId="0" xfId="20436" applyFont="1" applyAlignment="1">
      <alignment horizontal="center" wrapText="1"/>
    </xf>
    <xf numFmtId="0" fontId="252" fillId="114" borderId="0" xfId="20436" applyFont="1" applyFill="1" applyAlignment="1">
      <alignment horizontal="center" wrapText="1"/>
    </xf>
    <xf numFmtId="10" fontId="252" fillId="114" borderId="0" xfId="20436" applyNumberFormat="1" applyFont="1" applyFill="1" applyAlignment="1">
      <alignment horizontal="center" wrapText="1"/>
    </xf>
    <xf numFmtId="0" fontId="252" fillId="0" borderId="0" xfId="20436" applyFont="1" applyAlignment="1">
      <alignment wrapText="1"/>
    </xf>
    <xf numFmtId="3" fontId="196" fillId="114" borderId="0" xfId="20436" applyNumberFormat="1" applyFont="1" applyFill="1" applyAlignment="1">
      <alignment horizontal="center" wrapText="1"/>
    </xf>
    <xf numFmtId="0" fontId="196" fillId="114" borderId="0" xfId="20436" applyFont="1" applyFill="1" applyAlignment="1">
      <alignment horizontal="center" wrapText="1"/>
    </xf>
    <xf numFmtId="0" fontId="184" fillId="0" borderId="0" xfId="20436" applyFont="1" applyAlignment="1">
      <alignment wrapText="1"/>
    </xf>
    <xf numFmtId="0" fontId="196" fillId="0" borderId="0" xfId="20436" applyFont="1"/>
    <xf numFmtId="3" fontId="184" fillId="74" borderId="0" xfId="20436" applyNumberFormat="1" applyFont="1" applyFill="1"/>
    <xf numFmtId="10" fontId="184" fillId="0" borderId="0" xfId="20436" applyNumberFormat="1" applyFont="1"/>
    <xf numFmtId="3" fontId="184" fillId="0" borderId="0" xfId="20436" applyNumberFormat="1" applyFont="1"/>
    <xf numFmtId="3" fontId="251" fillId="74" borderId="0" xfId="20436" applyNumberFormat="1" applyFont="1" applyFill="1"/>
    <xf numFmtId="10" fontId="184" fillId="74" borderId="0" xfId="20436" applyNumberFormat="1" applyFont="1" applyFill="1"/>
    <xf numFmtId="41" fontId="184" fillId="114" borderId="0" xfId="20436" applyNumberFormat="1" applyFont="1" applyFill="1"/>
    <xf numFmtId="10" fontId="184" fillId="114" borderId="0" xfId="20436" applyNumberFormat="1" applyFont="1" applyFill="1"/>
    <xf numFmtId="44" fontId="184" fillId="0" borderId="0" xfId="20438" applyFont="1"/>
    <xf numFmtId="41" fontId="184" fillId="74" borderId="0" xfId="20436" applyNumberFormat="1" applyFont="1" applyFill="1"/>
    <xf numFmtId="0" fontId="184" fillId="0" borderId="0" xfId="20436" applyFont="1" applyAlignment="1">
      <alignment horizontal="center"/>
    </xf>
    <xf numFmtId="41" fontId="184" fillId="0" borderId="0" xfId="20436" applyNumberFormat="1" applyFont="1" applyFill="1" applyAlignment="1">
      <alignment horizontal="center"/>
    </xf>
    <xf numFmtId="41" fontId="184" fillId="74" borderId="0" xfId="20436" applyNumberFormat="1" applyFont="1" applyFill="1" applyAlignment="1">
      <alignment horizontal="center"/>
    </xf>
    <xf numFmtId="41" fontId="184" fillId="114" borderId="0" xfId="20436" applyNumberFormat="1" applyFont="1" applyFill="1" applyAlignment="1">
      <alignment wrapText="1"/>
    </xf>
    <xf numFmtId="41" fontId="184" fillId="0" borderId="0" xfId="20436" applyNumberFormat="1" applyFont="1"/>
    <xf numFmtId="10" fontId="184" fillId="0" borderId="0" xfId="20439" applyNumberFormat="1" applyFont="1"/>
    <xf numFmtId="0" fontId="196" fillId="0" borderId="0" xfId="20436" applyFont="1" applyAlignment="1"/>
    <xf numFmtId="0" fontId="196" fillId="0" borderId="0" xfId="20436" applyFont="1" applyFill="1"/>
    <xf numFmtId="10" fontId="184" fillId="0" borderId="0" xfId="20436" applyNumberFormat="1" applyFont="1" applyFill="1"/>
    <xf numFmtId="3" fontId="184" fillId="0" borderId="0" xfId="20436" applyNumberFormat="1" applyFont="1" applyFill="1"/>
    <xf numFmtId="44" fontId="184" fillId="0" borderId="0" xfId="20438" applyFont="1" applyFill="1" applyAlignment="1">
      <alignment horizontal="right"/>
    </xf>
    <xf numFmtId="10" fontId="184" fillId="0" borderId="0" xfId="20436" applyNumberFormat="1" applyFont="1" applyFill="1" applyAlignment="1">
      <alignment horizontal="right"/>
    </xf>
    <xf numFmtId="0" fontId="3" fillId="0" borderId="0" xfId="20436" applyFill="1"/>
    <xf numFmtId="3" fontId="340" fillId="74" borderId="0" xfId="20436" applyNumberFormat="1" applyFont="1" applyFill="1"/>
    <xf numFmtId="41" fontId="184" fillId="74" borderId="0" xfId="20436" applyNumberFormat="1" applyFont="1" applyFill="1" applyAlignment="1">
      <alignment horizontal="right"/>
    </xf>
    <xf numFmtId="41" fontId="251" fillId="114" borderId="0" xfId="20436" applyNumberFormat="1" applyFont="1" applyFill="1" applyAlignment="1">
      <alignment wrapText="1"/>
    </xf>
    <xf numFmtId="0" fontId="184" fillId="74" borderId="0" xfId="20436" applyFont="1" applyFill="1"/>
    <xf numFmtId="44" fontId="184" fillId="0" borderId="0" xfId="20438" applyFont="1" applyFill="1"/>
    <xf numFmtId="0" fontId="251" fillId="74" borderId="0" xfId="20436" applyFont="1" applyFill="1"/>
    <xf numFmtId="10" fontId="329" fillId="0" borderId="0" xfId="20439" applyNumberFormat="1" applyFont="1"/>
    <xf numFmtId="248" fontId="184" fillId="0" borderId="0" xfId="20436" applyNumberFormat="1" applyFont="1"/>
    <xf numFmtId="0" fontId="253" fillId="0" borderId="0" xfId="20436" applyFont="1"/>
    <xf numFmtId="3" fontId="196" fillId="0" borderId="0" xfId="20436" applyNumberFormat="1" applyFont="1"/>
    <xf numFmtId="10" fontId="184" fillId="0" borderId="0" xfId="20436" applyNumberFormat="1" applyFont="1" applyFill="1" applyAlignment="1">
      <alignment horizontal="center"/>
    </xf>
    <xf numFmtId="41" fontId="329" fillId="114" borderId="0" xfId="20436" applyNumberFormat="1" applyFont="1" applyFill="1" applyAlignment="1">
      <alignment wrapText="1"/>
    </xf>
    <xf numFmtId="41" fontId="158" fillId="74" borderId="0" xfId="20436" applyNumberFormat="1" applyFont="1" applyFill="1"/>
    <xf numFmtId="0" fontId="196" fillId="112" borderId="0" xfId="20436" applyFont="1" applyFill="1"/>
    <xf numFmtId="10" fontId="184" fillId="112" borderId="0" xfId="20436" applyNumberFormat="1" applyFont="1" applyFill="1"/>
    <xf numFmtId="0" fontId="184" fillId="112" borderId="0" xfId="20436" applyFont="1" applyFill="1"/>
    <xf numFmtId="3" fontId="184" fillId="112" borderId="0" xfId="20436" applyNumberFormat="1" applyFont="1" applyFill="1"/>
    <xf numFmtId="44" fontId="184" fillId="112" borderId="0" xfId="20438" applyFont="1" applyFill="1" applyAlignment="1">
      <alignment horizontal="right"/>
    </xf>
    <xf numFmtId="44" fontId="184" fillId="112" borderId="0" xfId="20438" applyFont="1" applyFill="1"/>
    <xf numFmtId="41" fontId="329" fillId="114" borderId="0" xfId="20436" applyNumberFormat="1" applyFont="1" applyFill="1"/>
    <xf numFmtId="10" fontId="251" fillId="112" borderId="0" xfId="20436" applyNumberFormat="1" applyFont="1" applyFill="1" applyAlignment="1">
      <alignment horizontal="right"/>
    </xf>
    <xf numFmtId="3" fontId="184" fillId="112" borderId="0" xfId="20436" applyNumberFormat="1" applyFont="1" applyFill="1" applyAlignment="1">
      <alignment horizontal="right"/>
    </xf>
    <xf numFmtId="10" fontId="184" fillId="112" borderId="0" xfId="20436" applyNumberFormat="1" applyFont="1" applyFill="1" applyAlignment="1">
      <alignment horizontal="center"/>
    </xf>
    <xf numFmtId="10" fontId="184" fillId="112" borderId="0" xfId="20436" applyNumberFormat="1" applyFont="1" applyFill="1" applyAlignment="1">
      <alignment horizontal="right"/>
    </xf>
    <xf numFmtId="273" fontId="184" fillId="0" borderId="0" xfId="20436" applyNumberFormat="1" applyFont="1" applyFill="1"/>
    <xf numFmtId="41" fontId="184" fillId="114" borderId="0" xfId="20436" applyNumberFormat="1" applyFont="1" applyFill="1" applyAlignment="1">
      <alignment horizontal="right"/>
    </xf>
    <xf numFmtId="0" fontId="254" fillId="0" borderId="0" xfId="20436" applyFont="1" applyFill="1"/>
    <xf numFmtId="3" fontId="257" fillId="74" borderId="0" xfId="20436" applyNumberFormat="1" applyFont="1" applyFill="1"/>
    <xf numFmtId="10" fontId="257" fillId="0" borderId="0" xfId="20436" applyNumberFormat="1" applyFont="1" applyFill="1"/>
    <xf numFmtId="0" fontId="257" fillId="0" borderId="0" xfId="20436" applyFont="1" applyFill="1"/>
    <xf numFmtId="0" fontId="258" fillId="74" borderId="0" xfId="20436" applyFont="1" applyFill="1"/>
    <xf numFmtId="3" fontId="257" fillId="0" borderId="0" xfId="20436" applyNumberFormat="1" applyFont="1" applyFill="1"/>
    <xf numFmtId="273" fontId="257" fillId="0" borderId="0" xfId="20436" applyNumberFormat="1" applyFont="1" applyFill="1"/>
    <xf numFmtId="10" fontId="251" fillId="0" borderId="0" xfId="20436" applyNumberFormat="1" applyFont="1" applyFill="1" applyAlignment="1">
      <alignment horizontal="right"/>
    </xf>
    <xf numFmtId="41" fontId="251" fillId="74" borderId="0" xfId="20436" applyNumberFormat="1" applyFont="1" applyFill="1" applyAlignment="1">
      <alignment horizontal="right"/>
    </xf>
    <xf numFmtId="273" fontId="251" fillId="0" borderId="0" xfId="20436" applyNumberFormat="1" applyFont="1" applyFill="1" applyAlignment="1">
      <alignment horizontal="right"/>
    </xf>
    <xf numFmtId="10" fontId="251" fillId="0" borderId="0" xfId="20436" applyNumberFormat="1" applyFont="1" applyFill="1"/>
    <xf numFmtId="3" fontId="340" fillId="0" borderId="0" xfId="20436" applyNumberFormat="1" applyFont="1" applyFill="1"/>
    <xf numFmtId="0" fontId="258" fillId="0" borderId="0" xfId="20436" applyFont="1" applyFill="1"/>
    <xf numFmtId="3" fontId="71" fillId="74" borderId="0" xfId="20436" applyNumberFormat="1" applyFont="1" applyFill="1"/>
    <xf numFmtId="41" fontId="184" fillId="0" borderId="0" xfId="20436" applyNumberFormat="1" applyFont="1" applyFill="1"/>
    <xf numFmtId="41" fontId="257" fillId="0" borderId="0" xfId="20436" applyNumberFormat="1" applyFont="1" applyFill="1"/>
    <xf numFmtId="3" fontId="184" fillId="114" borderId="0" xfId="20436" applyNumberFormat="1" applyFont="1" applyFill="1" applyAlignment="1">
      <alignment wrapText="1"/>
    </xf>
    <xf numFmtId="0" fontId="196" fillId="115" borderId="0" xfId="20436" applyFont="1" applyFill="1"/>
    <xf numFmtId="3" fontId="184" fillId="115" borderId="0" xfId="20436" applyNumberFormat="1" applyFont="1" applyFill="1"/>
    <xf numFmtId="10" fontId="257" fillId="115" borderId="0" xfId="20436" applyNumberFormat="1" applyFont="1" applyFill="1"/>
    <xf numFmtId="0" fontId="257" fillId="115" borderId="0" xfId="20436" applyFont="1" applyFill="1"/>
    <xf numFmtId="0" fontId="258" fillId="115" borderId="0" xfId="20436" applyFont="1" applyFill="1"/>
    <xf numFmtId="3" fontId="257" fillId="115" borderId="0" xfId="20436" applyNumberFormat="1" applyFont="1" applyFill="1"/>
    <xf numFmtId="273" fontId="257" fillId="115" borderId="0" xfId="20436" applyNumberFormat="1" applyFont="1" applyFill="1"/>
    <xf numFmtId="41" fontId="257" fillId="115" borderId="0" xfId="20436" applyNumberFormat="1" applyFont="1" applyFill="1"/>
    <xf numFmtId="10" fontId="184" fillId="115" borderId="0" xfId="20436" applyNumberFormat="1" applyFont="1" applyFill="1"/>
    <xf numFmtId="0" fontId="3" fillId="115" borderId="0" xfId="20436" applyFill="1"/>
    <xf numFmtId="44" fontId="184" fillId="0" borderId="0" xfId="20438" applyFont="1" applyAlignment="1">
      <alignment horizontal="center"/>
    </xf>
    <xf numFmtId="41" fontId="184" fillId="0" borderId="0" xfId="20436" applyNumberFormat="1" applyFont="1" applyAlignment="1">
      <alignment horizontal="center"/>
    </xf>
    <xf numFmtId="0" fontId="184" fillId="115" borderId="0" xfId="20436" applyFont="1" applyFill="1"/>
    <xf numFmtId="0" fontId="251" fillId="115" borderId="0" xfId="20436" applyFont="1" applyFill="1"/>
    <xf numFmtId="273" fontId="184" fillId="115" borderId="0" xfId="20436" applyNumberFormat="1" applyFont="1" applyFill="1"/>
    <xf numFmtId="41" fontId="184" fillId="115" borderId="0" xfId="20436" applyNumberFormat="1" applyFont="1" applyFill="1"/>
    <xf numFmtId="3" fontId="196" fillId="74" borderId="0" xfId="20436" applyNumberFormat="1" applyFont="1" applyFill="1"/>
    <xf numFmtId="3" fontId="252" fillId="74" borderId="0" xfId="20436" applyNumberFormat="1" applyFont="1" applyFill="1"/>
    <xf numFmtId="3" fontId="184" fillId="116" borderId="0" xfId="20436" applyNumberFormat="1" applyFont="1" applyFill="1"/>
    <xf numFmtId="273" fontId="184" fillId="0" borderId="0" xfId="20436" applyNumberFormat="1" applyFont="1"/>
    <xf numFmtId="41" fontId="196" fillId="114" borderId="0" xfId="20436" applyNumberFormat="1" applyFont="1" applyFill="1"/>
    <xf numFmtId="10" fontId="196" fillId="114" borderId="0" xfId="20436" applyNumberFormat="1" applyFont="1" applyFill="1"/>
    <xf numFmtId="44" fontId="184" fillId="74" borderId="0" xfId="20436" applyNumberFormat="1" applyFont="1" applyFill="1"/>
    <xf numFmtId="3" fontId="196" fillId="114" borderId="0" xfId="20436" applyNumberFormat="1" applyFont="1" applyFill="1"/>
    <xf numFmtId="44" fontId="184" fillId="0" borderId="0" xfId="20436" applyNumberFormat="1" applyFont="1" applyFill="1"/>
    <xf numFmtId="44" fontId="184" fillId="74" borderId="0" xfId="20438" applyFont="1" applyFill="1"/>
    <xf numFmtId="41" fontId="196" fillId="74" borderId="0" xfId="20436" applyNumberFormat="1" applyFont="1" applyFill="1"/>
    <xf numFmtId="3" fontId="196" fillId="114" borderId="0" xfId="20436" applyNumberFormat="1" applyFont="1" applyFill="1" applyAlignment="1">
      <alignment wrapText="1"/>
    </xf>
    <xf numFmtId="41" fontId="196" fillId="114" borderId="0" xfId="20436" applyNumberFormat="1" applyFont="1" applyFill="1" applyAlignment="1">
      <alignment wrapText="1"/>
    </xf>
    <xf numFmtId="0" fontId="251" fillId="0" borderId="0" xfId="20436" applyFont="1"/>
    <xf numFmtId="0" fontId="251" fillId="0" borderId="0" xfId="20436" applyFont="1" applyAlignment="1">
      <alignment wrapText="1"/>
    </xf>
    <xf numFmtId="3" fontId="251" fillId="0" borderId="0" xfId="20436" applyNumberFormat="1" applyFont="1" applyFill="1" applyAlignment="1">
      <alignment wrapText="1"/>
    </xf>
    <xf numFmtId="0" fontId="196" fillId="74" borderId="0" xfId="20436" applyFont="1" applyFill="1"/>
    <xf numFmtId="273" fontId="3" fillId="0" borderId="0" xfId="20436" applyNumberFormat="1"/>
    <xf numFmtId="44" fontId="184" fillId="0" borderId="0" xfId="20436" applyNumberFormat="1" applyFont="1"/>
    <xf numFmtId="3" fontId="251" fillId="90" borderId="0" xfId="20436" applyNumberFormat="1" applyFont="1" applyFill="1" applyAlignment="1">
      <alignment wrapText="1"/>
    </xf>
    <xf numFmtId="43" fontId="184" fillId="0" borderId="0" xfId="20437" applyFont="1"/>
    <xf numFmtId="0" fontId="196" fillId="116" borderId="0" xfId="20436" applyFont="1" applyFill="1"/>
    <xf numFmtId="0" fontId="184" fillId="116" borderId="0" xfId="20436" applyFont="1" applyFill="1"/>
    <xf numFmtId="10" fontId="184" fillId="116" borderId="0" xfId="20436" applyNumberFormat="1" applyFont="1" applyFill="1"/>
    <xf numFmtId="248" fontId="196" fillId="0" borderId="0" xfId="20437" applyNumberFormat="1" applyFont="1"/>
    <xf numFmtId="10" fontId="196" fillId="0" borderId="0" xfId="20439" applyNumberFormat="1" applyFont="1"/>
    <xf numFmtId="3" fontId="184" fillId="90" borderId="0" xfId="20436" applyNumberFormat="1" applyFont="1" applyFill="1"/>
    <xf numFmtId="3" fontId="184" fillId="90" borderId="0" xfId="20436" applyNumberFormat="1" applyFont="1" applyFill="1" applyAlignment="1">
      <alignment wrapText="1"/>
    </xf>
    <xf numFmtId="3" fontId="196" fillId="116" borderId="0" xfId="20436" applyNumberFormat="1" applyFont="1" applyFill="1" applyAlignment="1">
      <alignment wrapText="1"/>
    </xf>
    <xf numFmtId="0" fontId="251" fillId="0" borderId="0" xfId="20436" applyFont="1" applyFill="1"/>
    <xf numFmtId="8" fontId="184" fillId="0" borderId="0" xfId="20436" applyNumberFormat="1" applyFont="1"/>
    <xf numFmtId="0" fontId="158" fillId="0" borderId="178" xfId="20436" applyFont="1" applyBorder="1" applyAlignment="1">
      <alignment vertical="center"/>
    </xf>
    <xf numFmtId="0" fontId="158" fillId="0" borderId="0" xfId="20436" applyFont="1" applyBorder="1" applyAlignment="1">
      <alignment vertical="center"/>
    </xf>
    <xf numFmtId="0" fontId="251" fillId="116" borderId="0" xfId="20436" applyFont="1" applyFill="1"/>
    <xf numFmtId="0" fontId="184" fillId="0" borderId="0" xfId="20436" applyFont="1" applyBorder="1"/>
    <xf numFmtId="3" fontId="171" fillId="0" borderId="0" xfId="20436" applyNumberFormat="1" applyFont="1" applyBorder="1"/>
    <xf numFmtId="10" fontId="184" fillId="0" borderId="0" xfId="20436" applyNumberFormat="1" applyFont="1" applyBorder="1" applyAlignment="1">
      <alignment horizontal="right" vertical="center" wrapText="1"/>
    </xf>
    <xf numFmtId="3" fontId="184" fillId="0" borderId="0" xfId="20436" applyNumberFormat="1" applyFont="1" applyBorder="1" applyAlignment="1">
      <alignment horizontal="right" vertical="center" wrapText="1"/>
    </xf>
    <xf numFmtId="3" fontId="184" fillId="0" borderId="0" xfId="20436" applyNumberFormat="1" applyFont="1" applyBorder="1"/>
    <xf numFmtId="0" fontId="158" fillId="0" borderId="0" xfId="20436" applyFont="1" applyAlignment="1">
      <alignment vertical="center"/>
    </xf>
    <xf numFmtId="10" fontId="158" fillId="0" borderId="0" xfId="20436" applyNumberFormat="1" applyFont="1" applyAlignment="1">
      <alignment horizontal="right" vertical="center"/>
    </xf>
    <xf numFmtId="0" fontId="259" fillId="0" borderId="0" xfId="20440" applyNumberFormat="1" applyFont="1" applyBorder="1" applyAlignment="1"/>
    <xf numFmtId="10" fontId="158" fillId="0" borderId="178" xfId="20436" applyNumberFormat="1" applyFont="1" applyBorder="1" applyAlignment="1">
      <alignment horizontal="right" vertical="center"/>
    </xf>
    <xf numFmtId="10" fontId="158" fillId="0" borderId="0" xfId="20436" applyNumberFormat="1" applyFont="1" applyBorder="1" applyAlignment="1">
      <alignment horizontal="right" vertical="center"/>
    </xf>
    <xf numFmtId="0" fontId="160" fillId="0" borderId="178" xfId="20436" applyFont="1" applyBorder="1" applyAlignment="1">
      <alignment vertical="center"/>
    </xf>
    <xf numFmtId="10" fontId="160" fillId="0" borderId="178" xfId="20436" applyNumberFormat="1" applyFont="1" applyBorder="1" applyAlignment="1">
      <alignment horizontal="right" vertical="center"/>
    </xf>
    <xf numFmtId="10" fontId="160" fillId="0" borderId="0" xfId="20436" applyNumberFormat="1" applyFont="1" applyBorder="1" applyAlignment="1">
      <alignment horizontal="right" vertical="center"/>
    </xf>
    <xf numFmtId="3" fontId="171" fillId="0" borderId="0" xfId="20436" applyNumberFormat="1" applyFont="1"/>
    <xf numFmtId="10" fontId="184" fillId="0" borderId="0" xfId="20436" applyNumberFormat="1" applyFont="1" applyBorder="1"/>
    <xf numFmtId="0" fontId="160" fillId="0" borderId="0" xfId="20436" applyFont="1" applyFill="1" applyBorder="1" applyAlignment="1">
      <alignment horizontal="left" vertical="center"/>
    </xf>
    <xf numFmtId="0" fontId="160" fillId="0" borderId="0" xfId="20436" applyFont="1" applyFill="1" applyBorder="1" applyAlignment="1">
      <alignment horizontal="left" vertical="center" wrapText="1" indent="4"/>
    </xf>
    <xf numFmtId="0" fontId="251" fillId="0" borderId="0" xfId="20436" applyFont="1" applyBorder="1"/>
    <xf numFmtId="10" fontId="196" fillId="0" borderId="0" xfId="20436" applyNumberFormat="1" applyFont="1"/>
    <xf numFmtId="6" fontId="196" fillId="0" borderId="0" xfId="20436" applyNumberFormat="1" applyFont="1"/>
    <xf numFmtId="0" fontId="196" fillId="0" borderId="0" xfId="20436" applyNumberFormat="1" applyFont="1"/>
    <xf numFmtId="10" fontId="171" fillId="0" borderId="0" xfId="20436" applyNumberFormat="1" applyFont="1"/>
    <xf numFmtId="10" fontId="171" fillId="115" borderId="0" xfId="20436" applyNumberFormat="1" applyFont="1" applyFill="1"/>
    <xf numFmtId="44" fontId="196" fillId="0" borderId="0" xfId="20436" applyNumberFormat="1" applyFont="1"/>
    <xf numFmtId="0" fontId="196" fillId="0" borderId="0" xfId="20436" applyFont="1" applyFill="1" applyAlignment="1">
      <alignment horizontal="center" wrapText="1"/>
    </xf>
    <xf numFmtId="9" fontId="184" fillId="0" borderId="0" xfId="20436" applyNumberFormat="1" applyFont="1"/>
    <xf numFmtId="3" fontId="184" fillId="0" borderId="0" xfId="20436" applyNumberFormat="1" applyFont="1" applyAlignment="1">
      <alignment wrapText="1"/>
    </xf>
    <xf numFmtId="273" fontId="184" fillId="0" borderId="0" xfId="20436" applyNumberFormat="1" applyFont="1" applyAlignment="1">
      <alignment wrapText="1"/>
    </xf>
    <xf numFmtId="3" fontId="184" fillId="114" borderId="0" xfId="20436" applyNumberFormat="1" applyFont="1" applyFill="1"/>
    <xf numFmtId="273" fontId="184" fillId="114" borderId="0" xfId="20436" applyNumberFormat="1" applyFont="1" applyFill="1"/>
    <xf numFmtId="3" fontId="263" fillId="0" borderId="0" xfId="20436" applyNumberFormat="1" applyFont="1" applyAlignment="1">
      <alignment wrapText="1"/>
    </xf>
    <xf numFmtId="3" fontId="341" fillId="0" borderId="0" xfId="20436" applyNumberFormat="1" applyFont="1"/>
    <xf numFmtId="273" fontId="184" fillId="114" borderId="0" xfId="20436" applyNumberFormat="1" applyFont="1" applyFill="1" applyAlignment="1">
      <alignment wrapText="1"/>
    </xf>
    <xf numFmtId="273" fontId="264" fillId="114" borderId="0" xfId="20436" applyNumberFormat="1" applyFont="1" applyFill="1" applyAlignment="1">
      <alignment wrapText="1"/>
    </xf>
    <xf numFmtId="3" fontId="329" fillId="114" borderId="0" xfId="20436" applyNumberFormat="1" applyFont="1" applyFill="1"/>
    <xf numFmtId="3" fontId="3" fillId="114" borderId="0" xfId="20436" applyNumberFormat="1" applyFill="1"/>
    <xf numFmtId="4" fontId="156" fillId="0" borderId="0" xfId="20436" applyNumberFormat="1" applyFont="1" applyFill="1"/>
    <xf numFmtId="0" fontId="196" fillId="0" borderId="0" xfId="20436" applyFont="1" applyAlignment="1">
      <alignment wrapText="1"/>
    </xf>
    <xf numFmtId="273" fontId="264" fillId="0" borderId="0" xfId="20436" applyNumberFormat="1" applyFont="1" applyAlignment="1">
      <alignment wrapText="1"/>
    </xf>
    <xf numFmtId="4" fontId="323" fillId="0" borderId="0" xfId="20436" applyNumberFormat="1" applyFont="1"/>
    <xf numFmtId="3" fontId="329" fillId="114" borderId="0" xfId="20436" applyNumberFormat="1" applyFont="1" applyFill="1" applyAlignment="1">
      <alignment wrapText="1"/>
    </xf>
    <xf numFmtId="3" fontId="323" fillId="0" borderId="0" xfId="20436" applyNumberFormat="1" applyFont="1"/>
    <xf numFmtId="310" fontId="184" fillId="114" borderId="0" xfId="20436" applyNumberFormat="1" applyFont="1" applyFill="1" applyAlignment="1">
      <alignment wrapText="1"/>
    </xf>
    <xf numFmtId="310" fontId="329" fillId="114" borderId="0" xfId="20436" applyNumberFormat="1" applyFont="1" applyFill="1" applyAlignment="1">
      <alignment wrapText="1"/>
    </xf>
    <xf numFmtId="3" fontId="3" fillId="0" borderId="0" xfId="20436" applyNumberFormat="1"/>
    <xf numFmtId="0" fontId="252" fillId="0" borderId="0" xfId="20436" applyFont="1" applyAlignment="1">
      <alignment horizontal="right" wrapText="1"/>
    </xf>
    <xf numFmtId="0" fontId="252" fillId="0" borderId="0" xfId="20436" applyFont="1"/>
    <xf numFmtId="3" fontId="252" fillId="0" borderId="0" xfId="20436" applyNumberFormat="1" applyFont="1"/>
    <xf numFmtId="3" fontId="252" fillId="0" borderId="0" xfId="20436" applyNumberFormat="1" applyFont="1" applyAlignment="1">
      <alignment wrapText="1"/>
    </xf>
    <xf numFmtId="273" fontId="252" fillId="0" borderId="0" xfId="20436" applyNumberFormat="1" applyFont="1"/>
    <xf numFmtId="3" fontId="252" fillId="114" borderId="0" xfId="20436" applyNumberFormat="1" applyFont="1" applyFill="1" applyAlignment="1">
      <alignment wrapText="1"/>
    </xf>
    <xf numFmtId="273" fontId="196" fillId="114" borderId="0" xfId="20436" applyNumberFormat="1" applyFont="1" applyFill="1"/>
    <xf numFmtId="3" fontId="342" fillId="0" borderId="0" xfId="20436" applyNumberFormat="1" applyFont="1"/>
    <xf numFmtId="273" fontId="196" fillId="114" borderId="0" xfId="20436" applyNumberFormat="1" applyFont="1" applyFill="1" applyAlignment="1">
      <alignment wrapText="1"/>
    </xf>
    <xf numFmtId="10" fontId="196" fillId="114" borderId="0" xfId="20439" applyNumberFormat="1" applyFont="1" applyFill="1" applyAlignment="1">
      <alignment wrapText="1"/>
    </xf>
    <xf numFmtId="0" fontId="271" fillId="0" borderId="0" xfId="20436" applyFont="1"/>
    <xf numFmtId="0" fontId="272" fillId="0" borderId="0" xfId="20436" applyFont="1" applyAlignment="1">
      <alignment wrapText="1"/>
    </xf>
    <xf numFmtId="0" fontId="272" fillId="0" borderId="0" xfId="20436" applyFont="1"/>
    <xf numFmtId="3" fontId="272" fillId="0" borderId="0" xfId="20436" applyNumberFormat="1" applyFont="1"/>
    <xf numFmtId="0" fontId="273" fillId="0" borderId="0" xfId="20436" applyFont="1"/>
    <xf numFmtId="3" fontId="274" fillId="0" borderId="0" xfId="20436" applyNumberFormat="1" applyFont="1"/>
    <xf numFmtId="0" fontId="3" fillId="0" borderId="0" xfId="20436" applyBorder="1"/>
    <xf numFmtId="3" fontId="184" fillId="0" borderId="0" xfId="20436" applyNumberFormat="1" applyFont="1" applyBorder="1" applyAlignment="1">
      <alignment horizontal="center" vertical="center" wrapText="1"/>
    </xf>
    <xf numFmtId="3" fontId="3" fillId="0" borderId="0" xfId="20436" applyNumberFormat="1" applyBorder="1"/>
    <xf numFmtId="0" fontId="310" fillId="0" borderId="15" xfId="20436" applyFont="1" applyFill="1" applyBorder="1" applyAlignment="1">
      <alignment horizontal="center" vertical="center" wrapText="1"/>
    </xf>
    <xf numFmtId="0" fontId="310" fillId="0" borderId="0" xfId="20436" applyFont="1" applyAlignment="1">
      <alignment vertical="center" wrapText="1"/>
    </xf>
    <xf numFmtId="0" fontId="310" fillId="0" borderId="15" xfId="20436" applyFont="1" applyBorder="1" applyAlignment="1">
      <alignment vertical="center" wrapText="1"/>
    </xf>
    <xf numFmtId="0" fontId="309" fillId="0" borderId="31" xfId="20436" applyFont="1" applyBorder="1" applyAlignment="1">
      <alignment horizontal="center"/>
    </xf>
    <xf numFmtId="0" fontId="309" fillId="0" borderId="31" xfId="20436" applyNumberFormat="1" applyFont="1" applyFill="1" applyBorder="1"/>
    <xf numFmtId="0" fontId="309" fillId="0" borderId="31" xfId="20436" applyNumberFormat="1" applyFont="1" applyFill="1" applyBorder="1" applyAlignment="1">
      <alignment horizontal="center"/>
    </xf>
    <xf numFmtId="0" fontId="309" fillId="0" borderId="31" xfId="20436" applyFont="1" applyFill="1" applyBorder="1" applyAlignment="1">
      <alignment horizontal="center"/>
    </xf>
    <xf numFmtId="3" fontId="309" fillId="0" borderId="31" xfId="20436" applyNumberFormat="1" applyFont="1" applyFill="1" applyBorder="1"/>
    <xf numFmtId="0" fontId="309" fillId="0" borderId="31" xfId="20436" applyFont="1" applyFill="1" applyBorder="1"/>
    <xf numFmtId="0" fontId="309" fillId="0" borderId="31" xfId="20436" applyFont="1" applyFill="1" applyBorder="1" applyAlignment="1">
      <alignment vertical="center"/>
    </xf>
    <xf numFmtId="15" fontId="309" fillId="0" borderId="31" xfId="20436" applyNumberFormat="1" applyFont="1" applyFill="1" applyBorder="1" applyAlignment="1">
      <alignment vertical="center"/>
    </xf>
    <xf numFmtId="0" fontId="309" fillId="0" borderId="15" xfId="20436" applyFont="1" applyFill="1" applyBorder="1"/>
    <xf numFmtId="0" fontId="309" fillId="0" borderId="0" xfId="20436" applyFont="1"/>
    <xf numFmtId="0" fontId="309" fillId="0" borderId="15" xfId="20436" applyFont="1" applyBorder="1" applyAlignment="1">
      <alignment horizontal="center"/>
    </xf>
    <xf numFmtId="0" fontId="309" fillId="0" borderId="15" xfId="20436" applyNumberFormat="1" applyFont="1" applyFill="1" applyBorder="1" applyAlignment="1">
      <alignment horizontal="center"/>
    </xf>
    <xf numFmtId="0" fontId="309" fillId="0" borderId="15" xfId="20436" applyFont="1" applyFill="1" applyBorder="1" applyAlignment="1">
      <alignment horizontal="center"/>
    </xf>
    <xf numFmtId="0" fontId="309" fillId="0" borderId="15" xfId="20436" applyFont="1" applyFill="1" applyBorder="1" applyAlignment="1">
      <alignment vertical="center"/>
    </xf>
    <xf numFmtId="15" fontId="309" fillId="0" borderId="15" xfId="20436" applyNumberFormat="1" applyFont="1" applyFill="1" applyBorder="1" applyAlignment="1">
      <alignment vertical="center"/>
    </xf>
    <xf numFmtId="3" fontId="309" fillId="0" borderId="15" xfId="20436" applyNumberFormat="1" applyFont="1" applyFill="1" applyBorder="1"/>
    <xf numFmtId="0" fontId="309" fillId="0" borderId="15" xfId="20406" applyNumberFormat="1" applyFont="1" applyFill="1" applyBorder="1" applyAlignment="1">
      <alignment vertical="center"/>
    </xf>
    <xf numFmtId="15" fontId="309" fillId="0" borderId="15" xfId="20436" applyNumberFormat="1" applyFont="1" applyBorder="1"/>
    <xf numFmtId="0" fontId="309" fillId="0" borderId="0" xfId="20436" applyFont="1" applyFill="1"/>
    <xf numFmtId="0" fontId="309" fillId="86" borderId="31" xfId="20436" applyNumberFormat="1" applyFont="1" applyFill="1" applyBorder="1"/>
    <xf numFmtId="0" fontId="343" fillId="86" borderId="31" xfId="20436" applyNumberFormat="1" applyFont="1" applyFill="1" applyBorder="1"/>
    <xf numFmtId="0" fontId="335" fillId="97" borderId="31" xfId="20436" applyFont="1" applyFill="1" applyBorder="1" applyAlignment="1">
      <alignment vertical="center"/>
    </xf>
    <xf numFmtId="0" fontId="343" fillId="74" borderId="31" xfId="20436" applyNumberFormat="1" applyFont="1" applyFill="1" applyBorder="1"/>
    <xf numFmtId="0" fontId="336" fillId="0" borderId="0" xfId="20436" applyFont="1"/>
    <xf numFmtId="0" fontId="309" fillId="0" borderId="15" xfId="20436" applyNumberFormat="1" applyFont="1" applyFill="1" applyBorder="1"/>
    <xf numFmtId="0" fontId="309" fillId="0" borderId="15" xfId="20436" applyFont="1" applyBorder="1"/>
    <xf numFmtId="0" fontId="310" fillId="0" borderId="15" xfId="20436" applyNumberFormat="1" applyFont="1" applyFill="1" applyBorder="1"/>
    <xf numFmtId="0" fontId="310" fillId="0" borderId="15" xfId="20436" applyFont="1" applyFill="1" applyBorder="1"/>
    <xf numFmtId="0" fontId="310" fillId="0" borderId="15" xfId="20406" applyNumberFormat="1" applyFont="1" applyFill="1" applyBorder="1" applyAlignment="1"/>
    <xf numFmtId="0" fontId="310" fillId="0" borderId="0" xfId="20436" applyFont="1"/>
    <xf numFmtId="3" fontId="309" fillId="0" borderId="0" xfId="20436" applyNumberFormat="1" applyFont="1" applyFill="1" applyAlignment="1">
      <alignment horizontal="left"/>
    </xf>
    <xf numFmtId="0" fontId="309" fillId="0" borderId="0" xfId="20436" applyFont="1" applyFill="1" applyAlignment="1">
      <alignment horizontal="center"/>
    </xf>
    <xf numFmtId="0" fontId="344" fillId="0" borderId="0" xfId="20436" applyFont="1" applyBorder="1"/>
    <xf numFmtId="0" fontId="309" fillId="0" borderId="0" xfId="20436" applyNumberFormat="1" applyFont="1" applyFill="1" applyAlignment="1">
      <alignment horizontal="left"/>
    </xf>
    <xf numFmtId="10" fontId="310" fillId="0" borderId="0" xfId="20436" applyNumberFormat="1" applyFont="1" applyFill="1"/>
    <xf numFmtId="0" fontId="309" fillId="0" borderId="0" xfId="20436" applyFont="1" applyFill="1" applyAlignment="1">
      <alignment horizontal="left"/>
    </xf>
    <xf numFmtId="0" fontId="336" fillId="0" borderId="0" xfId="20436" applyFont="1" applyBorder="1"/>
    <xf numFmtId="0" fontId="344" fillId="0" borderId="0" xfId="20436" applyFont="1" applyFill="1"/>
    <xf numFmtId="0" fontId="345" fillId="117" borderId="15" xfId="20436" applyFont="1" applyFill="1" applyBorder="1" applyAlignment="1">
      <alignment horizontal="center" vertical="center" wrapText="1"/>
    </xf>
    <xf numFmtId="296" fontId="345" fillId="117" borderId="15" xfId="20406" applyFont="1" applyFill="1" applyBorder="1" applyAlignment="1">
      <alignment horizontal="center" vertical="center" wrapText="1"/>
    </xf>
    <xf numFmtId="14" fontId="345" fillId="117" borderId="15" xfId="20436" applyNumberFormat="1" applyFont="1" applyFill="1" applyBorder="1" applyAlignment="1">
      <alignment horizontal="center" vertical="center" wrapText="1"/>
    </xf>
    <xf numFmtId="0" fontId="346" fillId="0" borderId="15" xfId="20436" applyFont="1" applyBorder="1" applyAlignment="1">
      <alignment horizontal="left" vertical="center" wrapText="1"/>
    </xf>
    <xf numFmtId="296" fontId="346" fillId="0" borderId="15" xfId="20406" applyFont="1" applyBorder="1" applyAlignment="1">
      <alignment horizontal="center"/>
    </xf>
    <xf numFmtId="0" fontId="346" fillId="0" borderId="15" xfId="20436" applyFont="1" applyBorder="1" applyAlignment="1">
      <alignment horizontal="center"/>
    </xf>
    <xf numFmtId="14" fontId="346" fillId="0" borderId="15" xfId="20436" applyNumberFormat="1" applyFont="1" applyBorder="1" applyAlignment="1">
      <alignment horizontal="center"/>
    </xf>
    <xf numFmtId="14" fontId="346" fillId="0" borderId="15" xfId="20436" applyNumberFormat="1" applyFont="1" applyFill="1" applyBorder="1" applyAlignment="1">
      <alignment horizontal="center"/>
    </xf>
    <xf numFmtId="0" fontId="310" fillId="0" borderId="0" xfId="20436" applyFont="1" applyFill="1"/>
    <xf numFmtId="310" fontId="158" fillId="0" borderId="0" xfId="0" applyNumberFormat="1" applyFont="1"/>
    <xf numFmtId="3" fontId="309" fillId="0" borderId="16" xfId="0" applyNumberFormat="1" applyFont="1" applyBorder="1" applyAlignment="1">
      <alignment vertical="center" wrapText="1"/>
    </xf>
    <xf numFmtId="3" fontId="309" fillId="0" borderId="146" xfId="0" applyNumberFormat="1" applyFont="1" applyBorder="1" applyAlignment="1">
      <alignment vertical="center" wrapText="1"/>
    </xf>
    <xf numFmtId="3" fontId="309" fillId="0" borderId="0" xfId="0" applyNumberFormat="1" applyFont="1"/>
    <xf numFmtId="0" fontId="160" fillId="0" borderId="63" xfId="0" applyFont="1" applyBorder="1" applyAlignment="1">
      <alignment horizontal="center"/>
    </xf>
    <xf numFmtId="0" fontId="160" fillId="0" borderId="130" xfId="0" applyFont="1" applyBorder="1" applyAlignment="1">
      <alignment horizontal="left"/>
    </xf>
    <xf numFmtId="0" fontId="240" fillId="0" borderId="130" xfId="0" applyFont="1" applyBorder="1" applyAlignment="1">
      <alignment horizontal="center"/>
    </xf>
    <xf numFmtId="0" fontId="158" fillId="0" borderId="53" xfId="0" applyFont="1" applyBorder="1" applyAlignment="1">
      <alignment horizontal="right"/>
    </xf>
    <xf numFmtId="0" fontId="158" fillId="0" borderId="63" xfId="0" applyFont="1" applyBorder="1" applyAlignment="1">
      <alignment horizontal="center"/>
    </xf>
    <xf numFmtId="0" fontId="132" fillId="70" borderId="130" xfId="0" applyFont="1" applyFill="1" applyBorder="1"/>
    <xf numFmtId="0" fontId="158" fillId="73" borderId="130" xfId="0" applyFont="1" applyFill="1" applyBorder="1" applyAlignment="1">
      <alignment horizontal="center"/>
    </xf>
    <xf numFmtId="342" fontId="158" fillId="73" borderId="53" xfId="0" applyNumberFormat="1" applyFont="1" applyFill="1" applyBorder="1" applyAlignment="1">
      <alignment horizontal="right"/>
    </xf>
    <xf numFmtId="165" fontId="158" fillId="94" borderId="0" xfId="0" applyNumberFormat="1" applyFont="1" applyFill="1" applyAlignment="1">
      <alignment horizontal="right"/>
    </xf>
    <xf numFmtId="0" fontId="158" fillId="0" borderId="0" xfId="20441" applyFont="1" applyFill="1" applyBorder="1"/>
    <xf numFmtId="0" fontId="158" fillId="0" borderId="0" xfId="20442" applyFont="1" applyFill="1" applyBorder="1" applyAlignment="1">
      <alignment horizontal="center"/>
    </xf>
    <xf numFmtId="164" fontId="158" fillId="0" borderId="0" xfId="20441" applyNumberFormat="1" applyFont="1" applyFill="1" applyBorder="1" applyAlignment="1">
      <alignment horizontal="center"/>
    </xf>
    <xf numFmtId="243" fontId="158" fillId="0" borderId="0" xfId="20443" applyNumberFormat="1" applyFont="1" applyFill="1" applyBorder="1" applyAlignment="1"/>
    <xf numFmtId="243" fontId="158" fillId="0" borderId="0" xfId="20443" applyNumberFormat="1" applyFont="1" applyFill="1" applyBorder="1" applyAlignment="1">
      <alignment horizontal="right"/>
    </xf>
    <xf numFmtId="243" fontId="158" fillId="0" borderId="0" xfId="20396" applyNumberFormat="1" applyFont="1" applyFill="1" applyBorder="1" applyAlignment="1">
      <alignment horizontal="right"/>
    </xf>
    <xf numFmtId="0" fontId="189" fillId="0" borderId="0" xfId="20442" applyFont="1" applyFill="1" applyBorder="1" applyAlignment="1">
      <alignment horizontal="center"/>
    </xf>
    <xf numFmtId="248" fontId="158" fillId="0" borderId="0" xfId="20443" applyNumberFormat="1" applyFont="1" applyFill="1" applyBorder="1" applyAlignment="1">
      <alignment horizontal="right"/>
    </xf>
    <xf numFmtId="248" fontId="30" fillId="0" borderId="0" xfId="12427" applyNumberFormat="1" applyFont="1" applyFill="1" applyBorder="1" applyAlignment="1">
      <alignment horizontal="right"/>
    </xf>
    <xf numFmtId="0" fontId="158" fillId="0" borderId="0" xfId="20441" applyFont="1" applyAlignment="1">
      <alignment horizontal="left"/>
    </xf>
    <xf numFmtId="248" fontId="158" fillId="86" borderId="0" xfId="20441" applyNumberFormat="1" applyFont="1" applyFill="1"/>
    <xf numFmtId="0" fontId="158" fillId="0" borderId="0" xfId="20441" applyFont="1" applyFill="1" applyAlignment="1">
      <alignment horizontal="left" vertical="top"/>
    </xf>
    <xf numFmtId="43" fontId="189" fillId="0" borderId="0" xfId="12427" applyNumberFormat="1" applyFont="1" applyFill="1"/>
    <xf numFmtId="169" fontId="189" fillId="0" borderId="0" xfId="0" applyNumberFormat="1" applyFont="1" applyFill="1"/>
    <xf numFmtId="14" fontId="158" fillId="0" borderId="15" xfId="0" applyNumberFormat="1" applyFont="1" applyBorder="1"/>
    <xf numFmtId="0" fontId="158" fillId="0" borderId="15" xfId="0" applyFont="1" applyBorder="1"/>
    <xf numFmtId="0" fontId="158" fillId="0" borderId="76" xfId="0" applyFont="1" applyBorder="1"/>
    <xf numFmtId="0" fontId="30" fillId="0" borderId="117" xfId="20419" applyFont="1" applyFill="1" applyBorder="1" applyProtection="1">
      <protection locked="0"/>
    </xf>
    <xf numFmtId="0" fontId="160" fillId="0" borderId="76" xfId="0" applyFont="1" applyBorder="1"/>
    <xf numFmtId="358" fontId="160" fillId="0" borderId="0" xfId="0" applyNumberFormat="1" applyFont="1"/>
    <xf numFmtId="358" fontId="160" fillId="0" borderId="76" xfId="0" applyNumberFormat="1" applyFont="1" applyBorder="1"/>
    <xf numFmtId="8" fontId="233" fillId="0" borderId="0" xfId="0" applyNumberFormat="1" applyFont="1" applyAlignment="1">
      <alignment horizontal="right"/>
    </xf>
    <xf numFmtId="1" fontId="161" fillId="0" borderId="74" xfId="0" applyNumberFormat="1" applyFont="1" applyFill="1" applyBorder="1" applyAlignment="1">
      <alignment horizontal="right"/>
    </xf>
    <xf numFmtId="167" fontId="30" fillId="0" borderId="53" xfId="12427" applyNumberFormat="1" applyFont="1" applyBorder="1"/>
    <xf numFmtId="10" fontId="30" fillId="0" borderId="13" xfId="0" applyNumberFormat="1" applyFont="1" applyBorder="1"/>
    <xf numFmtId="165" fontId="30" fillId="0" borderId="13" xfId="0" applyNumberFormat="1" applyFont="1" applyFill="1" applyBorder="1"/>
    <xf numFmtId="2" fontId="30" fillId="0" borderId="0" xfId="12427" applyNumberFormat="1" applyFont="1" applyFill="1" applyAlignment="1">
      <alignment horizontal="left"/>
    </xf>
    <xf numFmtId="8" fontId="158" fillId="0" borderId="44" xfId="0" applyNumberFormat="1" applyFont="1" applyBorder="1"/>
    <xf numFmtId="8" fontId="158" fillId="0" borderId="90" xfId="0" applyNumberFormat="1" applyFont="1" applyBorder="1"/>
    <xf numFmtId="0" fontId="234" fillId="0" borderId="0" xfId="0" applyFont="1" applyBorder="1" applyAlignment="1">
      <alignment horizontal="right"/>
    </xf>
    <xf numFmtId="165" fontId="189" fillId="0" borderId="0" xfId="0" applyNumberFormat="1" applyFont="1" applyFill="1"/>
    <xf numFmtId="167" fontId="158" fillId="0" borderId="130" xfId="12427" applyNumberFormat="1" applyFont="1" applyBorder="1"/>
    <xf numFmtId="0" fontId="161" fillId="0" borderId="74" xfId="0" applyFont="1" applyFill="1" applyBorder="1" applyAlignment="1">
      <alignment horizontal="centerContinuous"/>
    </xf>
    <xf numFmtId="0" fontId="161" fillId="0" borderId="75" xfId="0" applyFont="1" applyFill="1" applyBorder="1" applyAlignment="1">
      <alignment horizontal="centerContinuous"/>
    </xf>
    <xf numFmtId="0" fontId="161" fillId="0" borderId="62" xfId="0" applyFont="1" applyFill="1" applyBorder="1" applyAlignment="1">
      <alignment horizontal="centerContinuous"/>
    </xf>
    <xf numFmtId="0" fontId="175" fillId="72" borderId="74" xfId="0" applyFont="1" applyFill="1" applyBorder="1" applyAlignment="1">
      <alignment horizontal="center" wrapText="1"/>
    </xf>
    <xf numFmtId="0" fontId="175" fillId="72" borderId="75" xfId="0" applyFont="1" applyFill="1" applyBorder="1" applyAlignment="1">
      <alignment horizontal="center" wrapText="1"/>
    </xf>
    <xf numFmtId="0" fontId="175" fillId="72" borderId="62" xfId="0" applyFont="1" applyFill="1" applyBorder="1" applyAlignment="1">
      <alignment horizontal="center" wrapText="1"/>
    </xf>
    <xf numFmtId="164" fontId="189" fillId="0" borderId="0" xfId="0" applyNumberFormat="1" applyFont="1" applyFill="1" applyAlignment="1">
      <alignment horizontal="right" vertical="top" wrapText="1"/>
    </xf>
    <xf numFmtId="169" fontId="189" fillId="0" borderId="0" xfId="0" applyNumberFormat="1" applyFont="1" applyAlignment="1">
      <alignment horizontal="right" vertical="top"/>
    </xf>
    <xf numFmtId="169" fontId="235" fillId="0" borderId="0" xfId="0" applyNumberFormat="1" applyFont="1" applyAlignment="1">
      <alignment horizontal="right" vertical="top"/>
    </xf>
    <xf numFmtId="0" fontId="170" fillId="72" borderId="74" xfId="0" applyFont="1" applyFill="1" applyBorder="1" applyAlignment="1">
      <alignment horizontal="right"/>
    </xf>
    <xf numFmtId="0" fontId="170" fillId="72" borderId="62" xfId="0" applyFont="1" applyFill="1" applyBorder="1" applyAlignment="1">
      <alignment horizontal="right"/>
    </xf>
    <xf numFmtId="169" fontId="30" fillId="0" borderId="0" xfId="0" applyNumberFormat="1" applyFont="1" applyAlignment="1">
      <alignment horizontal="right" vertical="top"/>
    </xf>
    <xf numFmtId="169" fontId="160" fillId="0" borderId="130" xfId="0" applyNumberFormat="1" applyFont="1" applyBorder="1" applyAlignment="1">
      <alignment horizontal="right" vertical="top"/>
    </xf>
    <xf numFmtId="169" fontId="189" fillId="0" borderId="0" xfId="0" applyNumberFormat="1" applyFont="1"/>
    <xf numFmtId="8" fontId="189" fillId="0" borderId="0" xfId="0" applyNumberFormat="1" applyFont="1"/>
    <xf numFmtId="0" fontId="189" fillId="0" borderId="90" xfId="0" applyFont="1" applyBorder="1" applyAlignment="1">
      <alignment horizontal="right"/>
    </xf>
    <xf numFmtId="0" fontId="158" fillId="0" borderId="0" xfId="0" applyFont="1" applyAlignment="1">
      <alignment horizontal="centerContinuous"/>
    </xf>
    <xf numFmtId="14" fontId="170" fillId="72" borderId="63" xfId="0" applyNumberFormat="1" applyFont="1" applyFill="1" applyBorder="1" applyAlignment="1">
      <alignment horizontal="centerContinuous"/>
    </xf>
    <xf numFmtId="0" fontId="170" fillId="72" borderId="130" xfId="0" applyFont="1" applyFill="1" applyBorder="1" applyAlignment="1">
      <alignment horizontal="centerContinuous"/>
    </xf>
    <xf numFmtId="0" fontId="170" fillId="72" borderId="53" xfId="0" applyFont="1" applyFill="1" applyBorder="1" applyAlignment="1">
      <alignment horizontal="centerContinuous"/>
    </xf>
    <xf numFmtId="0" fontId="170" fillId="72" borderId="63" xfId="0" applyFont="1" applyFill="1" applyBorder="1" applyAlignment="1">
      <alignment horizontal="centerContinuous"/>
    </xf>
    <xf numFmtId="9" fontId="189" fillId="0" borderId="62" xfId="0" applyNumberFormat="1" applyFont="1" applyBorder="1" applyAlignment="1">
      <alignment horizontal="right"/>
    </xf>
    <xf numFmtId="0" fontId="161" fillId="0" borderId="73" xfId="0" applyFont="1" applyFill="1" applyBorder="1" applyAlignment="1">
      <alignment horizontal="left"/>
    </xf>
    <xf numFmtId="0" fontId="161" fillId="0" borderId="0" xfId="0" applyFont="1" applyFill="1" applyBorder="1" applyAlignment="1">
      <alignment horizontal="left"/>
    </xf>
    <xf numFmtId="0" fontId="161" fillId="0" borderId="74" xfId="0" applyFont="1" applyFill="1" applyBorder="1" applyAlignment="1">
      <alignment horizontal="right"/>
    </xf>
    <xf numFmtId="0" fontId="160" fillId="0" borderId="75" xfId="0" applyFont="1" applyFill="1" applyBorder="1" applyAlignment="1">
      <alignment horizontal="right" wrapText="1"/>
    </xf>
    <xf numFmtId="0" fontId="160" fillId="0" borderId="62" xfId="0" applyFont="1" applyFill="1" applyBorder="1" applyAlignment="1">
      <alignment horizontal="right" wrapText="1"/>
    </xf>
    <xf numFmtId="0" fontId="158" fillId="0" borderId="49" xfId="0" applyFont="1" applyBorder="1" applyAlignment="1">
      <alignment horizontal="right" wrapText="1"/>
    </xf>
    <xf numFmtId="0" fontId="240" fillId="0" borderId="0" xfId="0" applyFont="1"/>
    <xf numFmtId="167" fontId="158" fillId="0" borderId="0" xfId="12427" applyNumberFormat="1" applyFont="1" applyAlignment="1">
      <alignment horizontal="right"/>
    </xf>
    <xf numFmtId="165" fontId="160" fillId="71" borderId="130" xfId="12422" applyNumberFormat="1" applyFont="1" applyFill="1" applyBorder="1"/>
    <xf numFmtId="165" fontId="160" fillId="71" borderId="53" xfId="12422" applyNumberFormat="1" applyFont="1" applyFill="1" applyBorder="1"/>
    <xf numFmtId="165" fontId="160" fillId="71" borderId="13" xfId="12422" applyNumberFormat="1" applyFont="1" applyFill="1" applyBorder="1"/>
    <xf numFmtId="164" fontId="235" fillId="0" borderId="0" xfId="0" applyNumberFormat="1" applyFont="1" applyAlignment="1">
      <alignment horizontal="right"/>
    </xf>
    <xf numFmtId="0" fontId="189" fillId="0" borderId="0" xfId="0" applyFont="1" applyAlignment="1">
      <alignment horizontal="right" wrapText="1"/>
    </xf>
    <xf numFmtId="0" fontId="30" fillId="0" borderId="0" xfId="0" applyFont="1" applyAlignment="1">
      <alignment horizontal="right" wrapText="1"/>
    </xf>
    <xf numFmtId="192" fontId="30" fillId="0" borderId="0" xfId="0" applyNumberFormat="1" applyFont="1" applyAlignment="1">
      <alignment horizontal="right"/>
    </xf>
    <xf numFmtId="192" fontId="235" fillId="0" borderId="0" xfId="0" applyNumberFormat="1" applyFont="1" applyAlignment="1">
      <alignment horizontal="right"/>
    </xf>
    <xf numFmtId="192" fontId="189" fillId="0" borderId="0" xfId="0" applyNumberFormat="1" applyFont="1" applyAlignment="1">
      <alignment horizontal="right"/>
    </xf>
    <xf numFmtId="243" fontId="235" fillId="0" borderId="0" xfId="0" applyNumberFormat="1" applyFont="1" applyAlignment="1">
      <alignment horizontal="right"/>
    </xf>
    <xf numFmtId="243" fontId="189" fillId="0" borderId="0" xfId="0" applyNumberFormat="1" applyFont="1" applyAlignment="1">
      <alignment horizontal="right"/>
    </xf>
    <xf numFmtId="165" fontId="189" fillId="0" borderId="0" xfId="0" applyNumberFormat="1" applyFont="1" applyAlignment="1">
      <alignment horizontal="right"/>
    </xf>
    <xf numFmtId="167" fontId="189" fillId="0" borderId="0" xfId="12427" applyNumberFormat="1" applyFont="1" applyAlignment="1">
      <alignment horizontal="right"/>
    </xf>
    <xf numFmtId="164" fontId="30" fillId="0" borderId="0" xfId="0" applyNumberFormat="1" applyFont="1" applyFill="1" applyAlignment="1">
      <alignment horizontal="right"/>
    </xf>
    <xf numFmtId="2" fontId="158" fillId="0" borderId="0" xfId="0" applyNumberFormat="1" applyFont="1" applyAlignment="1">
      <alignment horizontal="right"/>
    </xf>
    <xf numFmtId="165" fontId="235" fillId="0" borderId="0" xfId="12422" applyNumberFormat="1" applyFont="1" applyAlignment="1">
      <alignment horizontal="right"/>
    </xf>
    <xf numFmtId="165" fontId="189" fillId="0" borderId="0" xfId="12422" applyNumberFormat="1" applyFont="1" applyAlignment="1">
      <alignment horizontal="right"/>
    </xf>
    <xf numFmtId="165" fontId="30" fillId="0" borderId="0" xfId="12422" applyNumberFormat="1" applyFont="1" applyAlignment="1">
      <alignment horizontal="right"/>
    </xf>
    <xf numFmtId="234" fontId="235" fillId="0" borderId="0" xfId="0" applyNumberFormat="1" applyFont="1" applyFill="1" applyAlignment="1">
      <alignment horizontal="right"/>
    </xf>
    <xf numFmtId="234" fontId="189" fillId="0" borderId="0" xfId="0" applyNumberFormat="1" applyFont="1" applyFill="1" applyAlignment="1">
      <alignment horizontal="right"/>
    </xf>
    <xf numFmtId="164" fontId="235" fillId="0" borderId="0" xfId="0" applyNumberFormat="1" applyFont="1" applyFill="1" applyAlignment="1">
      <alignment horizontal="right"/>
    </xf>
    <xf numFmtId="164" fontId="189" fillId="0" borderId="0" xfId="0" applyNumberFormat="1" applyFont="1" applyFill="1" applyAlignment="1">
      <alignment horizontal="right"/>
    </xf>
    <xf numFmtId="243" fontId="235" fillId="0" borderId="0" xfId="20418" applyNumberFormat="1" applyFont="1" applyFill="1" applyAlignment="1">
      <alignment horizontal="right"/>
    </xf>
    <xf numFmtId="243" fontId="189" fillId="0" borderId="0" xfId="20418" applyNumberFormat="1" applyFont="1" applyFill="1" applyAlignment="1">
      <alignment horizontal="right"/>
    </xf>
    <xf numFmtId="167" fontId="235" fillId="0" borderId="0" xfId="12427" applyNumberFormat="1" applyFont="1" applyFill="1" applyAlignment="1">
      <alignment horizontal="right"/>
    </xf>
    <xf numFmtId="192" fontId="235" fillId="0" borderId="0" xfId="0" applyNumberFormat="1" applyFont="1" applyFill="1" applyAlignment="1">
      <alignment horizontal="right"/>
    </xf>
    <xf numFmtId="192" fontId="189" fillId="0" borderId="0" xfId="0" applyNumberFormat="1" applyFont="1" applyFill="1" applyAlignment="1">
      <alignment horizontal="right"/>
    </xf>
    <xf numFmtId="44" fontId="0" fillId="0" borderId="0" xfId="20418" applyFont="1"/>
    <xf numFmtId="289" fontId="189" fillId="0" borderId="0" xfId="0" applyNumberFormat="1" applyFont="1" applyFill="1"/>
    <xf numFmtId="0" fontId="158" fillId="0" borderId="0" xfId="0" quotePrefix="1" applyFont="1" applyFill="1" applyAlignment="1">
      <alignment horizontal="right" vertical="top"/>
    </xf>
    <xf numFmtId="165" fontId="189" fillId="0" borderId="0" xfId="20380" applyNumberFormat="1" applyFont="1" applyFill="1"/>
    <xf numFmtId="0" fontId="234" fillId="0" borderId="0" xfId="0" applyFont="1" applyAlignment="1">
      <alignment wrapText="1"/>
    </xf>
    <xf numFmtId="165" fontId="189" fillId="0" borderId="117" xfId="0" applyNumberFormat="1" applyFont="1" applyBorder="1"/>
    <xf numFmtId="165" fontId="158" fillId="0" borderId="90" xfId="0" applyNumberFormat="1" applyFont="1" applyBorder="1"/>
    <xf numFmtId="43" fontId="158" fillId="0" borderId="0" xfId="0" quotePrefix="1" applyNumberFormat="1" applyFont="1"/>
    <xf numFmtId="192" fontId="26" fillId="0" borderId="0" xfId="20444" applyFont="1">
      <protection locked="0"/>
    </xf>
    <xf numFmtId="0" fontId="347" fillId="118" borderId="0" xfId="20444" applyNumberFormat="1" applyFont="1" applyFill="1" applyBorder="1" applyProtection="1"/>
    <xf numFmtId="0" fontId="205" fillId="118" borderId="0" xfId="20444" applyNumberFormat="1" applyFont="1" applyFill="1" applyBorder="1" applyProtection="1"/>
    <xf numFmtId="192" fontId="26" fillId="0" borderId="0" xfId="20444">
      <protection locked="0"/>
    </xf>
    <xf numFmtId="0" fontId="348" fillId="0" borderId="0" xfId="20445" applyFont="1" applyFill="1"/>
    <xf numFmtId="0" fontId="349" fillId="0" borderId="0" xfId="20445" applyFont="1" applyFill="1"/>
    <xf numFmtId="0" fontId="109" fillId="0" borderId="0" xfId="20445" applyFont="1" applyFill="1"/>
    <xf numFmtId="0" fontId="109" fillId="0" borderId="0" xfId="20445" applyFont="1" applyFill="1" applyAlignment="1">
      <alignment horizontal="right"/>
    </xf>
    <xf numFmtId="0" fontId="350" fillId="0" borderId="185" xfId="20446" applyFont="1">
      <alignment horizontal="center"/>
    </xf>
    <xf numFmtId="0" fontId="1" fillId="0" borderId="0" xfId="20445"/>
    <xf numFmtId="0" fontId="93" fillId="119" borderId="0" xfId="20445" applyFont="1" applyFill="1"/>
    <xf numFmtId="0" fontId="109" fillId="119" borderId="0" xfId="20445" applyFont="1" applyFill="1"/>
    <xf numFmtId="0" fontId="109" fillId="119" borderId="0" xfId="20445" applyFont="1" applyFill="1" applyAlignment="1">
      <alignment horizontal="right"/>
    </xf>
    <xf numFmtId="0" fontId="351" fillId="0" borderId="0" xfId="20445" applyFont="1" applyFill="1"/>
    <xf numFmtId="0" fontId="109" fillId="0" borderId="0" xfId="20445" applyFont="1"/>
    <xf numFmtId="0" fontId="109" fillId="0" borderId="0" xfId="20445" applyFont="1" applyAlignment="1">
      <alignment horizontal="right"/>
    </xf>
    <xf numFmtId="0" fontId="109" fillId="0" borderId="0" xfId="20445" applyFont="1" applyFill="1" applyBorder="1"/>
    <xf numFmtId="0" fontId="352" fillId="0" borderId="0" xfId="20445" applyFont="1"/>
    <xf numFmtId="0" fontId="353" fillId="0" borderId="0" xfId="20445" applyFont="1" applyAlignment="1"/>
    <xf numFmtId="0" fontId="354" fillId="0" borderId="0" xfId="20445" applyFont="1"/>
    <xf numFmtId="0" fontId="308" fillId="0" borderId="0" xfId="20445" applyFont="1"/>
    <xf numFmtId="0" fontId="26" fillId="0" borderId="0" xfId="20445" applyFont="1" applyAlignment="1"/>
    <xf numFmtId="0" fontId="320" fillId="0" borderId="0" xfId="20445" applyFont="1"/>
    <xf numFmtId="248" fontId="26" fillId="0" borderId="0" xfId="20447" applyNumberFormat="1" applyFont="1" applyFill="1" applyBorder="1" applyAlignment="1">
      <alignment horizontal="right"/>
    </xf>
    <xf numFmtId="0" fontId="291" fillId="0" borderId="0" xfId="20445" applyFont="1"/>
    <xf numFmtId="0" fontId="109" fillId="0" borderId="0" xfId="20445" applyFont="1" applyAlignment="1">
      <alignment vertical="top"/>
    </xf>
    <xf numFmtId="0" fontId="351" fillId="0" borderId="0" xfId="20445" applyFont="1"/>
    <xf numFmtId="0" fontId="109" fillId="0" borderId="0" xfId="20445" applyFont="1" applyAlignment="1"/>
    <xf numFmtId="0" fontId="109" fillId="0" borderId="0" xfId="20445" applyFont="1" applyAlignment="1">
      <alignment horizontal="right" vertical="top"/>
    </xf>
    <xf numFmtId="0" fontId="1" fillId="0" borderId="0" xfId="20445" applyFill="1"/>
    <xf numFmtId="248" fontId="0" fillId="0" borderId="0" xfId="20447" applyNumberFormat="1" applyFont="1" applyFill="1"/>
    <xf numFmtId="0" fontId="355" fillId="120" borderId="186" xfId="20445" applyFont="1" applyFill="1" applyBorder="1" applyAlignment="1"/>
    <xf numFmtId="0" fontId="355" fillId="120" borderId="186" xfId="20445" applyFont="1" applyFill="1" applyBorder="1" applyAlignment="1">
      <alignment horizontal="right"/>
    </xf>
    <xf numFmtId="248" fontId="356" fillId="120" borderId="186" xfId="20445" applyNumberFormat="1" applyFont="1" applyFill="1" applyBorder="1" applyAlignment="1">
      <alignment horizontal="right"/>
    </xf>
    <xf numFmtId="9" fontId="26" fillId="0" borderId="0" xfId="20448" applyFont="1" applyFill="1" applyAlignment="1">
      <alignment horizontal="right"/>
    </xf>
    <xf numFmtId="0" fontId="109" fillId="0" borderId="0" xfId="20445" applyFont="1" applyAlignment="1">
      <alignment horizontal="left"/>
    </xf>
    <xf numFmtId="167" fontId="30" fillId="0" borderId="0" xfId="12427" applyNumberFormat="1" applyFont="1" applyBorder="1"/>
    <xf numFmtId="167" fontId="30" fillId="0" borderId="0" xfId="12427" applyNumberFormat="1" applyFont="1" applyFill="1" applyBorder="1"/>
    <xf numFmtId="169" fontId="30" fillId="0" borderId="0" xfId="0" applyNumberFormat="1" applyFont="1" applyFill="1" applyBorder="1"/>
    <xf numFmtId="169" fontId="235" fillId="0" borderId="0" xfId="20410" applyNumberFormat="1" applyFont="1" applyFill="1" applyAlignment="1">
      <alignment horizontal="right" vertical="top"/>
    </xf>
    <xf numFmtId="43" fontId="235" fillId="0" borderId="0" xfId="0" applyNumberFormat="1" applyFont="1"/>
    <xf numFmtId="272" fontId="234" fillId="0" borderId="0" xfId="0" applyNumberFormat="1" applyFont="1"/>
    <xf numFmtId="0" fontId="170" fillId="72" borderId="74" xfId="0" applyFont="1" applyFill="1" applyBorder="1"/>
    <xf numFmtId="0" fontId="170" fillId="72" borderId="75" xfId="0" applyFont="1" applyFill="1" applyBorder="1"/>
    <xf numFmtId="43" fontId="175" fillId="97" borderId="75" xfId="0" applyNumberFormat="1" applyFont="1" applyFill="1" applyBorder="1"/>
    <xf numFmtId="0" fontId="170" fillId="72" borderId="74" xfId="0" applyFont="1" applyFill="1" applyBorder="1" applyAlignment="1">
      <alignment horizontal="right" wrapText="1"/>
    </xf>
    <xf numFmtId="0" fontId="170" fillId="72" borderId="75" xfId="0" applyFont="1" applyFill="1" applyBorder="1" applyAlignment="1">
      <alignment horizontal="right" wrapText="1"/>
    </xf>
    <xf numFmtId="0" fontId="170" fillId="72" borderId="62" xfId="0" applyFont="1" applyFill="1" applyBorder="1" applyAlignment="1">
      <alignment horizontal="right" wrapText="1"/>
    </xf>
    <xf numFmtId="0" fontId="158" fillId="0" borderId="0" xfId="0" applyFont="1" applyFill="1" applyAlignment="1">
      <alignment horizontal="justify" vertical="top"/>
    </xf>
    <xf numFmtId="0" fontId="357" fillId="0" borderId="0" xfId="20449" applyFont="1"/>
    <xf numFmtId="296" fontId="358" fillId="0" borderId="0" xfId="20450" applyFont="1"/>
    <xf numFmtId="0" fontId="358" fillId="0" borderId="0" xfId="20449" applyFont="1"/>
    <xf numFmtId="0" fontId="358" fillId="0" borderId="0" xfId="20449" applyFont="1" applyAlignment="1">
      <alignment horizontal="left"/>
    </xf>
    <xf numFmtId="0" fontId="358" fillId="117" borderId="0" xfId="20449" applyFont="1" applyFill="1" applyAlignment="1">
      <alignment horizontal="center"/>
    </xf>
    <xf numFmtId="296" fontId="358" fillId="117" borderId="0" xfId="20450" applyFont="1" applyFill="1" applyAlignment="1">
      <alignment horizontal="center"/>
    </xf>
    <xf numFmtId="0" fontId="359" fillId="0" borderId="0" xfId="20449" applyFont="1"/>
    <xf numFmtId="0" fontId="358" fillId="0" borderId="0" xfId="20449" applyFont="1" applyAlignment="1">
      <alignment horizontal="center"/>
    </xf>
    <xf numFmtId="0" fontId="360" fillId="0" borderId="0" xfId="20451">
      <alignment horizontal="left"/>
    </xf>
    <xf numFmtId="166" fontId="12" fillId="0" borderId="0" xfId="4" applyNumberFormat="1" applyFont="1">
      <alignment horizontal="right"/>
    </xf>
    <xf numFmtId="166" fontId="13" fillId="0" borderId="0" xfId="4" applyNumberFormat="1" applyFont="1">
      <alignment horizontal="right"/>
    </xf>
    <xf numFmtId="0" fontId="361" fillId="0" borderId="0" xfId="20451" applyFont="1">
      <alignment horizontal="left"/>
    </xf>
    <xf numFmtId="0" fontId="362" fillId="0" borderId="0" xfId="20449" applyFont="1" applyAlignment="1">
      <alignment horizontal="center"/>
    </xf>
    <xf numFmtId="296" fontId="358" fillId="75" borderId="14" xfId="20450" applyFont="1" applyFill="1" applyBorder="1"/>
    <xf numFmtId="296" fontId="359" fillId="0" borderId="0" xfId="20449" applyNumberFormat="1" applyFont="1"/>
    <xf numFmtId="296" fontId="358" fillId="0" borderId="0" xfId="20449" applyNumberFormat="1" applyFont="1"/>
    <xf numFmtId="0" fontId="273" fillId="0" borderId="0" xfId="20449" applyFont="1"/>
    <xf numFmtId="296" fontId="273" fillId="0" borderId="0" xfId="20450" applyFont="1"/>
    <xf numFmtId="14" fontId="273" fillId="0" borderId="0" xfId="20449" applyNumberFormat="1" applyFont="1"/>
    <xf numFmtId="0" fontId="345" fillId="117" borderId="15" xfId="20449" applyFont="1" applyFill="1" applyBorder="1" applyAlignment="1">
      <alignment horizontal="center" vertical="center"/>
    </xf>
    <xf numFmtId="296" fontId="345" fillId="117" borderId="15" xfId="20450" applyFont="1" applyFill="1" applyBorder="1" applyAlignment="1">
      <alignment horizontal="center" vertical="center"/>
    </xf>
    <xf numFmtId="14" fontId="345" fillId="117" borderId="15" xfId="20449" applyNumberFormat="1" applyFont="1" applyFill="1" applyBorder="1" applyAlignment="1">
      <alignment horizontal="center" vertical="center"/>
    </xf>
    <xf numFmtId="0" fontId="358" fillId="0" borderId="0" xfId="20449" applyFont="1" applyAlignment="1"/>
    <xf numFmtId="0" fontId="346" fillId="0" borderId="15" xfId="20449" applyFont="1" applyBorder="1" applyAlignment="1">
      <alignment horizontal="left" vertical="center" wrapText="1"/>
    </xf>
    <xf numFmtId="296" fontId="346" fillId="0" borderId="15" xfId="20450" applyFont="1" applyBorder="1" applyAlignment="1">
      <alignment horizontal="center"/>
    </xf>
    <xf numFmtId="0" fontId="346" fillId="0" borderId="15" xfId="20449" applyFont="1" applyBorder="1" applyAlignment="1">
      <alignment horizontal="center"/>
    </xf>
    <xf numFmtId="14" fontId="346" fillId="0" borderId="15" xfId="20449" applyNumberFormat="1" applyFont="1" applyFill="1" applyBorder="1" applyAlignment="1">
      <alignment horizontal="center"/>
    </xf>
    <xf numFmtId="0" fontId="346" fillId="74" borderId="15" xfId="20449" applyFont="1" applyFill="1" applyBorder="1" applyAlignment="1">
      <alignment horizontal="left" vertical="center" wrapText="1"/>
    </xf>
    <xf numFmtId="296" fontId="346" fillId="74" borderId="15" xfId="20450" applyFont="1" applyFill="1" applyBorder="1" applyAlignment="1">
      <alignment horizontal="center"/>
    </xf>
    <xf numFmtId="0" fontId="346" fillId="74" borderId="15" xfId="20449" applyFont="1" applyFill="1" applyBorder="1" applyAlignment="1">
      <alignment horizontal="center"/>
    </xf>
    <xf numFmtId="14" fontId="346" fillId="74" borderId="15" xfId="20449" applyNumberFormat="1" applyFont="1" applyFill="1" applyBorder="1" applyAlignment="1">
      <alignment horizontal="center"/>
    </xf>
    <xf numFmtId="167" fontId="158" fillId="0" borderId="0" xfId="0" applyNumberFormat="1" applyFont="1" applyBorder="1"/>
    <xf numFmtId="0" fontId="170" fillId="72" borderId="44" xfId="0" applyFont="1" applyFill="1" applyBorder="1" applyAlignment="1">
      <alignment horizontal="right" wrapText="1"/>
    </xf>
    <xf numFmtId="0" fontId="170" fillId="72" borderId="90" xfId="0" applyFont="1" applyFill="1" applyBorder="1" applyAlignment="1">
      <alignment horizontal="right" wrapText="1"/>
    </xf>
    <xf numFmtId="43" fontId="309" fillId="0" borderId="0" xfId="20436" applyNumberFormat="1" applyFont="1" applyFill="1" applyAlignment="1">
      <alignment horizontal="center"/>
    </xf>
    <xf numFmtId="14" fontId="310" fillId="0" borderId="15" xfId="20436" applyNumberFormat="1" applyFont="1" applyFill="1" applyBorder="1" applyAlignment="1">
      <alignment horizontal="center" vertical="center" wrapText="1"/>
    </xf>
    <xf numFmtId="14" fontId="309" fillId="0" borderId="31" xfId="20436" applyNumberFormat="1" applyFont="1" applyFill="1" applyBorder="1" applyAlignment="1">
      <alignment horizontal="center"/>
    </xf>
    <xf numFmtId="14" fontId="309" fillId="0" borderId="15" xfId="20436" applyNumberFormat="1" applyFont="1" applyFill="1" applyBorder="1" applyAlignment="1">
      <alignment horizontal="center"/>
    </xf>
    <xf numFmtId="14" fontId="310" fillId="0" borderId="15" xfId="20436" applyNumberFormat="1" applyFont="1" applyFill="1" applyBorder="1"/>
    <xf numFmtId="14" fontId="309" fillId="0" borderId="0" xfId="20436" applyNumberFormat="1" applyFont="1" applyFill="1"/>
    <xf numFmtId="167" fontId="160" fillId="0" borderId="130" xfId="0" applyNumberFormat="1" applyFont="1" applyBorder="1"/>
    <xf numFmtId="167" fontId="160" fillId="0" borderId="130" xfId="12427" applyNumberFormat="1" applyFont="1" applyBorder="1"/>
    <xf numFmtId="0" fontId="170" fillId="72" borderId="117" xfId="0" applyFont="1" applyFill="1" applyBorder="1" applyAlignment="1">
      <alignment horizontal="right" wrapText="1"/>
    </xf>
    <xf numFmtId="0" fontId="309" fillId="121" borderId="15" xfId="20436" applyFont="1" applyFill="1" applyBorder="1" applyAlignment="1">
      <alignment vertical="center"/>
    </xf>
    <xf numFmtId="0" fontId="309" fillId="121" borderId="15" xfId="20436" applyFont="1" applyFill="1" applyBorder="1"/>
    <xf numFmtId="296" fontId="309" fillId="121" borderId="31" xfId="20406" applyFont="1" applyFill="1" applyBorder="1" applyAlignment="1"/>
    <xf numFmtId="270" fontId="132" fillId="0" borderId="0" xfId="0" applyNumberFormat="1" applyFont="1" applyFill="1" applyBorder="1" applyAlignment="1">
      <alignment horizontal="right"/>
    </xf>
    <xf numFmtId="0" fontId="158" fillId="0" borderId="0" xfId="0" quotePrefix="1" applyFont="1" applyFill="1" applyAlignment="1">
      <alignment horizontal="justify" vertical="top"/>
    </xf>
    <xf numFmtId="0" fontId="158" fillId="0" borderId="0" xfId="0" applyFont="1" applyFill="1" applyAlignment="1">
      <alignment horizontal="justify" vertical="top"/>
    </xf>
    <xf numFmtId="0" fontId="30" fillId="0" borderId="0" xfId="0" quotePrefix="1" applyFont="1" applyFill="1" applyAlignment="1">
      <alignment horizontal="justify" vertical="top" wrapText="1"/>
    </xf>
    <xf numFmtId="0" fontId="30" fillId="0" borderId="0" xfId="0" quotePrefix="1" applyFont="1" applyFill="1" applyAlignment="1">
      <alignment horizontal="left" vertical="top" wrapText="1"/>
    </xf>
    <xf numFmtId="0" fontId="158" fillId="0" borderId="0" xfId="0" applyFont="1" applyFill="1" applyAlignment="1">
      <alignment horizontal="justify" vertical="top" wrapText="1"/>
    </xf>
    <xf numFmtId="0" fontId="158" fillId="0" borderId="0" xfId="0" applyFont="1" applyAlignment="1">
      <alignment horizontal="justify" vertical="top" wrapText="1"/>
    </xf>
    <xf numFmtId="0" fontId="30" fillId="0" borderId="0" xfId="0" quotePrefix="1" applyFont="1" applyFill="1" applyAlignment="1">
      <alignment horizontal="justify" vertical="top"/>
    </xf>
    <xf numFmtId="0" fontId="158" fillId="0" borderId="3" xfId="0" quotePrefix="1" applyFont="1" applyBorder="1" applyAlignment="1">
      <alignment horizontal="center"/>
    </xf>
    <xf numFmtId="0" fontId="158" fillId="0" borderId="0" xfId="0" applyFont="1" applyAlignment="1">
      <alignment horizontal="justify" vertical="top"/>
    </xf>
    <xf numFmtId="0" fontId="0" fillId="0" borderId="0" xfId="0" applyFill="1" applyAlignment="1">
      <alignment horizontal="justify" vertical="top" wrapText="1"/>
    </xf>
    <xf numFmtId="0" fontId="160" fillId="88" borderId="0" xfId="20392" applyFont="1" applyFill="1" applyBorder="1" applyAlignment="1">
      <alignment horizontal="center" wrapText="1"/>
    </xf>
    <xf numFmtId="0" fontId="160" fillId="88" borderId="130" xfId="20392" applyFont="1" applyFill="1" applyBorder="1" applyAlignment="1">
      <alignment horizontal="center" wrapText="1"/>
    </xf>
    <xf numFmtId="0" fontId="160" fillId="88" borderId="44" xfId="20392" applyFont="1" applyFill="1" applyBorder="1" applyAlignment="1">
      <alignment horizontal="center" wrapText="1"/>
    </xf>
    <xf numFmtId="0" fontId="160" fillId="88" borderId="130" xfId="20392" applyFont="1" applyFill="1" applyBorder="1" applyAlignment="1">
      <alignment horizontal="right" wrapText="1"/>
    </xf>
    <xf numFmtId="0" fontId="160" fillId="88" borderId="44" xfId="20392" applyFont="1" applyFill="1" applyBorder="1" applyAlignment="1">
      <alignment horizontal="right" wrapText="1"/>
    </xf>
    <xf numFmtId="0" fontId="160" fillId="88" borderId="131" xfId="20392" applyFont="1" applyFill="1" applyBorder="1" applyAlignment="1">
      <alignment horizontal="right" wrapText="1"/>
    </xf>
    <xf numFmtId="0" fontId="160" fillId="88" borderId="90" xfId="20392" applyFont="1" applyFill="1" applyBorder="1" applyAlignment="1">
      <alignment horizontal="right" wrapText="1"/>
    </xf>
    <xf numFmtId="0" fontId="160" fillId="89" borderId="0" xfId="20392" applyFont="1" applyFill="1" applyBorder="1" applyAlignment="1">
      <alignment horizontal="center" wrapText="1"/>
    </xf>
    <xf numFmtId="0" fontId="158" fillId="0" borderId="0" xfId="20380" applyFont="1" applyFill="1" applyAlignment="1">
      <alignment horizontal="justify" vertical="top" wrapText="1"/>
    </xf>
    <xf numFmtId="0" fontId="158" fillId="0" borderId="0" xfId="20380" applyFont="1" applyFill="1" applyAlignment="1">
      <alignment horizontal="left" vertical="top" wrapText="1"/>
    </xf>
    <xf numFmtId="0" fontId="158" fillId="0" borderId="0" xfId="20380" applyFont="1" applyFill="1" applyAlignment="1">
      <alignment horizontal="justify" vertical="top"/>
    </xf>
    <xf numFmtId="0" fontId="170" fillId="72" borderId="74" xfId="0" applyFont="1" applyFill="1" applyBorder="1" applyAlignment="1">
      <alignment horizontal="center" wrapText="1"/>
    </xf>
    <xf numFmtId="0" fontId="170" fillId="72" borderId="75" xfId="0" applyFont="1" applyFill="1" applyBorder="1" applyAlignment="1">
      <alignment horizontal="center" wrapText="1"/>
    </xf>
    <xf numFmtId="0" fontId="170" fillId="72" borderId="62" xfId="0" applyFont="1" applyFill="1" applyBorder="1" applyAlignment="1">
      <alignment horizontal="center" wrapText="1"/>
    </xf>
    <xf numFmtId="0" fontId="30" fillId="0" borderId="0" xfId="20380" quotePrefix="1" applyFont="1" applyFill="1" applyAlignment="1">
      <alignment horizontal="justify" vertical="top" wrapText="1"/>
    </xf>
    <xf numFmtId="9" fontId="30" fillId="0" borderId="0" xfId="106" applyNumberFormat="1" applyFont="1" applyFill="1" applyBorder="1" applyAlignment="1">
      <alignment horizontal="justify" vertical="top"/>
    </xf>
    <xf numFmtId="0" fontId="332" fillId="91" borderId="63" xfId="20435" applyFont="1" applyFill="1" applyBorder="1" applyAlignment="1">
      <alignment horizontal="center" vertical="center"/>
    </xf>
    <xf numFmtId="0" fontId="333" fillId="91" borderId="53" xfId="20435" applyFont="1" applyFill="1" applyBorder="1" applyAlignment="1">
      <alignment horizontal="center" vertical="center"/>
    </xf>
    <xf numFmtId="0" fontId="332" fillId="91" borderId="30" xfId="20435" applyFont="1" applyFill="1" applyBorder="1" applyAlignment="1">
      <alignment horizontal="center" vertical="center"/>
    </xf>
    <xf numFmtId="0" fontId="333" fillId="91" borderId="30" xfId="20435" applyFont="1" applyFill="1" applyBorder="1" applyAlignment="1">
      <alignment horizontal="center" vertical="center"/>
    </xf>
    <xf numFmtId="0" fontId="332" fillId="0" borderId="39" xfId="20435" applyFont="1" applyBorder="1" applyAlignment="1">
      <alignment horizontal="center" vertical="center"/>
    </xf>
    <xf numFmtId="0" fontId="332" fillId="0" borderId="0" xfId="20435" applyFont="1" applyBorder="1" applyAlignment="1">
      <alignment horizontal="center" vertical="center"/>
    </xf>
    <xf numFmtId="0" fontId="332" fillId="0" borderId="141" xfId="20435" applyFont="1" applyBorder="1" applyAlignment="1">
      <alignment horizontal="center" vertical="center"/>
    </xf>
    <xf numFmtId="0" fontId="332" fillId="0" borderId="179" xfId="20435" applyFont="1" applyBorder="1" applyAlignment="1">
      <alignment horizontal="center" vertical="center"/>
    </xf>
    <xf numFmtId="0" fontId="332" fillId="0" borderId="181" xfId="20435" applyFont="1" applyBorder="1" applyAlignment="1">
      <alignment horizontal="center" vertical="center"/>
    </xf>
    <xf numFmtId="0" fontId="310" fillId="0" borderId="15" xfId="20436" applyFont="1" applyFill="1" applyBorder="1" applyAlignment="1">
      <alignment horizontal="center" vertical="center" wrapText="1"/>
    </xf>
    <xf numFmtId="0" fontId="309" fillId="0" borderId="30" xfId="20436" applyFont="1" applyFill="1" applyBorder="1" applyAlignment="1">
      <alignment horizontal="center" vertical="center" wrapText="1"/>
    </xf>
    <xf numFmtId="0" fontId="309" fillId="0" borderId="31" xfId="20436" applyFont="1" applyFill="1" applyBorder="1" applyAlignment="1">
      <alignment horizontal="center" vertical="center" wrapText="1"/>
    </xf>
    <xf numFmtId="0" fontId="160" fillId="0" borderId="0" xfId="20436" applyFont="1" applyFill="1" applyBorder="1" applyAlignment="1">
      <alignment horizontal="left" vertical="center" wrapText="1" indent="4"/>
    </xf>
    <xf numFmtId="0" fontId="196" fillId="0" borderId="0" xfId="20436" applyFont="1" applyAlignment="1">
      <alignment horizontal="center"/>
    </xf>
    <xf numFmtId="0" fontId="196" fillId="0" borderId="0" xfId="20436" applyFont="1" applyAlignment="1">
      <alignment horizontal="center" wrapText="1"/>
    </xf>
    <xf numFmtId="0" fontId="160" fillId="0" borderId="0" xfId="20436" applyFont="1" applyFill="1" applyBorder="1" applyAlignment="1">
      <alignment horizontal="left" vertical="center"/>
    </xf>
    <xf numFmtId="0" fontId="196" fillId="114" borderId="0" xfId="20436" applyFont="1" applyFill="1" applyAlignment="1">
      <alignment horizontal="center" wrapText="1"/>
    </xf>
    <xf numFmtId="0" fontId="309" fillId="0" borderId="137" xfId="20433" applyFont="1" applyFill="1" applyBorder="1" applyAlignment="1">
      <alignment horizontal="center" vertical="center" wrapText="1"/>
    </xf>
    <xf numFmtId="0" fontId="309" fillId="0" borderId="138" xfId="20433" applyFont="1" applyFill="1" applyBorder="1" applyAlignment="1">
      <alignment horizontal="center" vertical="center" wrapText="1"/>
    </xf>
    <xf numFmtId="0" fontId="309" fillId="0" borderId="139" xfId="20433" applyFont="1" applyFill="1" applyBorder="1" applyAlignment="1">
      <alignment horizontal="center" vertical="center" wrapText="1"/>
    </xf>
    <xf numFmtId="0" fontId="310" fillId="0" borderId="137" xfId="20433" applyFont="1" applyFill="1" applyBorder="1" applyAlignment="1">
      <alignment horizontal="center" vertical="center" wrapText="1"/>
    </xf>
    <xf numFmtId="0" fontId="310" fillId="0" borderId="138" xfId="20433" applyFont="1" applyFill="1" applyBorder="1" applyAlignment="1">
      <alignment horizontal="center" vertical="center" wrapText="1"/>
    </xf>
    <xf numFmtId="0" fontId="310" fillId="0" borderId="139" xfId="20433" applyFont="1" applyFill="1" applyBorder="1" applyAlignment="1">
      <alignment horizontal="center" vertical="center" wrapText="1"/>
    </xf>
    <xf numFmtId="0" fontId="309" fillId="0" borderId="141" xfId="20433" applyFont="1" applyFill="1" applyBorder="1" applyAlignment="1">
      <alignment horizontal="center" vertical="center" wrapText="1"/>
    </xf>
    <xf numFmtId="0" fontId="309" fillId="0" borderId="39" xfId="20433" applyFont="1" applyFill="1" applyBorder="1" applyAlignment="1">
      <alignment horizontal="center" vertical="center" wrapText="1"/>
    </xf>
    <xf numFmtId="0" fontId="309" fillId="0" borderId="142" xfId="20433" applyFont="1" applyFill="1" applyBorder="1" applyAlignment="1">
      <alignment horizontal="center" vertical="center" wrapText="1"/>
    </xf>
    <xf numFmtId="0" fontId="160" fillId="0" borderId="0" xfId="20427" applyFont="1" applyFill="1" applyBorder="1" applyAlignment="1">
      <alignment horizontal="left" vertical="center" wrapText="1" indent="4"/>
    </xf>
    <xf numFmtId="0" fontId="196" fillId="0" borderId="0" xfId="20427" applyFont="1" applyAlignment="1">
      <alignment horizontal="center"/>
    </xf>
    <xf numFmtId="0" fontId="196" fillId="0" borderId="0" xfId="20427" applyFont="1" applyAlignment="1">
      <alignment horizontal="center" wrapText="1"/>
    </xf>
    <xf numFmtId="0" fontId="160" fillId="0" borderId="0" xfId="20427" applyFont="1" applyFill="1" applyBorder="1" applyAlignment="1">
      <alignment horizontal="left" vertical="center"/>
    </xf>
    <xf numFmtId="14" fontId="158" fillId="0" borderId="30" xfId="20406" applyNumberFormat="1" applyFont="1" applyBorder="1" applyAlignment="1">
      <alignment horizontal="center" vertical="center"/>
    </xf>
    <xf numFmtId="14" fontId="158" fillId="0" borderId="49" xfId="20406" applyNumberFormat="1" applyFont="1" applyBorder="1" applyAlignment="1">
      <alignment horizontal="center" vertical="center"/>
    </xf>
    <xf numFmtId="14" fontId="158" fillId="0" borderId="31" xfId="20406" applyNumberFormat="1" applyFont="1" applyBorder="1" applyAlignment="1">
      <alignment horizontal="center" vertical="center"/>
    </xf>
    <xf numFmtId="0" fontId="158" fillId="0" borderId="30" xfId="20406" applyNumberFormat="1" applyFont="1" applyBorder="1" applyAlignment="1">
      <alignment horizontal="center" vertical="center"/>
    </xf>
    <xf numFmtId="0" fontId="158" fillId="0" borderId="49" xfId="20406" applyNumberFormat="1" applyFont="1" applyBorder="1" applyAlignment="1">
      <alignment horizontal="center" vertical="center"/>
    </xf>
    <xf numFmtId="0" fontId="158" fillId="0" borderId="31" xfId="20406" applyNumberFormat="1" applyFont="1" applyBorder="1" applyAlignment="1">
      <alignment horizontal="center" vertical="center"/>
    </xf>
    <xf numFmtId="0" fontId="309" fillId="0" borderId="141" xfId="20417" applyFont="1" applyFill="1" applyBorder="1" applyAlignment="1">
      <alignment horizontal="center" vertical="center" wrapText="1"/>
    </xf>
    <xf numFmtId="0" fontId="309" fillId="0" borderId="39" xfId="20417" applyFont="1" applyFill="1" applyBorder="1" applyAlignment="1">
      <alignment horizontal="center" vertical="center" wrapText="1"/>
    </xf>
    <xf numFmtId="0" fontId="309" fillId="0" borderId="142" xfId="20417" applyFont="1" applyFill="1" applyBorder="1" applyAlignment="1">
      <alignment horizontal="center" vertical="center" wrapText="1"/>
    </xf>
    <xf numFmtId="0" fontId="310" fillId="0" borderId="137" xfId="20417" applyFont="1" applyFill="1" applyBorder="1" applyAlignment="1">
      <alignment horizontal="center" vertical="center" wrapText="1"/>
    </xf>
    <xf numFmtId="0" fontId="310" fillId="0" borderId="138" xfId="20417" applyFont="1" applyFill="1" applyBorder="1" applyAlignment="1">
      <alignment horizontal="center" vertical="center" wrapText="1"/>
    </xf>
    <xf numFmtId="0" fontId="310" fillId="0" borderId="139" xfId="20417" applyFont="1" applyFill="1" applyBorder="1" applyAlignment="1">
      <alignment horizontal="center" vertical="center" wrapText="1"/>
    </xf>
    <xf numFmtId="0" fontId="310" fillId="0" borderId="140" xfId="20417" applyFont="1" applyFill="1" applyBorder="1" applyAlignment="1">
      <alignment horizontal="center" vertical="center" wrapText="1"/>
    </xf>
    <xf numFmtId="0" fontId="310" fillId="0" borderId="146" xfId="20417" applyFont="1" applyFill="1" applyBorder="1" applyAlignment="1">
      <alignment horizontal="center" vertical="center" wrapText="1"/>
    </xf>
    <xf numFmtId="0" fontId="309" fillId="0" borderId="137" xfId="20417" applyFont="1" applyFill="1" applyBorder="1" applyAlignment="1">
      <alignment horizontal="center" vertical="center" wrapText="1"/>
    </xf>
    <xf numFmtId="0" fontId="309" fillId="0" borderId="138" xfId="20417" applyFont="1" applyFill="1" applyBorder="1" applyAlignment="1">
      <alignment horizontal="center" vertical="center" wrapText="1"/>
    </xf>
    <xf numFmtId="0" fontId="309" fillId="0" borderId="139" xfId="20417" applyFont="1" applyFill="1" applyBorder="1" applyAlignment="1">
      <alignment horizontal="center" vertical="center" wrapText="1"/>
    </xf>
    <xf numFmtId="0" fontId="160" fillId="0" borderId="0" xfId="20401" applyFont="1" applyFill="1" applyBorder="1" applyAlignment="1">
      <alignment horizontal="left" vertical="center" wrapText="1" indent="4"/>
    </xf>
    <xf numFmtId="0" fontId="196" fillId="0" borderId="0" xfId="20401" applyFont="1" applyAlignment="1">
      <alignment horizontal="center"/>
    </xf>
    <xf numFmtId="0" fontId="196" fillId="0" borderId="0" xfId="20401" applyFont="1" applyAlignment="1">
      <alignment horizontal="center" wrapText="1"/>
    </xf>
    <xf numFmtId="0" fontId="160" fillId="0" borderId="0" xfId="20401" applyFont="1" applyFill="1" applyBorder="1" applyAlignment="1">
      <alignment horizontal="left" vertical="center"/>
    </xf>
    <xf numFmtId="0" fontId="45" fillId="75" borderId="44" xfId="11846" applyFont="1" applyFill="1" applyBorder="1" applyAlignment="1">
      <alignment horizontal="center"/>
    </xf>
    <xf numFmtId="0" fontId="38" fillId="0" borderId="0" xfId="11846" applyFont="1" applyAlignment="1">
      <alignment horizontal="left" vertical="top" wrapText="1"/>
    </xf>
    <xf numFmtId="0" fontId="196" fillId="0" borderId="124" xfId="20405" applyFont="1" applyBorder="1" applyAlignment="1">
      <alignment vertical="center" wrapText="1"/>
    </xf>
    <xf numFmtId="4" fontId="160" fillId="0" borderId="124" xfId="20405" applyNumberFormat="1" applyFont="1" applyBorder="1" applyAlignment="1">
      <alignment horizontal="right" vertical="center" wrapText="1"/>
    </xf>
    <xf numFmtId="3" fontId="160" fillId="0" borderId="126" xfId="20405" applyNumberFormat="1" applyFont="1" applyBorder="1" applyAlignment="1">
      <alignment horizontal="right" vertical="center" wrapText="1"/>
    </xf>
    <xf numFmtId="0" fontId="170" fillId="72" borderId="123" xfId="0" applyFont="1" applyFill="1" applyBorder="1" applyAlignment="1">
      <alignment horizontal="center" vertical="top"/>
    </xf>
    <xf numFmtId="0" fontId="170" fillId="72" borderId="118" xfId="0" applyFont="1" applyFill="1" applyBorder="1" applyAlignment="1">
      <alignment horizontal="center" vertical="top"/>
    </xf>
    <xf numFmtId="0" fontId="315" fillId="104" borderId="152" xfId="106" applyFont="1" applyFill="1" applyBorder="1" applyAlignment="1" applyProtection="1">
      <alignment horizontal="center" vertical="center"/>
    </xf>
    <xf numFmtId="0" fontId="316" fillId="104" borderId="153" xfId="106" applyFont="1" applyFill="1" applyBorder="1" applyAlignment="1" applyProtection="1">
      <alignment horizontal="center" vertical="center"/>
    </xf>
    <xf numFmtId="0" fontId="317" fillId="104" borderId="154" xfId="20420" applyFont="1" applyFill="1" applyBorder="1" applyAlignment="1" applyProtection="1">
      <alignment vertical="center"/>
    </xf>
    <xf numFmtId="0" fontId="161" fillId="0" borderId="63" xfId="0" applyFont="1" applyFill="1" applyBorder="1" applyAlignment="1">
      <alignment horizontal="centerContinuous"/>
    </xf>
    <xf numFmtId="0" fontId="161" fillId="0" borderId="76" xfId="0" applyFont="1" applyFill="1" applyBorder="1" applyAlignment="1">
      <alignment horizontal="centerContinuous"/>
    </xf>
    <xf numFmtId="0" fontId="161" fillId="0" borderId="53" xfId="0" applyFont="1" applyFill="1" applyBorder="1" applyAlignment="1">
      <alignment horizontal="centerContinuous"/>
    </xf>
    <xf numFmtId="0" fontId="160" fillId="0" borderId="76" xfId="0" applyFont="1" applyBorder="1" applyAlignment="1"/>
    <xf numFmtId="0" fontId="158" fillId="0" borderId="76" xfId="0" applyFont="1" applyBorder="1" applyAlignment="1">
      <alignment wrapText="1"/>
    </xf>
  </cellXfs>
  <cellStyles count="20452">
    <cellStyle name="-" xfId="4"/>
    <cellStyle name="------------------" xfId="5"/>
    <cellStyle name=" 1" xfId="6"/>
    <cellStyle name=" 1 2" xfId="7"/>
    <cellStyle name=" 1 3" xfId="8"/>
    <cellStyle name=" 1_Volatility" xfId="9"/>
    <cellStyle name=" 10" xfId="10"/>
    <cellStyle name=" 11" xfId="11"/>
    <cellStyle name=" 12" xfId="12"/>
    <cellStyle name=" 13" xfId="13"/>
    <cellStyle name=" 14" xfId="14"/>
    <cellStyle name=" 15" xfId="15"/>
    <cellStyle name=" 16" xfId="16"/>
    <cellStyle name=" 17" xfId="17"/>
    <cellStyle name=" 18" xfId="18"/>
    <cellStyle name=" 19" xfId="19"/>
    <cellStyle name=" 2" xfId="20"/>
    <cellStyle name=" 20" xfId="21"/>
    <cellStyle name=" 21" xfId="22"/>
    <cellStyle name=" 22" xfId="23"/>
    <cellStyle name=" 23" xfId="24"/>
    <cellStyle name=" 24" xfId="25"/>
    <cellStyle name=" 25" xfId="26"/>
    <cellStyle name=" 26" xfId="27"/>
    <cellStyle name=" 27" xfId="28"/>
    <cellStyle name=" 28" xfId="29"/>
    <cellStyle name=" 29" xfId="30"/>
    <cellStyle name=" 3" xfId="31"/>
    <cellStyle name=" 30" xfId="32"/>
    <cellStyle name=" 31" xfId="33"/>
    <cellStyle name=" 32" xfId="34"/>
    <cellStyle name=" 33" xfId="35"/>
    <cellStyle name=" 34" xfId="36"/>
    <cellStyle name=" 35" xfId="37"/>
    <cellStyle name=" 36" xfId="38"/>
    <cellStyle name=" 37" xfId="39"/>
    <cellStyle name=" 38" xfId="40"/>
    <cellStyle name=" 39" xfId="41"/>
    <cellStyle name=" 4" xfId="42"/>
    <cellStyle name=" 40" xfId="43"/>
    <cellStyle name=" 41" xfId="44"/>
    <cellStyle name=" 42" xfId="45"/>
    <cellStyle name=" 43" xfId="46"/>
    <cellStyle name=" 44" xfId="47"/>
    <cellStyle name=" 45" xfId="48"/>
    <cellStyle name=" 46" xfId="49"/>
    <cellStyle name=" 47" xfId="50"/>
    <cellStyle name=" 48" xfId="51"/>
    <cellStyle name=" 49" xfId="52"/>
    <cellStyle name=" 5" xfId="53"/>
    <cellStyle name=" 50" xfId="54"/>
    <cellStyle name=" 51" xfId="55"/>
    <cellStyle name=" 52" xfId="56"/>
    <cellStyle name=" 53" xfId="57"/>
    <cellStyle name=" 54" xfId="58"/>
    <cellStyle name=" 55" xfId="59"/>
    <cellStyle name=" 56" xfId="60"/>
    <cellStyle name=" 57" xfId="61"/>
    <cellStyle name=" 58" xfId="62"/>
    <cellStyle name=" 59" xfId="63"/>
    <cellStyle name=" 6" xfId="64"/>
    <cellStyle name=" 60" xfId="65"/>
    <cellStyle name=" 61" xfId="66"/>
    <cellStyle name=" 62" xfId="67"/>
    <cellStyle name=" 63" xfId="68"/>
    <cellStyle name=" 64" xfId="69"/>
    <cellStyle name=" 65" xfId="70"/>
    <cellStyle name=" 66" xfId="71"/>
    <cellStyle name=" 67" xfId="72"/>
    <cellStyle name=" 68" xfId="73"/>
    <cellStyle name=" 69" xfId="74"/>
    <cellStyle name=" 7" xfId="75"/>
    <cellStyle name=" 70" xfId="76"/>
    <cellStyle name=" 8" xfId="77"/>
    <cellStyle name=" 9" xfId="78"/>
    <cellStyle name="_x000a_386grabber=M" xfId="79"/>
    <cellStyle name="_x000a_386grabber=M 2" xfId="80"/>
    <cellStyle name="_x0007__x000b_" xfId="81"/>
    <cellStyle name=" ✀ⰀఀĀ" xfId="82"/>
    <cellStyle name="&quot;X&quot; MEN" xfId="83"/>
    <cellStyle name="&quot;X&quot; MEN 2" xfId="84"/>
    <cellStyle name="&quot;X&quot; MEN 2 2" xfId="85"/>
    <cellStyle name="&quot;X&quot; MEN 3" xfId="86"/>
    <cellStyle name="&quot;X&quot; MEN 4" xfId="87"/>
    <cellStyle name="&quot;X&quot; MEN 5" xfId="88"/>
    <cellStyle name="#" xfId="89"/>
    <cellStyle name="#-" xfId="90"/>
    <cellStyle name="#,##0" xfId="91"/>
    <cellStyle name="#,##0 3 spaces" xfId="16220"/>
    <cellStyle name="#_Latam Comps_12.20.07" xfId="92"/>
    <cellStyle name="#_Latam Comps_12.20.07_Medley_Financial_Model_v5" xfId="93"/>
    <cellStyle name="#_Latam Comps_2.5.08_HC" xfId="94"/>
    <cellStyle name="#_Latam Comps_2.5.08_HC_Medley_Financial_Model_v5" xfId="95"/>
    <cellStyle name="#_Modelo Puerto 2007 Management Case DB 14-11 (DB) v20" xfId="96"/>
    <cellStyle name="$" xfId="97"/>
    <cellStyle name="$-" xfId="98"/>
    <cellStyle name="$ &amp; ¢" xfId="99"/>
    <cellStyle name="$ 0 decimal" xfId="16221"/>
    <cellStyle name="$ 2" xfId="100"/>
    <cellStyle name="$ 2 decimals" xfId="16222"/>
    <cellStyle name="$_12.20.04 Analysis v14" xfId="16223"/>
    <cellStyle name="$_56 Centra FO 10.4.05" xfId="16224"/>
    <cellStyle name="$_ANF Assignment 1.5" xfId="16225"/>
    <cellStyle name="$_Cheddars_IPO Model_Final_v7" xfId="16226"/>
    <cellStyle name="$_EPL LBO 5.16.05 - Mgmt IPO v6" xfId="16227"/>
    <cellStyle name="$_IPO Model_v01.0" xfId="16228"/>
    <cellStyle name="$_Model v14 (IPO)" xfId="16229"/>
    <cellStyle name="$_Model v14 (IPO) brooke" xfId="16230"/>
    <cellStyle name="$_Store Buildup v6" xfId="16231"/>
    <cellStyle name="$_YRK_LBO" xfId="16232"/>
    <cellStyle name="$0.0;($0.0)" xfId="101"/>
    <cellStyle name="$0.0;($0.0) 2" xfId="102"/>
    <cellStyle name="$000s1Place" xfId="103"/>
    <cellStyle name="$m" xfId="16233"/>
    <cellStyle name="$MMs1Place" xfId="104"/>
    <cellStyle name="$MMs2Places" xfId="105"/>
    <cellStyle name="$q" xfId="16234"/>
    <cellStyle name="$q*" xfId="16235"/>
    <cellStyle name="$q_AVP" xfId="16236"/>
    <cellStyle name="$qA" xfId="16237"/>
    <cellStyle name="$qRange" xfId="16238"/>
    <cellStyle name="$sign" xfId="16239"/>
    <cellStyle name="%" xfId="106"/>
    <cellStyle name="%-" xfId="107"/>
    <cellStyle name="% [2]" xfId="108"/>
    <cellStyle name="% Input" xfId="109"/>
    <cellStyle name="% Input 2" xfId="110"/>
    <cellStyle name="% Presentation" xfId="111"/>
    <cellStyle name="% Presentation 2" xfId="112"/>
    <cellStyle name="% Presentation 2 2" xfId="113"/>
    <cellStyle name="% Presentation 3" xfId="114"/>
    <cellStyle name="% Presentation 4" xfId="115"/>
    <cellStyle name="% Presentation 5" xfId="116"/>
    <cellStyle name="%.00" xfId="117"/>
    <cellStyle name="%_Detailed Cap Table 6 9 08" xfId="16240"/>
    <cellStyle name="%_V.C.3 2006 Forecast 4-19-06" xfId="16241"/>
    <cellStyle name="%20 - Vurgu1" xfId="16242"/>
    <cellStyle name="%20 - Vurgu2" xfId="16243"/>
    <cellStyle name="%20 - Vurgu3" xfId="16244"/>
    <cellStyle name="%20 - Vurgu4" xfId="16245"/>
    <cellStyle name="%20 - Vurgu5" xfId="16246"/>
    <cellStyle name="%20 - Vurgu6" xfId="16247"/>
    <cellStyle name="%40 - Vurgu1" xfId="16248"/>
    <cellStyle name="%40 - Vurgu2" xfId="16249"/>
    <cellStyle name="%40 - Vurgu3" xfId="16250"/>
    <cellStyle name="%40 - Vurgu4" xfId="16251"/>
    <cellStyle name="%40 - Vurgu5" xfId="16252"/>
    <cellStyle name="%40 - Vurgu6" xfId="16253"/>
    <cellStyle name="%60 - Vurgu1" xfId="16254"/>
    <cellStyle name="%60 - Vurgu2" xfId="16255"/>
    <cellStyle name="%60 - Vurgu3" xfId="16256"/>
    <cellStyle name="%60 - Vurgu4" xfId="16257"/>
    <cellStyle name="%60 - Vurgu5" xfId="16258"/>
    <cellStyle name="%60 - Vurgu6" xfId="16259"/>
    <cellStyle name="&amp;U" xfId="16260"/>
    <cellStyle name=")_מעגלים 12.95" xfId="118"/>
    <cellStyle name=")_מעגלים 12.95 2" xfId="119"/>
    <cellStyle name="******************************************" xfId="120"/>
    <cellStyle name="****************************************** 2" xfId="121"/>
    <cellStyle name="," xfId="16261"/>
    <cellStyle name=";;;" xfId="122"/>
    <cellStyle name=";;; 2" xfId="123"/>
    <cellStyle name=";;; 2 2" xfId="124"/>
    <cellStyle name=";;; 3" xfId="125"/>
    <cellStyle name=";;; 4" xfId="126"/>
    <cellStyle name=";;; 5" xfId="127"/>
    <cellStyle name="?? [0]_??" xfId="16262"/>
    <cellStyle name="???[0]_RESULTS" xfId="128"/>
    <cellStyle name="???_RESULTS" xfId="129"/>
    <cellStyle name="??_?.????" xfId="16263"/>
    <cellStyle name="\" xfId="16264"/>
    <cellStyle name="_$accounting" xfId="130"/>
    <cellStyle name="_$accounting 2" xfId="131"/>
    <cellStyle name="_%(SignOnly)" xfId="132"/>
    <cellStyle name="_%(SignOnly)_Model and Valuation - Aros 6 30 08" xfId="16265"/>
    <cellStyle name="_%(SignSpaceOnly)" xfId="133"/>
    <cellStyle name="_%(SignSpaceOnly)_Model and Valuation - Aros 6 30 08" xfId="16266"/>
    <cellStyle name="___æ_Ø_è [0.00]_Affiliate Fcst Inputs" xfId="134"/>
    <cellStyle name="___æ_Ø_è [0.00]_Affiliate Fcst Inputs 2" xfId="135"/>
    <cellStyle name="___æ_Ø_è [0.00]_Affiliate Fcst Inputs 2 2" xfId="136"/>
    <cellStyle name="___æ_Ø_è [0.00]_Affiliate Fcst Inputs 3" xfId="137"/>
    <cellStyle name="___æ_Ø_è [0.00]_Affiliate Fcst Inputs 4" xfId="138"/>
    <cellStyle name="___æ_Ø_è [0.00]_Affiliate Fcst Inputs 5" xfId="139"/>
    <cellStyle name="_~0910772" xfId="16267"/>
    <cellStyle name="_~1072145" xfId="16268"/>
    <cellStyle name="_~7037329" xfId="16269"/>
    <cellStyle name="_03 Seahawk Status Report - 1.08.07" xfId="16270"/>
    <cellStyle name="_2007 M06 On Hold On Watch Svcs Maint Jun  06-14-07" xfId="16271"/>
    <cellStyle name="_56 Centra FO 10.4.05" xfId="16272"/>
    <cellStyle name="_accounting" xfId="140"/>
    <cellStyle name="_accounting 2" xfId="141"/>
    <cellStyle name="_APT 141 101603 ver 51" xfId="142"/>
    <cellStyle name="_Backup for FY2005" xfId="16273"/>
    <cellStyle name="_Balance Sheet to E&amp;Y - HH &amp; SP" xfId="143"/>
    <cellStyle name="_Balance Sheet to E&amp;Y - HH &amp; SP_Panasas Cap Table by Investor June and Dec 2008 - updated analysis" xfId="144"/>
    <cellStyle name="_Base Valuation3.xls Chart 69_4" xfId="16274"/>
    <cellStyle name="_Base Valuation7-13" xfId="16275"/>
    <cellStyle name="_Book1" xfId="16276"/>
    <cellStyle name="-_Cash Flow" xfId="145"/>
    <cellStyle name="-_Cash Flow_EBITDA template v2" xfId="146"/>
    <cellStyle name="_Cheddars_IPO valuation v1" xfId="16277"/>
    <cellStyle name="_Column1" xfId="16278"/>
    <cellStyle name="_Column2" xfId="16279"/>
    <cellStyle name="_Column3" xfId="16280"/>
    <cellStyle name="_Column4" xfId="16281"/>
    <cellStyle name="_Column5" xfId="16282"/>
    <cellStyle name="_Column6" xfId="16283"/>
    <cellStyle name="_Comma" xfId="147"/>
    <cellStyle name="_Comma__DCF Template" xfId="148"/>
    <cellStyle name="_Comma_04 Alaska Model 2002-05-31 GS" xfId="149"/>
    <cellStyle name="_Comma_Control" xfId="150"/>
    <cellStyle name="_Comma_Dividend Template" xfId="151"/>
    <cellStyle name="_Comma_Eric CapIQ unlinked v1" xfId="152"/>
    <cellStyle name="_Comma_H-G Holdings race car v5 (change dep)" xfId="153"/>
    <cellStyle name="_Comma_lbo_long_model" xfId="154"/>
    <cellStyle name="_Comma_lbo_long_model 2" xfId="155"/>
    <cellStyle name="_Comma_Medicis WACC" xfId="156"/>
    <cellStyle name="_Comma_Meggitt AirDynamics WACC" xfId="157"/>
    <cellStyle name="_Comma_Pro-Forma Financials" xfId="158"/>
    <cellStyle name="_Comma_Pro-Forma Spin-off" xfId="159"/>
    <cellStyle name="_Comma_Revised Basic Modelv2.4" xfId="160"/>
    <cellStyle name="_Comma_Rider Henning" xfId="161"/>
    <cellStyle name="_Comma_Updated Model - CapitalIQ6 -04.20.06" xfId="162"/>
    <cellStyle name="_Comma_WACCv2" xfId="163"/>
    <cellStyle name="_Copy of Culinary Concepts 9_30_08" xfId="16284"/>
    <cellStyle name="_Currency" xfId="164"/>
    <cellStyle name="_Currency__DCF Template" xfId="165"/>
    <cellStyle name="_Currency_04 Alaska Model 2002-05-31 GS" xfId="166"/>
    <cellStyle name="_Currency_12.20.04 Analysis v14" xfId="16285"/>
    <cellStyle name="_Currency_BASF" xfId="167"/>
    <cellStyle name="_Currency_Book1" xfId="168"/>
    <cellStyle name="_Currency_Book3" xfId="169"/>
    <cellStyle name="_Currency_com_sel_bro_Eagle" xfId="170"/>
    <cellStyle name="_Currency_Control" xfId="171"/>
    <cellStyle name="_Currency_Dividend Template" xfId="172"/>
    <cellStyle name="_Currency_Eagle Financial Model" xfId="173"/>
    <cellStyle name="_Currency_Eagle-NewCastle Model 20Mar2001" xfId="174"/>
    <cellStyle name="_Currency_Eric CapIQ unlinked v1" xfId="175"/>
    <cellStyle name="_Currency_H-G Holdings race car v5 (change dep)" xfId="176"/>
    <cellStyle name="_Currency_Hokuriku Financials" xfId="177"/>
    <cellStyle name="_Currency_Indicative Valuation Summary" xfId="178"/>
    <cellStyle name="_Currency_Indicative Valuation Summary DCF Valuation" xfId="179"/>
    <cellStyle name="_Currency_INTU Comps v2" xfId="16286"/>
    <cellStyle name="_Currency_lbo_long_model" xfId="180"/>
    <cellStyle name="_Currency_lbo_long_model 2" xfId="181"/>
    <cellStyle name="_Currency_Medicis WACC" xfId="182"/>
    <cellStyle name="_Currency_Meggitt AirDynamics WACC" xfId="183"/>
    <cellStyle name="_Currency_Model 2000-09-04" xfId="184"/>
    <cellStyle name="_Currency_NK104 US Output" xfId="185"/>
    <cellStyle name="_Currency_Preliminary Valuation Summary of Seahawk" xfId="186"/>
    <cellStyle name="_Currency_Preliminary Valuation Summary of Seahawk b" xfId="187"/>
    <cellStyle name="_Currency_Pro-Forma Financials" xfId="188"/>
    <cellStyle name="_Currency_Pro-Forma Spin-off" xfId="189"/>
    <cellStyle name="_Currency_Proposed Cost Structure" xfId="190"/>
    <cellStyle name="_Currency_Revised Basic Modelv2.4" xfId="191"/>
    <cellStyle name="_Currency_Rider Henning" xfId="192"/>
    <cellStyle name="_Currency_Scaled Synergies Analysis - Mathematical Illustration - Gem as Target" xfId="193"/>
    <cellStyle name="_Currency_Scaled Synergies Analysis - Mathematical Illustration - Gem as Target_Value_Sharing" xfId="194"/>
    <cellStyle name="_Currency_Updated Model - CapitalIQ6 -04.20.06" xfId="195"/>
    <cellStyle name="_Currency_Valuation Overview" xfId="196"/>
    <cellStyle name="_Currency_valuation summary for ASP" xfId="197"/>
    <cellStyle name="_Currency_WACCv2" xfId="198"/>
    <cellStyle name="_CurrencySpace" xfId="199"/>
    <cellStyle name="_CurrencySpace__DCF Template" xfId="200"/>
    <cellStyle name="_CurrencySpace_04 Alaska Model 2002-05-31 GS" xfId="201"/>
    <cellStyle name="_CurrencySpace_Control" xfId="202"/>
    <cellStyle name="_CurrencySpace_Dividend Template" xfId="203"/>
    <cellStyle name="_CurrencySpace_Eric CapIQ unlinked v1" xfId="204"/>
    <cellStyle name="_CurrencySpace_H-G Holdings race car v5 (change dep)" xfId="205"/>
    <cellStyle name="_CurrencySpace_IPO Model_v01.0" xfId="16287"/>
    <cellStyle name="_CurrencySpace_lbo_long_model" xfId="206"/>
    <cellStyle name="_CurrencySpace_lbo_long_model 2" xfId="207"/>
    <cellStyle name="_CurrencySpace_MA Kinko's Model v5.5" xfId="16288"/>
    <cellStyle name="_CurrencySpace_Medicis WACC" xfId="208"/>
    <cellStyle name="_CurrencySpace_Meggitt AirDynamics WACC" xfId="209"/>
    <cellStyle name="_CurrencySpace_Pro-Forma Financials" xfId="210"/>
    <cellStyle name="_CurrencySpace_Pro-Forma Spin-off" xfId="211"/>
    <cellStyle name="_CurrencySpace_Revised Basic Modelv2.4" xfId="212"/>
    <cellStyle name="_CurrencySpace_Rider Henning" xfId="213"/>
    <cellStyle name="_CurrencySpace_RUBY DCF Model v42" xfId="16289"/>
    <cellStyle name="_CurrencySpace_RUBY merger v64" xfId="16290"/>
    <cellStyle name="_CurrencySpace_Updated Model - CapitalIQ6 -04.20.06" xfId="214"/>
    <cellStyle name="_CurrencySpace_valuation" xfId="16291"/>
    <cellStyle name="_CurrencySpace_WACCv2" xfId="215"/>
    <cellStyle name="_Data" xfId="16292"/>
    <cellStyle name="_date" xfId="216"/>
    <cellStyle name="_date 2" xfId="217"/>
    <cellStyle name="_DCF (G2)" xfId="218"/>
    <cellStyle name="_DCF (G2) 2" xfId="219"/>
    <cellStyle name="_DCF (G2) 3" xfId="220"/>
    <cellStyle name="_DTAs 2007 Post-Acq 3-19-08" xfId="221"/>
    <cellStyle name="_Epsilon IPO Model NEW v3" xfId="16293"/>
    <cellStyle name="_Epsilon Model 3.21.05 v.4" xfId="16294"/>
    <cellStyle name="_Epsilon Model 3.21.05 v.4_1" xfId="16295"/>
    <cellStyle name="_Epsilon Model 3.21.05 v.4_2" xfId="16296"/>
    <cellStyle name="_Epsilon Model 3.21.05 v.4_3" xfId="16297"/>
    <cellStyle name="_Epsilon Model 3.30.05 v7" xfId="16298"/>
    <cellStyle name="_Epsilon Model 3.30.05 v7_1" xfId="16299"/>
    <cellStyle name="_Epsilon Model 3.30.05 v7_2" xfId="16300"/>
    <cellStyle name="_Epsilon Model 3.30.05 v7_3" xfId="16301"/>
    <cellStyle name="_Epsilon Model 3.30.05 v7_4" xfId="16302"/>
    <cellStyle name="_Euro" xfId="222"/>
    <cellStyle name="_Euro 2" xfId="223"/>
    <cellStyle name="_Euro 2 2" xfId="224"/>
    <cellStyle name="_Euro 3" xfId="225"/>
    <cellStyle name="_Euro 4" xfId="226"/>
    <cellStyle name="_Euro 5" xfId="227"/>
    <cellStyle name="_Euro_Cable_Industry Overview5" xfId="228"/>
    <cellStyle name="_Euro_Cable_Industry Overview5 2" xfId="229"/>
    <cellStyle name="_Euro_Cable_Industry Overview5 2 2" xfId="230"/>
    <cellStyle name="_Euro_Cable_Industry Overview5 3" xfId="231"/>
    <cellStyle name="_Euro_Cable_Industry Overview5 4" xfId="232"/>
    <cellStyle name="_Euro_Cable_Industry Overview5 5" xfId="233"/>
    <cellStyle name="_Euro_Gelco Model" xfId="234"/>
    <cellStyle name="_Euro_Model and Valuation - Aros 6 30 08" xfId="16303"/>
    <cellStyle name="_Euro_Summary" xfId="235"/>
    <cellStyle name="_G2 Comps v4" xfId="236"/>
    <cellStyle name="_GBP" xfId="237"/>
    <cellStyle name="_GBP 2" xfId="238"/>
    <cellStyle name="_Header" xfId="16304"/>
    <cellStyle name="_HeaderBlue" xfId="239"/>
    <cellStyle name="_Heading" xfId="240"/>
    <cellStyle name="_Heading 2" xfId="241"/>
    <cellStyle name="_Heading_lbo_long_model" xfId="242"/>
    <cellStyle name="_Heading_lbo_long_model 2" xfId="243"/>
    <cellStyle name="_Heading_lbo_long_model 2 2" xfId="244"/>
    <cellStyle name="_Heading_lbo_long_model 3" xfId="245"/>
    <cellStyle name="_Heading_lbo_long_model 4" xfId="246"/>
    <cellStyle name="_Heading_lbo_long_model 5" xfId="247"/>
    <cellStyle name="_Heading_lbo_long_model_Anaphore 12 31 2008 Draft Analysis 02 19 2009" xfId="248"/>
    <cellStyle name="_Heading_lbo_long_model_Anaphore 12 31 2008 Draft Analysis 02 20 2009 - DM REVISED" xfId="249"/>
    <cellStyle name="_Heading_lbo_long_model_Book2" xfId="250"/>
    <cellStyle name="_Heading_lbo_long_model_Book2 2" xfId="251"/>
    <cellStyle name="_Heading_lbo_long_model_Boston Power VD 01 31 2008 Model 02 26 2008" xfId="252"/>
    <cellStyle name="_Heading_lbo_long_model_Boston Power VD 01 31 2008 Model 02 26 2008 2" xfId="253"/>
    <cellStyle name="_Heading_lbo_long_model_Boston Power VD 01 31 2008 Model 02 26 2008 2 2" xfId="254"/>
    <cellStyle name="_Heading_lbo_long_model_Boston Power VD 01 31 2008 Model 02 26 2008 3" xfId="255"/>
    <cellStyle name="_Heading_lbo_long_model_Boston Power VD 01 31 2008 Model 02 26 2008 4" xfId="256"/>
    <cellStyle name="_Heading_lbo_long_model_Boston Power VD 01 31 2008 Model 02 26 2008 5" xfId="257"/>
    <cellStyle name="_Heading_lbo_long_model_Boston Power VD 01 31 2008 Model 02 26 2008_CompanyABC Valuation Draft Model 04 21 2009" xfId="258"/>
    <cellStyle name="_Heading_lbo_long_model_Boston Power VD 01 31 2008 Model 02 26 2008_CompanyABC Valuation Draft Model 04 21 2009 2" xfId="259"/>
    <cellStyle name="_Heading_lbo_long_model_Boston Power VD 01 31 2008 Model 02 26 2008_DB" xfId="260"/>
    <cellStyle name="_Heading_lbo_long_model_Boston Power VD 01 31 2008 Model 02 26 2008_DB 2" xfId="261"/>
    <cellStyle name="_Heading_lbo_long_model_Boston Power VD 01 31 2008 Model 02 26 2008_DB 2 2" xfId="262"/>
    <cellStyle name="_Heading_lbo_long_model_Boston Power VD 01 31 2008 Model 02 26 2008_FAS 157 Model Template 04 26 2009" xfId="263"/>
    <cellStyle name="_Heading_lbo_long_model_Boston Power VD 01 31 2008 Model 02 26 2008_FAS 157 Model Template 04 26 2009 2" xfId="264"/>
    <cellStyle name="_Heading_lbo_long_model_Boston Power VD 01 31 2008 Model 02 26 2008_Miragen VD 05 31 2008 Model 05 22 2009" xfId="265"/>
    <cellStyle name="_Heading_lbo_long_model_Cap Table Inputs" xfId="266"/>
    <cellStyle name="_Heading_lbo_long_model_Cap Table Inputs 2" xfId="267"/>
    <cellStyle name="_Heading_lbo_long_model_Cap Table Inputs 2 2" xfId="268"/>
    <cellStyle name="_Heading_lbo_long_model_Cap Table Inputs 3" xfId="269"/>
    <cellStyle name="_Heading_lbo_long_model_Cap Table Inputs 4" xfId="270"/>
    <cellStyle name="_Heading_lbo_long_model_Cap Table Inputs 5" xfId="271"/>
    <cellStyle name="_Heading_lbo_long_model_Cap Table Inputs_CompanyABC Valuation Draft Model 04 21 2009" xfId="272"/>
    <cellStyle name="_Heading_lbo_long_model_Cap Table Inputs_CompanyABC Valuation Draft Model 04 21 2009 2" xfId="273"/>
    <cellStyle name="_Heading_lbo_long_model_Cap Table Inputs_DB" xfId="274"/>
    <cellStyle name="_Heading_lbo_long_model_Cap Table Inputs_DB 2" xfId="275"/>
    <cellStyle name="_Heading_lbo_long_model_Cap Table Inputs_DB 2 2" xfId="276"/>
    <cellStyle name="_Heading_lbo_long_model_Cap Table Inputs_FAS 157 Model Template 04 26 2009" xfId="277"/>
    <cellStyle name="_Heading_lbo_long_model_Cap Table Inputs_FAS 157 Model Template 04 26 2009 2" xfId="278"/>
    <cellStyle name="_Heading_lbo_long_model_Cap Table Inputs_Miragen VD 05 31 2008 Model 05 22 2009" xfId="279"/>
    <cellStyle name="_Heading_lbo_long_model_CardioSolutions 05 31 2007 Final Model 09 27 2007" xfId="280"/>
    <cellStyle name="_Heading_lbo_long_model_CardioSolutions 05 31 2007 Final Model 09 27 2007 2" xfId="281"/>
    <cellStyle name="_Heading_lbo_long_model_CardioSolutions 05 31 2007 Final Model 09 27 2007 2 2" xfId="282"/>
    <cellStyle name="_Heading_lbo_long_model_CardioSolutions 05 31 2007 Final Model 09 27 2007 3" xfId="283"/>
    <cellStyle name="_Heading_lbo_long_model_CardioSolutions 05 31 2007 Final Model 09 27 2007 4" xfId="284"/>
    <cellStyle name="_Heading_lbo_long_model_CardioSolutions 05 31 2007 Final Model 09 27 2007 5" xfId="285"/>
    <cellStyle name="_Heading_lbo_long_model_CardioSolutions 05 31 2007 Final Model 09 27 2007_CompanyABC Valuation Draft Model 04 21 2009" xfId="286"/>
    <cellStyle name="_Heading_lbo_long_model_CardioSolutions 05 31 2007 Final Model 09 27 2007_CompanyABC Valuation Draft Model 04 21 2009 2" xfId="287"/>
    <cellStyle name="_Heading_lbo_long_model_CardioSolutions 05 31 2007 Final Model 09 27 2007_DB" xfId="288"/>
    <cellStyle name="_Heading_lbo_long_model_CardioSolutions 05 31 2007 Final Model 09 27 2007_DB 2" xfId="289"/>
    <cellStyle name="_Heading_lbo_long_model_CardioSolutions 05 31 2007 Final Model 09 27 2007_DB 2 2" xfId="290"/>
    <cellStyle name="_Heading_lbo_long_model_CardioSolutions 05 31 2007 Final Model 09 27 2007_FAS 157 Model Template 04 26 2009" xfId="291"/>
    <cellStyle name="_Heading_lbo_long_model_CardioSolutions 05 31 2007 Final Model 09 27 2007_FAS 157 Model Template 04 26 2009 2" xfId="292"/>
    <cellStyle name="_Heading_lbo_long_model_CardioSolutions 05 31 2007 Final Model 09 27 2007_Miragen VD 05 31 2008 Model 05 22 2009" xfId="293"/>
    <cellStyle name="_Heading_lbo_long_model_CardioSolutions VD 05 31 08 Draft Model 07 15 2008" xfId="294"/>
    <cellStyle name="_Heading_lbo_long_model_CardioSolutions VD 05 31 08 Draft Model 07 15 2008 2" xfId="295"/>
    <cellStyle name="_Heading_lbo_long_model_CardioSolutions VD 05 31 08 Draft Model 08 06 08-u" xfId="296"/>
    <cellStyle name="_Heading_lbo_long_model_CardioSolutions VD 05 31 08 Draft Model 08 06 08-u 2" xfId="297"/>
    <cellStyle name="_Heading_lbo_long_model_CompanyABC Valuation Draft Model 04 21 2009" xfId="298"/>
    <cellStyle name="_Heading_lbo_long_model_CompanyABC Valuation Draft Model 04 21 2009 2" xfId="299"/>
    <cellStyle name="_Heading_lbo_long_model_CompanyABC Valuation Model Draft 07 07 2008" xfId="300"/>
    <cellStyle name="_Heading_lbo_long_model_CompanyABC Valuation Model Draft 07 07 2008 2" xfId="301"/>
    <cellStyle name="_Heading_lbo_long_model_CompanyABC Valuation Model Draft 08 07 2008" xfId="302"/>
    <cellStyle name="_Heading_lbo_long_model_CompanyABC Valuation Model Draft 08 07 2008 2" xfId="303"/>
    <cellStyle name="_Heading_lbo_long_model_CompanyABC Valuation Model Draft 08 25 2008" xfId="304"/>
    <cellStyle name="_Heading_lbo_long_model_CompanyABC Valuation Model Draft 08 25 2008 2" xfId="305"/>
    <cellStyle name="_Heading_lbo_long_model_CompanyABC Valuation Model Draft 09 25 2008-Team Liquidity" xfId="306"/>
    <cellStyle name="_Heading_lbo_long_model_CompanyABC Valuation Model Draft 09 25 2008-Team Liquidity 2" xfId="307"/>
    <cellStyle name="_Heading_lbo_long_model_CompanyABC Valuation Model Draft 10 01 2008" xfId="308"/>
    <cellStyle name="_Heading_lbo_long_model_CompanyABC Valuation Model Draft 10 01 2008 2" xfId="309"/>
    <cellStyle name="_Heading_lbo_long_model_CompanyABC Valuation Model Draft 10 27 2008" xfId="310"/>
    <cellStyle name="_Heading_lbo_long_model_CompanyABC Valuation Model Draft 10 27 2008 2" xfId="311"/>
    <cellStyle name="_Heading_lbo_long_model_DB" xfId="312"/>
    <cellStyle name="_Heading_lbo_long_model_DB 2" xfId="313"/>
    <cellStyle name="_Heading_lbo_long_model_EXAMPLE model C-5" xfId="314"/>
    <cellStyle name="_Heading_lbo_long_model_EXAMPLE model C-5 2" xfId="315"/>
    <cellStyle name="_Heading_lbo_long_model_FAS 157 Model Template 04 26 2009" xfId="316"/>
    <cellStyle name="_Heading_lbo_long_model_FAS 157 Model Template 04 26 2009 2" xfId="317"/>
    <cellStyle name="_Heading_lbo_long_model_Great Call VD 09 30 08 Draft Model 11 20 08" xfId="318"/>
    <cellStyle name="_Heading_lbo_long_model_Great Call VD 09 30 08 Draft Model 11 20 08 2" xfId="319"/>
    <cellStyle name="_Heading_lbo_long_model_Intermedia, Inc. VD 05 31 08 Draft Model 07 16 2008" xfId="320"/>
    <cellStyle name="_Heading_lbo_long_model_Intermedia, Inc. VD 05 31 08 Draft Model 07 16 2008 2" xfId="321"/>
    <cellStyle name="_Heading_lbo_long_model_Island Data Corporatin VD 06 30 08 Projections and Comparables 08 11 2008" xfId="322"/>
    <cellStyle name="_Heading_lbo_long_model_Island Data Corporatin VD 06 30 08 Projections and Comparables 08 11 2008 2" xfId="323"/>
    <cellStyle name="_Heading_lbo_long_model_Jentro Tech VD 03 31 2008 Model 04 10 2008" xfId="324"/>
    <cellStyle name="_Heading_lbo_long_model_Jentro Tech VD 03 31 2008 Model 04 10 2008 2" xfId="325"/>
    <cellStyle name="_Heading_lbo_long_model_Kythera Biopharmaceuticals VD 05 16 08 Draft Analysis 07 01 08" xfId="326"/>
    <cellStyle name="_Heading_lbo_long_model_Kythera Biopharmaceuticals VD 05 16 08 Draft Analysis 07 01 08 2" xfId="327"/>
    <cellStyle name="_Heading_lbo_long_model_Kythera Biopharmaceuticals VD 05 16 08 Final Model 07 20 08" xfId="328"/>
    <cellStyle name="_Heading_lbo_long_model_Kythera Biopharmaceuticals VD 05 16 08 Final Model 07 20 08 2" xfId="329"/>
    <cellStyle name="_Heading_lbo_long_model_Kythera Biopharmaceuticals, Inc. VD 5 16 2008 Draft 5 24 2008" xfId="330"/>
    <cellStyle name="_Heading_lbo_long_model_Kythera Biopharmaceuticals, Inc. VD 5 16 2008 Draft 5 24 2008 2" xfId="331"/>
    <cellStyle name="_Heading_lbo_long_model_Miragen VD 05 31 2008 Model 05 22 2009" xfId="332"/>
    <cellStyle name="_Heading_lbo_long_model_Notes" xfId="333"/>
    <cellStyle name="_Heading_lbo_long_model_Notes 2" xfId="334"/>
    <cellStyle name="_Heading_lbo_long_model_OMT VD 10 15 2008 Draft Analysis 12 17 2008.xls" xfId="335"/>
    <cellStyle name="_Heading_lbo_long_model_PubComps IPO -C-7" xfId="336"/>
    <cellStyle name="_Heading_lbo_long_model_PubComps IPO -C-7 2" xfId="337"/>
    <cellStyle name="_Heading_lbo_long_model_Tmax Soft VD 07 31 2008 Draft Model 08 20 2008" xfId="338"/>
    <cellStyle name="_Heading_lbo_long_model_Tmax Soft VD 07 31 2008 Draft Model 08 20 2008 2" xfId="339"/>
    <cellStyle name="_Heading_lbo_long_model_WACC -E-2" xfId="340"/>
    <cellStyle name="_Heading_lbo_long_model_WACC -E-2 2" xfId="341"/>
    <cellStyle name="_Heading_lbo_long_model_Xmos Limited VD 05 13 2008  Model 06 04 08" xfId="342"/>
    <cellStyle name="_Heading_lbo_long_model_Xmos Limited VD 05 13 2008  Model 06 04 08 2" xfId="343"/>
    <cellStyle name="_Heading_prestemp" xfId="344"/>
    <cellStyle name="_Heading_prestemp 2" xfId="345"/>
    <cellStyle name="_Heading_prestemp 2 2" xfId="346"/>
    <cellStyle name="_Heading_prestemp 3" xfId="347"/>
    <cellStyle name="_Heading_prestemp 4" xfId="348"/>
    <cellStyle name="_Heading_prestemp 5" xfId="349"/>
    <cellStyle name="_Heading_prestemp_Anaphore 12 31 2008 Draft Analysis 02 19 2009" xfId="350"/>
    <cellStyle name="_Heading_prestemp_Anaphore 12 31 2008 Draft Analysis 02 20 2009 - DM REVISED" xfId="351"/>
    <cellStyle name="_Heading_prestemp_Book2" xfId="352"/>
    <cellStyle name="_Heading_prestemp_Book2 2" xfId="353"/>
    <cellStyle name="_Heading_prestemp_Boston Power VD 01 31 2008 Model 02 26 2008" xfId="354"/>
    <cellStyle name="_Heading_prestemp_Boston Power VD 01 31 2008 Model 02 26 2008 2" xfId="355"/>
    <cellStyle name="_Heading_prestemp_Boston Power VD 01 31 2008 Model 02 26 2008 2 2" xfId="356"/>
    <cellStyle name="_Heading_prestemp_Boston Power VD 01 31 2008 Model 02 26 2008 3" xfId="357"/>
    <cellStyle name="_Heading_prestemp_Boston Power VD 01 31 2008 Model 02 26 2008 4" xfId="358"/>
    <cellStyle name="_Heading_prestemp_Boston Power VD 01 31 2008 Model 02 26 2008 5" xfId="359"/>
    <cellStyle name="_Heading_prestemp_Boston Power VD 01 31 2008 Model 02 26 2008_CompanyABC Valuation Draft Model 04 21 2009" xfId="360"/>
    <cellStyle name="_Heading_prestemp_Boston Power VD 01 31 2008 Model 02 26 2008_CompanyABC Valuation Draft Model 04 21 2009 2" xfId="361"/>
    <cellStyle name="_Heading_prestemp_Boston Power VD 01 31 2008 Model 02 26 2008_DB" xfId="362"/>
    <cellStyle name="_Heading_prestemp_Boston Power VD 01 31 2008 Model 02 26 2008_DB 2" xfId="363"/>
    <cellStyle name="_Heading_prestemp_Boston Power VD 01 31 2008 Model 02 26 2008_DB 2 2" xfId="364"/>
    <cellStyle name="_Heading_prestemp_Boston Power VD 01 31 2008 Model 02 26 2008_FAS 157 Model Template 04 26 2009" xfId="365"/>
    <cellStyle name="_Heading_prestemp_Boston Power VD 01 31 2008 Model 02 26 2008_FAS 157 Model Template 04 26 2009 2" xfId="366"/>
    <cellStyle name="_Heading_prestemp_Boston Power VD 01 31 2008 Model 02 26 2008_Miragen VD 05 31 2008 Model 05 22 2009" xfId="367"/>
    <cellStyle name="_Heading_prestemp_Cap Table Inputs" xfId="368"/>
    <cellStyle name="_Heading_prestemp_Cap Table Inputs 2" xfId="369"/>
    <cellStyle name="_Heading_prestemp_Cap Table Inputs 2 2" xfId="370"/>
    <cellStyle name="_Heading_prestemp_Cap Table Inputs 3" xfId="371"/>
    <cellStyle name="_Heading_prestemp_Cap Table Inputs 4" xfId="372"/>
    <cellStyle name="_Heading_prestemp_Cap Table Inputs 5" xfId="373"/>
    <cellStyle name="_Heading_prestemp_Cap Table Inputs_CompanyABC Valuation Draft Model 04 21 2009" xfId="374"/>
    <cellStyle name="_Heading_prestemp_Cap Table Inputs_CompanyABC Valuation Draft Model 04 21 2009 2" xfId="375"/>
    <cellStyle name="_Heading_prestemp_Cap Table Inputs_DB" xfId="376"/>
    <cellStyle name="_Heading_prestemp_Cap Table Inputs_DB 2" xfId="377"/>
    <cellStyle name="_Heading_prestemp_Cap Table Inputs_DB 2 2" xfId="378"/>
    <cellStyle name="_Heading_prestemp_Cap Table Inputs_FAS 157 Model Template 04 26 2009" xfId="379"/>
    <cellStyle name="_Heading_prestemp_Cap Table Inputs_FAS 157 Model Template 04 26 2009 2" xfId="380"/>
    <cellStyle name="_Heading_prestemp_Cap Table Inputs_Miragen VD 05 31 2008 Model 05 22 2009" xfId="381"/>
    <cellStyle name="_Heading_prestemp_CardioSolutions 05 31 2007 Final Model 09 27 2007" xfId="382"/>
    <cellStyle name="_Heading_prestemp_CardioSolutions 05 31 2007 Final Model 09 27 2007 2" xfId="383"/>
    <cellStyle name="_Heading_prestemp_CardioSolutions 05 31 2007 Final Model 09 27 2007 2 2" xfId="384"/>
    <cellStyle name="_Heading_prestemp_CardioSolutions 05 31 2007 Final Model 09 27 2007 3" xfId="385"/>
    <cellStyle name="_Heading_prestemp_CardioSolutions 05 31 2007 Final Model 09 27 2007 4" xfId="386"/>
    <cellStyle name="_Heading_prestemp_CardioSolutions 05 31 2007 Final Model 09 27 2007 5" xfId="387"/>
    <cellStyle name="_Heading_prestemp_CardioSolutions 05 31 2007 Final Model 09 27 2007_CompanyABC Valuation Draft Model 04 21 2009" xfId="388"/>
    <cellStyle name="_Heading_prestemp_CardioSolutions 05 31 2007 Final Model 09 27 2007_CompanyABC Valuation Draft Model 04 21 2009 2" xfId="389"/>
    <cellStyle name="_Heading_prestemp_CardioSolutions 05 31 2007 Final Model 09 27 2007_DB" xfId="390"/>
    <cellStyle name="_Heading_prestemp_CardioSolutions 05 31 2007 Final Model 09 27 2007_DB 2" xfId="391"/>
    <cellStyle name="_Heading_prestemp_CardioSolutions 05 31 2007 Final Model 09 27 2007_DB 2 2" xfId="392"/>
    <cellStyle name="_Heading_prestemp_CardioSolutions 05 31 2007 Final Model 09 27 2007_FAS 157 Model Template 04 26 2009" xfId="393"/>
    <cellStyle name="_Heading_prestemp_CardioSolutions 05 31 2007 Final Model 09 27 2007_FAS 157 Model Template 04 26 2009 2" xfId="394"/>
    <cellStyle name="_Heading_prestemp_CardioSolutions 05 31 2007 Final Model 09 27 2007_Miragen VD 05 31 2008 Model 05 22 2009" xfId="395"/>
    <cellStyle name="_Heading_prestemp_CardioSolutions VD 05 31 08 Draft Model 07 15 2008" xfId="396"/>
    <cellStyle name="_Heading_prestemp_CardioSolutions VD 05 31 08 Draft Model 07 15 2008 2" xfId="397"/>
    <cellStyle name="_Heading_prestemp_CardioSolutions VD 05 31 08 Draft Model 08 06 08-u" xfId="398"/>
    <cellStyle name="_Heading_prestemp_CardioSolutions VD 05 31 08 Draft Model 08 06 08-u 2" xfId="399"/>
    <cellStyle name="_Heading_prestemp_CompanyABC Valuation Draft Model 04 21 2009" xfId="400"/>
    <cellStyle name="_Heading_prestemp_CompanyABC Valuation Draft Model 04 21 2009 2" xfId="401"/>
    <cellStyle name="_Heading_prestemp_CompanyABC Valuation Model Draft 07 07 2008" xfId="402"/>
    <cellStyle name="_Heading_prestemp_CompanyABC Valuation Model Draft 07 07 2008 2" xfId="403"/>
    <cellStyle name="_Heading_prestemp_CompanyABC Valuation Model Draft 08 07 2008" xfId="404"/>
    <cellStyle name="_Heading_prestemp_CompanyABC Valuation Model Draft 08 07 2008 2" xfId="405"/>
    <cellStyle name="_Heading_prestemp_CompanyABC Valuation Model Draft 08 25 2008" xfId="406"/>
    <cellStyle name="_Heading_prestemp_CompanyABC Valuation Model Draft 08 25 2008 2" xfId="407"/>
    <cellStyle name="_Heading_prestemp_CompanyABC Valuation Model Draft 09 25 2008-Team Liquidity" xfId="408"/>
    <cellStyle name="_Heading_prestemp_CompanyABC Valuation Model Draft 09 25 2008-Team Liquidity 2" xfId="409"/>
    <cellStyle name="_Heading_prestemp_CompanyABC Valuation Model Draft 10 01 2008" xfId="410"/>
    <cellStyle name="_Heading_prestemp_CompanyABC Valuation Model Draft 10 01 2008 2" xfId="411"/>
    <cellStyle name="_Heading_prestemp_CompanyABC Valuation Model Draft 10 27 2008" xfId="412"/>
    <cellStyle name="_Heading_prestemp_CompanyABC Valuation Model Draft 10 27 2008 2" xfId="413"/>
    <cellStyle name="_Heading_prestemp_Cyrela - Goldzstein - Financial Model - v1" xfId="414"/>
    <cellStyle name="_Heading_prestemp_Cyrela - Goldzstein - Financial Model - v5" xfId="415"/>
    <cellStyle name="_Heading_prestemp_DB" xfId="416"/>
    <cellStyle name="_Heading_prestemp_DB 2" xfId="417"/>
    <cellStyle name="_Heading_prestemp_EXAMPLE model C-5" xfId="418"/>
    <cellStyle name="_Heading_prestemp_EXAMPLE model C-5 2" xfId="419"/>
    <cellStyle name="_Heading_prestemp_FAS 157 Model Template 04 26 2009" xfId="420"/>
    <cellStyle name="_Heading_prestemp_FAS 157 Model Template 04 26 2009 2" xfId="421"/>
    <cellStyle name="_Heading_prestemp_Gas Natural - Financial Model - April 18 2008 - v1" xfId="422"/>
    <cellStyle name="_Heading_prestemp_Gas Natural - Financial Model - April 18 2008 - v2" xfId="423"/>
    <cellStyle name="_Heading_prestemp_Gas Natural - Financial Model - May 20, 2009" xfId="424"/>
    <cellStyle name="_Heading_prestemp_Goldzstein Cyrela - Financial Model - v7" xfId="425"/>
    <cellStyle name="_Heading_prestemp_Great Call VD 09 30 08 Draft Model 11 20 08" xfId="426"/>
    <cellStyle name="_Heading_prestemp_Great Call VD 09 30 08 Draft Model 11 20 08 2" xfId="427"/>
    <cellStyle name="_Heading_prestemp_Grupo Ibmec - Financial Model - v2" xfId="428"/>
    <cellStyle name="_Heading_prestemp_Grupo Ibmec - Financial Model - v5" xfId="429"/>
    <cellStyle name="_Heading_prestemp_Independencia - Financial Model - Dec 02 2008 - v3" xfId="430"/>
    <cellStyle name="_Heading_prestemp_Independencia - Financial Model - Nov 24 2008" xfId="431"/>
    <cellStyle name="_Heading_prestemp_Intermedia, Inc. VD 05 31 08 Draft Model 07 16 2008" xfId="432"/>
    <cellStyle name="_Heading_prestemp_Intermedia, Inc. VD 05 31 08 Draft Model 07 16 2008 2" xfId="433"/>
    <cellStyle name="_Heading_prestemp_Island Data Corporatin VD 06 30 08 Projections and Comparables 08 11 2008" xfId="434"/>
    <cellStyle name="_Heading_prestemp_Island Data Corporatin VD 06 30 08 Projections and Comparables 08 11 2008 2" xfId="435"/>
    <cellStyle name="_Heading_prestemp_Jentro Tech VD 03 31 2008 Model 04 10 2008" xfId="436"/>
    <cellStyle name="_Heading_prestemp_Jentro Tech VD 03 31 2008 Model 04 10 2008 2" xfId="437"/>
    <cellStyle name="_Heading_prestemp_Kythera Biopharmaceuticals VD 05 16 08 Draft Analysis 07 01 08" xfId="438"/>
    <cellStyle name="_Heading_prestemp_Kythera Biopharmaceuticals VD 05 16 08 Draft Analysis 07 01 08 2" xfId="439"/>
    <cellStyle name="_Heading_prestemp_Kythera Biopharmaceuticals VD 05 16 08 Final Model 07 20 08" xfId="440"/>
    <cellStyle name="_Heading_prestemp_Kythera Biopharmaceuticals VD 05 16 08 Final Model 07 20 08 2" xfId="441"/>
    <cellStyle name="_Heading_prestemp_Kythera Biopharmaceuticals, Inc. VD 5 16 2008 Draft 5 24 2008" xfId="442"/>
    <cellStyle name="_Heading_prestemp_Kythera Biopharmaceuticals, Inc. VD 5 16 2008 Draft 5 24 2008 2" xfId="443"/>
    <cellStyle name="_Heading_prestemp_Medley_Financial_Model_v5" xfId="444"/>
    <cellStyle name="_Heading_prestemp_Medley_Financial_Model_v5_Ubiquiti Ownership Table" xfId="445"/>
    <cellStyle name="_Heading_prestemp_Miragen VD 05 31 2008 Model 05 22 2009" xfId="446"/>
    <cellStyle name="_Heading_prestemp_Notes" xfId="447"/>
    <cellStyle name="_Heading_prestemp_Notes 2" xfId="448"/>
    <cellStyle name="_Heading_prestemp_OMT VD 10 15 2008 Draft Analysis 12 17 2008.xls" xfId="449"/>
    <cellStyle name="_Heading_prestemp_Project Emet - Forecasts" xfId="450"/>
    <cellStyle name="_Heading_prestemp_PubComps IPO -C-7" xfId="451"/>
    <cellStyle name="_Heading_prestemp_PubComps IPO -C-7 2" xfId="452"/>
    <cellStyle name="_Heading_prestemp_Rumo_Financial_Model_05jun2009_v1" xfId="453"/>
    <cellStyle name="_Heading_prestemp_Rumo_Financial_Model_05jun2009_v4" xfId="454"/>
    <cellStyle name="_Heading_prestemp_Rumo_Financial_Model_05jun2009_v5" xfId="455"/>
    <cellStyle name="_Heading_prestemp_Rumo_Financial_Model_05jun2009_v6" xfId="456"/>
    <cellStyle name="_Heading_prestemp_SCPC_Financial_Model_10jun2009_v2" xfId="457"/>
    <cellStyle name="_Heading_prestemp_SCPC_Financial_Model_17jun2009_v5" xfId="458"/>
    <cellStyle name="_Heading_prestemp_Tmax Soft VD 07 31 2008 Draft Model 08 20 2008" xfId="459"/>
    <cellStyle name="_Heading_prestemp_Tmax Soft VD 07 31 2008 Draft Model 08 20 2008 2" xfId="460"/>
    <cellStyle name="_Heading_prestemp_WACC -E-2" xfId="461"/>
    <cellStyle name="_Heading_prestemp_WACC -E-2 2" xfId="462"/>
    <cellStyle name="_Heading_prestemp_Xmos Limited VD 05 13 2008  Model 06 04 08" xfId="463"/>
    <cellStyle name="_Heading_prestemp_Xmos Limited VD 05 13 2008  Model 06 04 08 2" xfId="464"/>
    <cellStyle name="_Headline" xfId="16305"/>
    <cellStyle name="_Hea_x0010_line" xfId="16306"/>
    <cellStyle name="_Highlight" xfId="465"/>
    <cellStyle name="_Highlight 2" xfId="466"/>
    <cellStyle name="_IPO Val 08.01.05 v1.1" xfId="16307"/>
    <cellStyle name="_laroux_2000 Reforecast Summary 6-00" xfId="16308"/>
    <cellStyle name="_laroux_April 2000 Review_Property Disclosure 2000 Reforecast 8-00" xfId="16309"/>
    <cellStyle name="_LIBOR" xfId="467"/>
    <cellStyle name="_LIBOR 2" xfId="468"/>
    <cellStyle name="_LIBOR_IRR Model" xfId="469"/>
    <cellStyle name="_LIBOR_IRR Model 2" xfId="470"/>
    <cellStyle name="_LIBOR_Mesa_Irr Grid" xfId="471"/>
    <cellStyle name="_LIBOR_Mesa_Irr Grid 2" xfId="472"/>
    <cellStyle name="_Luxury Goods Comps latest" xfId="473"/>
    <cellStyle name="_Luxury Goods Comps latest_Medley_Financial_Model_v5" xfId="474"/>
    <cellStyle name="_Luxury Goods Comps latest_Medley_Financial_Model_v5_Ubiquiti Ownership Table" xfId="475"/>
    <cellStyle name="_MemoHead" xfId="476"/>
    <cellStyle name="_MemoHead 2" xfId="477"/>
    <cellStyle name="_MemoSubHead" xfId="478"/>
    <cellStyle name="_MemoSubHead 2" xfId="479"/>
    <cellStyle name="-_Merger Overview Paste-ins" xfId="480"/>
    <cellStyle name="-_Merger Overview Paste-ins_EBITDA template v2" xfId="481"/>
    <cellStyle name="-_Merger Overview Paste-ins_Ranpak Model (10-27-05) v1.1" xfId="482"/>
    <cellStyle name="-_Merger Overview Paste-ins_Ranpak Model (10-27-05) v1.1_EBITDA template v2" xfId="483"/>
    <cellStyle name="_Model and Valuation - Aros 6 30 08" xfId="16310"/>
    <cellStyle name="_Modelo Puerto 2007 Management Case DB 14-11 (DB) v20" xfId="484"/>
    <cellStyle name="_Modelo Puerto 2007 Management Case DB 14-11 (DB) v20_Medley_Financial_Model_v5" xfId="485"/>
    <cellStyle name="_Multiple" xfId="486"/>
    <cellStyle name="_Multiple__DCF Template" xfId="487"/>
    <cellStyle name="_Multiple_04 Alaska Model 2002-05-31 GS" xfId="488"/>
    <cellStyle name="_Multiple_Cable_Industry Overview5" xfId="489"/>
    <cellStyle name="_Multiple_Control" xfId="490"/>
    <cellStyle name="_Multiple_Dividend Template" xfId="491"/>
    <cellStyle name="_Multiple_Eric CapIQ unlinked v1" xfId="492"/>
    <cellStyle name="_Multiple_Gelco Model" xfId="493"/>
    <cellStyle name="_Multiple_H-G Holdings race car v5 (change dep)" xfId="494"/>
    <cellStyle name="_Multiple_INTU Comps v2" xfId="16311"/>
    <cellStyle name="_Multiple_lbo_long_model" xfId="495"/>
    <cellStyle name="_Multiple_lbo_long_model 2" xfId="496"/>
    <cellStyle name="_Multiple_Medicis WACC" xfId="497"/>
    <cellStyle name="_Multiple_Meggitt AirDynamics WACC" xfId="498"/>
    <cellStyle name="_Multiple_Pro-Forma Financials" xfId="499"/>
    <cellStyle name="_Multiple_Pro-Forma Spin-off" xfId="500"/>
    <cellStyle name="_Multiple_Revised Basic Modelv2.4" xfId="501"/>
    <cellStyle name="_Multiple_Rider Henning" xfId="502"/>
    <cellStyle name="_Multiple_Summary" xfId="503"/>
    <cellStyle name="_Multiple_Updated Model - CapitalIQ6 -04.20.06" xfId="504"/>
    <cellStyle name="_Multiple_WACCv2" xfId="505"/>
    <cellStyle name="_Multiple_Yield Tables" xfId="506"/>
    <cellStyle name="_MultipleSpace" xfId="507"/>
    <cellStyle name="_MultipleSpace__DCF Template" xfId="508"/>
    <cellStyle name="_MultipleSpace_04 Alaska Model 2002-05-31 GS" xfId="509"/>
    <cellStyle name="_MultipleSpace_Control" xfId="510"/>
    <cellStyle name="_MultipleSpace_Dividend Template" xfId="511"/>
    <cellStyle name="_MultipleSpace_EPL LBO 5.16.05 - Mgmt IPO v6" xfId="16312"/>
    <cellStyle name="_MultipleSpace_Epsilon IPO Model NEW v3" xfId="16313"/>
    <cellStyle name="_MultipleSpace_Epsilon Model 3.30.05 v7" xfId="16314"/>
    <cellStyle name="_MultipleSpace_Eric CapIQ unlinked v1" xfId="512"/>
    <cellStyle name="_MultipleSpace_H-G Holdings race car v5 (change dep)" xfId="513"/>
    <cellStyle name="_MultipleSpace_Hist_Rev1" xfId="16315"/>
    <cellStyle name="_MultipleSpace_lbo_long_model" xfId="514"/>
    <cellStyle name="_MultipleSpace_lbo_long_model 2" xfId="515"/>
    <cellStyle name="_MultipleSpace_Medicis WACC" xfId="516"/>
    <cellStyle name="_MultipleSpace_Meggitt AirDynamics WACC" xfId="517"/>
    <cellStyle name="_MultipleSpace_Pro-Forma Financials" xfId="518"/>
    <cellStyle name="_MultipleSpace_Pro-Forma Spin-off" xfId="519"/>
    <cellStyle name="_MultipleSpace_Revised Basic Modelv2.4" xfId="520"/>
    <cellStyle name="_MultipleSpace_Rider Henning" xfId="521"/>
    <cellStyle name="_MultipleSpace_RJB Long LBO LTM" xfId="16316"/>
    <cellStyle name="_MultipleSpace_Updated Model - CapitalIQ6 -04.20.06" xfId="522"/>
    <cellStyle name="_MultipleSpace_WACCv2" xfId="523"/>
    <cellStyle name="_Nomos WACC" xfId="524"/>
    <cellStyle name="_Percent" xfId="525"/>
    <cellStyle name="_Percent_Control" xfId="526"/>
    <cellStyle name="_Percent_Rider Henning" xfId="527"/>
    <cellStyle name="_PercentReal" xfId="528"/>
    <cellStyle name="_PercentReal 2" xfId="529"/>
    <cellStyle name="_PercentReal_Gelco Model" xfId="530"/>
    <cellStyle name="_PercentReal_Gelco Model 2" xfId="531"/>
    <cellStyle name="_PercentReal_Gelco Overview_3-11-04" xfId="532"/>
    <cellStyle name="_PercentReal_Gelco Overview_3-11-04 2" xfId="533"/>
    <cellStyle name="_PercentReal_Indicative Term Sheet" xfId="534"/>
    <cellStyle name="_PercentReal_Indicative Term Sheet 2" xfId="535"/>
    <cellStyle name="_PercentReal_IRR Summary" xfId="536"/>
    <cellStyle name="_PercentReal_IRR Summary 2" xfId="537"/>
    <cellStyle name="_PercentReal_PADD" xfId="538"/>
    <cellStyle name="_PercentReal_PADD 2" xfId="539"/>
    <cellStyle name="_PercentSpace" xfId="540"/>
    <cellStyle name="_PercentSpace_Control" xfId="541"/>
    <cellStyle name="_PercentSpace_Rider Henning" xfId="542"/>
    <cellStyle name="_PMR_Val_v3" xfId="16317"/>
    <cellStyle name="_PMR_Val_v4" xfId="16318"/>
    <cellStyle name="_Projection IS  BS 2007-2010" xfId="543"/>
    <cellStyle name="_Public Equity Analysis - v1" xfId="544"/>
    <cellStyle name="_Public Equity Analysis - v1_Medley_Financial_Model_v5" xfId="545"/>
    <cellStyle name="_Pulpo 01.30.07 v.2" xfId="16319"/>
    <cellStyle name="_RangeColumns" xfId="546"/>
    <cellStyle name="_RangeColumns_East Coast Bulk Caustic 2+10" xfId="547"/>
    <cellStyle name="_RangeColumns_East Coast Bulk Caustic 2+10 2" xfId="12431"/>
    <cellStyle name="_RangeColumns_East Profit  Loss 1Q Review" xfId="548"/>
    <cellStyle name="_RangeColumns_East Profit  Loss 1Q Review 2" xfId="12432"/>
    <cellStyle name="_RangeData" xfId="549"/>
    <cellStyle name="_RangeData 2" xfId="12433"/>
    <cellStyle name="_RangeData_East Coast Bulk Caustic 2+10" xfId="550"/>
    <cellStyle name="_RangeData_East Coast Bulk Caustic 2+10 2" xfId="12434"/>
    <cellStyle name="_RangeData_East Profit  Loss 1Q Review" xfId="551"/>
    <cellStyle name="_RangeData_East Profit  Loss 1Q Review 2" xfId="12435"/>
    <cellStyle name="_RangeProperties" xfId="552"/>
    <cellStyle name="_RangeProperties 2" xfId="12436"/>
    <cellStyle name="_RangePropertiesColumns" xfId="553"/>
    <cellStyle name="_RangePropertiesColumns 2" xfId="12437"/>
    <cellStyle name="_RangeRows" xfId="554"/>
    <cellStyle name="_RangeRows_East Coast Bulk Caustic 2+10" xfId="555"/>
    <cellStyle name="_RangeRows_East Coast Bulk Caustic 2+10 2" xfId="12438"/>
    <cellStyle name="_RangeRows_East Profit  Loss 1Q Review" xfId="556"/>
    <cellStyle name="_RangeRows_East Profit  Loss 1Q Review 2" xfId="12439"/>
    <cellStyle name="_RangeSlicer" xfId="557"/>
    <cellStyle name="_Revised BP 2007-2010" xfId="558"/>
    <cellStyle name="_Roster with Salary and Bonus v2" xfId="16320"/>
    <cellStyle name="_Store Buildup v6" xfId="16321"/>
    <cellStyle name="_Store Buildup v6_1" xfId="16322"/>
    <cellStyle name="_Store Buildup v6_2" xfId="16323"/>
    <cellStyle name="_Store Buildup v6_3" xfId="16324"/>
    <cellStyle name="_Store Buildup v6_4" xfId="16325"/>
    <cellStyle name="_SubHeading" xfId="559"/>
    <cellStyle name="_SubHeading 2" xfId="560"/>
    <cellStyle name="_SubHeading_lbo_long_model" xfId="561"/>
    <cellStyle name="_SubHeading_lbo_long_model 2" xfId="562"/>
    <cellStyle name="_SubHeading_lbo_long_model 2 2" xfId="563"/>
    <cellStyle name="_SubHeading_lbo_long_model 3" xfId="564"/>
    <cellStyle name="_SubHeading_lbo_long_model 4" xfId="565"/>
    <cellStyle name="_SubHeading_lbo_long_model 5" xfId="566"/>
    <cellStyle name="_SubHeading_lbo_long_model_Anaphore 12 31 2008 Draft Analysis 02 19 2009" xfId="567"/>
    <cellStyle name="_SubHeading_lbo_long_model_Anaphore 12 31 2008 Draft Analysis 02 20 2009 - DM REVISED" xfId="568"/>
    <cellStyle name="_SubHeading_lbo_long_model_Book2" xfId="569"/>
    <cellStyle name="_SubHeading_lbo_long_model_Book2 2" xfId="570"/>
    <cellStyle name="_SubHeading_lbo_long_model_Boston Power VD 01 31 2008 Model 02 26 2008" xfId="571"/>
    <cellStyle name="_SubHeading_lbo_long_model_Boston Power VD 01 31 2008 Model 02 26 2008 2" xfId="572"/>
    <cellStyle name="_SubHeading_lbo_long_model_Boston Power VD 01 31 2008 Model 02 26 2008 2 2" xfId="573"/>
    <cellStyle name="_SubHeading_lbo_long_model_Boston Power VD 01 31 2008 Model 02 26 2008 3" xfId="574"/>
    <cellStyle name="_SubHeading_lbo_long_model_Boston Power VD 01 31 2008 Model 02 26 2008 4" xfId="575"/>
    <cellStyle name="_SubHeading_lbo_long_model_Boston Power VD 01 31 2008 Model 02 26 2008 5" xfId="576"/>
    <cellStyle name="_SubHeading_lbo_long_model_Boston Power VD 01 31 2008 Model 02 26 2008_CompanyABC Valuation Draft Model 04 21 2009" xfId="577"/>
    <cellStyle name="_SubHeading_lbo_long_model_Boston Power VD 01 31 2008 Model 02 26 2008_CompanyABC Valuation Draft Model 04 21 2009 2" xfId="578"/>
    <cellStyle name="_SubHeading_lbo_long_model_Boston Power VD 01 31 2008 Model 02 26 2008_DB" xfId="579"/>
    <cellStyle name="_SubHeading_lbo_long_model_Boston Power VD 01 31 2008 Model 02 26 2008_DB 2" xfId="580"/>
    <cellStyle name="_SubHeading_lbo_long_model_Boston Power VD 01 31 2008 Model 02 26 2008_DB 2 2" xfId="581"/>
    <cellStyle name="_SubHeading_lbo_long_model_Boston Power VD 01 31 2008 Model 02 26 2008_FAS 157 Model Template 04 26 2009" xfId="582"/>
    <cellStyle name="_SubHeading_lbo_long_model_Boston Power VD 01 31 2008 Model 02 26 2008_FAS 157 Model Template 04 26 2009 2" xfId="583"/>
    <cellStyle name="_SubHeading_lbo_long_model_Boston Power VD 01 31 2008 Model 02 26 2008_Miragen VD 05 31 2008 Model 05 22 2009" xfId="584"/>
    <cellStyle name="_SubHeading_lbo_long_model_Cap Table Inputs" xfId="585"/>
    <cellStyle name="_SubHeading_lbo_long_model_Cap Table Inputs 2" xfId="586"/>
    <cellStyle name="_SubHeading_lbo_long_model_Cap Table Inputs 2 2" xfId="587"/>
    <cellStyle name="_SubHeading_lbo_long_model_Cap Table Inputs 3" xfId="588"/>
    <cellStyle name="_SubHeading_lbo_long_model_Cap Table Inputs 4" xfId="589"/>
    <cellStyle name="_SubHeading_lbo_long_model_Cap Table Inputs 5" xfId="590"/>
    <cellStyle name="_SubHeading_lbo_long_model_Cap Table Inputs_CompanyABC Valuation Draft Model 04 21 2009" xfId="591"/>
    <cellStyle name="_SubHeading_lbo_long_model_Cap Table Inputs_CompanyABC Valuation Draft Model 04 21 2009 2" xfId="592"/>
    <cellStyle name="_SubHeading_lbo_long_model_Cap Table Inputs_DB" xfId="593"/>
    <cellStyle name="_SubHeading_lbo_long_model_Cap Table Inputs_DB 2" xfId="594"/>
    <cellStyle name="_SubHeading_lbo_long_model_Cap Table Inputs_DB 2 2" xfId="595"/>
    <cellStyle name="_SubHeading_lbo_long_model_Cap Table Inputs_FAS 157 Model Template 04 26 2009" xfId="596"/>
    <cellStyle name="_SubHeading_lbo_long_model_Cap Table Inputs_FAS 157 Model Template 04 26 2009 2" xfId="597"/>
    <cellStyle name="_SubHeading_lbo_long_model_Cap Table Inputs_Miragen VD 05 31 2008 Model 05 22 2009" xfId="598"/>
    <cellStyle name="_SubHeading_lbo_long_model_CardioSolutions 05 31 2007 Final Model 09 27 2007" xfId="599"/>
    <cellStyle name="_SubHeading_lbo_long_model_CardioSolutions 05 31 2007 Final Model 09 27 2007 2" xfId="600"/>
    <cellStyle name="_SubHeading_lbo_long_model_CardioSolutions 05 31 2007 Final Model 09 27 2007 2 2" xfId="601"/>
    <cellStyle name="_SubHeading_lbo_long_model_CardioSolutions 05 31 2007 Final Model 09 27 2007 3" xfId="602"/>
    <cellStyle name="_SubHeading_lbo_long_model_CardioSolutions 05 31 2007 Final Model 09 27 2007 4" xfId="603"/>
    <cellStyle name="_SubHeading_lbo_long_model_CardioSolutions 05 31 2007 Final Model 09 27 2007 5" xfId="604"/>
    <cellStyle name="_SubHeading_lbo_long_model_CardioSolutions 05 31 2007 Final Model 09 27 2007_CompanyABC Valuation Draft Model 04 21 2009" xfId="605"/>
    <cellStyle name="_SubHeading_lbo_long_model_CardioSolutions 05 31 2007 Final Model 09 27 2007_CompanyABC Valuation Draft Model 04 21 2009 2" xfId="606"/>
    <cellStyle name="_SubHeading_lbo_long_model_CardioSolutions 05 31 2007 Final Model 09 27 2007_DB" xfId="607"/>
    <cellStyle name="_SubHeading_lbo_long_model_CardioSolutions 05 31 2007 Final Model 09 27 2007_DB 2" xfId="608"/>
    <cellStyle name="_SubHeading_lbo_long_model_CardioSolutions 05 31 2007 Final Model 09 27 2007_DB 2 2" xfId="609"/>
    <cellStyle name="_SubHeading_lbo_long_model_CardioSolutions 05 31 2007 Final Model 09 27 2007_FAS 157 Model Template 04 26 2009" xfId="610"/>
    <cellStyle name="_SubHeading_lbo_long_model_CardioSolutions 05 31 2007 Final Model 09 27 2007_FAS 157 Model Template 04 26 2009 2" xfId="611"/>
    <cellStyle name="_SubHeading_lbo_long_model_CardioSolutions 05 31 2007 Final Model 09 27 2007_Miragen VD 05 31 2008 Model 05 22 2009" xfId="612"/>
    <cellStyle name="_SubHeading_lbo_long_model_CardioSolutions VD 05 31 08 Draft Model 07 15 2008" xfId="613"/>
    <cellStyle name="_SubHeading_lbo_long_model_CardioSolutions VD 05 31 08 Draft Model 07 15 2008 2" xfId="614"/>
    <cellStyle name="_SubHeading_lbo_long_model_CardioSolutions VD 05 31 08 Draft Model 08 06 08-u" xfId="615"/>
    <cellStyle name="_SubHeading_lbo_long_model_CardioSolutions VD 05 31 08 Draft Model 08 06 08-u 2" xfId="616"/>
    <cellStyle name="_SubHeading_lbo_long_model_CompanyABC Valuation Draft Model 04 21 2009" xfId="617"/>
    <cellStyle name="_SubHeading_lbo_long_model_CompanyABC Valuation Draft Model 04 21 2009 2" xfId="618"/>
    <cellStyle name="_SubHeading_lbo_long_model_CompanyABC Valuation Model Draft 07 07 2008" xfId="619"/>
    <cellStyle name="_SubHeading_lbo_long_model_CompanyABC Valuation Model Draft 07 07 2008 2" xfId="620"/>
    <cellStyle name="_SubHeading_lbo_long_model_CompanyABC Valuation Model Draft 08 07 2008" xfId="621"/>
    <cellStyle name="_SubHeading_lbo_long_model_CompanyABC Valuation Model Draft 08 07 2008 2" xfId="622"/>
    <cellStyle name="_SubHeading_lbo_long_model_CompanyABC Valuation Model Draft 08 25 2008" xfId="623"/>
    <cellStyle name="_SubHeading_lbo_long_model_CompanyABC Valuation Model Draft 08 25 2008 2" xfId="624"/>
    <cellStyle name="_SubHeading_lbo_long_model_CompanyABC Valuation Model Draft 09 25 2008-Team Liquidity" xfId="625"/>
    <cellStyle name="_SubHeading_lbo_long_model_CompanyABC Valuation Model Draft 09 25 2008-Team Liquidity 2" xfId="626"/>
    <cellStyle name="_SubHeading_lbo_long_model_CompanyABC Valuation Model Draft 10 01 2008" xfId="627"/>
    <cellStyle name="_SubHeading_lbo_long_model_CompanyABC Valuation Model Draft 10 01 2008 2" xfId="628"/>
    <cellStyle name="_SubHeading_lbo_long_model_CompanyABC Valuation Model Draft 10 27 2008" xfId="629"/>
    <cellStyle name="_SubHeading_lbo_long_model_CompanyABC Valuation Model Draft 10 27 2008 2" xfId="630"/>
    <cellStyle name="_SubHeading_lbo_long_model_DB" xfId="631"/>
    <cellStyle name="_SubHeading_lbo_long_model_DB 2" xfId="632"/>
    <cellStyle name="_SubHeading_lbo_long_model_EXAMPLE model C-5" xfId="633"/>
    <cellStyle name="_SubHeading_lbo_long_model_EXAMPLE model C-5 2" xfId="634"/>
    <cellStyle name="_SubHeading_lbo_long_model_FAS 157 Model Template 04 26 2009" xfId="635"/>
    <cellStyle name="_SubHeading_lbo_long_model_FAS 157 Model Template 04 26 2009 2" xfId="636"/>
    <cellStyle name="_SubHeading_lbo_long_model_Great Call VD 09 30 08 Draft Model 11 20 08" xfId="637"/>
    <cellStyle name="_SubHeading_lbo_long_model_Great Call VD 09 30 08 Draft Model 11 20 08 2" xfId="638"/>
    <cellStyle name="_SubHeading_lbo_long_model_Intermedia, Inc. VD 05 31 08 Draft Model 07 16 2008" xfId="639"/>
    <cellStyle name="_SubHeading_lbo_long_model_Intermedia, Inc. VD 05 31 08 Draft Model 07 16 2008 2" xfId="640"/>
    <cellStyle name="_SubHeading_lbo_long_model_Island Data Corporatin VD 06 30 08 Projections and Comparables 08 11 2008" xfId="641"/>
    <cellStyle name="_SubHeading_lbo_long_model_Island Data Corporatin VD 06 30 08 Projections and Comparables 08 11 2008 2" xfId="642"/>
    <cellStyle name="_SubHeading_lbo_long_model_Jentro Tech VD 03 31 2008 Model 04 10 2008" xfId="643"/>
    <cellStyle name="_SubHeading_lbo_long_model_Jentro Tech VD 03 31 2008 Model 04 10 2008 2" xfId="644"/>
    <cellStyle name="_SubHeading_lbo_long_model_Kythera Biopharmaceuticals VD 05 16 08 Draft Analysis 07 01 08" xfId="645"/>
    <cellStyle name="_SubHeading_lbo_long_model_Kythera Biopharmaceuticals VD 05 16 08 Draft Analysis 07 01 08 2" xfId="646"/>
    <cellStyle name="_SubHeading_lbo_long_model_Kythera Biopharmaceuticals VD 05 16 08 Final Model 07 20 08" xfId="647"/>
    <cellStyle name="_SubHeading_lbo_long_model_Kythera Biopharmaceuticals VD 05 16 08 Final Model 07 20 08 2" xfId="648"/>
    <cellStyle name="_SubHeading_lbo_long_model_Kythera Biopharmaceuticals, Inc. VD 5 16 2008 Draft 5 24 2008" xfId="649"/>
    <cellStyle name="_SubHeading_lbo_long_model_Kythera Biopharmaceuticals, Inc. VD 5 16 2008 Draft 5 24 2008 2" xfId="650"/>
    <cellStyle name="_SubHeading_lbo_long_model_Miragen VD 05 31 2008 Model 05 22 2009" xfId="651"/>
    <cellStyle name="_SubHeading_lbo_long_model_Notes" xfId="652"/>
    <cellStyle name="_SubHeading_lbo_long_model_Notes 2" xfId="653"/>
    <cellStyle name="_SubHeading_lbo_long_model_OMT VD 10 15 2008 Draft Analysis 12 17 2008.xls" xfId="654"/>
    <cellStyle name="_SubHeading_lbo_long_model_PubComps IPO -C-7" xfId="655"/>
    <cellStyle name="_SubHeading_lbo_long_model_PubComps IPO -C-7 2" xfId="656"/>
    <cellStyle name="_SubHeading_lbo_long_model_Tmax Soft VD 07 31 2008 Draft Model 08 20 2008" xfId="657"/>
    <cellStyle name="_SubHeading_lbo_long_model_Tmax Soft VD 07 31 2008 Draft Model 08 20 2008 2" xfId="658"/>
    <cellStyle name="_SubHeading_lbo_long_model_WACC -E-2" xfId="659"/>
    <cellStyle name="_SubHeading_lbo_long_model_WACC -E-2 2" xfId="660"/>
    <cellStyle name="_SubHeading_lbo_long_model_Xmos Limited VD 05 13 2008  Model 06 04 08" xfId="661"/>
    <cellStyle name="_SubHeading_lbo_long_model_Xmos Limited VD 05 13 2008  Model 06 04 08 2" xfId="662"/>
    <cellStyle name="_SubHeading_prestemp" xfId="663"/>
    <cellStyle name="_SubHeading_prestemp 2" xfId="664"/>
    <cellStyle name="_SubHeading_prestemp 2 2" xfId="665"/>
    <cellStyle name="_SubHeading_prestemp 3" xfId="666"/>
    <cellStyle name="_SubHeading_prestemp 4" xfId="667"/>
    <cellStyle name="_SubHeading_prestemp 5" xfId="668"/>
    <cellStyle name="_SubHeading_prestemp_1" xfId="669"/>
    <cellStyle name="_SubHeading_prestemp_1_Cyrela - Goldzstein - Financial Model - v1" xfId="670"/>
    <cellStyle name="_SubHeading_prestemp_1_Cyrela - Goldzstein - Financial Model - v5" xfId="671"/>
    <cellStyle name="_SubHeading_prestemp_1_Gas Natural - Financial Model - April 18 2008 - v1" xfId="672"/>
    <cellStyle name="_SubHeading_prestemp_1_Gas Natural - Financial Model - April 18 2008 - v2" xfId="673"/>
    <cellStyle name="_SubHeading_prestemp_1_Gas Natural - Financial Model - May 20, 2009" xfId="674"/>
    <cellStyle name="_SubHeading_prestemp_1_Goldzstein Cyrela - Financial Model - v7" xfId="675"/>
    <cellStyle name="_SubHeading_prestemp_1_Grupo Ibmec - Financial Model - v2" xfId="676"/>
    <cellStyle name="_SubHeading_prestemp_1_Grupo Ibmec - Financial Model - v5" xfId="677"/>
    <cellStyle name="_SubHeading_prestemp_1_Independencia - Financial Model - Dec 02 2008 - v3" xfId="678"/>
    <cellStyle name="_SubHeading_prestemp_1_Independencia - Financial Model - Nov 24 2008" xfId="679"/>
    <cellStyle name="_SubHeading_prestemp_1_Medley_Financial_Model_v5" xfId="680"/>
    <cellStyle name="_SubHeading_prestemp_1_Medley_Financial_Model_v5_Ubiquiti Ownership Table" xfId="681"/>
    <cellStyle name="_SubHeading_prestemp_1_Project Emet - Forecasts" xfId="682"/>
    <cellStyle name="_SubHeading_prestemp_1_Rumo_Financial_Model_05jun2009_v1" xfId="683"/>
    <cellStyle name="_SubHeading_prestemp_1_Rumo_Financial_Model_05jun2009_v4" xfId="684"/>
    <cellStyle name="_SubHeading_prestemp_1_Rumo_Financial_Model_05jun2009_v5" xfId="685"/>
    <cellStyle name="_SubHeading_prestemp_1_Rumo_Financial_Model_05jun2009_v6" xfId="686"/>
    <cellStyle name="_SubHeading_prestemp_1_SCPC_Financial_Model_10jun2009_v2" xfId="687"/>
    <cellStyle name="_SubHeading_prestemp_1_SCPC_Financial_Model_17jun2009_v5" xfId="688"/>
    <cellStyle name="_SubHeading_prestemp_Anaphore 12 31 2008 Draft Analysis 02 19 2009" xfId="689"/>
    <cellStyle name="_SubHeading_prestemp_Anaphore 12 31 2008 Draft Analysis 02 20 2009 - DM REVISED" xfId="690"/>
    <cellStyle name="_SubHeading_prestemp_Book2" xfId="691"/>
    <cellStyle name="_SubHeading_prestemp_Book2 2" xfId="692"/>
    <cellStyle name="_SubHeading_prestemp_Boston Power VD 01 31 2008 Model 02 26 2008" xfId="693"/>
    <cellStyle name="_SubHeading_prestemp_Boston Power VD 01 31 2008 Model 02 26 2008 2" xfId="694"/>
    <cellStyle name="_SubHeading_prestemp_Boston Power VD 01 31 2008 Model 02 26 2008 2 2" xfId="695"/>
    <cellStyle name="_SubHeading_prestemp_Boston Power VD 01 31 2008 Model 02 26 2008 3" xfId="696"/>
    <cellStyle name="_SubHeading_prestemp_Boston Power VD 01 31 2008 Model 02 26 2008 4" xfId="697"/>
    <cellStyle name="_SubHeading_prestemp_Boston Power VD 01 31 2008 Model 02 26 2008 5" xfId="698"/>
    <cellStyle name="_SubHeading_prestemp_Boston Power VD 01 31 2008 Model 02 26 2008_CompanyABC Valuation Draft Model 04 21 2009" xfId="699"/>
    <cellStyle name="_SubHeading_prestemp_Boston Power VD 01 31 2008 Model 02 26 2008_CompanyABC Valuation Draft Model 04 21 2009 2" xfId="700"/>
    <cellStyle name="_SubHeading_prestemp_Boston Power VD 01 31 2008 Model 02 26 2008_DB" xfId="701"/>
    <cellStyle name="_SubHeading_prestemp_Boston Power VD 01 31 2008 Model 02 26 2008_DB 2" xfId="702"/>
    <cellStyle name="_SubHeading_prestemp_Boston Power VD 01 31 2008 Model 02 26 2008_DB 2 2" xfId="703"/>
    <cellStyle name="_SubHeading_prestemp_Boston Power VD 01 31 2008 Model 02 26 2008_FAS 157 Model Template 04 26 2009" xfId="704"/>
    <cellStyle name="_SubHeading_prestemp_Boston Power VD 01 31 2008 Model 02 26 2008_FAS 157 Model Template 04 26 2009 2" xfId="705"/>
    <cellStyle name="_SubHeading_prestemp_Boston Power VD 01 31 2008 Model 02 26 2008_Miragen VD 05 31 2008 Model 05 22 2009" xfId="706"/>
    <cellStyle name="_SubHeading_prestemp_Cap Table Inputs" xfId="707"/>
    <cellStyle name="_SubHeading_prestemp_Cap Table Inputs 2" xfId="708"/>
    <cellStyle name="_SubHeading_prestemp_Cap Table Inputs 2 2" xfId="709"/>
    <cellStyle name="_SubHeading_prestemp_Cap Table Inputs 3" xfId="710"/>
    <cellStyle name="_SubHeading_prestemp_Cap Table Inputs 4" xfId="711"/>
    <cellStyle name="_SubHeading_prestemp_Cap Table Inputs 5" xfId="712"/>
    <cellStyle name="_SubHeading_prestemp_Cap Table Inputs_CompanyABC Valuation Draft Model 04 21 2009" xfId="713"/>
    <cellStyle name="_SubHeading_prestemp_Cap Table Inputs_CompanyABC Valuation Draft Model 04 21 2009 2" xfId="714"/>
    <cellStyle name="_SubHeading_prestemp_Cap Table Inputs_DB" xfId="715"/>
    <cellStyle name="_SubHeading_prestemp_Cap Table Inputs_DB 2" xfId="716"/>
    <cellStyle name="_SubHeading_prestemp_Cap Table Inputs_DB 2 2" xfId="717"/>
    <cellStyle name="_SubHeading_prestemp_Cap Table Inputs_FAS 157 Model Template 04 26 2009" xfId="718"/>
    <cellStyle name="_SubHeading_prestemp_Cap Table Inputs_FAS 157 Model Template 04 26 2009 2" xfId="719"/>
    <cellStyle name="_SubHeading_prestemp_Cap Table Inputs_Miragen VD 05 31 2008 Model 05 22 2009" xfId="720"/>
    <cellStyle name="_SubHeading_prestemp_CardioSolutions 05 31 2007 Final Model 09 27 2007" xfId="721"/>
    <cellStyle name="_SubHeading_prestemp_CardioSolutions 05 31 2007 Final Model 09 27 2007 2" xfId="722"/>
    <cellStyle name="_SubHeading_prestemp_CardioSolutions 05 31 2007 Final Model 09 27 2007 2 2" xfId="723"/>
    <cellStyle name="_SubHeading_prestemp_CardioSolutions 05 31 2007 Final Model 09 27 2007 3" xfId="724"/>
    <cellStyle name="_SubHeading_prestemp_CardioSolutions 05 31 2007 Final Model 09 27 2007 4" xfId="725"/>
    <cellStyle name="_SubHeading_prestemp_CardioSolutions 05 31 2007 Final Model 09 27 2007 5" xfId="726"/>
    <cellStyle name="_SubHeading_prestemp_CardioSolutions 05 31 2007 Final Model 09 27 2007_CompanyABC Valuation Draft Model 04 21 2009" xfId="727"/>
    <cellStyle name="_SubHeading_prestemp_CardioSolutions 05 31 2007 Final Model 09 27 2007_CompanyABC Valuation Draft Model 04 21 2009 2" xfId="728"/>
    <cellStyle name="_SubHeading_prestemp_CardioSolutions 05 31 2007 Final Model 09 27 2007_DB" xfId="729"/>
    <cellStyle name="_SubHeading_prestemp_CardioSolutions 05 31 2007 Final Model 09 27 2007_DB 2" xfId="730"/>
    <cellStyle name="_SubHeading_prestemp_CardioSolutions 05 31 2007 Final Model 09 27 2007_DB 2 2" xfId="731"/>
    <cellStyle name="_SubHeading_prestemp_CardioSolutions 05 31 2007 Final Model 09 27 2007_FAS 157 Model Template 04 26 2009" xfId="732"/>
    <cellStyle name="_SubHeading_prestemp_CardioSolutions 05 31 2007 Final Model 09 27 2007_FAS 157 Model Template 04 26 2009 2" xfId="733"/>
    <cellStyle name="_SubHeading_prestemp_CardioSolutions 05 31 2007 Final Model 09 27 2007_Miragen VD 05 31 2008 Model 05 22 2009" xfId="734"/>
    <cellStyle name="_SubHeading_prestemp_CardioSolutions VD 05 31 08 Draft Model 07 15 2008" xfId="735"/>
    <cellStyle name="_SubHeading_prestemp_CardioSolutions VD 05 31 08 Draft Model 07 15 2008 2" xfId="736"/>
    <cellStyle name="_SubHeading_prestemp_CardioSolutions VD 05 31 08 Draft Model 08 06 08-u" xfId="737"/>
    <cellStyle name="_SubHeading_prestemp_CardioSolutions VD 05 31 08 Draft Model 08 06 08-u 2" xfId="738"/>
    <cellStyle name="_SubHeading_prestemp_CompanyABC Valuation Draft Model 04 21 2009" xfId="739"/>
    <cellStyle name="_SubHeading_prestemp_CompanyABC Valuation Draft Model 04 21 2009 2" xfId="740"/>
    <cellStyle name="_SubHeading_prestemp_CompanyABC Valuation Model Draft 07 07 2008" xfId="741"/>
    <cellStyle name="_SubHeading_prestemp_CompanyABC Valuation Model Draft 07 07 2008 2" xfId="742"/>
    <cellStyle name="_SubHeading_prestemp_CompanyABC Valuation Model Draft 08 07 2008" xfId="743"/>
    <cellStyle name="_SubHeading_prestemp_CompanyABC Valuation Model Draft 08 07 2008 2" xfId="744"/>
    <cellStyle name="_SubHeading_prestemp_CompanyABC Valuation Model Draft 08 25 2008" xfId="745"/>
    <cellStyle name="_SubHeading_prestemp_CompanyABC Valuation Model Draft 08 25 2008 2" xfId="746"/>
    <cellStyle name="_SubHeading_prestemp_CompanyABC Valuation Model Draft 09 25 2008-Team Liquidity" xfId="747"/>
    <cellStyle name="_SubHeading_prestemp_CompanyABC Valuation Model Draft 09 25 2008-Team Liquidity 2" xfId="748"/>
    <cellStyle name="_SubHeading_prestemp_CompanyABC Valuation Model Draft 10 01 2008" xfId="749"/>
    <cellStyle name="_SubHeading_prestemp_CompanyABC Valuation Model Draft 10 01 2008 2" xfId="750"/>
    <cellStyle name="_SubHeading_prestemp_CompanyABC Valuation Model Draft 10 27 2008" xfId="751"/>
    <cellStyle name="_SubHeading_prestemp_CompanyABC Valuation Model Draft 10 27 2008 2" xfId="752"/>
    <cellStyle name="_SubHeading_prestemp_DB" xfId="753"/>
    <cellStyle name="_SubHeading_prestemp_DB 2" xfId="754"/>
    <cellStyle name="_SubHeading_prestemp_EXAMPLE model C-5" xfId="755"/>
    <cellStyle name="_SubHeading_prestemp_EXAMPLE model C-5 2" xfId="756"/>
    <cellStyle name="_SubHeading_prestemp_FAS 157 Model Template 04 26 2009" xfId="757"/>
    <cellStyle name="_SubHeading_prestemp_FAS 157 Model Template 04 26 2009 2" xfId="758"/>
    <cellStyle name="_SubHeading_prestemp_Great Call VD 09 30 08 Draft Model 11 20 08" xfId="759"/>
    <cellStyle name="_SubHeading_prestemp_Great Call VD 09 30 08 Draft Model 11 20 08 2" xfId="760"/>
    <cellStyle name="_SubHeading_prestemp_Intermedia, Inc. VD 05 31 08 Draft Model 07 16 2008" xfId="761"/>
    <cellStyle name="_SubHeading_prestemp_Intermedia, Inc. VD 05 31 08 Draft Model 07 16 2008 2" xfId="762"/>
    <cellStyle name="_SubHeading_prestemp_Island Data Corporatin VD 06 30 08 Projections and Comparables 08 11 2008" xfId="763"/>
    <cellStyle name="_SubHeading_prestemp_Island Data Corporatin VD 06 30 08 Projections and Comparables 08 11 2008 2" xfId="764"/>
    <cellStyle name="_SubHeading_prestemp_Jentro Tech VD 03 31 2008 Model 04 10 2008" xfId="765"/>
    <cellStyle name="_SubHeading_prestemp_Jentro Tech VD 03 31 2008 Model 04 10 2008 2" xfId="766"/>
    <cellStyle name="_SubHeading_prestemp_Kythera Biopharmaceuticals VD 05 16 08 Draft Analysis 07 01 08" xfId="767"/>
    <cellStyle name="_SubHeading_prestemp_Kythera Biopharmaceuticals VD 05 16 08 Draft Analysis 07 01 08 2" xfId="768"/>
    <cellStyle name="_SubHeading_prestemp_Kythera Biopharmaceuticals VD 05 16 08 Final Model 07 20 08" xfId="769"/>
    <cellStyle name="_SubHeading_prestemp_Kythera Biopharmaceuticals VD 05 16 08 Final Model 07 20 08 2" xfId="770"/>
    <cellStyle name="_SubHeading_prestemp_Kythera Biopharmaceuticals, Inc. VD 5 16 2008 Draft 5 24 2008" xfId="771"/>
    <cellStyle name="_SubHeading_prestemp_Kythera Biopharmaceuticals, Inc. VD 5 16 2008 Draft 5 24 2008 2" xfId="772"/>
    <cellStyle name="_SubHeading_prestemp_Miragen VD 05 31 2008 Model 05 22 2009" xfId="773"/>
    <cellStyle name="_SubHeading_prestemp_Notes" xfId="774"/>
    <cellStyle name="_SubHeading_prestemp_Notes 2" xfId="775"/>
    <cellStyle name="_SubHeading_prestemp_OMT VD 10 15 2008 Draft Analysis 12 17 2008.xls" xfId="776"/>
    <cellStyle name="_SubHeading_prestemp_PubComps IPO -C-7" xfId="777"/>
    <cellStyle name="_SubHeading_prestemp_PubComps IPO -C-7 2" xfId="778"/>
    <cellStyle name="_SubHeading_prestemp_Tmax Soft VD 07 31 2008 Draft Model 08 20 2008" xfId="779"/>
    <cellStyle name="_SubHeading_prestemp_Tmax Soft VD 07 31 2008 Draft Model 08 20 2008 2" xfId="780"/>
    <cellStyle name="_SubHeading_prestemp_WACC -E-2" xfId="781"/>
    <cellStyle name="_SubHeading_prestemp_WACC -E-2 2" xfId="782"/>
    <cellStyle name="_SubHeading_prestemp_Xmos Limited VD 05 13 2008  Model 06 04 08" xfId="783"/>
    <cellStyle name="_SubHeading_prestemp_Xmos Limited VD 05 13 2008  Model 06 04 08 2" xfId="784"/>
    <cellStyle name="_Table" xfId="785"/>
    <cellStyle name="_Table 2" xfId="786"/>
    <cellStyle name="_Table__DCF Template" xfId="787"/>
    <cellStyle name="_Table__DCF Template 2" xfId="788"/>
    <cellStyle name="_Table__DCF Template 2 2" xfId="16388"/>
    <cellStyle name="_Table__DCF Template 3" xfId="16387"/>
    <cellStyle name="_Table_04 Alaska Model 2002-05-31 GS" xfId="789"/>
    <cellStyle name="_Table_04 Alaska Model 2002-05-31 GS 2" xfId="790"/>
    <cellStyle name="_Table_04 Alaska Model 2002-05-31 GS 2 2" xfId="16390"/>
    <cellStyle name="_Table_04 Alaska Model 2002-05-31 GS 3" xfId="16389"/>
    <cellStyle name="_Table_Book3" xfId="791"/>
    <cellStyle name="_Table_Dividend Template" xfId="792"/>
    <cellStyle name="_Table_Pro-Forma Financials" xfId="793"/>
    <cellStyle name="_Table_Pro-Forma Spin-off" xfId="794"/>
    <cellStyle name="_TableHead" xfId="795"/>
    <cellStyle name="_TableHead 2" xfId="796"/>
    <cellStyle name="_TableHead 3" xfId="20446"/>
    <cellStyle name="_TableHead_Cable_Industry Overview5" xfId="797"/>
    <cellStyle name="_TableHead_Cable_Industry Overview5 2" xfId="798"/>
    <cellStyle name="_TableHead_Gelco Model" xfId="799"/>
    <cellStyle name="_TableHead_Gelco Model 2" xfId="800"/>
    <cellStyle name="_TableHead_Summary" xfId="801"/>
    <cellStyle name="_TableHead_Summary 2" xfId="802"/>
    <cellStyle name="_TableHead_Yield Tables" xfId="803"/>
    <cellStyle name="_TableHead_Yield Tables 2" xfId="804"/>
    <cellStyle name="_TableHeading" xfId="16326"/>
    <cellStyle name="_TableRowBorder" xfId="16327"/>
    <cellStyle name="_TableRowHead" xfId="805"/>
    <cellStyle name="_TableRowHead 2" xfId="806"/>
    <cellStyle name="_TableRowHead_Gelco Model" xfId="807"/>
    <cellStyle name="_TableRowHead_Gelco Model 2" xfId="808"/>
    <cellStyle name="_TableRowHead_Summary" xfId="809"/>
    <cellStyle name="_TableRowHead_Summary 2" xfId="810"/>
    <cellStyle name="_TableRowHeading" xfId="16328"/>
    <cellStyle name="_TableSuperHead" xfId="811"/>
    <cellStyle name="_TableSuperHead 2" xfId="812"/>
    <cellStyle name="_TableSuperHead__DCF Template" xfId="813"/>
    <cellStyle name="_TableSuperHead_04 Alaska Model 2002-05-31 GS" xfId="814"/>
    <cellStyle name="_TableSuperHead_Book3" xfId="815"/>
    <cellStyle name="_TableSuperHead_Cable_Industry Overview5" xfId="816"/>
    <cellStyle name="_TableSuperHead_Cable_Industry Overview5 2" xfId="817"/>
    <cellStyle name="_TableSuperHead_Dividend Template" xfId="818"/>
    <cellStyle name="_TableSuperHead_Gelco Model" xfId="819"/>
    <cellStyle name="_TableSuperHead_Gelco Model 2" xfId="820"/>
    <cellStyle name="_TableSuperHead_Pro-Forma Financials" xfId="821"/>
    <cellStyle name="_TableSuperHead_Pro-Forma Spin-off" xfId="822"/>
    <cellStyle name="_TableSuperHead_Summary" xfId="823"/>
    <cellStyle name="_TableSuperHead_Summary 2" xfId="824"/>
    <cellStyle name="_TableSuperHead_Yield Tables" xfId="825"/>
    <cellStyle name="_TableSuperHead_Yield Tables 2" xfId="826"/>
    <cellStyle name="_TableSuperHeading" xfId="16329"/>
    <cellStyle name="_TableText" xfId="16330"/>
    <cellStyle name="_Tax Provision 2-1-07 sent to KPMG" xfId="827"/>
    <cellStyle name="_TDI1602 Non-Food Retail Historic Transactions 060428" xfId="828"/>
    <cellStyle name="_TDI1602 Non-Food Retail Historic Transactions 060428_Medley_Financial_Model_v5" xfId="829"/>
    <cellStyle name="_TDI2246 Chemical Comps 061019" xfId="830"/>
    <cellStyle name="_TDI2246 Chemical Comps 061019_Medley_Financial_Model_v5" xfId="831"/>
    <cellStyle name="_TDU757 Fintech Comps 070227" xfId="832"/>
    <cellStyle name="_TDU757 Fintech Comps 070227_Cyrela - Goldzstein - Financial Model - v1" xfId="833"/>
    <cellStyle name="_TDU757 Fintech Comps 070227_Cyrela - Goldzstein - Financial Model - v5" xfId="834"/>
    <cellStyle name="_TDU757 Fintech Comps 070227_Gas Natural - Financial Model - April 18 2008 - v1" xfId="835"/>
    <cellStyle name="_TDU757 Fintech Comps 070227_Gas Natural - Financial Model - April 18 2008 - v2" xfId="836"/>
    <cellStyle name="_TDU757 Fintech Comps 070227_Gas Natural - Financial Model - May 20, 2009" xfId="837"/>
    <cellStyle name="_TDU757 Fintech Comps 070227_Goldzstein Cyrela - Financial Model - v7" xfId="838"/>
    <cellStyle name="_TDU757 Fintech Comps 070227_Grupo Ibmec - Financial Model - v2" xfId="839"/>
    <cellStyle name="_TDU757 Fintech Comps 070227_Grupo Ibmec - Financial Model - v5" xfId="840"/>
    <cellStyle name="_TDU757 Fintech Comps 070227_Independencia - Financial Model - Dec 02 2008 - v3" xfId="841"/>
    <cellStyle name="_TDU757 Fintech Comps 070227_Independencia - Financial Model - Nov 24 2008" xfId="842"/>
    <cellStyle name="_TDU757 Fintech Comps 070227_Medley_Financial_Model_v5" xfId="843"/>
    <cellStyle name="_TDU757 Fintech Comps 070227_Project Emet - Forecasts" xfId="844"/>
    <cellStyle name="_TDU757 Fintech Comps 070227_Rumo_Financial_Model_05jun2009_v1" xfId="845"/>
    <cellStyle name="_TDU757 Fintech Comps 070227_Rumo_Financial_Model_05jun2009_v4" xfId="846"/>
    <cellStyle name="_TDU757 Fintech Comps 070227_Rumo_Financial_Model_05jun2009_v5" xfId="847"/>
    <cellStyle name="_TDU757 Fintech Comps 070227_Rumo_Financial_Model_05jun2009_v6" xfId="848"/>
    <cellStyle name="_TDU757 Fintech Comps 070227_SCPC_Financial_Model_10jun2009_v2" xfId="849"/>
    <cellStyle name="_TDU757 Fintech Comps 070227_SCPC_Financial_Model_17jun2009_v5" xfId="850"/>
    <cellStyle name="_TDU769 Aluminium Comps Database 070303" xfId="851"/>
    <cellStyle name="_TDU769 Aluminium Comps Database 070303_Medley_Financial_Model_v5" xfId="852"/>
    <cellStyle name="_Veeco SFAS 142 &amp; 144 - Oct 2004 - v11" xfId="853"/>
    <cellStyle name="_הלוואות" xfId="854"/>
    <cellStyle name="_הלוואות 2" xfId="855"/>
    <cellStyle name="_התחיבות שכ&quot;ד" xfId="856"/>
    <cellStyle name="_התחיבות שכ&quot;ד 2" xfId="857"/>
    <cellStyle name="_מדדים" xfId="858"/>
    <cellStyle name="_מדדים 2" xfId="859"/>
    <cellStyle name="£ BP" xfId="860"/>
    <cellStyle name="£ BP 2" xfId="861"/>
    <cellStyle name="£/GJ" xfId="16331"/>
    <cellStyle name="£/t" xfId="16332"/>
    <cellStyle name="£Currency [0]" xfId="862"/>
    <cellStyle name="£Currency [0] 2" xfId="863"/>
    <cellStyle name="£Currency [1]" xfId="864"/>
    <cellStyle name="£Currency [1] 2" xfId="865"/>
    <cellStyle name="£Currency [2]" xfId="866"/>
    <cellStyle name="£Currency [2] 2" xfId="867"/>
    <cellStyle name="£Currency [p]" xfId="868"/>
    <cellStyle name="£Currency [p] 2" xfId="869"/>
    <cellStyle name="£Currency [p2]" xfId="870"/>
    <cellStyle name="£Currency [p2] 2" xfId="871"/>
    <cellStyle name="£Pounds" xfId="872"/>
    <cellStyle name="£Pounds 2" xfId="873"/>
    <cellStyle name="¤@¯ë_P721-Spd" xfId="874"/>
    <cellStyle name="¤d¤À¦ì[0]_P721-Spd" xfId="875"/>
    <cellStyle name="¤d¤À¦ì_P721-Spd" xfId="876"/>
    <cellStyle name="¥ JY" xfId="877"/>
    <cellStyle name="¥ JY 2" xfId="878"/>
    <cellStyle name="=C:\WINNT\SYSTEM32\COMMAND.COM" xfId="879"/>
    <cellStyle name="=C:\WINNT35\SYSTEM32\COMMAND.COM" xfId="16333"/>
    <cellStyle name="°" xfId="16334"/>
    <cellStyle name="°_ENS Economic Model 070802 v4" xfId="16335"/>
    <cellStyle name="•W?_Sheet1" xfId="880"/>
    <cellStyle name="•W€_Capital Structure" xfId="881"/>
    <cellStyle name="•W_Sheet1" xfId="882"/>
    <cellStyle name="\¦ÏÝÌnCp[N" xfId="883"/>
    <cellStyle name="æØè [0.00]_Affiliate Fcst Inputs" xfId="884"/>
    <cellStyle name="W_Sheet1" xfId="885"/>
    <cellStyle name="0" xfId="886"/>
    <cellStyle name="0 2" xfId="887"/>
    <cellStyle name="0%" xfId="888"/>
    <cellStyle name="0,0" xfId="889"/>
    <cellStyle name="0,0 F" xfId="890"/>
    <cellStyle name="0,0%" xfId="891"/>
    <cellStyle name="0,0_Co&amp;Lo180800" xfId="892"/>
    <cellStyle name="0,00x" xfId="893"/>
    <cellStyle name="0,0x" xfId="894"/>
    <cellStyle name="0.0" xfId="895"/>
    <cellStyle name="0.0 NORMAL" xfId="16336"/>
    <cellStyle name="0.0 PERCENT" xfId="16337"/>
    <cellStyle name="0.0 x" xfId="896"/>
    <cellStyle name="0.0%" xfId="897"/>
    <cellStyle name="0.0_Crystal Model final" xfId="16338"/>
    <cellStyle name="0.00" xfId="898"/>
    <cellStyle name="0.00%" xfId="899"/>
    <cellStyle name="0.00_Medley_Financial_Model_v5" xfId="900"/>
    <cellStyle name="0_APT 141 101603 ver 51" xfId="901"/>
    <cellStyle name="0_APT 141 101603 ver 51 2" xfId="902"/>
    <cellStyle name="0_Medley_Financial_Model_v5" xfId="903"/>
    <cellStyle name="0_Medley_Financial_Model_v5_Ubiquiti Ownership Table" xfId="904"/>
    <cellStyle name="0_Nomos WACC" xfId="905"/>
    <cellStyle name="0_Nomos WACC 2" xfId="906"/>
    <cellStyle name="0_Nomos WACC_Boston Power VD 01 31 2008 Model 02 26 2008" xfId="907"/>
    <cellStyle name="0_Nomos WACC_Boston Power VD 01 31 2008 Model 02 26 2008 2" xfId="908"/>
    <cellStyle name="0_Nomos WACC_Boston Power VD 01 31 2008 Model 02 26 2008 2 2" xfId="909"/>
    <cellStyle name="0_Nomos WACC_Boston Power VD 01 31 2008 Model 02 26 2008 3" xfId="910"/>
    <cellStyle name="0_Nomos WACC_Boston Power VD 01 31 2008 Model 02 26 2008 4" xfId="911"/>
    <cellStyle name="0_Nomos WACC_Boston Power VD 01 31 2008 Model 02 26 2008 5" xfId="912"/>
    <cellStyle name="0_Nomos WACC_Boston Power VD 01 31 2008 Model 02 26 2008_CompanyABC Valuation Draft Model 04 21 2009" xfId="913"/>
    <cellStyle name="0_Nomos WACC_Boston Power VD 01 31 2008 Model 02 26 2008_CompanyABC Valuation Draft Model 04 21 2009 2" xfId="914"/>
    <cellStyle name="0_Nomos WACC_Boston Power VD 01 31 2008 Model 02 26 2008_DB" xfId="915"/>
    <cellStyle name="0_Nomos WACC_Boston Power VD 01 31 2008 Model 02 26 2008_DB 2" xfId="916"/>
    <cellStyle name="0_Nomos WACC_Boston Power VD 01 31 2008 Model 02 26 2008_DB 2 2" xfId="917"/>
    <cellStyle name="0_Nomos WACC_Boston Power VD 01 31 2008 Model 02 26 2008_FAS 157 Model Template 04 26 2009" xfId="918"/>
    <cellStyle name="0_Nomos WACC_Boston Power VD 01 31 2008 Model 02 26 2008_FAS 157 Model Template 04 26 2009 2" xfId="919"/>
    <cellStyle name="0_Nomos WACC_Boston Power VD 01 31 2008 Model 02 26 2008_Miragen VD 05 31 2008 Model 05 22 2009" xfId="920"/>
    <cellStyle name="0_Nomos WACC_Cap Table Inputs" xfId="921"/>
    <cellStyle name="0_Nomos WACC_Cap Table Inputs 2" xfId="922"/>
    <cellStyle name="0_Nomos WACC_Cap Table Inputs 2 2" xfId="923"/>
    <cellStyle name="0_Nomos WACC_Cap Table Inputs 3" xfId="924"/>
    <cellStyle name="0_Nomos WACC_Cap Table Inputs 4" xfId="925"/>
    <cellStyle name="0_Nomos WACC_Cap Table Inputs 5" xfId="926"/>
    <cellStyle name="0_Nomos WACC_Cap Table Inputs_CompanyABC Valuation Draft Model 04 21 2009" xfId="927"/>
    <cellStyle name="0_Nomos WACC_Cap Table Inputs_CompanyABC Valuation Draft Model 04 21 2009 2" xfId="928"/>
    <cellStyle name="0_Nomos WACC_Cap Table Inputs_DB" xfId="929"/>
    <cellStyle name="0_Nomos WACC_Cap Table Inputs_DB 2" xfId="930"/>
    <cellStyle name="0_Nomos WACC_Cap Table Inputs_DB 2 2" xfId="931"/>
    <cellStyle name="0_Nomos WACC_Cap Table Inputs_FAS 157 Model Template 04 26 2009" xfId="932"/>
    <cellStyle name="0_Nomos WACC_Cap Table Inputs_FAS 157 Model Template 04 26 2009 2" xfId="933"/>
    <cellStyle name="0_Nomos WACC_Cap Table Inputs_Miragen VD 05 31 2008 Model 05 22 2009" xfId="934"/>
    <cellStyle name="0_Nomos WACC_CardioSolutions 05 31 2007 Final Model 09 27 2007" xfId="935"/>
    <cellStyle name="0_Nomos WACC_CardioSolutions 05 31 2007 Final Model 09 27 2007 2" xfId="936"/>
    <cellStyle name="0_Nomos WACC_CardioSolutions 05 31 2007 Final Model 09 27 2007 2 2" xfId="937"/>
    <cellStyle name="0_Nomos WACC_CardioSolutions 05 31 2007 Final Model 09 27 2007 3" xfId="938"/>
    <cellStyle name="0_Nomos WACC_CardioSolutions 05 31 2007 Final Model 09 27 2007 4" xfId="939"/>
    <cellStyle name="0_Nomos WACC_CardioSolutions 05 31 2007 Final Model 09 27 2007 5" xfId="940"/>
    <cellStyle name="0_Nomos WACC_CardioSolutions 05 31 2007 Final Model 09 27 2007_CompanyABC Valuation Draft Model 04 21 2009" xfId="941"/>
    <cellStyle name="0_Nomos WACC_CardioSolutions 05 31 2007 Final Model 09 27 2007_CompanyABC Valuation Draft Model 04 21 2009 2" xfId="942"/>
    <cellStyle name="0_Nomos WACC_CardioSolutions 05 31 2007 Final Model 09 27 2007_DB" xfId="943"/>
    <cellStyle name="0_Nomos WACC_CardioSolutions 05 31 2007 Final Model 09 27 2007_DB 2" xfId="944"/>
    <cellStyle name="0_Nomos WACC_CardioSolutions 05 31 2007 Final Model 09 27 2007_DB 2 2" xfId="945"/>
    <cellStyle name="0_Nomos WACC_CardioSolutions 05 31 2007 Final Model 09 27 2007_FAS 157 Model Template 04 26 2009" xfId="946"/>
    <cellStyle name="0_Nomos WACC_CardioSolutions 05 31 2007 Final Model 09 27 2007_FAS 157 Model Template 04 26 2009 2" xfId="947"/>
    <cellStyle name="0_Nomos WACC_CardioSolutions 05 31 2007 Final Model 09 27 2007_Miragen VD 05 31 2008 Model 05 22 2009" xfId="948"/>
    <cellStyle name="0_Veeco SFAS 142 &amp; 144 - Oct 2004 - v11" xfId="949"/>
    <cellStyle name="0_Veeco SFAS 142 &amp; 144 - Oct 2004 - v11 2" xfId="950"/>
    <cellStyle name="0_Veeco SFAS 142 &amp; 144 - Oct 2004 - v11_Boston Power VD 01 31 2008 Model 02 26 2008" xfId="951"/>
    <cellStyle name="0_Veeco SFAS 142 &amp; 144 - Oct 2004 - v11_Boston Power VD 01 31 2008 Model 02 26 2008 2" xfId="952"/>
    <cellStyle name="0_Veeco SFAS 142 &amp; 144 - Oct 2004 - v11_Boston Power VD 01 31 2008 Model 02 26 2008 2 2" xfId="953"/>
    <cellStyle name="0_Veeco SFAS 142 &amp; 144 - Oct 2004 - v11_Boston Power VD 01 31 2008 Model 02 26 2008 3" xfId="954"/>
    <cellStyle name="0_Veeco SFAS 142 &amp; 144 - Oct 2004 - v11_Boston Power VD 01 31 2008 Model 02 26 2008 4" xfId="955"/>
    <cellStyle name="0_Veeco SFAS 142 &amp; 144 - Oct 2004 - v11_Boston Power VD 01 31 2008 Model 02 26 2008 5" xfId="956"/>
    <cellStyle name="0_Veeco SFAS 142 &amp; 144 - Oct 2004 - v11_Boston Power VD 01 31 2008 Model 02 26 2008_CompanyABC Valuation Draft Model 04 21 2009" xfId="957"/>
    <cellStyle name="0_Veeco SFAS 142 &amp; 144 - Oct 2004 - v11_Boston Power VD 01 31 2008 Model 02 26 2008_CompanyABC Valuation Draft Model 04 21 2009 2" xfId="958"/>
    <cellStyle name="0_Veeco SFAS 142 &amp; 144 - Oct 2004 - v11_Boston Power VD 01 31 2008 Model 02 26 2008_DB" xfId="959"/>
    <cellStyle name="0_Veeco SFAS 142 &amp; 144 - Oct 2004 - v11_Boston Power VD 01 31 2008 Model 02 26 2008_DB 2" xfId="960"/>
    <cellStyle name="0_Veeco SFAS 142 &amp; 144 - Oct 2004 - v11_Boston Power VD 01 31 2008 Model 02 26 2008_DB 2 2" xfId="961"/>
    <cellStyle name="0_Veeco SFAS 142 &amp; 144 - Oct 2004 - v11_Boston Power VD 01 31 2008 Model 02 26 2008_FAS 157 Model Template 04 26 2009" xfId="962"/>
    <cellStyle name="0_Veeco SFAS 142 &amp; 144 - Oct 2004 - v11_Boston Power VD 01 31 2008 Model 02 26 2008_FAS 157 Model Template 04 26 2009 2" xfId="963"/>
    <cellStyle name="0_Veeco SFAS 142 &amp; 144 - Oct 2004 - v11_Boston Power VD 01 31 2008 Model 02 26 2008_Miragen VD 05 31 2008 Model 05 22 2009" xfId="964"/>
    <cellStyle name="0_Veeco SFAS 142 &amp; 144 - Oct 2004 - v11_Cap Table Inputs" xfId="965"/>
    <cellStyle name="0_Veeco SFAS 142 &amp; 144 - Oct 2004 - v11_Cap Table Inputs 2" xfId="966"/>
    <cellStyle name="0_Veeco SFAS 142 &amp; 144 - Oct 2004 - v11_Cap Table Inputs 2 2" xfId="967"/>
    <cellStyle name="0_Veeco SFAS 142 &amp; 144 - Oct 2004 - v11_Cap Table Inputs 3" xfId="968"/>
    <cellStyle name="0_Veeco SFAS 142 &amp; 144 - Oct 2004 - v11_Cap Table Inputs 4" xfId="969"/>
    <cellStyle name="0_Veeco SFAS 142 &amp; 144 - Oct 2004 - v11_Cap Table Inputs 5" xfId="970"/>
    <cellStyle name="0_Veeco SFAS 142 &amp; 144 - Oct 2004 - v11_Cap Table Inputs_CompanyABC Valuation Draft Model 04 21 2009" xfId="971"/>
    <cellStyle name="0_Veeco SFAS 142 &amp; 144 - Oct 2004 - v11_Cap Table Inputs_CompanyABC Valuation Draft Model 04 21 2009 2" xfId="972"/>
    <cellStyle name="0_Veeco SFAS 142 &amp; 144 - Oct 2004 - v11_Cap Table Inputs_DB" xfId="973"/>
    <cellStyle name="0_Veeco SFAS 142 &amp; 144 - Oct 2004 - v11_Cap Table Inputs_DB 2" xfId="974"/>
    <cellStyle name="0_Veeco SFAS 142 &amp; 144 - Oct 2004 - v11_Cap Table Inputs_DB 2 2" xfId="975"/>
    <cellStyle name="0_Veeco SFAS 142 &amp; 144 - Oct 2004 - v11_Cap Table Inputs_FAS 157 Model Template 04 26 2009" xfId="976"/>
    <cellStyle name="0_Veeco SFAS 142 &amp; 144 - Oct 2004 - v11_Cap Table Inputs_FAS 157 Model Template 04 26 2009 2" xfId="977"/>
    <cellStyle name="0_Veeco SFAS 142 &amp; 144 - Oct 2004 - v11_Cap Table Inputs_Miragen VD 05 31 2008 Model 05 22 2009" xfId="978"/>
    <cellStyle name="0_Veeco SFAS 142 &amp; 144 - Oct 2004 - v11_CardioSolutions 05 31 2007 Final Model 09 27 2007" xfId="979"/>
    <cellStyle name="0_Veeco SFAS 142 &amp; 144 - Oct 2004 - v11_CardioSolutions 05 31 2007 Final Model 09 27 2007 2" xfId="980"/>
    <cellStyle name="0_Veeco SFAS 142 &amp; 144 - Oct 2004 - v11_CardioSolutions 05 31 2007 Final Model 09 27 2007 2 2" xfId="981"/>
    <cellStyle name="0_Veeco SFAS 142 &amp; 144 - Oct 2004 - v11_CardioSolutions 05 31 2007 Final Model 09 27 2007 3" xfId="982"/>
    <cellStyle name="0_Veeco SFAS 142 &amp; 144 - Oct 2004 - v11_CardioSolutions 05 31 2007 Final Model 09 27 2007 4" xfId="983"/>
    <cellStyle name="0_Veeco SFAS 142 &amp; 144 - Oct 2004 - v11_CardioSolutions 05 31 2007 Final Model 09 27 2007 5" xfId="984"/>
    <cellStyle name="0_Veeco SFAS 142 &amp; 144 - Oct 2004 - v11_CardioSolutions 05 31 2007 Final Model 09 27 2007_CompanyABC Valuation Draft Model 04 21 2009" xfId="985"/>
    <cellStyle name="0_Veeco SFAS 142 &amp; 144 - Oct 2004 - v11_CardioSolutions 05 31 2007 Final Model 09 27 2007_CompanyABC Valuation Draft Model 04 21 2009 2" xfId="986"/>
    <cellStyle name="0_Veeco SFAS 142 &amp; 144 - Oct 2004 - v11_CardioSolutions 05 31 2007 Final Model 09 27 2007_DB" xfId="987"/>
    <cellStyle name="0_Veeco SFAS 142 &amp; 144 - Oct 2004 - v11_CardioSolutions 05 31 2007 Final Model 09 27 2007_DB 2" xfId="988"/>
    <cellStyle name="0_Veeco SFAS 142 &amp; 144 - Oct 2004 - v11_CardioSolutions 05 31 2007 Final Model 09 27 2007_DB 2 2" xfId="989"/>
    <cellStyle name="0_Veeco SFAS 142 &amp; 144 - Oct 2004 - v11_CardioSolutions 05 31 2007 Final Model 09 27 2007_FAS 157 Model Template 04 26 2009" xfId="990"/>
    <cellStyle name="0_Veeco SFAS 142 &amp; 144 - Oct 2004 - v11_CardioSolutions 05 31 2007 Final Model 09 27 2007_FAS 157 Model Template 04 26 2009 2" xfId="991"/>
    <cellStyle name="0_Veeco SFAS 142 &amp; 144 - Oct 2004 - v11_CardioSolutions 05 31 2007 Final Model 09 27 2007_Miragen VD 05 31 2008 Model 05 22 2009" xfId="992"/>
    <cellStyle name="000" xfId="993"/>
    <cellStyle name="000 MF" xfId="994"/>
    <cellStyle name="000,0" xfId="995"/>
    <cellStyle name="000_Halloween version SPV" xfId="996"/>
    <cellStyle name="0000" xfId="997"/>
    <cellStyle name="000000" xfId="998"/>
    <cellStyle name="1,comma" xfId="999"/>
    <cellStyle name="1.0 TITLE" xfId="16339"/>
    <cellStyle name="1.1 TITLE" xfId="16340"/>
    <cellStyle name="1000s1Place" xfId="1000"/>
    <cellStyle name="18.xls]Mgmt" xfId="16341"/>
    <cellStyle name="1Decimal" xfId="1001"/>
    <cellStyle name="1Decimal 2" xfId="1002"/>
    <cellStyle name="1Decimal 2 2" xfId="1003"/>
    <cellStyle name="1Decimal 3" xfId="1004"/>
    <cellStyle name="1Decimal 4" xfId="1005"/>
    <cellStyle name="1Decimal 5" xfId="1006"/>
    <cellStyle name="¹éºÐÀ²_±âÅ¸" xfId="16342"/>
    <cellStyle name="1MMs1Place" xfId="1007"/>
    <cellStyle name="1MMs2Places" xfId="1008"/>
    <cellStyle name="1Normal" xfId="16343"/>
    <cellStyle name="1place" xfId="1009"/>
    <cellStyle name="2" xfId="16344"/>
    <cellStyle name="2 Decimal Places" xfId="16345"/>
    <cellStyle name="20% - Accent1 10" xfId="1010"/>
    <cellStyle name="20% - Accent1 10 10" xfId="16391"/>
    <cellStyle name="20% - Accent1 10 2" xfId="1011"/>
    <cellStyle name="20% - Accent1 10 2 2" xfId="1012"/>
    <cellStyle name="20% - Accent1 10 2 2 2" xfId="1013"/>
    <cellStyle name="20% - Accent1 10 2 2 2 2" xfId="12443"/>
    <cellStyle name="20% - Accent1 10 2 2 2 3" xfId="16394"/>
    <cellStyle name="20% - Accent1 10 2 2 3" xfId="1014"/>
    <cellStyle name="20% - Accent1 10 2 2 3 2" xfId="12444"/>
    <cellStyle name="20% - Accent1 10 2 2 3 3" xfId="16395"/>
    <cellStyle name="20% - Accent1 10 2 2 4" xfId="12442"/>
    <cellStyle name="20% - Accent1 10 2 2 5" xfId="16393"/>
    <cellStyle name="20% - Accent1 10 2 3" xfId="1015"/>
    <cellStyle name="20% - Accent1 10 2 3 2" xfId="1016"/>
    <cellStyle name="20% - Accent1 10 2 3 2 2" xfId="12446"/>
    <cellStyle name="20% - Accent1 10 2 3 2 3" xfId="16397"/>
    <cellStyle name="20% - Accent1 10 2 3 3" xfId="1017"/>
    <cellStyle name="20% - Accent1 10 2 3 3 2" xfId="12447"/>
    <cellStyle name="20% - Accent1 10 2 3 3 3" xfId="16398"/>
    <cellStyle name="20% - Accent1 10 2 3 4" xfId="12445"/>
    <cellStyle name="20% - Accent1 10 2 3 5" xfId="16396"/>
    <cellStyle name="20% - Accent1 10 2 4" xfId="1018"/>
    <cellStyle name="20% - Accent1 10 2 4 2" xfId="1019"/>
    <cellStyle name="20% - Accent1 10 2 4 2 2" xfId="12449"/>
    <cellStyle name="20% - Accent1 10 2 4 2 3" xfId="16400"/>
    <cellStyle name="20% - Accent1 10 2 4 3" xfId="1020"/>
    <cellStyle name="20% - Accent1 10 2 4 3 2" xfId="12450"/>
    <cellStyle name="20% - Accent1 10 2 4 3 3" xfId="16401"/>
    <cellStyle name="20% - Accent1 10 2 4 4" xfId="12448"/>
    <cellStyle name="20% - Accent1 10 2 4 5" xfId="16399"/>
    <cellStyle name="20% - Accent1 10 2 5" xfId="1021"/>
    <cellStyle name="20% - Accent1 10 2 5 2" xfId="12451"/>
    <cellStyle name="20% - Accent1 10 2 5 3" xfId="16402"/>
    <cellStyle name="20% - Accent1 10 2 6" xfId="1022"/>
    <cellStyle name="20% - Accent1 10 2 6 2" xfId="12452"/>
    <cellStyle name="20% - Accent1 10 2 6 3" xfId="16403"/>
    <cellStyle name="20% - Accent1 10 2 7" xfId="12441"/>
    <cellStyle name="20% - Accent1 10 2 8" xfId="16392"/>
    <cellStyle name="20% - Accent1 10 2_Volatility" xfId="1023"/>
    <cellStyle name="20% - Accent1 10 3" xfId="1024"/>
    <cellStyle name="20% - Accent1 10 3 2" xfId="1025"/>
    <cellStyle name="20% - Accent1 10 3 2 2" xfId="1026"/>
    <cellStyle name="20% - Accent1 10 3 2 2 2" xfId="12455"/>
    <cellStyle name="20% - Accent1 10 3 2 2 3" xfId="16406"/>
    <cellStyle name="20% - Accent1 10 3 2 3" xfId="1027"/>
    <cellStyle name="20% - Accent1 10 3 2 3 2" xfId="12456"/>
    <cellStyle name="20% - Accent1 10 3 2 3 3" xfId="16407"/>
    <cellStyle name="20% - Accent1 10 3 2 4" xfId="12454"/>
    <cellStyle name="20% - Accent1 10 3 2 5" xfId="16405"/>
    <cellStyle name="20% - Accent1 10 3 3" xfId="1028"/>
    <cellStyle name="20% - Accent1 10 3 3 2" xfId="1029"/>
    <cellStyle name="20% - Accent1 10 3 3 2 2" xfId="12458"/>
    <cellStyle name="20% - Accent1 10 3 3 2 3" xfId="16409"/>
    <cellStyle name="20% - Accent1 10 3 3 3" xfId="1030"/>
    <cellStyle name="20% - Accent1 10 3 3 3 2" xfId="12459"/>
    <cellStyle name="20% - Accent1 10 3 3 3 3" xfId="16410"/>
    <cellStyle name="20% - Accent1 10 3 3 4" xfId="12457"/>
    <cellStyle name="20% - Accent1 10 3 3 5" xfId="16408"/>
    <cellStyle name="20% - Accent1 10 3 4" xfId="1031"/>
    <cellStyle name="20% - Accent1 10 3 4 2" xfId="12460"/>
    <cellStyle name="20% - Accent1 10 3 4 3" xfId="16411"/>
    <cellStyle name="20% - Accent1 10 3 5" xfId="1032"/>
    <cellStyle name="20% - Accent1 10 3 5 2" xfId="12461"/>
    <cellStyle name="20% - Accent1 10 3 5 3" xfId="16412"/>
    <cellStyle name="20% - Accent1 10 3 6" xfId="12453"/>
    <cellStyle name="20% - Accent1 10 3 7" xfId="16404"/>
    <cellStyle name="20% - Accent1 10 3_Volatility" xfId="1033"/>
    <cellStyle name="20% - Accent1 10 4" xfId="1034"/>
    <cellStyle name="20% - Accent1 10 4 2" xfId="1035"/>
    <cellStyle name="20% - Accent1 10 4 2 2" xfId="12463"/>
    <cellStyle name="20% - Accent1 10 4 2 3" xfId="16414"/>
    <cellStyle name="20% - Accent1 10 4 3" xfId="1036"/>
    <cellStyle name="20% - Accent1 10 4 3 2" xfId="12464"/>
    <cellStyle name="20% - Accent1 10 4 3 3" xfId="16415"/>
    <cellStyle name="20% - Accent1 10 4 4" xfId="12462"/>
    <cellStyle name="20% - Accent1 10 4 5" xfId="16413"/>
    <cellStyle name="20% - Accent1 10 5" xfId="1037"/>
    <cellStyle name="20% - Accent1 10 5 2" xfId="1038"/>
    <cellStyle name="20% - Accent1 10 5 2 2" xfId="12466"/>
    <cellStyle name="20% - Accent1 10 5 2 3" xfId="16417"/>
    <cellStyle name="20% - Accent1 10 5 3" xfId="1039"/>
    <cellStyle name="20% - Accent1 10 5 3 2" xfId="12467"/>
    <cellStyle name="20% - Accent1 10 5 3 3" xfId="16418"/>
    <cellStyle name="20% - Accent1 10 5 4" xfId="12465"/>
    <cellStyle name="20% - Accent1 10 5 5" xfId="16416"/>
    <cellStyle name="20% - Accent1 10 6" xfId="1040"/>
    <cellStyle name="20% - Accent1 10 6 2" xfId="1041"/>
    <cellStyle name="20% - Accent1 10 6 2 2" xfId="12469"/>
    <cellStyle name="20% - Accent1 10 6 2 3" xfId="16420"/>
    <cellStyle name="20% - Accent1 10 6 3" xfId="1042"/>
    <cellStyle name="20% - Accent1 10 6 3 2" xfId="12470"/>
    <cellStyle name="20% - Accent1 10 6 3 3" xfId="16421"/>
    <cellStyle name="20% - Accent1 10 6 4" xfId="12468"/>
    <cellStyle name="20% - Accent1 10 6 5" xfId="16419"/>
    <cellStyle name="20% - Accent1 10 7" xfId="1043"/>
    <cellStyle name="20% - Accent1 10 7 2" xfId="12471"/>
    <cellStyle name="20% - Accent1 10 7 3" xfId="16422"/>
    <cellStyle name="20% - Accent1 10 8" xfId="1044"/>
    <cellStyle name="20% - Accent1 10 8 2" xfId="12472"/>
    <cellStyle name="20% - Accent1 10 8 3" xfId="16423"/>
    <cellStyle name="20% - Accent1 10 9" xfId="12440"/>
    <cellStyle name="20% - Accent1 10_Volatility" xfId="1045"/>
    <cellStyle name="20% - Accent1 11" xfId="1046"/>
    <cellStyle name="20% - Accent1 11 10" xfId="16424"/>
    <cellStyle name="20% - Accent1 11 2" xfId="1047"/>
    <cellStyle name="20% - Accent1 11 2 2" xfId="1048"/>
    <cellStyle name="20% - Accent1 11 2 2 2" xfId="1049"/>
    <cellStyle name="20% - Accent1 11 2 2 2 2" xfId="12476"/>
    <cellStyle name="20% - Accent1 11 2 2 2 3" xfId="16427"/>
    <cellStyle name="20% - Accent1 11 2 2 3" xfId="1050"/>
    <cellStyle name="20% - Accent1 11 2 2 3 2" xfId="12477"/>
    <cellStyle name="20% - Accent1 11 2 2 3 3" xfId="16428"/>
    <cellStyle name="20% - Accent1 11 2 2 4" xfId="12475"/>
    <cellStyle name="20% - Accent1 11 2 2 5" xfId="16426"/>
    <cellStyle name="20% - Accent1 11 2 3" xfId="1051"/>
    <cellStyle name="20% - Accent1 11 2 3 2" xfId="1052"/>
    <cellStyle name="20% - Accent1 11 2 3 2 2" xfId="12479"/>
    <cellStyle name="20% - Accent1 11 2 3 2 3" xfId="16430"/>
    <cellStyle name="20% - Accent1 11 2 3 3" xfId="1053"/>
    <cellStyle name="20% - Accent1 11 2 3 3 2" xfId="12480"/>
    <cellStyle name="20% - Accent1 11 2 3 3 3" xfId="16431"/>
    <cellStyle name="20% - Accent1 11 2 3 4" xfId="12478"/>
    <cellStyle name="20% - Accent1 11 2 3 5" xfId="16429"/>
    <cellStyle name="20% - Accent1 11 2 4" xfId="1054"/>
    <cellStyle name="20% - Accent1 11 2 4 2" xfId="1055"/>
    <cellStyle name="20% - Accent1 11 2 4 2 2" xfId="12482"/>
    <cellStyle name="20% - Accent1 11 2 4 2 3" xfId="16433"/>
    <cellStyle name="20% - Accent1 11 2 4 3" xfId="1056"/>
    <cellStyle name="20% - Accent1 11 2 4 3 2" xfId="12483"/>
    <cellStyle name="20% - Accent1 11 2 4 3 3" xfId="16434"/>
    <cellStyle name="20% - Accent1 11 2 4 4" xfId="12481"/>
    <cellStyle name="20% - Accent1 11 2 4 5" xfId="16432"/>
    <cellStyle name="20% - Accent1 11 2 5" xfId="1057"/>
    <cellStyle name="20% - Accent1 11 2 5 2" xfId="12484"/>
    <cellStyle name="20% - Accent1 11 2 5 3" xfId="16435"/>
    <cellStyle name="20% - Accent1 11 2 6" xfId="1058"/>
    <cellStyle name="20% - Accent1 11 2 6 2" xfId="12485"/>
    <cellStyle name="20% - Accent1 11 2 6 3" xfId="16436"/>
    <cellStyle name="20% - Accent1 11 2 7" xfId="12474"/>
    <cellStyle name="20% - Accent1 11 2 8" xfId="16425"/>
    <cellStyle name="20% - Accent1 11 2_Volatility" xfId="1059"/>
    <cellStyle name="20% - Accent1 11 3" xfId="1060"/>
    <cellStyle name="20% - Accent1 11 3 2" xfId="1061"/>
    <cellStyle name="20% - Accent1 11 3 2 2" xfId="1062"/>
    <cellStyle name="20% - Accent1 11 3 2 2 2" xfId="12488"/>
    <cellStyle name="20% - Accent1 11 3 2 2 3" xfId="16439"/>
    <cellStyle name="20% - Accent1 11 3 2 3" xfId="1063"/>
    <cellStyle name="20% - Accent1 11 3 2 3 2" xfId="12489"/>
    <cellStyle name="20% - Accent1 11 3 2 3 3" xfId="16440"/>
    <cellStyle name="20% - Accent1 11 3 2 4" xfId="12487"/>
    <cellStyle name="20% - Accent1 11 3 2 5" xfId="16438"/>
    <cellStyle name="20% - Accent1 11 3 3" xfId="1064"/>
    <cellStyle name="20% - Accent1 11 3 3 2" xfId="1065"/>
    <cellStyle name="20% - Accent1 11 3 3 2 2" xfId="12491"/>
    <cellStyle name="20% - Accent1 11 3 3 2 3" xfId="16442"/>
    <cellStyle name="20% - Accent1 11 3 3 3" xfId="1066"/>
    <cellStyle name="20% - Accent1 11 3 3 3 2" xfId="12492"/>
    <cellStyle name="20% - Accent1 11 3 3 3 3" xfId="16443"/>
    <cellStyle name="20% - Accent1 11 3 3 4" xfId="12490"/>
    <cellStyle name="20% - Accent1 11 3 3 5" xfId="16441"/>
    <cellStyle name="20% - Accent1 11 3 4" xfId="1067"/>
    <cellStyle name="20% - Accent1 11 3 4 2" xfId="12493"/>
    <cellStyle name="20% - Accent1 11 3 4 3" xfId="16444"/>
    <cellStyle name="20% - Accent1 11 3 5" xfId="1068"/>
    <cellStyle name="20% - Accent1 11 3 5 2" xfId="12494"/>
    <cellStyle name="20% - Accent1 11 3 5 3" xfId="16445"/>
    <cellStyle name="20% - Accent1 11 3 6" xfId="12486"/>
    <cellStyle name="20% - Accent1 11 3 7" xfId="16437"/>
    <cellStyle name="20% - Accent1 11 3_Volatility" xfId="1069"/>
    <cellStyle name="20% - Accent1 11 4" xfId="1070"/>
    <cellStyle name="20% - Accent1 11 4 2" xfId="1071"/>
    <cellStyle name="20% - Accent1 11 4 2 2" xfId="12496"/>
    <cellStyle name="20% - Accent1 11 4 2 3" xfId="16447"/>
    <cellStyle name="20% - Accent1 11 4 3" xfId="1072"/>
    <cellStyle name="20% - Accent1 11 4 3 2" xfId="12497"/>
    <cellStyle name="20% - Accent1 11 4 3 3" xfId="16448"/>
    <cellStyle name="20% - Accent1 11 4 4" xfId="12495"/>
    <cellStyle name="20% - Accent1 11 4 5" xfId="16446"/>
    <cellStyle name="20% - Accent1 11 5" xfId="1073"/>
    <cellStyle name="20% - Accent1 11 5 2" xfId="1074"/>
    <cellStyle name="20% - Accent1 11 5 2 2" xfId="12499"/>
    <cellStyle name="20% - Accent1 11 5 2 3" xfId="16450"/>
    <cellStyle name="20% - Accent1 11 5 3" xfId="1075"/>
    <cellStyle name="20% - Accent1 11 5 3 2" xfId="12500"/>
    <cellStyle name="20% - Accent1 11 5 3 3" xfId="16451"/>
    <cellStyle name="20% - Accent1 11 5 4" xfId="12498"/>
    <cellStyle name="20% - Accent1 11 5 5" xfId="16449"/>
    <cellStyle name="20% - Accent1 11 6" xfId="1076"/>
    <cellStyle name="20% - Accent1 11 6 2" xfId="1077"/>
    <cellStyle name="20% - Accent1 11 6 2 2" xfId="12502"/>
    <cellStyle name="20% - Accent1 11 6 2 3" xfId="16453"/>
    <cellStyle name="20% - Accent1 11 6 3" xfId="1078"/>
    <cellStyle name="20% - Accent1 11 6 3 2" xfId="12503"/>
    <cellStyle name="20% - Accent1 11 6 3 3" xfId="16454"/>
    <cellStyle name="20% - Accent1 11 6 4" xfId="12501"/>
    <cellStyle name="20% - Accent1 11 6 5" xfId="16452"/>
    <cellStyle name="20% - Accent1 11 7" xfId="1079"/>
    <cellStyle name="20% - Accent1 11 7 2" xfId="12504"/>
    <cellStyle name="20% - Accent1 11 7 3" xfId="16455"/>
    <cellStyle name="20% - Accent1 11 8" xfId="1080"/>
    <cellStyle name="20% - Accent1 11 8 2" xfId="12505"/>
    <cellStyle name="20% - Accent1 11 8 3" xfId="16456"/>
    <cellStyle name="20% - Accent1 11 9" xfId="12473"/>
    <cellStyle name="20% - Accent1 11_Volatility" xfId="1081"/>
    <cellStyle name="20% - Accent1 12" xfId="1082"/>
    <cellStyle name="20% - Accent1 12 10" xfId="16457"/>
    <cellStyle name="20% - Accent1 12 2" xfId="1083"/>
    <cellStyle name="20% - Accent1 12 2 2" xfId="1084"/>
    <cellStyle name="20% - Accent1 12 2 2 2" xfId="1085"/>
    <cellStyle name="20% - Accent1 12 2 2 2 2" xfId="12509"/>
    <cellStyle name="20% - Accent1 12 2 2 2 3" xfId="16460"/>
    <cellStyle name="20% - Accent1 12 2 2 3" xfId="1086"/>
    <cellStyle name="20% - Accent1 12 2 2 3 2" xfId="12510"/>
    <cellStyle name="20% - Accent1 12 2 2 3 3" xfId="16461"/>
    <cellStyle name="20% - Accent1 12 2 2 4" xfId="12508"/>
    <cellStyle name="20% - Accent1 12 2 2 5" xfId="16459"/>
    <cellStyle name="20% - Accent1 12 2 3" xfId="1087"/>
    <cellStyle name="20% - Accent1 12 2 3 2" xfId="1088"/>
    <cellStyle name="20% - Accent1 12 2 3 2 2" xfId="12512"/>
    <cellStyle name="20% - Accent1 12 2 3 2 3" xfId="16463"/>
    <cellStyle name="20% - Accent1 12 2 3 3" xfId="1089"/>
    <cellStyle name="20% - Accent1 12 2 3 3 2" xfId="12513"/>
    <cellStyle name="20% - Accent1 12 2 3 3 3" xfId="16464"/>
    <cellStyle name="20% - Accent1 12 2 3 4" xfId="12511"/>
    <cellStyle name="20% - Accent1 12 2 3 5" xfId="16462"/>
    <cellStyle name="20% - Accent1 12 2 4" xfId="1090"/>
    <cellStyle name="20% - Accent1 12 2 4 2" xfId="1091"/>
    <cellStyle name="20% - Accent1 12 2 4 2 2" xfId="12515"/>
    <cellStyle name="20% - Accent1 12 2 4 2 3" xfId="16466"/>
    <cellStyle name="20% - Accent1 12 2 4 3" xfId="1092"/>
    <cellStyle name="20% - Accent1 12 2 4 3 2" xfId="12516"/>
    <cellStyle name="20% - Accent1 12 2 4 3 3" xfId="16467"/>
    <cellStyle name="20% - Accent1 12 2 4 4" xfId="12514"/>
    <cellStyle name="20% - Accent1 12 2 4 5" xfId="16465"/>
    <cellStyle name="20% - Accent1 12 2 5" xfId="1093"/>
    <cellStyle name="20% - Accent1 12 2 5 2" xfId="12517"/>
    <cellStyle name="20% - Accent1 12 2 5 3" xfId="16468"/>
    <cellStyle name="20% - Accent1 12 2 6" xfId="1094"/>
    <cellStyle name="20% - Accent1 12 2 6 2" xfId="12518"/>
    <cellStyle name="20% - Accent1 12 2 6 3" xfId="16469"/>
    <cellStyle name="20% - Accent1 12 2 7" xfId="12507"/>
    <cellStyle name="20% - Accent1 12 2 8" xfId="16458"/>
    <cellStyle name="20% - Accent1 12 2_Volatility" xfId="1095"/>
    <cellStyle name="20% - Accent1 12 3" xfId="1096"/>
    <cellStyle name="20% - Accent1 12 3 2" xfId="1097"/>
    <cellStyle name="20% - Accent1 12 3 2 2" xfId="1098"/>
    <cellStyle name="20% - Accent1 12 3 2 2 2" xfId="12521"/>
    <cellStyle name="20% - Accent1 12 3 2 2 3" xfId="16472"/>
    <cellStyle name="20% - Accent1 12 3 2 3" xfId="1099"/>
    <cellStyle name="20% - Accent1 12 3 2 3 2" xfId="12522"/>
    <cellStyle name="20% - Accent1 12 3 2 3 3" xfId="16473"/>
    <cellStyle name="20% - Accent1 12 3 2 4" xfId="12520"/>
    <cellStyle name="20% - Accent1 12 3 2 5" xfId="16471"/>
    <cellStyle name="20% - Accent1 12 3 3" xfId="1100"/>
    <cellStyle name="20% - Accent1 12 3 3 2" xfId="1101"/>
    <cellStyle name="20% - Accent1 12 3 3 2 2" xfId="12524"/>
    <cellStyle name="20% - Accent1 12 3 3 2 3" xfId="16475"/>
    <cellStyle name="20% - Accent1 12 3 3 3" xfId="1102"/>
    <cellStyle name="20% - Accent1 12 3 3 3 2" xfId="12525"/>
    <cellStyle name="20% - Accent1 12 3 3 3 3" xfId="16476"/>
    <cellStyle name="20% - Accent1 12 3 3 4" xfId="12523"/>
    <cellStyle name="20% - Accent1 12 3 3 5" xfId="16474"/>
    <cellStyle name="20% - Accent1 12 3 4" xfId="1103"/>
    <cellStyle name="20% - Accent1 12 3 4 2" xfId="12526"/>
    <cellStyle name="20% - Accent1 12 3 4 3" xfId="16477"/>
    <cellStyle name="20% - Accent1 12 3 5" xfId="1104"/>
    <cellStyle name="20% - Accent1 12 3 5 2" xfId="12527"/>
    <cellStyle name="20% - Accent1 12 3 5 3" xfId="16478"/>
    <cellStyle name="20% - Accent1 12 3 6" xfId="12519"/>
    <cellStyle name="20% - Accent1 12 3 7" xfId="16470"/>
    <cellStyle name="20% - Accent1 12 3_Volatility" xfId="1105"/>
    <cellStyle name="20% - Accent1 12 4" xfId="1106"/>
    <cellStyle name="20% - Accent1 12 4 2" xfId="1107"/>
    <cellStyle name="20% - Accent1 12 4 2 2" xfId="12529"/>
    <cellStyle name="20% - Accent1 12 4 2 3" xfId="16480"/>
    <cellStyle name="20% - Accent1 12 4 3" xfId="1108"/>
    <cellStyle name="20% - Accent1 12 4 3 2" xfId="12530"/>
    <cellStyle name="20% - Accent1 12 4 3 3" xfId="16481"/>
    <cellStyle name="20% - Accent1 12 4 4" xfId="12528"/>
    <cellStyle name="20% - Accent1 12 4 5" xfId="16479"/>
    <cellStyle name="20% - Accent1 12 5" xfId="1109"/>
    <cellStyle name="20% - Accent1 12 5 2" xfId="1110"/>
    <cellStyle name="20% - Accent1 12 5 2 2" xfId="12532"/>
    <cellStyle name="20% - Accent1 12 5 2 3" xfId="16483"/>
    <cellStyle name="20% - Accent1 12 5 3" xfId="1111"/>
    <cellStyle name="20% - Accent1 12 5 3 2" xfId="12533"/>
    <cellStyle name="20% - Accent1 12 5 3 3" xfId="16484"/>
    <cellStyle name="20% - Accent1 12 5 4" xfId="12531"/>
    <cellStyle name="20% - Accent1 12 5 5" xfId="16482"/>
    <cellStyle name="20% - Accent1 12 6" xfId="1112"/>
    <cellStyle name="20% - Accent1 12 6 2" xfId="1113"/>
    <cellStyle name="20% - Accent1 12 6 2 2" xfId="12535"/>
    <cellStyle name="20% - Accent1 12 6 2 3" xfId="16486"/>
    <cellStyle name="20% - Accent1 12 6 3" xfId="1114"/>
    <cellStyle name="20% - Accent1 12 6 3 2" xfId="12536"/>
    <cellStyle name="20% - Accent1 12 6 3 3" xfId="16487"/>
    <cellStyle name="20% - Accent1 12 6 4" xfId="12534"/>
    <cellStyle name="20% - Accent1 12 6 5" xfId="16485"/>
    <cellStyle name="20% - Accent1 12 7" xfId="1115"/>
    <cellStyle name="20% - Accent1 12 7 2" xfId="12537"/>
    <cellStyle name="20% - Accent1 12 7 3" xfId="16488"/>
    <cellStyle name="20% - Accent1 12 8" xfId="1116"/>
    <cellStyle name="20% - Accent1 12 8 2" xfId="12538"/>
    <cellStyle name="20% - Accent1 12 8 3" xfId="16489"/>
    <cellStyle name="20% - Accent1 12 9" xfId="12506"/>
    <cellStyle name="20% - Accent1 12_Volatility" xfId="1117"/>
    <cellStyle name="20% - Accent1 13" xfId="1118"/>
    <cellStyle name="20% - Accent1 13 10" xfId="16490"/>
    <cellStyle name="20% - Accent1 13 2" xfId="1119"/>
    <cellStyle name="20% - Accent1 13 2 2" xfId="1120"/>
    <cellStyle name="20% - Accent1 13 2 2 2" xfId="1121"/>
    <cellStyle name="20% - Accent1 13 2 2 2 2" xfId="12542"/>
    <cellStyle name="20% - Accent1 13 2 2 2 3" xfId="16493"/>
    <cellStyle name="20% - Accent1 13 2 2 3" xfId="1122"/>
    <cellStyle name="20% - Accent1 13 2 2 3 2" xfId="12543"/>
    <cellStyle name="20% - Accent1 13 2 2 3 3" xfId="16494"/>
    <cellStyle name="20% - Accent1 13 2 2 4" xfId="12541"/>
    <cellStyle name="20% - Accent1 13 2 2 5" xfId="16492"/>
    <cellStyle name="20% - Accent1 13 2 3" xfId="1123"/>
    <cellStyle name="20% - Accent1 13 2 3 2" xfId="1124"/>
    <cellStyle name="20% - Accent1 13 2 3 2 2" xfId="12545"/>
    <cellStyle name="20% - Accent1 13 2 3 2 3" xfId="16496"/>
    <cellStyle name="20% - Accent1 13 2 3 3" xfId="1125"/>
    <cellStyle name="20% - Accent1 13 2 3 3 2" xfId="12546"/>
    <cellStyle name="20% - Accent1 13 2 3 3 3" xfId="16497"/>
    <cellStyle name="20% - Accent1 13 2 3 4" xfId="12544"/>
    <cellStyle name="20% - Accent1 13 2 3 5" xfId="16495"/>
    <cellStyle name="20% - Accent1 13 2 4" xfId="1126"/>
    <cellStyle name="20% - Accent1 13 2 4 2" xfId="1127"/>
    <cellStyle name="20% - Accent1 13 2 4 2 2" xfId="12548"/>
    <cellStyle name="20% - Accent1 13 2 4 2 3" xfId="16499"/>
    <cellStyle name="20% - Accent1 13 2 4 3" xfId="1128"/>
    <cellStyle name="20% - Accent1 13 2 4 3 2" xfId="12549"/>
    <cellStyle name="20% - Accent1 13 2 4 3 3" xfId="16500"/>
    <cellStyle name="20% - Accent1 13 2 4 4" xfId="12547"/>
    <cellStyle name="20% - Accent1 13 2 4 5" xfId="16498"/>
    <cellStyle name="20% - Accent1 13 2 5" xfId="1129"/>
    <cellStyle name="20% - Accent1 13 2 5 2" xfId="12550"/>
    <cellStyle name="20% - Accent1 13 2 5 3" xfId="16501"/>
    <cellStyle name="20% - Accent1 13 2 6" xfId="1130"/>
    <cellStyle name="20% - Accent1 13 2 6 2" xfId="12551"/>
    <cellStyle name="20% - Accent1 13 2 6 3" xfId="16502"/>
    <cellStyle name="20% - Accent1 13 2 7" xfId="12540"/>
    <cellStyle name="20% - Accent1 13 2 8" xfId="16491"/>
    <cellStyle name="20% - Accent1 13 2_Volatility" xfId="1131"/>
    <cellStyle name="20% - Accent1 13 3" xfId="1132"/>
    <cellStyle name="20% - Accent1 13 3 2" xfId="1133"/>
    <cellStyle name="20% - Accent1 13 3 2 2" xfId="1134"/>
    <cellStyle name="20% - Accent1 13 3 2 2 2" xfId="12554"/>
    <cellStyle name="20% - Accent1 13 3 2 2 3" xfId="16505"/>
    <cellStyle name="20% - Accent1 13 3 2 3" xfId="1135"/>
    <cellStyle name="20% - Accent1 13 3 2 3 2" xfId="12555"/>
    <cellStyle name="20% - Accent1 13 3 2 3 3" xfId="16506"/>
    <cellStyle name="20% - Accent1 13 3 2 4" xfId="12553"/>
    <cellStyle name="20% - Accent1 13 3 2 5" xfId="16504"/>
    <cellStyle name="20% - Accent1 13 3 3" xfId="1136"/>
    <cellStyle name="20% - Accent1 13 3 3 2" xfId="1137"/>
    <cellStyle name="20% - Accent1 13 3 3 2 2" xfId="12557"/>
    <cellStyle name="20% - Accent1 13 3 3 2 3" xfId="16508"/>
    <cellStyle name="20% - Accent1 13 3 3 3" xfId="1138"/>
    <cellStyle name="20% - Accent1 13 3 3 3 2" xfId="12558"/>
    <cellStyle name="20% - Accent1 13 3 3 3 3" xfId="16509"/>
    <cellStyle name="20% - Accent1 13 3 3 4" xfId="12556"/>
    <cellStyle name="20% - Accent1 13 3 3 5" xfId="16507"/>
    <cellStyle name="20% - Accent1 13 3 4" xfId="1139"/>
    <cellStyle name="20% - Accent1 13 3 4 2" xfId="12559"/>
    <cellStyle name="20% - Accent1 13 3 4 3" xfId="16510"/>
    <cellStyle name="20% - Accent1 13 3 5" xfId="1140"/>
    <cellStyle name="20% - Accent1 13 3 5 2" xfId="12560"/>
    <cellStyle name="20% - Accent1 13 3 5 3" xfId="16511"/>
    <cellStyle name="20% - Accent1 13 3 6" xfId="12552"/>
    <cellStyle name="20% - Accent1 13 3 7" xfId="16503"/>
    <cellStyle name="20% - Accent1 13 3_Volatility" xfId="1141"/>
    <cellStyle name="20% - Accent1 13 4" xfId="1142"/>
    <cellStyle name="20% - Accent1 13 4 2" xfId="1143"/>
    <cellStyle name="20% - Accent1 13 4 2 2" xfId="12562"/>
    <cellStyle name="20% - Accent1 13 4 2 3" xfId="16513"/>
    <cellStyle name="20% - Accent1 13 4 3" xfId="1144"/>
    <cellStyle name="20% - Accent1 13 4 3 2" xfId="12563"/>
    <cellStyle name="20% - Accent1 13 4 3 3" xfId="16514"/>
    <cellStyle name="20% - Accent1 13 4 4" xfId="12561"/>
    <cellStyle name="20% - Accent1 13 4 5" xfId="16512"/>
    <cellStyle name="20% - Accent1 13 5" xfId="1145"/>
    <cellStyle name="20% - Accent1 13 5 2" xfId="1146"/>
    <cellStyle name="20% - Accent1 13 5 2 2" xfId="12565"/>
    <cellStyle name="20% - Accent1 13 5 2 3" xfId="16516"/>
    <cellStyle name="20% - Accent1 13 5 3" xfId="1147"/>
    <cellStyle name="20% - Accent1 13 5 3 2" xfId="12566"/>
    <cellStyle name="20% - Accent1 13 5 3 3" xfId="16517"/>
    <cellStyle name="20% - Accent1 13 5 4" xfId="12564"/>
    <cellStyle name="20% - Accent1 13 5 5" xfId="16515"/>
    <cellStyle name="20% - Accent1 13 6" xfId="1148"/>
    <cellStyle name="20% - Accent1 13 6 2" xfId="1149"/>
    <cellStyle name="20% - Accent1 13 6 2 2" xfId="12568"/>
    <cellStyle name="20% - Accent1 13 6 2 3" xfId="16519"/>
    <cellStyle name="20% - Accent1 13 6 3" xfId="1150"/>
    <cellStyle name="20% - Accent1 13 6 3 2" xfId="12569"/>
    <cellStyle name="20% - Accent1 13 6 3 3" xfId="16520"/>
    <cellStyle name="20% - Accent1 13 6 4" xfId="12567"/>
    <cellStyle name="20% - Accent1 13 6 5" xfId="16518"/>
    <cellStyle name="20% - Accent1 13 7" xfId="1151"/>
    <cellStyle name="20% - Accent1 13 7 2" xfId="12570"/>
    <cellStyle name="20% - Accent1 13 7 3" xfId="16521"/>
    <cellStyle name="20% - Accent1 13 8" xfId="1152"/>
    <cellStyle name="20% - Accent1 13 8 2" xfId="12571"/>
    <cellStyle name="20% - Accent1 13 8 3" xfId="16522"/>
    <cellStyle name="20% - Accent1 13 9" xfId="12539"/>
    <cellStyle name="20% - Accent1 13_Volatility" xfId="1153"/>
    <cellStyle name="20% - Accent1 14" xfId="1154"/>
    <cellStyle name="20% - Accent1 14 10" xfId="16523"/>
    <cellStyle name="20% - Accent1 14 2" xfId="1155"/>
    <cellStyle name="20% - Accent1 14 2 2" xfId="1156"/>
    <cellStyle name="20% - Accent1 14 2 2 2" xfId="1157"/>
    <cellStyle name="20% - Accent1 14 2 2 2 2" xfId="12575"/>
    <cellStyle name="20% - Accent1 14 2 2 2 3" xfId="16526"/>
    <cellStyle name="20% - Accent1 14 2 2 3" xfId="1158"/>
    <cellStyle name="20% - Accent1 14 2 2 3 2" xfId="12576"/>
    <cellStyle name="20% - Accent1 14 2 2 3 3" xfId="16527"/>
    <cellStyle name="20% - Accent1 14 2 2 4" xfId="12574"/>
    <cellStyle name="20% - Accent1 14 2 2 5" xfId="16525"/>
    <cellStyle name="20% - Accent1 14 2 3" xfId="1159"/>
    <cellStyle name="20% - Accent1 14 2 3 2" xfId="1160"/>
    <cellStyle name="20% - Accent1 14 2 3 2 2" xfId="12578"/>
    <cellStyle name="20% - Accent1 14 2 3 2 3" xfId="16529"/>
    <cellStyle name="20% - Accent1 14 2 3 3" xfId="1161"/>
    <cellStyle name="20% - Accent1 14 2 3 3 2" xfId="12579"/>
    <cellStyle name="20% - Accent1 14 2 3 3 3" xfId="16530"/>
    <cellStyle name="20% - Accent1 14 2 3 4" xfId="12577"/>
    <cellStyle name="20% - Accent1 14 2 3 5" xfId="16528"/>
    <cellStyle name="20% - Accent1 14 2 4" xfId="1162"/>
    <cellStyle name="20% - Accent1 14 2 4 2" xfId="1163"/>
    <cellStyle name="20% - Accent1 14 2 4 2 2" xfId="12581"/>
    <cellStyle name="20% - Accent1 14 2 4 2 3" xfId="16532"/>
    <cellStyle name="20% - Accent1 14 2 4 3" xfId="1164"/>
    <cellStyle name="20% - Accent1 14 2 4 3 2" xfId="12582"/>
    <cellStyle name="20% - Accent1 14 2 4 3 3" xfId="16533"/>
    <cellStyle name="20% - Accent1 14 2 4 4" xfId="12580"/>
    <cellStyle name="20% - Accent1 14 2 4 5" xfId="16531"/>
    <cellStyle name="20% - Accent1 14 2 5" xfId="1165"/>
    <cellStyle name="20% - Accent1 14 2 5 2" xfId="12583"/>
    <cellStyle name="20% - Accent1 14 2 5 3" xfId="16534"/>
    <cellStyle name="20% - Accent1 14 2 6" xfId="1166"/>
    <cellStyle name="20% - Accent1 14 2 6 2" xfId="12584"/>
    <cellStyle name="20% - Accent1 14 2 6 3" xfId="16535"/>
    <cellStyle name="20% - Accent1 14 2 7" xfId="12573"/>
    <cellStyle name="20% - Accent1 14 2 8" xfId="16524"/>
    <cellStyle name="20% - Accent1 14 2_Volatility" xfId="1167"/>
    <cellStyle name="20% - Accent1 14 3" xfId="1168"/>
    <cellStyle name="20% - Accent1 14 3 2" xfId="1169"/>
    <cellStyle name="20% - Accent1 14 3 2 2" xfId="1170"/>
    <cellStyle name="20% - Accent1 14 3 2 2 2" xfId="12587"/>
    <cellStyle name="20% - Accent1 14 3 2 2 3" xfId="16538"/>
    <cellStyle name="20% - Accent1 14 3 2 3" xfId="1171"/>
    <cellStyle name="20% - Accent1 14 3 2 3 2" xfId="12588"/>
    <cellStyle name="20% - Accent1 14 3 2 3 3" xfId="16539"/>
    <cellStyle name="20% - Accent1 14 3 2 4" xfId="12586"/>
    <cellStyle name="20% - Accent1 14 3 2 5" xfId="16537"/>
    <cellStyle name="20% - Accent1 14 3 3" xfId="1172"/>
    <cellStyle name="20% - Accent1 14 3 3 2" xfId="1173"/>
    <cellStyle name="20% - Accent1 14 3 3 2 2" xfId="12590"/>
    <cellStyle name="20% - Accent1 14 3 3 2 3" xfId="16541"/>
    <cellStyle name="20% - Accent1 14 3 3 3" xfId="1174"/>
    <cellStyle name="20% - Accent1 14 3 3 3 2" xfId="12591"/>
    <cellStyle name="20% - Accent1 14 3 3 3 3" xfId="16542"/>
    <cellStyle name="20% - Accent1 14 3 3 4" xfId="12589"/>
    <cellStyle name="20% - Accent1 14 3 3 5" xfId="16540"/>
    <cellStyle name="20% - Accent1 14 3 4" xfId="1175"/>
    <cellStyle name="20% - Accent1 14 3 4 2" xfId="12592"/>
    <cellStyle name="20% - Accent1 14 3 4 3" xfId="16543"/>
    <cellStyle name="20% - Accent1 14 3 5" xfId="1176"/>
    <cellStyle name="20% - Accent1 14 3 5 2" xfId="12593"/>
    <cellStyle name="20% - Accent1 14 3 5 3" xfId="16544"/>
    <cellStyle name="20% - Accent1 14 3 6" xfId="12585"/>
    <cellStyle name="20% - Accent1 14 3 7" xfId="16536"/>
    <cellStyle name="20% - Accent1 14 3_Volatility" xfId="1177"/>
    <cellStyle name="20% - Accent1 14 4" xfId="1178"/>
    <cellStyle name="20% - Accent1 14 4 2" xfId="1179"/>
    <cellStyle name="20% - Accent1 14 4 2 2" xfId="12595"/>
    <cellStyle name="20% - Accent1 14 4 2 3" xfId="16546"/>
    <cellStyle name="20% - Accent1 14 4 3" xfId="1180"/>
    <cellStyle name="20% - Accent1 14 4 3 2" xfId="12596"/>
    <cellStyle name="20% - Accent1 14 4 3 3" xfId="16547"/>
    <cellStyle name="20% - Accent1 14 4 4" xfId="12594"/>
    <cellStyle name="20% - Accent1 14 4 5" xfId="16545"/>
    <cellStyle name="20% - Accent1 14 5" xfId="1181"/>
    <cellStyle name="20% - Accent1 14 5 2" xfId="1182"/>
    <cellStyle name="20% - Accent1 14 5 2 2" xfId="12598"/>
    <cellStyle name="20% - Accent1 14 5 2 3" xfId="16549"/>
    <cellStyle name="20% - Accent1 14 5 3" xfId="1183"/>
    <cellStyle name="20% - Accent1 14 5 3 2" xfId="12599"/>
    <cellStyle name="20% - Accent1 14 5 3 3" xfId="16550"/>
    <cellStyle name="20% - Accent1 14 5 4" xfId="12597"/>
    <cellStyle name="20% - Accent1 14 5 5" xfId="16548"/>
    <cellStyle name="20% - Accent1 14 6" xfId="1184"/>
    <cellStyle name="20% - Accent1 14 6 2" xfId="1185"/>
    <cellStyle name="20% - Accent1 14 6 2 2" xfId="12601"/>
    <cellStyle name="20% - Accent1 14 6 2 3" xfId="16552"/>
    <cellStyle name="20% - Accent1 14 6 3" xfId="1186"/>
    <cellStyle name="20% - Accent1 14 6 3 2" xfId="12602"/>
    <cellStyle name="20% - Accent1 14 6 3 3" xfId="16553"/>
    <cellStyle name="20% - Accent1 14 6 4" xfId="12600"/>
    <cellStyle name="20% - Accent1 14 6 5" xfId="16551"/>
    <cellStyle name="20% - Accent1 14 7" xfId="1187"/>
    <cellStyle name="20% - Accent1 14 7 2" xfId="12603"/>
    <cellStyle name="20% - Accent1 14 7 3" xfId="16554"/>
    <cellStyle name="20% - Accent1 14 8" xfId="1188"/>
    <cellStyle name="20% - Accent1 14 8 2" xfId="12604"/>
    <cellStyle name="20% - Accent1 14 8 3" xfId="16555"/>
    <cellStyle name="20% - Accent1 14 9" xfId="12572"/>
    <cellStyle name="20% - Accent1 14_Volatility" xfId="1189"/>
    <cellStyle name="20% - Accent1 15" xfId="1190"/>
    <cellStyle name="20% - Accent1 15 10" xfId="16556"/>
    <cellStyle name="20% - Accent1 15 2" xfId="1191"/>
    <cellStyle name="20% - Accent1 15 2 2" xfId="1192"/>
    <cellStyle name="20% - Accent1 15 2 2 2" xfId="1193"/>
    <cellStyle name="20% - Accent1 15 2 2 2 2" xfId="12608"/>
    <cellStyle name="20% - Accent1 15 2 2 2 3" xfId="16559"/>
    <cellStyle name="20% - Accent1 15 2 2 3" xfId="1194"/>
    <cellStyle name="20% - Accent1 15 2 2 3 2" xfId="12609"/>
    <cellStyle name="20% - Accent1 15 2 2 3 3" xfId="16560"/>
    <cellStyle name="20% - Accent1 15 2 2 4" xfId="12607"/>
    <cellStyle name="20% - Accent1 15 2 2 5" xfId="16558"/>
    <cellStyle name="20% - Accent1 15 2 3" xfId="1195"/>
    <cellStyle name="20% - Accent1 15 2 3 2" xfId="1196"/>
    <cellStyle name="20% - Accent1 15 2 3 2 2" xfId="12611"/>
    <cellStyle name="20% - Accent1 15 2 3 2 3" xfId="16562"/>
    <cellStyle name="20% - Accent1 15 2 3 3" xfId="1197"/>
    <cellStyle name="20% - Accent1 15 2 3 3 2" xfId="12612"/>
    <cellStyle name="20% - Accent1 15 2 3 3 3" xfId="16563"/>
    <cellStyle name="20% - Accent1 15 2 3 4" xfId="12610"/>
    <cellStyle name="20% - Accent1 15 2 3 5" xfId="16561"/>
    <cellStyle name="20% - Accent1 15 2 4" xfId="1198"/>
    <cellStyle name="20% - Accent1 15 2 4 2" xfId="1199"/>
    <cellStyle name="20% - Accent1 15 2 4 2 2" xfId="12614"/>
    <cellStyle name="20% - Accent1 15 2 4 2 3" xfId="16565"/>
    <cellStyle name="20% - Accent1 15 2 4 3" xfId="1200"/>
    <cellStyle name="20% - Accent1 15 2 4 3 2" xfId="12615"/>
    <cellStyle name="20% - Accent1 15 2 4 3 3" xfId="16566"/>
    <cellStyle name="20% - Accent1 15 2 4 4" xfId="12613"/>
    <cellStyle name="20% - Accent1 15 2 4 5" xfId="16564"/>
    <cellStyle name="20% - Accent1 15 2 5" xfId="1201"/>
    <cellStyle name="20% - Accent1 15 2 5 2" xfId="12616"/>
    <cellStyle name="20% - Accent1 15 2 5 3" xfId="16567"/>
    <cellStyle name="20% - Accent1 15 2 6" xfId="1202"/>
    <cellStyle name="20% - Accent1 15 2 6 2" xfId="12617"/>
    <cellStyle name="20% - Accent1 15 2 6 3" xfId="16568"/>
    <cellStyle name="20% - Accent1 15 2 7" xfId="12606"/>
    <cellStyle name="20% - Accent1 15 2 8" xfId="16557"/>
    <cellStyle name="20% - Accent1 15 2_Volatility" xfId="1203"/>
    <cellStyle name="20% - Accent1 15 3" xfId="1204"/>
    <cellStyle name="20% - Accent1 15 3 2" xfId="1205"/>
    <cellStyle name="20% - Accent1 15 3 2 2" xfId="1206"/>
    <cellStyle name="20% - Accent1 15 3 2 2 2" xfId="12620"/>
    <cellStyle name="20% - Accent1 15 3 2 2 3" xfId="16571"/>
    <cellStyle name="20% - Accent1 15 3 2 3" xfId="1207"/>
    <cellStyle name="20% - Accent1 15 3 2 3 2" xfId="12621"/>
    <cellStyle name="20% - Accent1 15 3 2 3 3" xfId="16572"/>
    <cellStyle name="20% - Accent1 15 3 2 4" xfId="12619"/>
    <cellStyle name="20% - Accent1 15 3 2 5" xfId="16570"/>
    <cellStyle name="20% - Accent1 15 3 3" xfId="1208"/>
    <cellStyle name="20% - Accent1 15 3 3 2" xfId="1209"/>
    <cellStyle name="20% - Accent1 15 3 3 2 2" xfId="12623"/>
    <cellStyle name="20% - Accent1 15 3 3 2 3" xfId="16574"/>
    <cellStyle name="20% - Accent1 15 3 3 3" xfId="1210"/>
    <cellStyle name="20% - Accent1 15 3 3 3 2" xfId="12624"/>
    <cellStyle name="20% - Accent1 15 3 3 3 3" xfId="16575"/>
    <cellStyle name="20% - Accent1 15 3 3 4" xfId="12622"/>
    <cellStyle name="20% - Accent1 15 3 3 5" xfId="16573"/>
    <cellStyle name="20% - Accent1 15 3 4" xfId="1211"/>
    <cellStyle name="20% - Accent1 15 3 4 2" xfId="12625"/>
    <cellStyle name="20% - Accent1 15 3 4 3" xfId="16576"/>
    <cellStyle name="20% - Accent1 15 3 5" xfId="1212"/>
    <cellStyle name="20% - Accent1 15 3 5 2" xfId="12626"/>
    <cellStyle name="20% - Accent1 15 3 5 3" xfId="16577"/>
    <cellStyle name="20% - Accent1 15 3 6" xfId="12618"/>
    <cellStyle name="20% - Accent1 15 3 7" xfId="16569"/>
    <cellStyle name="20% - Accent1 15 3_Volatility" xfId="1213"/>
    <cellStyle name="20% - Accent1 15 4" xfId="1214"/>
    <cellStyle name="20% - Accent1 15 4 2" xfId="1215"/>
    <cellStyle name="20% - Accent1 15 4 2 2" xfId="12628"/>
    <cellStyle name="20% - Accent1 15 4 2 3" xfId="16579"/>
    <cellStyle name="20% - Accent1 15 4 3" xfId="1216"/>
    <cellStyle name="20% - Accent1 15 4 3 2" xfId="12629"/>
    <cellStyle name="20% - Accent1 15 4 3 3" xfId="16580"/>
    <cellStyle name="20% - Accent1 15 4 4" xfId="12627"/>
    <cellStyle name="20% - Accent1 15 4 5" xfId="16578"/>
    <cellStyle name="20% - Accent1 15 5" xfId="1217"/>
    <cellStyle name="20% - Accent1 15 5 2" xfId="1218"/>
    <cellStyle name="20% - Accent1 15 5 2 2" xfId="12631"/>
    <cellStyle name="20% - Accent1 15 5 2 3" xfId="16582"/>
    <cellStyle name="20% - Accent1 15 5 3" xfId="1219"/>
    <cellStyle name="20% - Accent1 15 5 3 2" xfId="12632"/>
    <cellStyle name="20% - Accent1 15 5 3 3" xfId="16583"/>
    <cellStyle name="20% - Accent1 15 5 4" xfId="12630"/>
    <cellStyle name="20% - Accent1 15 5 5" xfId="16581"/>
    <cellStyle name="20% - Accent1 15 6" xfId="1220"/>
    <cellStyle name="20% - Accent1 15 6 2" xfId="1221"/>
    <cellStyle name="20% - Accent1 15 6 2 2" xfId="12634"/>
    <cellStyle name="20% - Accent1 15 6 2 3" xfId="16585"/>
    <cellStyle name="20% - Accent1 15 6 3" xfId="1222"/>
    <cellStyle name="20% - Accent1 15 6 3 2" xfId="12635"/>
    <cellStyle name="20% - Accent1 15 6 3 3" xfId="16586"/>
    <cellStyle name="20% - Accent1 15 6 4" xfId="12633"/>
    <cellStyle name="20% - Accent1 15 6 5" xfId="16584"/>
    <cellStyle name="20% - Accent1 15 7" xfId="1223"/>
    <cellStyle name="20% - Accent1 15 7 2" xfId="12636"/>
    <cellStyle name="20% - Accent1 15 7 3" xfId="16587"/>
    <cellStyle name="20% - Accent1 15 8" xfId="1224"/>
    <cellStyle name="20% - Accent1 15 8 2" xfId="12637"/>
    <cellStyle name="20% - Accent1 15 8 3" xfId="16588"/>
    <cellStyle name="20% - Accent1 15 9" xfId="12605"/>
    <cellStyle name="20% - Accent1 15_Volatility" xfId="1225"/>
    <cellStyle name="20% - Accent1 16" xfId="1226"/>
    <cellStyle name="20% - Accent1 16 2" xfId="12638"/>
    <cellStyle name="20% - Accent1 16 3" xfId="16589"/>
    <cellStyle name="20% - Accent1 17" xfId="1227"/>
    <cellStyle name="20% - Accent1 17 2" xfId="12639"/>
    <cellStyle name="20% - Accent1 17 3" xfId="16590"/>
    <cellStyle name="20% - Accent1 18" xfId="1228"/>
    <cellStyle name="20% - Accent1 18 2" xfId="12640"/>
    <cellStyle name="20% - Accent1 18 3" xfId="16591"/>
    <cellStyle name="20% - Accent1 19" xfId="1229"/>
    <cellStyle name="20% - Accent1 19 2" xfId="12641"/>
    <cellStyle name="20% - Accent1 19 3" xfId="16592"/>
    <cellStyle name="20% - Accent1 2" xfId="1230"/>
    <cellStyle name="20% - Accent1 2 10" xfId="16593"/>
    <cellStyle name="20% - Accent1 2 2" xfId="1231"/>
    <cellStyle name="20% - Accent1 2 2 2" xfId="1232"/>
    <cellStyle name="20% - Accent1 2 2 2 2" xfId="1233"/>
    <cellStyle name="20% - Accent1 2 2 2 2 2" xfId="12645"/>
    <cellStyle name="20% - Accent1 2 2 2 2 3" xfId="16596"/>
    <cellStyle name="20% - Accent1 2 2 2 3" xfId="1234"/>
    <cellStyle name="20% - Accent1 2 2 2 3 2" xfId="12646"/>
    <cellStyle name="20% - Accent1 2 2 2 3 3" xfId="16597"/>
    <cellStyle name="20% - Accent1 2 2 2 4" xfId="12644"/>
    <cellStyle name="20% - Accent1 2 2 2 5" xfId="16595"/>
    <cellStyle name="20% - Accent1 2 2 3" xfId="1235"/>
    <cellStyle name="20% - Accent1 2 2 3 2" xfId="1236"/>
    <cellStyle name="20% - Accent1 2 2 3 2 2" xfId="12648"/>
    <cellStyle name="20% - Accent1 2 2 3 2 3" xfId="16599"/>
    <cellStyle name="20% - Accent1 2 2 3 3" xfId="1237"/>
    <cellStyle name="20% - Accent1 2 2 3 3 2" xfId="12649"/>
    <cellStyle name="20% - Accent1 2 2 3 3 3" xfId="16600"/>
    <cellStyle name="20% - Accent1 2 2 3 4" xfId="12647"/>
    <cellStyle name="20% - Accent1 2 2 3 5" xfId="16598"/>
    <cellStyle name="20% - Accent1 2 2 4" xfId="1238"/>
    <cellStyle name="20% - Accent1 2 2 4 2" xfId="1239"/>
    <cellStyle name="20% - Accent1 2 2 4 2 2" xfId="12651"/>
    <cellStyle name="20% - Accent1 2 2 4 2 3" xfId="16602"/>
    <cellStyle name="20% - Accent1 2 2 4 3" xfId="1240"/>
    <cellStyle name="20% - Accent1 2 2 4 3 2" xfId="12652"/>
    <cellStyle name="20% - Accent1 2 2 4 3 3" xfId="16603"/>
    <cellStyle name="20% - Accent1 2 2 4 4" xfId="12650"/>
    <cellStyle name="20% - Accent1 2 2 4 5" xfId="16601"/>
    <cellStyle name="20% - Accent1 2 2 5" xfId="1241"/>
    <cellStyle name="20% - Accent1 2 2 5 2" xfId="12653"/>
    <cellStyle name="20% - Accent1 2 2 5 3" xfId="16604"/>
    <cellStyle name="20% - Accent1 2 2 6" xfId="1242"/>
    <cellStyle name="20% - Accent1 2 2 6 2" xfId="12654"/>
    <cellStyle name="20% - Accent1 2 2 6 3" xfId="16605"/>
    <cellStyle name="20% - Accent1 2 2 7" xfId="12643"/>
    <cellStyle name="20% - Accent1 2 2 8" xfId="16594"/>
    <cellStyle name="20% - Accent1 2 2_Volatility" xfId="1243"/>
    <cellStyle name="20% - Accent1 2 3" xfId="1244"/>
    <cellStyle name="20% - Accent1 2 3 2" xfId="1245"/>
    <cellStyle name="20% - Accent1 2 3 2 2" xfId="1246"/>
    <cellStyle name="20% - Accent1 2 3 2 2 2" xfId="12657"/>
    <cellStyle name="20% - Accent1 2 3 2 2 3" xfId="16608"/>
    <cellStyle name="20% - Accent1 2 3 2 3" xfId="1247"/>
    <cellStyle name="20% - Accent1 2 3 2 3 2" xfId="12658"/>
    <cellStyle name="20% - Accent1 2 3 2 3 3" xfId="16609"/>
    <cellStyle name="20% - Accent1 2 3 2 4" xfId="12656"/>
    <cellStyle name="20% - Accent1 2 3 2 5" xfId="16607"/>
    <cellStyle name="20% - Accent1 2 3 3" xfId="1248"/>
    <cellStyle name="20% - Accent1 2 3 3 2" xfId="1249"/>
    <cellStyle name="20% - Accent1 2 3 3 2 2" xfId="12660"/>
    <cellStyle name="20% - Accent1 2 3 3 2 3" xfId="16611"/>
    <cellStyle name="20% - Accent1 2 3 3 3" xfId="1250"/>
    <cellStyle name="20% - Accent1 2 3 3 3 2" xfId="12661"/>
    <cellStyle name="20% - Accent1 2 3 3 3 3" xfId="16612"/>
    <cellStyle name="20% - Accent1 2 3 3 4" xfId="12659"/>
    <cellStyle name="20% - Accent1 2 3 3 5" xfId="16610"/>
    <cellStyle name="20% - Accent1 2 3 4" xfId="1251"/>
    <cellStyle name="20% - Accent1 2 3 4 2" xfId="12662"/>
    <cellStyle name="20% - Accent1 2 3 4 3" xfId="16613"/>
    <cellStyle name="20% - Accent1 2 3 5" xfId="1252"/>
    <cellStyle name="20% - Accent1 2 3 5 2" xfId="12663"/>
    <cellStyle name="20% - Accent1 2 3 5 3" xfId="16614"/>
    <cellStyle name="20% - Accent1 2 3 6" xfId="12655"/>
    <cellStyle name="20% - Accent1 2 3 7" xfId="16606"/>
    <cellStyle name="20% - Accent1 2 3_Volatility" xfId="1253"/>
    <cellStyle name="20% - Accent1 2 4" xfId="1254"/>
    <cellStyle name="20% - Accent1 2 4 2" xfId="1255"/>
    <cellStyle name="20% - Accent1 2 4 2 2" xfId="12665"/>
    <cellStyle name="20% - Accent1 2 4 2 3" xfId="16616"/>
    <cellStyle name="20% - Accent1 2 4 3" xfId="1256"/>
    <cellStyle name="20% - Accent1 2 4 3 2" xfId="12666"/>
    <cellStyle name="20% - Accent1 2 4 3 3" xfId="16617"/>
    <cellStyle name="20% - Accent1 2 4 4" xfId="12664"/>
    <cellStyle name="20% - Accent1 2 4 5" xfId="16615"/>
    <cellStyle name="20% - Accent1 2 5" xfId="1257"/>
    <cellStyle name="20% - Accent1 2 5 2" xfId="1258"/>
    <cellStyle name="20% - Accent1 2 5 2 2" xfId="12668"/>
    <cellStyle name="20% - Accent1 2 5 2 3" xfId="16619"/>
    <cellStyle name="20% - Accent1 2 5 3" xfId="1259"/>
    <cellStyle name="20% - Accent1 2 5 3 2" xfId="12669"/>
    <cellStyle name="20% - Accent1 2 5 3 3" xfId="16620"/>
    <cellStyle name="20% - Accent1 2 5 4" xfId="12667"/>
    <cellStyle name="20% - Accent1 2 5 5" xfId="16618"/>
    <cellStyle name="20% - Accent1 2 6" xfId="1260"/>
    <cellStyle name="20% - Accent1 2 6 2" xfId="1261"/>
    <cellStyle name="20% - Accent1 2 6 2 2" xfId="12671"/>
    <cellStyle name="20% - Accent1 2 6 2 3" xfId="16622"/>
    <cellStyle name="20% - Accent1 2 6 3" xfId="1262"/>
    <cellStyle name="20% - Accent1 2 6 3 2" xfId="12672"/>
    <cellStyle name="20% - Accent1 2 6 3 3" xfId="16623"/>
    <cellStyle name="20% - Accent1 2 6 4" xfId="12670"/>
    <cellStyle name="20% - Accent1 2 6 5" xfId="16621"/>
    <cellStyle name="20% - Accent1 2 7" xfId="1263"/>
    <cellStyle name="20% - Accent1 2 7 2" xfId="12673"/>
    <cellStyle name="20% - Accent1 2 7 3" xfId="16624"/>
    <cellStyle name="20% - Accent1 2 8" xfId="1264"/>
    <cellStyle name="20% - Accent1 2 8 2" xfId="12674"/>
    <cellStyle name="20% - Accent1 2 8 3" xfId="16625"/>
    <cellStyle name="20% - Accent1 2 9" xfId="12642"/>
    <cellStyle name="20% - Accent1 2_Volatility" xfId="1265"/>
    <cellStyle name="20% - Accent1 3" xfId="1266"/>
    <cellStyle name="20% - Accent1 3 10" xfId="16626"/>
    <cellStyle name="20% - Accent1 3 2" xfId="1267"/>
    <cellStyle name="20% - Accent1 3 2 2" xfId="1268"/>
    <cellStyle name="20% - Accent1 3 2 2 2" xfId="1269"/>
    <cellStyle name="20% - Accent1 3 2 2 2 2" xfId="12678"/>
    <cellStyle name="20% - Accent1 3 2 2 2 3" xfId="16629"/>
    <cellStyle name="20% - Accent1 3 2 2 3" xfId="1270"/>
    <cellStyle name="20% - Accent1 3 2 2 3 2" xfId="12679"/>
    <cellStyle name="20% - Accent1 3 2 2 3 3" xfId="16630"/>
    <cellStyle name="20% - Accent1 3 2 2 4" xfId="12677"/>
    <cellStyle name="20% - Accent1 3 2 2 5" xfId="16628"/>
    <cellStyle name="20% - Accent1 3 2 3" xfId="1271"/>
    <cellStyle name="20% - Accent1 3 2 3 2" xfId="1272"/>
    <cellStyle name="20% - Accent1 3 2 3 2 2" xfId="12681"/>
    <cellStyle name="20% - Accent1 3 2 3 2 3" xfId="16632"/>
    <cellStyle name="20% - Accent1 3 2 3 3" xfId="1273"/>
    <cellStyle name="20% - Accent1 3 2 3 3 2" xfId="12682"/>
    <cellStyle name="20% - Accent1 3 2 3 3 3" xfId="16633"/>
    <cellStyle name="20% - Accent1 3 2 3 4" xfId="12680"/>
    <cellStyle name="20% - Accent1 3 2 3 5" xfId="16631"/>
    <cellStyle name="20% - Accent1 3 2 4" xfId="1274"/>
    <cellStyle name="20% - Accent1 3 2 4 2" xfId="1275"/>
    <cellStyle name="20% - Accent1 3 2 4 2 2" xfId="12684"/>
    <cellStyle name="20% - Accent1 3 2 4 2 3" xfId="16635"/>
    <cellStyle name="20% - Accent1 3 2 4 3" xfId="1276"/>
    <cellStyle name="20% - Accent1 3 2 4 3 2" xfId="12685"/>
    <cellStyle name="20% - Accent1 3 2 4 3 3" xfId="16636"/>
    <cellStyle name="20% - Accent1 3 2 4 4" xfId="12683"/>
    <cellStyle name="20% - Accent1 3 2 4 5" xfId="16634"/>
    <cellStyle name="20% - Accent1 3 2 5" xfId="1277"/>
    <cellStyle name="20% - Accent1 3 2 5 2" xfId="12686"/>
    <cellStyle name="20% - Accent1 3 2 5 3" xfId="16637"/>
    <cellStyle name="20% - Accent1 3 2 6" xfId="1278"/>
    <cellStyle name="20% - Accent1 3 2 6 2" xfId="12687"/>
    <cellStyle name="20% - Accent1 3 2 6 3" xfId="16638"/>
    <cellStyle name="20% - Accent1 3 2 7" xfId="12676"/>
    <cellStyle name="20% - Accent1 3 2 8" xfId="16627"/>
    <cellStyle name="20% - Accent1 3 2_Volatility" xfId="1279"/>
    <cellStyle name="20% - Accent1 3 3" xfId="1280"/>
    <cellStyle name="20% - Accent1 3 3 2" xfId="1281"/>
    <cellStyle name="20% - Accent1 3 3 2 2" xfId="1282"/>
    <cellStyle name="20% - Accent1 3 3 2 2 2" xfId="12690"/>
    <cellStyle name="20% - Accent1 3 3 2 2 3" xfId="16641"/>
    <cellStyle name="20% - Accent1 3 3 2 3" xfId="1283"/>
    <cellStyle name="20% - Accent1 3 3 2 3 2" xfId="12691"/>
    <cellStyle name="20% - Accent1 3 3 2 3 3" xfId="16642"/>
    <cellStyle name="20% - Accent1 3 3 2 4" xfId="12689"/>
    <cellStyle name="20% - Accent1 3 3 2 5" xfId="16640"/>
    <cellStyle name="20% - Accent1 3 3 3" xfId="1284"/>
    <cellStyle name="20% - Accent1 3 3 3 2" xfId="1285"/>
    <cellStyle name="20% - Accent1 3 3 3 2 2" xfId="12693"/>
    <cellStyle name="20% - Accent1 3 3 3 2 3" xfId="16644"/>
    <cellStyle name="20% - Accent1 3 3 3 3" xfId="1286"/>
    <cellStyle name="20% - Accent1 3 3 3 3 2" xfId="12694"/>
    <cellStyle name="20% - Accent1 3 3 3 3 3" xfId="16645"/>
    <cellStyle name="20% - Accent1 3 3 3 4" xfId="12692"/>
    <cellStyle name="20% - Accent1 3 3 3 5" xfId="16643"/>
    <cellStyle name="20% - Accent1 3 3 4" xfId="1287"/>
    <cellStyle name="20% - Accent1 3 3 4 2" xfId="12695"/>
    <cellStyle name="20% - Accent1 3 3 4 3" xfId="16646"/>
    <cellStyle name="20% - Accent1 3 3 5" xfId="1288"/>
    <cellStyle name="20% - Accent1 3 3 5 2" xfId="12696"/>
    <cellStyle name="20% - Accent1 3 3 5 3" xfId="16647"/>
    <cellStyle name="20% - Accent1 3 3 6" xfId="12688"/>
    <cellStyle name="20% - Accent1 3 3 7" xfId="16639"/>
    <cellStyle name="20% - Accent1 3 3_Volatility" xfId="1289"/>
    <cellStyle name="20% - Accent1 3 4" xfId="1290"/>
    <cellStyle name="20% - Accent1 3 4 2" xfId="1291"/>
    <cellStyle name="20% - Accent1 3 4 2 2" xfId="12698"/>
    <cellStyle name="20% - Accent1 3 4 2 3" xfId="16649"/>
    <cellStyle name="20% - Accent1 3 4 3" xfId="1292"/>
    <cellStyle name="20% - Accent1 3 4 3 2" xfId="12699"/>
    <cellStyle name="20% - Accent1 3 4 3 3" xfId="16650"/>
    <cellStyle name="20% - Accent1 3 4 4" xfId="12697"/>
    <cellStyle name="20% - Accent1 3 4 5" xfId="16648"/>
    <cellStyle name="20% - Accent1 3 5" xfId="1293"/>
    <cellStyle name="20% - Accent1 3 5 2" xfId="1294"/>
    <cellStyle name="20% - Accent1 3 5 2 2" xfId="12701"/>
    <cellStyle name="20% - Accent1 3 5 2 3" xfId="16652"/>
    <cellStyle name="20% - Accent1 3 5 3" xfId="1295"/>
    <cellStyle name="20% - Accent1 3 5 3 2" xfId="12702"/>
    <cellStyle name="20% - Accent1 3 5 3 3" xfId="16653"/>
    <cellStyle name="20% - Accent1 3 5 4" xfId="12700"/>
    <cellStyle name="20% - Accent1 3 5 5" xfId="16651"/>
    <cellStyle name="20% - Accent1 3 6" xfId="1296"/>
    <cellStyle name="20% - Accent1 3 6 2" xfId="1297"/>
    <cellStyle name="20% - Accent1 3 6 2 2" xfId="12704"/>
    <cellStyle name="20% - Accent1 3 6 2 3" xfId="16655"/>
    <cellStyle name="20% - Accent1 3 6 3" xfId="1298"/>
    <cellStyle name="20% - Accent1 3 6 3 2" xfId="12705"/>
    <cellStyle name="20% - Accent1 3 6 3 3" xfId="16656"/>
    <cellStyle name="20% - Accent1 3 6 4" xfId="12703"/>
    <cellStyle name="20% - Accent1 3 6 5" xfId="16654"/>
    <cellStyle name="20% - Accent1 3 7" xfId="1299"/>
    <cellStyle name="20% - Accent1 3 7 2" xfId="12706"/>
    <cellStyle name="20% - Accent1 3 7 3" xfId="16657"/>
    <cellStyle name="20% - Accent1 3 8" xfId="1300"/>
    <cellStyle name="20% - Accent1 3 8 2" xfId="12707"/>
    <cellStyle name="20% - Accent1 3 8 3" xfId="16658"/>
    <cellStyle name="20% - Accent1 3 9" xfId="12675"/>
    <cellStyle name="20% - Accent1 3_Volatility" xfId="1301"/>
    <cellStyle name="20% - Accent1 4" xfId="1302"/>
    <cellStyle name="20% - Accent1 4 10" xfId="16659"/>
    <cellStyle name="20% - Accent1 4 2" xfId="1303"/>
    <cellStyle name="20% - Accent1 4 2 2" xfId="1304"/>
    <cellStyle name="20% - Accent1 4 2 2 2" xfId="1305"/>
    <cellStyle name="20% - Accent1 4 2 2 2 2" xfId="12711"/>
    <cellStyle name="20% - Accent1 4 2 2 2 3" xfId="16662"/>
    <cellStyle name="20% - Accent1 4 2 2 3" xfId="1306"/>
    <cellStyle name="20% - Accent1 4 2 2 3 2" xfId="12712"/>
    <cellStyle name="20% - Accent1 4 2 2 3 3" xfId="16663"/>
    <cellStyle name="20% - Accent1 4 2 2 4" xfId="12710"/>
    <cellStyle name="20% - Accent1 4 2 2 5" xfId="16661"/>
    <cellStyle name="20% - Accent1 4 2 3" xfId="1307"/>
    <cellStyle name="20% - Accent1 4 2 3 2" xfId="1308"/>
    <cellStyle name="20% - Accent1 4 2 3 2 2" xfId="12714"/>
    <cellStyle name="20% - Accent1 4 2 3 2 3" xfId="16665"/>
    <cellStyle name="20% - Accent1 4 2 3 3" xfId="1309"/>
    <cellStyle name="20% - Accent1 4 2 3 3 2" xfId="12715"/>
    <cellStyle name="20% - Accent1 4 2 3 3 3" xfId="16666"/>
    <cellStyle name="20% - Accent1 4 2 3 4" xfId="12713"/>
    <cellStyle name="20% - Accent1 4 2 3 5" xfId="16664"/>
    <cellStyle name="20% - Accent1 4 2 4" xfId="1310"/>
    <cellStyle name="20% - Accent1 4 2 4 2" xfId="1311"/>
    <cellStyle name="20% - Accent1 4 2 4 2 2" xfId="12717"/>
    <cellStyle name="20% - Accent1 4 2 4 2 3" xfId="16668"/>
    <cellStyle name="20% - Accent1 4 2 4 3" xfId="1312"/>
    <cellStyle name="20% - Accent1 4 2 4 3 2" xfId="12718"/>
    <cellStyle name="20% - Accent1 4 2 4 3 3" xfId="16669"/>
    <cellStyle name="20% - Accent1 4 2 4 4" xfId="12716"/>
    <cellStyle name="20% - Accent1 4 2 4 5" xfId="16667"/>
    <cellStyle name="20% - Accent1 4 2 5" xfId="1313"/>
    <cellStyle name="20% - Accent1 4 2 5 2" xfId="12719"/>
    <cellStyle name="20% - Accent1 4 2 5 3" xfId="16670"/>
    <cellStyle name="20% - Accent1 4 2 6" xfId="1314"/>
    <cellStyle name="20% - Accent1 4 2 6 2" xfId="12720"/>
    <cellStyle name="20% - Accent1 4 2 6 3" xfId="16671"/>
    <cellStyle name="20% - Accent1 4 2 7" xfId="12709"/>
    <cellStyle name="20% - Accent1 4 2 8" xfId="16660"/>
    <cellStyle name="20% - Accent1 4 2_Volatility" xfId="1315"/>
    <cellStyle name="20% - Accent1 4 3" xfId="1316"/>
    <cellStyle name="20% - Accent1 4 3 2" xfId="1317"/>
    <cellStyle name="20% - Accent1 4 3 2 2" xfId="1318"/>
    <cellStyle name="20% - Accent1 4 3 2 2 2" xfId="12723"/>
    <cellStyle name="20% - Accent1 4 3 2 2 3" xfId="16674"/>
    <cellStyle name="20% - Accent1 4 3 2 3" xfId="1319"/>
    <cellStyle name="20% - Accent1 4 3 2 3 2" xfId="12724"/>
    <cellStyle name="20% - Accent1 4 3 2 3 3" xfId="16675"/>
    <cellStyle name="20% - Accent1 4 3 2 4" xfId="12722"/>
    <cellStyle name="20% - Accent1 4 3 2 5" xfId="16673"/>
    <cellStyle name="20% - Accent1 4 3 3" xfId="1320"/>
    <cellStyle name="20% - Accent1 4 3 3 2" xfId="1321"/>
    <cellStyle name="20% - Accent1 4 3 3 2 2" xfId="12726"/>
    <cellStyle name="20% - Accent1 4 3 3 2 3" xfId="16677"/>
    <cellStyle name="20% - Accent1 4 3 3 3" xfId="1322"/>
    <cellStyle name="20% - Accent1 4 3 3 3 2" xfId="12727"/>
    <cellStyle name="20% - Accent1 4 3 3 3 3" xfId="16678"/>
    <cellStyle name="20% - Accent1 4 3 3 4" xfId="12725"/>
    <cellStyle name="20% - Accent1 4 3 3 5" xfId="16676"/>
    <cellStyle name="20% - Accent1 4 3 4" xfId="1323"/>
    <cellStyle name="20% - Accent1 4 3 4 2" xfId="12728"/>
    <cellStyle name="20% - Accent1 4 3 4 3" xfId="16679"/>
    <cellStyle name="20% - Accent1 4 3 5" xfId="1324"/>
    <cellStyle name="20% - Accent1 4 3 5 2" xfId="12729"/>
    <cellStyle name="20% - Accent1 4 3 5 3" xfId="16680"/>
    <cellStyle name="20% - Accent1 4 3 6" xfId="12721"/>
    <cellStyle name="20% - Accent1 4 3 7" xfId="16672"/>
    <cellStyle name="20% - Accent1 4 3_Volatility" xfId="1325"/>
    <cellStyle name="20% - Accent1 4 4" xfId="1326"/>
    <cellStyle name="20% - Accent1 4 4 2" xfId="1327"/>
    <cellStyle name="20% - Accent1 4 4 2 2" xfId="12731"/>
    <cellStyle name="20% - Accent1 4 4 2 3" xfId="16682"/>
    <cellStyle name="20% - Accent1 4 4 3" xfId="1328"/>
    <cellStyle name="20% - Accent1 4 4 3 2" xfId="12732"/>
    <cellStyle name="20% - Accent1 4 4 3 3" xfId="16683"/>
    <cellStyle name="20% - Accent1 4 4 4" xfId="12730"/>
    <cellStyle name="20% - Accent1 4 4 5" xfId="16681"/>
    <cellStyle name="20% - Accent1 4 5" xfId="1329"/>
    <cellStyle name="20% - Accent1 4 5 2" xfId="1330"/>
    <cellStyle name="20% - Accent1 4 5 2 2" xfId="12734"/>
    <cellStyle name="20% - Accent1 4 5 2 3" xfId="16685"/>
    <cellStyle name="20% - Accent1 4 5 3" xfId="1331"/>
    <cellStyle name="20% - Accent1 4 5 3 2" xfId="12735"/>
    <cellStyle name="20% - Accent1 4 5 3 3" xfId="16686"/>
    <cellStyle name="20% - Accent1 4 5 4" xfId="12733"/>
    <cellStyle name="20% - Accent1 4 5 5" xfId="16684"/>
    <cellStyle name="20% - Accent1 4 6" xfId="1332"/>
    <cellStyle name="20% - Accent1 4 6 2" xfId="1333"/>
    <cellStyle name="20% - Accent1 4 6 2 2" xfId="12737"/>
    <cellStyle name="20% - Accent1 4 6 2 3" xfId="16688"/>
    <cellStyle name="20% - Accent1 4 6 3" xfId="1334"/>
    <cellStyle name="20% - Accent1 4 6 3 2" xfId="12738"/>
    <cellStyle name="20% - Accent1 4 6 3 3" xfId="16689"/>
    <cellStyle name="20% - Accent1 4 6 4" xfId="12736"/>
    <cellStyle name="20% - Accent1 4 6 5" xfId="16687"/>
    <cellStyle name="20% - Accent1 4 7" xfId="1335"/>
    <cellStyle name="20% - Accent1 4 7 2" xfId="12739"/>
    <cellStyle name="20% - Accent1 4 7 3" xfId="16690"/>
    <cellStyle name="20% - Accent1 4 8" xfId="1336"/>
    <cellStyle name="20% - Accent1 4 8 2" xfId="12740"/>
    <cellStyle name="20% - Accent1 4 8 3" xfId="16691"/>
    <cellStyle name="20% - Accent1 4 9" xfId="12708"/>
    <cellStyle name="20% - Accent1 4_Volatility" xfId="1337"/>
    <cellStyle name="20% - Accent1 5" xfId="1338"/>
    <cellStyle name="20% - Accent1 5 10" xfId="16692"/>
    <cellStyle name="20% - Accent1 5 2" xfId="1339"/>
    <cellStyle name="20% - Accent1 5 2 2" xfId="1340"/>
    <cellStyle name="20% - Accent1 5 2 2 2" xfId="1341"/>
    <cellStyle name="20% - Accent1 5 2 2 2 2" xfId="12744"/>
    <cellStyle name="20% - Accent1 5 2 2 2 3" xfId="16695"/>
    <cellStyle name="20% - Accent1 5 2 2 3" xfId="1342"/>
    <cellStyle name="20% - Accent1 5 2 2 3 2" xfId="12745"/>
    <cellStyle name="20% - Accent1 5 2 2 3 3" xfId="16696"/>
    <cellStyle name="20% - Accent1 5 2 2 4" xfId="12743"/>
    <cellStyle name="20% - Accent1 5 2 2 5" xfId="16694"/>
    <cellStyle name="20% - Accent1 5 2 3" xfId="1343"/>
    <cellStyle name="20% - Accent1 5 2 3 2" xfId="1344"/>
    <cellStyle name="20% - Accent1 5 2 3 2 2" xfId="12747"/>
    <cellStyle name="20% - Accent1 5 2 3 2 3" xfId="16698"/>
    <cellStyle name="20% - Accent1 5 2 3 3" xfId="1345"/>
    <cellStyle name="20% - Accent1 5 2 3 3 2" xfId="12748"/>
    <cellStyle name="20% - Accent1 5 2 3 3 3" xfId="16699"/>
    <cellStyle name="20% - Accent1 5 2 3 4" xfId="12746"/>
    <cellStyle name="20% - Accent1 5 2 3 5" xfId="16697"/>
    <cellStyle name="20% - Accent1 5 2 4" xfId="1346"/>
    <cellStyle name="20% - Accent1 5 2 4 2" xfId="1347"/>
    <cellStyle name="20% - Accent1 5 2 4 2 2" xfId="12750"/>
    <cellStyle name="20% - Accent1 5 2 4 2 3" xfId="16701"/>
    <cellStyle name="20% - Accent1 5 2 4 3" xfId="1348"/>
    <cellStyle name="20% - Accent1 5 2 4 3 2" xfId="12751"/>
    <cellStyle name="20% - Accent1 5 2 4 3 3" xfId="16702"/>
    <cellStyle name="20% - Accent1 5 2 4 4" xfId="12749"/>
    <cellStyle name="20% - Accent1 5 2 4 5" xfId="16700"/>
    <cellStyle name="20% - Accent1 5 2 5" xfId="1349"/>
    <cellStyle name="20% - Accent1 5 2 5 2" xfId="12752"/>
    <cellStyle name="20% - Accent1 5 2 5 3" xfId="16703"/>
    <cellStyle name="20% - Accent1 5 2 6" xfId="1350"/>
    <cellStyle name="20% - Accent1 5 2 6 2" xfId="12753"/>
    <cellStyle name="20% - Accent1 5 2 6 3" xfId="16704"/>
    <cellStyle name="20% - Accent1 5 2 7" xfId="12742"/>
    <cellStyle name="20% - Accent1 5 2 8" xfId="16693"/>
    <cellStyle name="20% - Accent1 5 2_Volatility" xfId="1351"/>
    <cellStyle name="20% - Accent1 5 3" xfId="1352"/>
    <cellStyle name="20% - Accent1 5 3 2" xfId="1353"/>
    <cellStyle name="20% - Accent1 5 3 2 2" xfId="1354"/>
    <cellStyle name="20% - Accent1 5 3 2 2 2" xfId="12756"/>
    <cellStyle name="20% - Accent1 5 3 2 2 3" xfId="16707"/>
    <cellStyle name="20% - Accent1 5 3 2 3" xfId="1355"/>
    <cellStyle name="20% - Accent1 5 3 2 3 2" xfId="12757"/>
    <cellStyle name="20% - Accent1 5 3 2 3 3" xfId="16708"/>
    <cellStyle name="20% - Accent1 5 3 2 4" xfId="12755"/>
    <cellStyle name="20% - Accent1 5 3 2 5" xfId="16706"/>
    <cellStyle name="20% - Accent1 5 3 3" xfId="1356"/>
    <cellStyle name="20% - Accent1 5 3 3 2" xfId="1357"/>
    <cellStyle name="20% - Accent1 5 3 3 2 2" xfId="12759"/>
    <cellStyle name="20% - Accent1 5 3 3 2 3" xfId="16710"/>
    <cellStyle name="20% - Accent1 5 3 3 3" xfId="1358"/>
    <cellStyle name="20% - Accent1 5 3 3 3 2" xfId="12760"/>
    <cellStyle name="20% - Accent1 5 3 3 3 3" xfId="16711"/>
    <cellStyle name="20% - Accent1 5 3 3 4" xfId="12758"/>
    <cellStyle name="20% - Accent1 5 3 3 5" xfId="16709"/>
    <cellStyle name="20% - Accent1 5 3 4" xfId="1359"/>
    <cellStyle name="20% - Accent1 5 3 4 2" xfId="12761"/>
    <cellStyle name="20% - Accent1 5 3 4 3" xfId="16712"/>
    <cellStyle name="20% - Accent1 5 3 5" xfId="1360"/>
    <cellStyle name="20% - Accent1 5 3 5 2" xfId="12762"/>
    <cellStyle name="20% - Accent1 5 3 5 3" xfId="16713"/>
    <cellStyle name="20% - Accent1 5 3 6" xfId="12754"/>
    <cellStyle name="20% - Accent1 5 3 7" xfId="16705"/>
    <cellStyle name="20% - Accent1 5 3_Volatility" xfId="1361"/>
    <cellStyle name="20% - Accent1 5 4" xfId="1362"/>
    <cellStyle name="20% - Accent1 5 4 2" xfId="1363"/>
    <cellStyle name="20% - Accent1 5 4 2 2" xfId="12764"/>
    <cellStyle name="20% - Accent1 5 4 2 3" xfId="16715"/>
    <cellStyle name="20% - Accent1 5 4 3" xfId="1364"/>
    <cellStyle name="20% - Accent1 5 4 3 2" xfId="12765"/>
    <cellStyle name="20% - Accent1 5 4 3 3" xfId="16716"/>
    <cellStyle name="20% - Accent1 5 4 4" xfId="12763"/>
    <cellStyle name="20% - Accent1 5 4 5" xfId="16714"/>
    <cellStyle name="20% - Accent1 5 5" xfId="1365"/>
    <cellStyle name="20% - Accent1 5 5 2" xfId="1366"/>
    <cellStyle name="20% - Accent1 5 5 2 2" xfId="12767"/>
    <cellStyle name="20% - Accent1 5 5 2 3" xfId="16718"/>
    <cellStyle name="20% - Accent1 5 5 3" xfId="1367"/>
    <cellStyle name="20% - Accent1 5 5 3 2" xfId="12768"/>
    <cellStyle name="20% - Accent1 5 5 3 3" xfId="16719"/>
    <cellStyle name="20% - Accent1 5 5 4" xfId="12766"/>
    <cellStyle name="20% - Accent1 5 5 5" xfId="16717"/>
    <cellStyle name="20% - Accent1 5 6" xfId="1368"/>
    <cellStyle name="20% - Accent1 5 6 2" xfId="1369"/>
    <cellStyle name="20% - Accent1 5 6 2 2" xfId="12770"/>
    <cellStyle name="20% - Accent1 5 6 2 3" xfId="16721"/>
    <cellStyle name="20% - Accent1 5 6 3" xfId="1370"/>
    <cellStyle name="20% - Accent1 5 6 3 2" xfId="12771"/>
    <cellStyle name="20% - Accent1 5 6 3 3" xfId="16722"/>
    <cellStyle name="20% - Accent1 5 6 4" xfId="12769"/>
    <cellStyle name="20% - Accent1 5 6 5" xfId="16720"/>
    <cellStyle name="20% - Accent1 5 7" xfId="1371"/>
    <cellStyle name="20% - Accent1 5 7 2" xfId="12772"/>
    <cellStyle name="20% - Accent1 5 7 3" xfId="16723"/>
    <cellStyle name="20% - Accent1 5 8" xfId="1372"/>
    <cellStyle name="20% - Accent1 5 8 2" xfId="12773"/>
    <cellStyle name="20% - Accent1 5 8 3" xfId="16724"/>
    <cellStyle name="20% - Accent1 5 9" xfId="12741"/>
    <cellStyle name="20% - Accent1 5_Volatility" xfId="1373"/>
    <cellStyle name="20% - Accent1 6" xfId="1374"/>
    <cellStyle name="20% - Accent1 6 10" xfId="16725"/>
    <cellStyle name="20% - Accent1 6 2" xfId="1375"/>
    <cellStyle name="20% - Accent1 6 2 2" xfId="1376"/>
    <cellStyle name="20% - Accent1 6 2 2 2" xfId="1377"/>
    <cellStyle name="20% - Accent1 6 2 2 2 2" xfId="12777"/>
    <cellStyle name="20% - Accent1 6 2 2 2 3" xfId="16728"/>
    <cellStyle name="20% - Accent1 6 2 2 3" xfId="1378"/>
    <cellStyle name="20% - Accent1 6 2 2 3 2" xfId="12778"/>
    <cellStyle name="20% - Accent1 6 2 2 3 3" xfId="16729"/>
    <cellStyle name="20% - Accent1 6 2 2 4" xfId="12776"/>
    <cellStyle name="20% - Accent1 6 2 2 5" xfId="16727"/>
    <cellStyle name="20% - Accent1 6 2 3" xfId="1379"/>
    <cellStyle name="20% - Accent1 6 2 3 2" xfId="1380"/>
    <cellStyle name="20% - Accent1 6 2 3 2 2" xfId="12780"/>
    <cellStyle name="20% - Accent1 6 2 3 2 3" xfId="16731"/>
    <cellStyle name="20% - Accent1 6 2 3 3" xfId="1381"/>
    <cellStyle name="20% - Accent1 6 2 3 3 2" xfId="12781"/>
    <cellStyle name="20% - Accent1 6 2 3 3 3" xfId="16732"/>
    <cellStyle name="20% - Accent1 6 2 3 4" xfId="12779"/>
    <cellStyle name="20% - Accent1 6 2 3 5" xfId="16730"/>
    <cellStyle name="20% - Accent1 6 2 4" xfId="1382"/>
    <cellStyle name="20% - Accent1 6 2 4 2" xfId="1383"/>
    <cellStyle name="20% - Accent1 6 2 4 2 2" xfId="12783"/>
    <cellStyle name="20% - Accent1 6 2 4 2 3" xfId="16734"/>
    <cellStyle name="20% - Accent1 6 2 4 3" xfId="1384"/>
    <cellStyle name="20% - Accent1 6 2 4 3 2" xfId="12784"/>
    <cellStyle name="20% - Accent1 6 2 4 3 3" xfId="16735"/>
    <cellStyle name="20% - Accent1 6 2 4 4" xfId="12782"/>
    <cellStyle name="20% - Accent1 6 2 4 5" xfId="16733"/>
    <cellStyle name="20% - Accent1 6 2 5" xfId="1385"/>
    <cellStyle name="20% - Accent1 6 2 5 2" xfId="12785"/>
    <cellStyle name="20% - Accent1 6 2 5 3" xfId="16736"/>
    <cellStyle name="20% - Accent1 6 2 6" xfId="1386"/>
    <cellStyle name="20% - Accent1 6 2 6 2" xfId="12786"/>
    <cellStyle name="20% - Accent1 6 2 6 3" xfId="16737"/>
    <cellStyle name="20% - Accent1 6 2 7" xfId="12775"/>
    <cellStyle name="20% - Accent1 6 2 8" xfId="16726"/>
    <cellStyle name="20% - Accent1 6 2_Volatility" xfId="1387"/>
    <cellStyle name="20% - Accent1 6 3" xfId="1388"/>
    <cellStyle name="20% - Accent1 6 3 2" xfId="1389"/>
    <cellStyle name="20% - Accent1 6 3 2 2" xfId="1390"/>
    <cellStyle name="20% - Accent1 6 3 2 2 2" xfId="12789"/>
    <cellStyle name="20% - Accent1 6 3 2 2 3" xfId="16740"/>
    <cellStyle name="20% - Accent1 6 3 2 3" xfId="1391"/>
    <cellStyle name="20% - Accent1 6 3 2 3 2" xfId="12790"/>
    <cellStyle name="20% - Accent1 6 3 2 3 3" xfId="16741"/>
    <cellStyle name="20% - Accent1 6 3 2 4" xfId="12788"/>
    <cellStyle name="20% - Accent1 6 3 2 5" xfId="16739"/>
    <cellStyle name="20% - Accent1 6 3 3" xfId="1392"/>
    <cellStyle name="20% - Accent1 6 3 3 2" xfId="1393"/>
    <cellStyle name="20% - Accent1 6 3 3 2 2" xfId="12792"/>
    <cellStyle name="20% - Accent1 6 3 3 2 3" xfId="16743"/>
    <cellStyle name="20% - Accent1 6 3 3 3" xfId="1394"/>
    <cellStyle name="20% - Accent1 6 3 3 3 2" xfId="12793"/>
    <cellStyle name="20% - Accent1 6 3 3 3 3" xfId="16744"/>
    <cellStyle name="20% - Accent1 6 3 3 4" xfId="12791"/>
    <cellStyle name="20% - Accent1 6 3 3 5" xfId="16742"/>
    <cellStyle name="20% - Accent1 6 3 4" xfId="1395"/>
    <cellStyle name="20% - Accent1 6 3 4 2" xfId="12794"/>
    <cellStyle name="20% - Accent1 6 3 4 3" xfId="16745"/>
    <cellStyle name="20% - Accent1 6 3 5" xfId="1396"/>
    <cellStyle name="20% - Accent1 6 3 5 2" xfId="12795"/>
    <cellStyle name="20% - Accent1 6 3 5 3" xfId="16746"/>
    <cellStyle name="20% - Accent1 6 3 6" xfId="12787"/>
    <cellStyle name="20% - Accent1 6 3 7" xfId="16738"/>
    <cellStyle name="20% - Accent1 6 3_Volatility" xfId="1397"/>
    <cellStyle name="20% - Accent1 6 4" xfId="1398"/>
    <cellStyle name="20% - Accent1 6 4 2" xfId="1399"/>
    <cellStyle name="20% - Accent1 6 4 2 2" xfId="12797"/>
    <cellStyle name="20% - Accent1 6 4 2 3" xfId="16748"/>
    <cellStyle name="20% - Accent1 6 4 3" xfId="1400"/>
    <cellStyle name="20% - Accent1 6 4 3 2" xfId="12798"/>
    <cellStyle name="20% - Accent1 6 4 3 3" xfId="16749"/>
    <cellStyle name="20% - Accent1 6 4 4" xfId="12796"/>
    <cellStyle name="20% - Accent1 6 4 5" xfId="16747"/>
    <cellStyle name="20% - Accent1 6 5" xfId="1401"/>
    <cellStyle name="20% - Accent1 6 5 2" xfId="1402"/>
    <cellStyle name="20% - Accent1 6 5 2 2" xfId="12800"/>
    <cellStyle name="20% - Accent1 6 5 2 3" xfId="16751"/>
    <cellStyle name="20% - Accent1 6 5 3" xfId="1403"/>
    <cellStyle name="20% - Accent1 6 5 3 2" xfId="12801"/>
    <cellStyle name="20% - Accent1 6 5 3 3" xfId="16752"/>
    <cellStyle name="20% - Accent1 6 5 4" xfId="12799"/>
    <cellStyle name="20% - Accent1 6 5 5" xfId="16750"/>
    <cellStyle name="20% - Accent1 6 6" xfId="1404"/>
    <cellStyle name="20% - Accent1 6 6 2" xfId="1405"/>
    <cellStyle name="20% - Accent1 6 6 2 2" xfId="12803"/>
    <cellStyle name="20% - Accent1 6 6 2 3" xfId="16754"/>
    <cellStyle name="20% - Accent1 6 6 3" xfId="1406"/>
    <cellStyle name="20% - Accent1 6 6 3 2" xfId="12804"/>
    <cellStyle name="20% - Accent1 6 6 3 3" xfId="16755"/>
    <cellStyle name="20% - Accent1 6 6 4" xfId="12802"/>
    <cellStyle name="20% - Accent1 6 6 5" xfId="16753"/>
    <cellStyle name="20% - Accent1 6 7" xfId="1407"/>
    <cellStyle name="20% - Accent1 6 7 2" xfId="12805"/>
    <cellStyle name="20% - Accent1 6 7 3" xfId="16756"/>
    <cellStyle name="20% - Accent1 6 8" xfId="1408"/>
    <cellStyle name="20% - Accent1 6 8 2" xfId="12806"/>
    <cellStyle name="20% - Accent1 6 8 3" xfId="16757"/>
    <cellStyle name="20% - Accent1 6 9" xfId="12774"/>
    <cellStyle name="20% - Accent1 6_Volatility" xfId="1409"/>
    <cellStyle name="20% - Accent1 7" xfId="1410"/>
    <cellStyle name="20% - Accent1 7 10" xfId="16758"/>
    <cellStyle name="20% - Accent1 7 2" xfId="1411"/>
    <cellStyle name="20% - Accent1 7 2 2" xfId="1412"/>
    <cellStyle name="20% - Accent1 7 2 2 2" xfId="1413"/>
    <cellStyle name="20% - Accent1 7 2 2 2 2" xfId="12810"/>
    <cellStyle name="20% - Accent1 7 2 2 2 3" xfId="16761"/>
    <cellStyle name="20% - Accent1 7 2 2 3" xfId="1414"/>
    <cellStyle name="20% - Accent1 7 2 2 3 2" xfId="12811"/>
    <cellStyle name="20% - Accent1 7 2 2 3 3" xfId="16762"/>
    <cellStyle name="20% - Accent1 7 2 2 4" xfId="12809"/>
    <cellStyle name="20% - Accent1 7 2 2 5" xfId="16760"/>
    <cellStyle name="20% - Accent1 7 2 3" xfId="1415"/>
    <cellStyle name="20% - Accent1 7 2 3 2" xfId="1416"/>
    <cellStyle name="20% - Accent1 7 2 3 2 2" xfId="12813"/>
    <cellStyle name="20% - Accent1 7 2 3 2 3" xfId="16764"/>
    <cellStyle name="20% - Accent1 7 2 3 3" xfId="1417"/>
    <cellStyle name="20% - Accent1 7 2 3 3 2" xfId="12814"/>
    <cellStyle name="20% - Accent1 7 2 3 3 3" xfId="16765"/>
    <cellStyle name="20% - Accent1 7 2 3 4" xfId="12812"/>
    <cellStyle name="20% - Accent1 7 2 3 5" xfId="16763"/>
    <cellStyle name="20% - Accent1 7 2 4" xfId="1418"/>
    <cellStyle name="20% - Accent1 7 2 4 2" xfId="1419"/>
    <cellStyle name="20% - Accent1 7 2 4 2 2" xfId="12816"/>
    <cellStyle name="20% - Accent1 7 2 4 2 3" xfId="16767"/>
    <cellStyle name="20% - Accent1 7 2 4 3" xfId="1420"/>
    <cellStyle name="20% - Accent1 7 2 4 3 2" xfId="12817"/>
    <cellStyle name="20% - Accent1 7 2 4 3 3" xfId="16768"/>
    <cellStyle name="20% - Accent1 7 2 4 4" xfId="12815"/>
    <cellStyle name="20% - Accent1 7 2 4 5" xfId="16766"/>
    <cellStyle name="20% - Accent1 7 2 5" xfId="1421"/>
    <cellStyle name="20% - Accent1 7 2 5 2" xfId="12818"/>
    <cellStyle name="20% - Accent1 7 2 5 3" xfId="16769"/>
    <cellStyle name="20% - Accent1 7 2 6" xfId="1422"/>
    <cellStyle name="20% - Accent1 7 2 6 2" xfId="12819"/>
    <cellStyle name="20% - Accent1 7 2 6 3" xfId="16770"/>
    <cellStyle name="20% - Accent1 7 2 7" xfId="12808"/>
    <cellStyle name="20% - Accent1 7 2 8" xfId="16759"/>
    <cellStyle name="20% - Accent1 7 2_Volatility" xfId="1423"/>
    <cellStyle name="20% - Accent1 7 3" xfId="1424"/>
    <cellStyle name="20% - Accent1 7 3 2" xfId="1425"/>
    <cellStyle name="20% - Accent1 7 3 2 2" xfId="1426"/>
    <cellStyle name="20% - Accent1 7 3 2 2 2" xfId="12822"/>
    <cellStyle name="20% - Accent1 7 3 2 2 3" xfId="16773"/>
    <cellStyle name="20% - Accent1 7 3 2 3" xfId="1427"/>
    <cellStyle name="20% - Accent1 7 3 2 3 2" xfId="12823"/>
    <cellStyle name="20% - Accent1 7 3 2 3 3" xfId="16774"/>
    <cellStyle name="20% - Accent1 7 3 2 4" xfId="12821"/>
    <cellStyle name="20% - Accent1 7 3 2 5" xfId="16772"/>
    <cellStyle name="20% - Accent1 7 3 3" xfId="1428"/>
    <cellStyle name="20% - Accent1 7 3 3 2" xfId="1429"/>
    <cellStyle name="20% - Accent1 7 3 3 2 2" xfId="12825"/>
    <cellStyle name="20% - Accent1 7 3 3 2 3" xfId="16776"/>
    <cellStyle name="20% - Accent1 7 3 3 3" xfId="1430"/>
    <cellStyle name="20% - Accent1 7 3 3 3 2" xfId="12826"/>
    <cellStyle name="20% - Accent1 7 3 3 3 3" xfId="16777"/>
    <cellStyle name="20% - Accent1 7 3 3 4" xfId="12824"/>
    <cellStyle name="20% - Accent1 7 3 3 5" xfId="16775"/>
    <cellStyle name="20% - Accent1 7 3 4" xfId="1431"/>
    <cellStyle name="20% - Accent1 7 3 4 2" xfId="12827"/>
    <cellStyle name="20% - Accent1 7 3 4 3" xfId="16778"/>
    <cellStyle name="20% - Accent1 7 3 5" xfId="1432"/>
    <cellStyle name="20% - Accent1 7 3 5 2" xfId="12828"/>
    <cellStyle name="20% - Accent1 7 3 5 3" xfId="16779"/>
    <cellStyle name="20% - Accent1 7 3 6" xfId="12820"/>
    <cellStyle name="20% - Accent1 7 3 7" xfId="16771"/>
    <cellStyle name="20% - Accent1 7 3_Volatility" xfId="1433"/>
    <cellStyle name="20% - Accent1 7 4" xfId="1434"/>
    <cellStyle name="20% - Accent1 7 4 2" xfId="1435"/>
    <cellStyle name="20% - Accent1 7 4 2 2" xfId="12830"/>
    <cellStyle name="20% - Accent1 7 4 2 3" xfId="16781"/>
    <cellStyle name="20% - Accent1 7 4 3" xfId="1436"/>
    <cellStyle name="20% - Accent1 7 4 3 2" xfId="12831"/>
    <cellStyle name="20% - Accent1 7 4 3 3" xfId="16782"/>
    <cellStyle name="20% - Accent1 7 4 4" xfId="12829"/>
    <cellStyle name="20% - Accent1 7 4 5" xfId="16780"/>
    <cellStyle name="20% - Accent1 7 5" xfId="1437"/>
    <cellStyle name="20% - Accent1 7 5 2" xfId="1438"/>
    <cellStyle name="20% - Accent1 7 5 2 2" xfId="12833"/>
    <cellStyle name="20% - Accent1 7 5 2 3" xfId="16784"/>
    <cellStyle name="20% - Accent1 7 5 3" xfId="1439"/>
    <cellStyle name="20% - Accent1 7 5 3 2" xfId="12834"/>
    <cellStyle name="20% - Accent1 7 5 3 3" xfId="16785"/>
    <cellStyle name="20% - Accent1 7 5 4" xfId="12832"/>
    <cellStyle name="20% - Accent1 7 5 5" xfId="16783"/>
    <cellStyle name="20% - Accent1 7 6" xfId="1440"/>
    <cellStyle name="20% - Accent1 7 6 2" xfId="1441"/>
    <cellStyle name="20% - Accent1 7 6 2 2" xfId="12836"/>
    <cellStyle name="20% - Accent1 7 6 2 3" xfId="16787"/>
    <cellStyle name="20% - Accent1 7 6 3" xfId="1442"/>
    <cellStyle name="20% - Accent1 7 6 3 2" xfId="12837"/>
    <cellStyle name="20% - Accent1 7 6 3 3" xfId="16788"/>
    <cellStyle name="20% - Accent1 7 6 4" xfId="12835"/>
    <cellStyle name="20% - Accent1 7 6 5" xfId="16786"/>
    <cellStyle name="20% - Accent1 7 7" xfId="1443"/>
    <cellStyle name="20% - Accent1 7 7 2" xfId="12838"/>
    <cellStyle name="20% - Accent1 7 7 3" xfId="16789"/>
    <cellStyle name="20% - Accent1 7 8" xfId="1444"/>
    <cellStyle name="20% - Accent1 7 8 2" xfId="12839"/>
    <cellStyle name="20% - Accent1 7 8 3" xfId="16790"/>
    <cellStyle name="20% - Accent1 7 9" xfId="12807"/>
    <cellStyle name="20% - Accent1 7_Volatility" xfId="1445"/>
    <cellStyle name="20% - Accent1 8" xfId="1446"/>
    <cellStyle name="20% - Accent1 8 10" xfId="16791"/>
    <cellStyle name="20% - Accent1 8 2" xfId="1447"/>
    <cellStyle name="20% - Accent1 8 2 2" xfId="1448"/>
    <cellStyle name="20% - Accent1 8 2 2 2" xfId="1449"/>
    <cellStyle name="20% - Accent1 8 2 2 2 2" xfId="12843"/>
    <cellStyle name="20% - Accent1 8 2 2 2 3" xfId="16794"/>
    <cellStyle name="20% - Accent1 8 2 2 3" xfId="1450"/>
    <cellStyle name="20% - Accent1 8 2 2 3 2" xfId="12844"/>
    <cellStyle name="20% - Accent1 8 2 2 3 3" xfId="16795"/>
    <cellStyle name="20% - Accent1 8 2 2 4" xfId="12842"/>
    <cellStyle name="20% - Accent1 8 2 2 5" xfId="16793"/>
    <cellStyle name="20% - Accent1 8 2 3" xfId="1451"/>
    <cellStyle name="20% - Accent1 8 2 3 2" xfId="1452"/>
    <cellStyle name="20% - Accent1 8 2 3 2 2" xfId="12846"/>
    <cellStyle name="20% - Accent1 8 2 3 2 3" xfId="16797"/>
    <cellStyle name="20% - Accent1 8 2 3 3" xfId="1453"/>
    <cellStyle name="20% - Accent1 8 2 3 3 2" xfId="12847"/>
    <cellStyle name="20% - Accent1 8 2 3 3 3" xfId="16798"/>
    <cellStyle name="20% - Accent1 8 2 3 4" xfId="12845"/>
    <cellStyle name="20% - Accent1 8 2 3 5" xfId="16796"/>
    <cellStyle name="20% - Accent1 8 2 4" xfId="1454"/>
    <cellStyle name="20% - Accent1 8 2 4 2" xfId="1455"/>
    <cellStyle name="20% - Accent1 8 2 4 2 2" xfId="12849"/>
    <cellStyle name="20% - Accent1 8 2 4 2 3" xfId="16800"/>
    <cellStyle name="20% - Accent1 8 2 4 3" xfId="1456"/>
    <cellStyle name="20% - Accent1 8 2 4 3 2" xfId="12850"/>
    <cellStyle name="20% - Accent1 8 2 4 3 3" xfId="16801"/>
    <cellStyle name="20% - Accent1 8 2 4 4" xfId="12848"/>
    <cellStyle name="20% - Accent1 8 2 4 5" xfId="16799"/>
    <cellStyle name="20% - Accent1 8 2 5" xfId="1457"/>
    <cellStyle name="20% - Accent1 8 2 5 2" xfId="12851"/>
    <cellStyle name="20% - Accent1 8 2 5 3" xfId="16802"/>
    <cellStyle name="20% - Accent1 8 2 6" xfId="1458"/>
    <cellStyle name="20% - Accent1 8 2 6 2" xfId="12852"/>
    <cellStyle name="20% - Accent1 8 2 6 3" xfId="16803"/>
    <cellStyle name="20% - Accent1 8 2 7" xfId="12841"/>
    <cellStyle name="20% - Accent1 8 2 8" xfId="16792"/>
    <cellStyle name="20% - Accent1 8 2_Volatility" xfId="1459"/>
    <cellStyle name="20% - Accent1 8 3" xfId="1460"/>
    <cellStyle name="20% - Accent1 8 3 2" xfId="1461"/>
    <cellStyle name="20% - Accent1 8 3 2 2" xfId="1462"/>
    <cellStyle name="20% - Accent1 8 3 2 2 2" xfId="12855"/>
    <cellStyle name="20% - Accent1 8 3 2 2 3" xfId="16806"/>
    <cellStyle name="20% - Accent1 8 3 2 3" xfId="1463"/>
    <cellStyle name="20% - Accent1 8 3 2 3 2" xfId="12856"/>
    <cellStyle name="20% - Accent1 8 3 2 3 3" xfId="16807"/>
    <cellStyle name="20% - Accent1 8 3 2 4" xfId="12854"/>
    <cellStyle name="20% - Accent1 8 3 2 5" xfId="16805"/>
    <cellStyle name="20% - Accent1 8 3 3" xfId="1464"/>
    <cellStyle name="20% - Accent1 8 3 3 2" xfId="1465"/>
    <cellStyle name="20% - Accent1 8 3 3 2 2" xfId="12858"/>
    <cellStyle name="20% - Accent1 8 3 3 2 3" xfId="16809"/>
    <cellStyle name="20% - Accent1 8 3 3 3" xfId="1466"/>
    <cellStyle name="20% - Accent1 8 3 3 3 2" xfId="12859"/>
    <cellStyle name="20% - Accent1 8 3 3 3 3" xfId="16810"/>
    <cellStyle name="20% - Accent1 8 3 3 4" xfId="12857"/>
    <cellStyle name="20% - Accent1 8 3 3 5" xfId="16808"/>
    <cellStyle name="20% - Accent1 8 3 4" xfId="1467"/>
    <cellStyle name="20% - Accent1 8 3 4 2" xfId="12860"/>
    <cellStyle name="20% - Accent1 8 3 4 3" xfId="16811"/>
    <cellStyle name="20% - Accent1 8 3 5" xfId="1468"/>
    <cellStyle name="20% - Accent1 8 3 5 2" xfId="12861"/>
    <cellStyle name="20% - Accent1 8 3 5 3" xfId="16812"/>
    <cellStyle name="20% - Accent1 8 3 6" xfId="12853"/>
    <cellStyle name="20% - Accent1 8 3 7" xfId="16804"/>
    <cellStyle name="20% - Accent1 8 3_Volatility" xfId="1469"/>
    <cellStyle name="20% - Accent1 8 4" xfId="1470"/>
    <cellStyle name="20% - Accent1 8 4 2" xfId="1471"/>
    <cellStyle name="20% - Accent1 8 4 2 2" xfId="12863"/>
    <cellStyle name="20% - Accent1 8 4 2 3" xfId="16814"/>
    <cellStyle name="20% - Accent1 8 4 3" xfId="1472"/>
    <cellStyle name="20% - Accent1 8 4 3 2" xfId="12864"/>
    <cellStyle name="20% - Accent1 8 4 3 3" xfId="16815"/>
    <cellStyle name="20% - Accent1 8 4 4" xfId="12862"/>
    <cellStyle name="20% - Accent1 8 4 5" xfId="16813"/>
    <cellStyle name="20% - Accent1 8 5" xfId="1473"/>
    <cellStyle name="20% - Accent1 8 5 2" xfId="1474"/>
    <cellStyle name="20% - Accent1 8 5 2 2" xfId="12866"/>
    <cellStyle name="20% - Accent1 8 5 2 3" xfId="16817"/>
    <cellStyle name="20% - Accent1 8 5 3" xfId="1475"/>
    <cellStyle name="20% - Accent1 8 5 3 2" xfId="12867"/>
    <cellStyle name="20% - Accent1 8 5 3 3" xfId="16818"/>
    <cellStyle name="20% - Accent1 8 5 4" xfId="12865"/>
    <cellStyle name="20% - Accent1 8 5 5" xfId="16816"/>
    <cellStyle name="20% - Accent1 8 6" xfId="1476"/>
    <cellStyle name="20% - Accent1 8 6 2" xfId="1477"/>
    <cellStyle name="20% - Accent1 8 6 2 2" xfId="12869"/>
    <cellStyle name="20% - Accent1 8 6 2 3" xfId="16820"/>
    <cellStyle name="20% - Accent1 8 6 3" xfId="1478"/>
    <cellStyle name="20% - Accent1 8 6 3 2" xfId="12870"/>
    <cellStyle name="20% - Accent1 8 6 3 3" xfId="16821"/>
    <cellStyle name="20% - Accent1 8 6 4" xfId="12868"/>
    <cellStyle name="20% - Accent1 8 6 5" xfId="16819"/>
    <cellStyle name="20% - Accent1 8 7" xfId="1479"/>
    <cellStyle name="20% - Accent1 8 7 2" xfId="12871"/>
    <cellStyle name="20% - Accent1 8 7 3" xfId="16822"/>
    <cellStyle name="20% - Accent1 8 8" xfId="1480"/>
    <cellStyle name="20% - Accent1 8 8 2" xfId="12872"/>
    <cellStyle name="20% - Accent1 8 8 3" xfId="16823"/>
    <cellStyle name="20% - Accent1 8 9" xfId="12840"/>
    <cellStyle name="20% - Accent1 8_Volatility" xfId="1481"/>
    <cellStyle name="20% - Accent1 9" xfId="1482"/>
    <cellStyle name="20% - Accent1 9 10" xfId="16824"/>
    <cellStyle name="20% - Accent1 9 2" xfId="1483"/>
    <cellStyle name="20% - Accent1 9 2 2" xfId="1484"/>
    <cellStyle name="20% - Accent1 9 2 2 2" xfId="1485"/>
    <cellStyle name="20% - Accent1 9 2 2 2 2" xfId="12876"/>
    <cellStyle name="20% - Accent1 9 2 2 2 3" xfId="16827"/>
    <cellStyle name="20% - Accent1 9 2 2 3" xfId="1486"/>
    <cellStyle name="20% - Accent1 9 2 2 3 2" xfId="12877"/>
    <cellStyle name="20% - Accent1 9 2 2 3 3" xfId="16828"/>
    <cellStyle name="20% - Accent1 9 2 2 4" xfId="12875"/>
    <cellStyle name="20% - Accent1 9 2 2 5" xfId="16826"/>
    <cellStyle name="20% - Accent1 9 2 3" xfId="1487"/>
    <cellStyle name="20% - Accent1 9 2 3 2" xfId="1488"/>
    <cellStyle name="20% - Accent1 9 2 3 2 2" xfId="12879"/>
    <cellStyle name="20% - Accent1 9 2 3 2 3" xfId="16830"/>
    <cellStyle name="20% - Accent1 9 2 3 3" xfId="1489"/>
    <cellStyle name="20% - Accent1 9 2 3 3 2" xfId="12880"/>
    <cellStyle name="20% - Accent1 9 2 3 3 3" xfId="16831"/>
    <cellStyle name="20% - Accent1 9 2 3 4" xfId="12878"/>
    <cellStyle name="20% - Accent1 9 2 3 5" xfId="16829"/>
    <cellStyle name="20% - Accent1 9 2 4" xfId="1490"/>
    <cellStyle name="20% - Accent1 9 2 4 2" xfId="1491"/>
    <cellStyle name="20% - Accent1 9 2 4 2 2" xfId="12882"/>
    <cellStyle name="20% - Accent1 9 2 4 2 3" xfId="16833"/>
    <cellStyle name="20% - Accent1 9 2 4 3" xfId="1492"/>
    <cellStyle name="20% - Accent1 9 2 4 3 2" xfId="12883"/>
    <cellStyle name="20% - Accent1 9 2 4 3 3" xfId="16834"/>
    <cellStyle name="20% - Accent1 9 2 4 4" xfId="12881"/>
    <cellStyle name="20% - Accent1 9 2 4 5" xfId="16832"/>
    <cellStyle name="20% - Accent1 9 2 5" xfId="1493"/>
    <cellStyle name="20% - Accent1 9 2 5 2" xfId="12884"/>
    <cellStyle name="20% - Accent1 9 2 5 3" xfId="16835"/>
    <cellStyle name="20% - Accent1 9 2 6" xfId="1494"/>
    <cellStyle name="20% - Accent1 9 2 6 2" xfId="12885"/>
    <cellStyle name="20% - Accent1 9 2 6 3" xfId="16836"/>
    <cellStyle name="20% - Accent1 9 2 7" xfId="12874"/>
    <cellStyle name="20% - Accent1 9 2 8" xfId="16825"/>
    <cellStyle name="20% - Accent1 9 2_Volatility" xfId="1495"/>
    <cellStyle name="20% - Accent1 9 3" xfId="1496"/>
    <cellStyle name="20% - Accent1 9 3 2" xfId="1497"/>
    <cellStyle name="20% - Accent1 9 3 2 2" xfId="1498"/>
    <cellStyle name="20% - Accent1 9 3 2 2 2" xfId="12888"/>
    <cellStyle name="20% - Accent1 9 3 2 2 3" xfId="16839"/>
    <cellStyle name="20% - Accent1 9 3 2 3" xfId="1499"/>
    <cellStyle name="20% - Accent1 9 3 2 3 2" xfId="12889"/>
    <cellStyle name="20% - Accent1 9 3 2 3 3" xfId="16840"/>
    <cellStyle name="20% - Accent1 9 3 2 4" xfId="12887"/>
    <cellStyle name="20% - Accent1 9 3 2 5" xfId="16838"/>
    <cellStyle name="20% - Accent1 9 3 3" xfId="1500"/>
    <cellStyle name="20% - Accent1 9 3 3 2" xfId="1501"/>
    <cellStyle name="20% - Accent1 9 3 3 2 2" xfId="12891"/>
    <cellStyle name="20% - Accent1 9 3 3 2 3" xfId="16842"/>
    <cellStyle name="20% - Accent1 9 3 3 3" xfId="1502"/>
    <cellStyle name="20% - Accent1 9 3 3 3 2" xfId="12892"/>
    <cellStyle name="20% - Accent1 9 3 3 3 3" xfId="16843"/>
    <cellStyle name="20% - Accent1 9 3 3 4" xfId="12890"/>
    <cellStyle name="20% - Accent1 9 3 3 5" xfId="16841"/>
    <cellStyle name="20% - Accent1 9 3 4" xfId="1503"/>
    <cellStyle name="20% - Accent1 9 3 4 2" xfId="12893"/>
    <cellStyle name="20% - Accent1 9 3 4 3" xfId="16844"/>
    <cellStyle name="20% - Accent1 9 3 5" xfId="1504"/>
    <cellStyle name="20% - Accent1 9 3 5 2" xfId="12894"/>
    <cellStyle name="20% - Accent1 9 3 5 3" xfId="16845"/>
    <cellStyle name="20% - Accent1 9 3 6" xfId="12886"/>
    <cellStyle name="20% - Accent1 9 3 7" xfId="16837"/>
    <cellStyle name="20% - Accent1 9 3_Volatility" xfId="1505"/>
    <cellStyle name="20% - Accent1 9 4" xfId="1506"/>
    <cellStyle name="20% - Accent1 9 4 2" xfId="1507"/>
    <cellStyle name="20% - Accent1 9 4 2 2" xfId="12896"/>
    <cellStyle name="20% - Accent1 9 4 2 3" xfId="16847"/>
    <cellStyle name="20% - Accent1 9 4 3" xfId="1508"/>
    <cellStyle name="20% - Accent1 9 4 3 2" xfId="12897"/>
    <cellStyle name="20% - Accent1 9 4 3 3" xfId="16848"/>
    <cellStyle name="20% - Accent1 9 4 4" xfId="12895"/>
    <cellStyle name="20% - Accent1 9 4 5" xfId="16846"/>
    <cellStyle name="20% - Accent1 9 5" xfId="1509"/>
    <cellStyle name="20% - Accent1 9 5 2" xfId="1510"/>
    <cellStyle name="20% - Accent1 9 5 2 2" xfId="12899"/>
    <cellStyle name="20% - Accent1 9 5 2 3" xfId="16850"/>
    <cellStyle name="20% - Accent1 9 5 3" xfId="1511"/>
    <cellStyle name="20% - Accent1 9 5 3 2" xfId="12900"/>
    <cellStyle name="20% - Accent1 9 5 3 3" xfId="16851"/>
    <cellStyle name="20% - Accent1 9 5 4" xfId="12898"/>
    <cellStyle name="20% - Accent1 9 5 5" xfId="16849"/>
    <cellStyle name="20% - Accent1 9 6" xfId="1512"/>
    <cellStyle name="20% - Accent1 9 6 2" xfId="1513"/>
    <cellStyle name="20% - Accent1 9 6 2 2" xfId="12902"/>
    <cellStyle name="20% - Accent1 9 6 2 3" xfId="16853"/>
    <cellStyle name="20% - Accent1 9 6 3" xfId="1514"/>
    <cellStyle name="20% - Accent1 9 6 3 2" xfId="12903"/>
    <cellStyle name="20% - Accent1 9 6 3 3" xfId="16854"/>
    <cellStyle name="20% - Accent1 9 6 4" xfId="12901"/>
    <cellStyle name="20% - Accent1 9 6 5" xfId="16852"/>
    <cellStyle name="20% - Accent1 9 7" xfId="1515"/>
    <cellStyle name="20% - Accent1 9 7 2" xfId="12904"/>
    <cellStyle name="20% - Accent1 9 7 3" xfId="16855"/>
    <cellStyle name="20% - Accent1 9 8" xfId="1516"/>
    <cellStyle name="20% - Accent1 9 8 2" xfId="12905"/>
    <cellStyle name="20% - Accent1 9 8 3" xfId="16856"/>
    <cellStyle name="20% - Accent1 9 9" xfId="12873"/>
    <cellStyle name="20% - Accent1 9_Volatility" xfId="1517"/>
    <cellStyle name="20% - Accent2 10" xfId="1518"/>
    <cellStyle name="20% - Accent2 10 10" xfId="16857"/>
    <cellStyle name="20% - Accent2 10 2" xfId="1519"/>
    <cellStyle name="20% - Accent2 10 2 2" xfId="1520"/>
    <cellStyle name="20% - Accent2 10 2 2 2" xfId="1521"/>
    <cellStyle name="20% - Accent2 10 2 2 2 2" xfId="12909"/>
    <cellStyle name="20% - Accent2 10 2 2 2 3" xfId="16860"/>
    <cellStyle name="20% - Accent2 10 2 2 3" xfId="1522"/>
    <cellStyle name="20% - Accent2 10 2 2 3 2" xfId="12910"/>
    <cellStyle name="20% - Accent2 10 2 2 3 3" xfId="16861"/>
    <cellStyle name="20% - Accent2 10 2 2 4" xfId="12908"/>
    <cellStyle name="20% - Accent2 10 2 2 5" xfId="16859"/>
    <cellStyle name="20% - Accent2 10 2 3" xfId="1523"/>
    <cellStyle name="20% - Accent2 10 2 3 2" xfId="1524"/>
    <cellStyle name="20% - Accent2 10 2 3 2 2" xfId="12912"/>
    <cellStyle name="20% - Accent2 10 2 3 2 3" xfId="16863"/>
    <cellStyle name="20% - Accent2 10 2 3 3" xfId="1525"/>
    <cellStyle name="20% - Accent2 10 2 3 3 2" xfId="12913"/>
    <cellStyle name="20% - Accent2 10 2 3 3 3" xfId="16864"/>
    <cellStyle name="20% - Accent2 10 2 3 4" xfId="12911"/>
    <cellStyle name="20% - Accent2 10 2 3 5" xfId="16862"/>
    <cellStyle name="20% - Accent2 10 2 4" xfId="1526"/>
    <cellStyle name="20% - Accent2 10 2 4 2" xfId="1527"/>
    <cellStyle name="20% - Accent2 10 2 4 2 2" xfId="12915"/>
    <cellStyle name="20% - Accent2 10 2 4 2 3" xfId="16866"/>
    <cellStyle name="20% - Accent2 10 2 4 3" xfId="1528"/>
    <cellStyle name="20% - Accent2 10 2 4 3 2" xfId="12916"/>
    <cellStyle name="20% - Accent2 10 2 4 3 3" xfId="16867"/>
    <cellStyle name="20% - Accent2 10 2 4 4" xfId="12914"/>
    <cellStyle name="20% - Accent2 10 2 4 5" xfId="16865"/>
    <cellStyle name="20% - Accent2 10 2 5" xfId="1529"/>
    <cellStyle name="20% - Accent2 10 2 5 2" xfId="12917"/>
    <cellStyle name="20% - Accent2 10 2 5 3" xfId="16868"/>
    <cellStyle name="20% - Accent2 10 2 6" xfId="1530"/>
    <cellStyle name="20% - Accent2 10 2 6 2" xfId="12918"/>
    <cellStyle name="20% - Accent2 10 2 6 3" xfId="16869"/>
    <cellStyle name="20% - Accent2 10 2 7" xfId="12907"/>
    <cellStyle name="20% - Accent2 10 2 8" xfId="16858"/>
    <cellStyle name="20% - Accent2 10 2_Volatility" xfId="1531"/>
    <cellStyle name="20% - Accent2 10 3" xfId="1532"/>
    <cellStyle name="20% - Accent2 10 3 2" xfId="1533"/>
    <cellStyle name="20% - Accent2 10 3 2 2" xfId="1534"/>
    <cellStyle name="20% - Accent2 10 3 2 2 2" xfId="12921"/>
    <cellStyle name="20% - Accent2 10 3 2 2 3" xfId="16872"/>
    <cellStyle name="20% - Accent2 10 3 2 3" xfId="1535"/>
    <cellStyle name="20% - Accent2 10 3 2 3 2" xfId="12922"/>
    <cellStyle name="20% - Accent2 10 3 2 3 3" xfId="16873"/>
    <cellStyle name="20% - Accent2 10 3 2 4" xfId="12920"/>
    <cellStyle name="20% - Accent2 10 3 2 5" xfId="16871"/>
    <cellStyle name="20% - Accent2 10 3 3" xfId="1536"/>
    <cellStyle name="20% - Accent2 10 3 3 2" xfId="1537"/>
    <cellStyle name="20% - Accent2 10 3 3 2 2" xfId="12924"/>
    <cellStyle name="20% - Accent2 10 3 3 2 3" xfId="16875"/>
    <cellStyle name="20% - Accent2 10 3 3 3" xfId="1538"/>
    <cellStyle name="20% - Accent2 10 3 3 3 2" xfId="12925"/>
    <cellStyle name="20% - Accent2 10 3 3 3 3" xfId="16876"/>
    <cellStyle name="20% - Accent2 10 3 3 4" xfId="12923"/>
    <cellStyle name="20% - Accent2 10 3 3 5" xfId="16874"/>
    <cellStyle name="20% - Accent2 10 3 4" xfId="1539"/>
    <cellStyle name="20% - Accent2 10 3 4 2" xfId="12926"/>
    <cellStyle name="20% - Accent2 10 3 4 3" xfId="16877"/>
    <cellStyle name="20% - Accent2 10 3 5" xfId="1540"/>
    <cellStyle name="20% - Accent2 10 3 5 2" xfId="12927"/>
    <cellStyle name="20% - Accent2 10 3 5 3" xfId="16878"/>
    <cellStyle name="20% - Accent2 10 3 6" xfId="12919"/>
    <cellStyle name="20% - Accent2 10 3 7" xfId="16870"/>
    <cellStyle name="20% - Accent2 10 3_Volatility" xfId="1541"/>
    <cellStyle name="20% - Accent2 10 4" xfId="1542"/>
    <cellStyle name="20% - Accent2 10 4 2" xfId="1543"/>
    <cellStyle name="20% - Accent2 10 4 2 2" xfId="12929"/>
    <cellStyle name="20% - Accent2 10 4 2 3" xfId="16880"/>
    <cellStyle name="20% - Accent2 10 4 3" xfId="1544"/>
    <cellStyle name="20% - Accent2 10 4 3 2" xfId="12930"/>
    <cellStyle name="20% - Accent2 10 4 3 3" xfId="16881"/>
    <cellStyle name="20% - Accent2 10 4 4" xfId="12928"/>
    <cellStyle name="20% - Accent2 10 4 5" xfId="16879"/>
    <cellStyle name="20% - Accent2 10 5" xfId="1545"/>
    <cellStyle name="20% - Accent2 10 5 2" xfId="1546"/>
    <cellStyle name="20% - Accent2 10 5 2 2" xfId="12932"/>
    <cellStyle name="20% - Accent2 10 5 2 3" xfId="16883"/>
    <cellStyle name="20% - Accent2 10 5 3" xfId="1547"/>
    <cellStyle name="20% - Accent2 10 5 3 2" xfId="12933"/>
    <cellStyle name="20% - Accent2 10 5 3 3" xfId="16884"/>
    <cellStyle name="20% - Accent2 10 5 4" xfId="12931"/>
    <cellStyle name="20% - Accent2 10 5 5" xfId="16882"/>
    <cellStyle name="20% - Accent2 10 6" xfId="1548"/>
    <cellStyle name="20% - Accent2 10 6 2" xfId="1549"/>
    <cellStyle name="20% - Accent2 10 6 2 2" xfId="12935"/>
    <cellStyle name="20% - Accent2 10 6 2 3" xfId="16886"/>
    <cellStyle name="20% - Accent2 10 6 3" xfId="1550"/>
    <cellStyle name="20% - Accent2 10 6 3 2" xfId="12936"/>
    <cellStyle name="20% - Accent2 10 6 3 3" xfId="16887"/>
    <cellStyle name="20% - Accent2 10 6 4" xfId="12934"/>
    <cellStyle name="20% - Accent2 10 6 5" xfId="16885"/>
    <cellStyle name="20% - Accent2 10 7" xfId="1551"/>
    <cellStyle name="20% - Accent2 10 7 2" xfId="12937"/>
    <cellStyle name="20% - Accent2 10 7 3" xfId="16888"/>
    <cellStyle name="20% - Accent2 10 8" xfId="1552"/>
    <cellStyle name="20% - Accent2 10 8 2" xfId="12938"/>
    <cellStyle name="20% - Accent2 10 8 3" xfId="16889"/>
    <cellStyle name="20% - Accent2 10 9" xfId="12906"/>
    <cellStyle name="20% - Accent2 10_Volatility" xfId="1553"/>
    <cellStyle name="20% - Accent2 11" xfId="1554"/>
    <cellStyle name="20% - Accent2 11 10" xfId="16890"/>
    <cellStyle name="20% - Accent2 11 2" xfId="1555"/>
    <cellStyle name="20% - Accent2 11 2 2" xfId="1556"/>
    <cellStyle name="20% - Accent2 11 2 2 2" xfId="1557"/>
    <cellStyle name="20% - Accent2 11 2 2 2 2" xfId="12942"/>
    <cellStyle name="20% - Accent2 11 2 2 2 3" xfId="16893"/>
    <cellStyle name="20% - Accent2 11 2 2 3" xfId="1558"/>
    <cellStyle name="20% - Accent2 11 2 2 3 2" xfId="12943"/>
    <cellStyle name="20% - Accent2 11 2 2 3 3" xfId="16894"/>
    <cellStyle name="20% - Accent2 11 2 2 4" xfId="12941"/>
    <cellStyle name="20% - Accent2 11 2 2 5" xfId="16892"/>
    <cellStyle name="20% - Accent2 11 2 3" xfId="1559"/>
    <cellStyle name="20% - Accent2 11 2 3 2" xfId="1560"/>
    <cellStyle name="20% - Accent2 11 2 3 2 2" xfId="12945"/>
    <cellStyle name="20% - Accent2 11 2 3 2 3" xfId="16896"/>
    <cellStyle name="20% - Accent2 11 2 3 3" xfId="1561"/>
    <cellStyle name="20% - Accent2 11 2 3 3 2" xfId="12946"/>
    <cellStyle name="20% - Accent2 11 2 3 3 3" xfId="16897"/>
    <cellStyle name="20% - Accent2 11 2 3 4" xfId="12944"/>
    <cellStyle name="20% - Accent2 11 2 3 5" xfId="16895"/>
    <cellStyle name="20% - Accent2 11 2 4" xfId="1562"/>
    <cellStyle name="20% - Accent2 11 2 4 2" xfId="1563"/>
    <cellStyle name="20% - Accent2 11 2 4 2 2" xfId="12948"/>
    <cellStyle name="20% - Accent2 11 2 4 2 3" xfId="16899"/>
    <cellStyle name="20% - Accent2 11 2 4 3" xfId="1564"/>
    <cellStyle name="20% - Accent2 11 2 4 3 2" xfId="12949"/>
    <cellStyle name="20% - Accent2 11 2 4 3 3" xfId="16900"/>
    <cellStyle name="20% - Accent2 11 2 4 4" xfId="12947"/>
    <cellStyle name="20% - Accent2 11 2 4 5" xfId="16898"/>
    <cellStyle name="20% - Accent2 11 2 5" xfId="1565"/>
    <cellStyle name="20% - Accent2 11 2 5 2" xfId="12950"/>
    <cellStyle name="20% - Accent2 11 2 5 3" xfId="16901"/>
    <cellStyle name="20% - Accent2 11 2 6" xfId="1566"/>
    <cellStyle name="20% - Accent2 11 2 6 2" xfId="12951"/>
    <cellStyle name="20% - Accent2 11 2 6 3" xfId="16902"/>
    <cellStyle name="20% - Accent2 11 2 7" xfId="12940"/>
    <cellStyle name="20% - Accent2 11 2 8" xfId="16891"/>
    <cellStyle name="20% - Accent2 11 2_Volatility" xfId="1567"/>
    <cellStyle name="20% - Accent2 11 3" xfId="1568"/>
    <cellStyle name="20% - Accent2 11 3 2" xfId="1569"/>
    <cellStyle name="20% - Accent2 11 3 2 2" xfId="1570"/>
    <cellStyle name="20% - Accent2 11 3 2 2 2" xfId="12954"/>
    <cellStyle name="20% - Accent2 11 3 2 2 3" xfId="16905"/>
    <cellStyle name="20% - Accent2 11 3 2 3" xfId="1571"/>
    <cellStyle name="20% - Accent2 11 3 2 3 2" xfId="12955"/>
    <cellStyle name="20% - Accent2 11 3 2 3 3" xfId="16906"/>
    <cellStyle name="20% - Accent2 11 3 2 4" xfId="12953"/>
    <cellStyle name="20% - Accent2 11 3 2 5" xfId="16904"/>
    <cellStyle name="20% - Accent2 11 3 3" xfId="1572"/>
    <cellStyle name="20% - Accent2 11 3 3 2" xfId="1573"/>
    <cellStyle name="20% - Accent2 11 3 3 2 2" xfId="12957"/>
    <cellStyle name="20% - Accent2 11 3 3 2 3" xfId="16908"/>
    <cellStyle name="20% - Accent2 11 3 3 3" xfId="1574"/>
    <cellStyle name="20% - Accent2 11 3 3 3 2" xfId="12958"/>
    <cellStyle name="20% - Accent2 11 3 3 3 3" xfId="16909"/>
    <cellStyle name="20% - Accent2 11 3 3 4" xfId="12956"/>
    <cellStyle name="20% - Accent2 11 3 3 5" xfId="16907"/>
    <cellStyle name="20% - Accent2 11 3 4" xfId="1575"/>
    <cellStyle name="20% - Accent2 11 3 4 2" xfId="12959"/>
    <cellStyle name="20% - Accent2 11 3 4 3" xfId="16910"/>
    <cellStyle name="20% - Accent2 11 3 5" xfId="1576"/>
    <cellStyle name="20% - Accent2 11 3 5 2" xfId="12960"/>
    <cellStyle name="20% - Accent2 11 3 5 3" xfId="16911"/>
    <cellStyle name="20% - Accent2 11 3 6" xfId="12952"/>
    <cellStyle name="20% - Accent2 11 3 7" xfId="16903"/>
    <cellStyle name="20% - Accent2 11 3_Volatility" xfId="1577"/>
    <cellStyle name="20% - Accent2 11 4" xfId="1578"/>
    <cellStyle name="20% - Accent2 11 4 2" xfId="1579"/>
    <cellStyle name="20% - Accent2 11 4 2 2" xfId="12962"/>
    <cellStyle name="20% - Accent2 11 4 2 3" xfId="16913"/>
    <cellStyle name="20% - Accent2 11 4 3" xfId="1580"/>
    <cellStyle name="20% - Accent2 11 4 3 2" xfId="12963"/>
    <cellStyle name="20% - Accent2 11 4 3 3" xfId="16914"/>
    <cellStyle name="20% - Accent2 11 4 4" xfId="12961"/>
    <cellStyle name="20% - Accent2 11 4 5" xfId="16912"/>
    <cellStyle name="20% - Accent2 11 5" xfId="1581"/>
    <cellStyle name="20% - Accent2 11 5 2" xfId="1582"/>
    <cellStyle name="20% - Accent2 11 5 2 2" xfId="12965"/>
    <cellStyle name="20% - Accent2 11 5 2 3" xfId="16916"/>
    <cellStyle name="20% - Accent2 11 5 3" xfId="1583"/>
    <cellStyle name="20% - Accent2 11 5 3 2" xfId="12966"/>
    <cellStyle name="20% - Accent2 11 5 3 3" xfId="16917"/>
    <cellStyle name="20% - Accent2 11 5 4" xfId="12964"/>
    <cellStyle name="20% - Accent2 11 5 5" xfId="16915"/>
    <cellStyle name="20% - Accent2 11 6" xfId="1584"/>
    <cellStyle name="20% - Accent2 11 6 2" xfId="1585"/>
    <cellStyle name="20% - Accent2 11 6 2 2" xfId="12968"/>
    <cellStyle name="20% - Accent2 11 6 2 3" xfId="16919"/>
    <cellStyle name="20% - Accent2 11 6 3" xfId="1586"/>
    <cellStyle name="20% - Accent2 11 6 3 2" xfId="12969"/>
    <cellStyle name="20% - Accent2 11 6 3 3" xfId="16920"/>
    <cellStyle name="20% - Accent2 11 6 4" xfId="12967"/>
    <cellStyle name="20% - Accent2 11 6 5" xfId="16918"/>
    <cellStyle name="20% - Accent2 11 7" xfId="1587"/>
    <cellStyle name="20% - Accent2 11 7 2" xfId="12970"/>
    <cellStyle name="20% - Accent2 11 7 3" xfId="16921"/>
    <cellStyle name="20% - Accent2 11 8" xfId="1588"/>
    <cellStyle name="20% - Accent2 11 8 2" xfId="12971"/>
    <cellStyle name="20% - Accent2 11 8 3" xfId="16922"/>
    <cellStyle name="20% - Accent2 11 9" xfId="12939"/>
    <cellStyle name="20% - Accent2 11_Volatility" xfId="1589"/>
    <cellStyle name="20% - Accent2 12" xfId="1590"/>
    <cellStyle name="20% - Accent2 12 10" xfId="16923"/>
    <cellStyle name="20% - Accent2 12 2" xfId="1591"/>
    <cellStyle name="20% - Accent2 12 2 2" xfId="1592"/>
    <cellStyle name="20% - Accent2 12 2 2 2" xfId="1593"/>
    <cellStyle name="20% - Accent2 12 2 2 2 2" xfId="12975"/>
    <cellStyle name="20% - Accent2 12 2 2 2 3" xfId="16926"/>
    <cellStyle name="20% - Accent2 12 2 2 3" xfId="1594"/>
    <cellStyle name="20% - Accent2 12 2 2 3 2" xfId="12976"/>
    <cellStyle name="20% - Accent2 12 2 2 3 3" xfId="16927"/>
    <cellStyle name="20% - Accent2 12 2 2 4" xfId="12974"/>
    <cellStyle name="20% - Accent2 12 2 2 5" xfId="16925"/>
    <cellStyle name="20% - Accent2 12 2 3" xfId="1595"/>
    <cellStyle name="20% - Accent2 12 2 3 2" xfId="1596"/>
    <cellStyle name="20% - Accent2 12 2 3 2 2" xfId="12978"/>
    <cellStyle name="20% - Accent2 12 2 3 2 3" xfId="16929"/>
    <cellStyle name="20% - Accent2 12 2 3 3" xfId="1597"/>
    <cellStyle name="20% - Accent2 12 2 3 3 2" xfId="12979"/>
    <cellStyle name="20% - Accent2 12 2 3 3 3" xfId="16930"/>
    <cellStyle name="20% - Accent2 12 2 3 4" xfId="12977"/>
    <cellStyle name="20% - Accent2 12 2 3 5" xfId="16928"/>
    <cellStyle name="20% - Accent2 12 2 4" xfId="1598"/>
    <cellStyle name="20% - Accent2 12 2 4 2" xfId="1599"/>
    <cellStyle name="20% - Accent2 12 2 4 2 2" xfId="12981"/>
    <cellStyle name="20% - Accent2 12 2 4 2 3" xfId="16932"/>
    <cellStyle name="20% - Accent2 12 2 4 3" xfId="1600"/>
    <cellStyle name="20% - Accent2 12 2 4 3 2" xfId="12982"/>
    <cellStyle name="20% - Accent2 12 2 4 3 3" xfId="16933"/>
    <cellStyle name="20% - Accent2 12 2 4 4" xfId="12980"/>
    <cellStyle name="20% - Accent2 12 2 4 5" xfId="16931"/>
    <cellStyle name="20% - Accent2 12 2 5" xfId="1601"/>
    <cellStyle name="20% - Accent2 12 2 5 2" xfId="12983"/>
    <cellStyle name="20% - Accent2 12 2 5 3" xfId="16934"/>
    <cellStyle name="20% - Accent2 12 2 6" xfId="1602"/>
    <cellStyle name="20% - Accent2 12 2 6 2" xfId="12984"/>
    <cellStyle name="20% - Accent2 12 2 6 3" xfId="16935"/>
    <cellStyle name="20% - Accent2 12 2 7" xfId="12973"/>
    <cellStyle name="20% - Accent2 12 2 8" xfId="16924"/>
    <cellStyle name="20% - Accent2 12 2_Volatility" xfId="1603"/>
    <cellStyle name="20% - Accent2 12 3" xfId="1604"/>
    <cellStyle name="20% - Accent2 12 3 2" xfId="1605"/>
    <cellStyle name="20% - Accent2 12 3 2 2" xfId="1606"/>
    <cellStyle name="20% - Accent2 12 3 2 2 2" xfId="12987"/>
    <cellStyle name="20% - Accent2 12 3 2 2 3" xfId="16938"/>
    <cellStyle name="20% - Accent2 12 3 2 3" xfId="1607"/>
    <cellStyle name="20% - Accent2 12 3 2 3 2" xfId="12988"/>
    <cellStyle name="20% - Accent2 12 3 2 3 3" xfId="16939"/>
    <cellStyle name="20% - Accent2 12 3 2 4" xfId="12986"/>
    <cellStyle name="20% - Accent2 12 3 2 5" xfId="16937"/>
    <cellStyle name="20% - Accent2 12 3 3" xfId="1608"/>
    <cellStyle name="20% - Accent2 12 3 3 2" xfId="1609"/>
    <cellStyle name="20% - Accent2 12 3 3 2 2" xfId="12990"/>
    <cellStyle name="20% - Accent2 12 3 3 2 3" xfId="16941"/>
    <cellStyle name="20% - Accent2 12 3 3 3" xfId="1610"/>
    <cellStyle name="20% - Accent2 12 3 3 3 2" xfId="12991"/>
    <cellStyle name="20% - Accent2 12 3 3 3 3" xfId="16942"/>
    <cellStyle name="20% - Accent2 12 3 3 4" xfId="12989"/>
    <cellStyle name="20% - Accent2 12 3 3 5" xfId="16940"/>
    <cellStyle name="20% - Accent2 12 3 4" xfId="1611"/>
    <cellStyle name="20% - Accent2 12 3 4 2" xfId="12992"/>
    <cellStyle name="20% - Accent2 12 3 4 3" xfId="16943"/>
    <cellStyle name="20% - Accent2 12 3 5" xfId="1612"/>
    <cellStyle name="20% - Accent2 12 3 5 2" xfId="12993"/>
    <cellStyle name="20% - Accent2 12 3 5 3" xfId="16944"/>
    <cellStyle name="20% - Accent2 12 3 6" xfId="12985"/>
    <cellStyle name="20% - Accent2 12 3 7" xfId="16936"/>
    <cellStyle name="20% - Accent2 12 3_Volatility" xfId="1613"/>
    <cellStyle name="20% - Accent2 12 4" xfId="1614"/>
    <cellStyle name="20% - Accent2 12 4 2" xfId="1615"/>
    <cellStyle name="20% - Accent2 12 4 2 2" xfId="12995"/>
    <cellStyle name="20% - Accent2 12 4 2 3" xfId="16946"/>
    <cellStyle name="20% - Accent2 12 4 3" xfId="1616"/>
    <cellStyle name="20% - Accent2 12 4 3 2" xfId="12996"/>
    <cellStyle name="20% - Accent2 12 4 3 3" xfId="16947"/>
    <cellStyle name="20% - Accent2 12 4 4" xfId="12994"/>
    <cellStyle name="20% - Accent2 12 4 5" xfId="16945"/>
    <cellStyle name="20% - Accent2 12 5" xfId="1617"/>
    <cellStyle name="20% - Accent2 12 5 2" xfId="1618"/>
    <cellStyle name="20% - Accent2 12 5 2 2" xfId="12998"/>
    <cellStyle name="20% - Accent2 12 5 2 3" xfId="16949"/>
    <cellStyle name="20% - Accent2 12 5 3" xfId="1619"/>
    <cellStyle name="20% - Accent2 12 5 3 2" xfId="12999"/>
    <cellStyle name="20% - Accent2 12 5 3 3" xfId="16950"/>
    <cellStyle name="20% - Accent2 12 5 4" xfId="12997"/>
    <cellStyle name="20% - Accent2 12 5 5" xfId="16948"/>
    <cellStyle name="20% - Accent2 12 6" xfId="1620"/>
    <cellStyle name="20% - Accent2 12 6 2" xfId="1621"/>
    <cellStyle name="20% - Accent2 12 6 2 2" xfId="13001"/>
    <cellStyle name="20% - Accent2 12 6 2 3" xfId="16952"/>
    <cellStyle name="20% - Accent2 12 6 3" xfId="1622"/>
    <cellStyle name="20% - Accent2 12 6 3 2" xfId="13002"/>
    <cellStyle name="20% - Accent2 12 6 3 3" xfId="16953"/>
    <cellStyle name="20% - Accent2 12 6 4" xfId="13000"/>
    <cellStyle name="20% - Accent2 12 6 5" xfId="16951"/>
    <cellStyle name="20% - Accent2 12 7" xfId="1623"/>
    <cellStyle name="20% - Accent2 12 7 2" xfId="13003"/>
    <cellStyle name="20% - Accent2 12 7 3" xfId="16954"/>
    <cellStyle name="20% - Accent2 12 8" xfId="1624"/>
    <cellStyle name="20% - Accent2 12 8 2" xfId="13004"/>
    <cellStyle name="20% - Accent2 12 8 3" xfId="16955"/>
    <cellStyle name="20% - Accent2 12 9" xfId="12972"/>
    <cellStyle name="20% - Accent2 12_Volatility" xfId="1625"/>
    <cellStyle name="20% - Accent2 13" xfId="1626"/>
    <cellStyle name="20% - Accent2 13 10" xfId="16956"/>
    <cellStyle name="20% - Accent2 13 2" xfId="1627"/>
    <cellStyle name="20% - Accent2 13 2 2" xfId="1628"/>
    <cellStyle name="20% - Accent2 13 2 2 2" xfId="1629"/>
    <cellStyle name="20% - Accent2 13 2 2 2 2" xfId="13008"/>
    <cellStyle name="20% - Accent2 13 2 2 2 3" xfId="16959"/>
    <cellStyle name="20% - Accent2 13 2 2 3" xfId="1630"/>
    <cellStyle name="20% - Accent2 13 2 2 3 2" xfId="13009"/>
    <cellStyle name="20% - Accent2 13 2 2 3 3" xfId="16960"/>
    <cellStyle name="20% - Accent2 13 2 2 4" xfId="13007"/>
    <cellStyle name="20% - Accent2 13 2 2 5" xfId="16958"/>
    <cellStyle name="20% - Accent2 13 2 3" xfId="1631"/>
    <cellStyle name="20% - Accent2 13 2 3 2" xfId="1632"/>
    <cellStyle name="20% - Accent2 13 2 3 2 2" xfId="13011"/>
    <cellStyle name="20% - Accent2 13 2 3 2 3" xfId="16962"/>
    <cellStyle name="20% - Accent2 13 2 3 3" xfId="1633"/>
    <cellStyle name="20% - Accent2 13 2 3 3 2" xfId="13012"/>
    <cellStyle name="20% - Accent2 13 2 3 3 3" xfId="16963"/>
    <cellStyle name="20% - Accent2 13 2 3 4" xfId="13010"/>
    <cellStyle name="20% - Accent2 13 2 3 5" xfId="16961"/>
    <cellStyle name="20% - Accent2 13 2 4" xfId="1634"/>
    <cellStyle name="20% - Accent2 13 2 4 2" xfId="1635"/>
    <cellStyle name="20% - Accent2 13 2 4 2 2" xfId="13014"/>
    <cellStyle name="20% - Accent2 13 2 4 2 3" xfId="16965"/>
    <cellStyle name="20% - Accent2 13 2 4 3" xfId="1636"/>
    <cellStyle name="20% - Accent2 13 2 4 3 2" xfId="13015"/>
    <cellStyle name="20% - Accent2 13 2 4 3 3" xfId="16966"/>
    <cellStyle name="20% - Accent2 13 2 4 4" xfId="13013"/>
    <cellStyle name="20% - Accent2 13 2 4 5" xfId="16964"/>
    <cellStyle name="20% - Accent2 13 2 5" xfId="1637"/>
    <cellStyle name="20% - Accent2 13 2 5 2" xfId="13016"/>
    <cellStyle name="20% - Accent2 13 2 5 3" xfId="16967"/>
    <cellStyle name="20% - Accent2 13 2 6" xfId="1638"/>
    <cellStyle name="20% - Accent2 13 2 6 2" xfId="13017"/>
    <cellStyle name="20% - Accent2 13 2 6 3" xfId="16968"/>
    <cellStyle name="20% - Accent2 13 2 7" xfId="13006"/>
    <cellStyle name="20% - Accent2 13 2 8" xfId="16957"/>
    <cellStyle name="20% - Accent2 13 2_Volatility" xfId="1639"/>
    <cellStyle name="20% - Accent2 13 3" xfId="1640"/>
    <cellStyle name="20% - Accent2 13 3 2" xfId="1641"/>
    <cellStyle name="20% - Accent2 13 3 2 2" xfId="1642"/>
    <cellStyle name="20% - Accent2 13 3 2 2 2" xfId="13020"/>
    <cellStyle name="20% - Accent2 13 3 2 2 3" xfId="16971"/>
    <cellStyle name="20% - Accent2 13 3 2 3" xfId="1643"/>
    <cellStyle name="20% - Accent2 13 3 2 3 2" xfId="13021"/>
    <cellStyle name="20% - Accent2 13 3 2 3 3" xfId="16972"/>
    <cellStyle name="20% - Accent2 13 3 2 4" xfId="13019"/>
    <cellStyle name="20% - Accent2 13 3 2 5" xfId="16970"/>
    <cellStyle name="20% - Accent2 13 3 3" xfId="1644"/>
    <cellStyle name="20% - Accent2 13 3 3 2" xfId="1645"/>
    <cellStyle name="20% - Accent2 13 3 3 2 2" xfId="13023"/>
    <cellStyle name="20% - Accent2 13 3 3 2 3" xfId="16974"/>
    <cellStyle name="20% - Accent2 13 3 3 3" xfId="1646"/>
    <cellStyle name="20% - Accent2 13 3 3 3 2" xfId="13024"/>
    <cellStyle name="20% - Accent2 13 3 3 3 3" xfId="16975"/>
    <cellStyle name="20% - Accent2 13 3 3 4" xfId="13022"/>
    <cellStyle name="20% - Accent2 13 3 3 5" xfId="16973"/>
    <cellStyle name="20% - Accent2 13 3 4" xfId="1647"/>
    <cellStyle name="20% - Accent2 13 3 4 2" xfId="13025"/>
    <cellStyle name="20% - Accent2 13 3 4 3" xfId="16976"/>
    <cellStyle name="20% - Accent2 13 3 5" xfId="1648"/>
    <cellStyle name="20% - Accent2 13 3 5 2" xfId="13026"/>
    <cellStyle name="20% - Accent2 13 3 5 3" xfId="16977"/>
    <cellStyle name="20% - Accent2 13 3 6" xfId="13018"/>
    <cellStyle name="20% - Accent2 13 3 7" xfId="16969"/>
    <cellStyle name="20% - Accent2 13 3_Volatility" xfId="1649"/>
    <cellStyle name="20% - Accent2 13 4" xfId="1650"/>
    <cellStyle name="20% - Accent2 13 4 2" xfId="1651"/>
    <cellStyle name="20% - Accent2 13 4 2 2" xfId="13028"/>
    <cellStyle name="20% - Accent2 13 4 2 3" xfId="16979"/>
    <cellStyle name="20% - Accent2 13 4 3" xfId="1652"/>
    <cellStyle name="20% - Accent2 13 4 3 2" xfId="13029"/>
    <cellStyle name="20% - Accent2 13 4 3 3" xfId="16980"/>
    <cellStyle name="20% - Accent2 13 4 4" xfId="13027"/>
    <cellStyle name="20% - Accent2 13 4 5" xfId="16978"/>
    <cellStyle name="20% - Accent2 13 5" xfId="1653"/>
    <cellStyle name="20% - Accent2 13 5 2" xfId="1654"/>
    <cellStyle name="20% - Accent2 13 5 2 2" xfId="13031"/>
    <cellStyle name="20% - Accent2 13 5 2 3" xfId="16982"/>
    <cellStyle name="20% - Accent2 13 5 3" xfId="1655"/>
    <cellStyle name="20% - Accent2 13 5 3 2" xfId="13032"/>
    <cellStyle name="20% - Accent2 13 5 3 3" xfId="16983"/>
    <cellStyle name="20% - Accent2 13 5 4" xfId="13030"/>
    <cellStyle name="20% - Accent2 13 5 5" xfId="16981"/>
    <cellStyle name="20% - Accent2 13 6" xfId="1656"/>
    <cellStyle name="20% - Accent2 13 6 2" xfId="1657"/>
    <cellStyle name="20% - Accent2 13 6 2 2" xfId="13034"/>
    <cellStyle name="20% - Accent2 13 6 2 3" xfId="16985"/>
    <cellStyle name="20% - Accent2 13 6 3" xfId="1658"/>
    <cellStyle name="20% - Accent2 13 6 3 2" xfId="13035"/>
    <cellStyle name="20% - Accent2 13 6 3 3" xfId="16986"/>
    <cellStyle name="20% - Accent2 13 6 4" xfId="13033"/>
    <cellStyle name="20% - Accent2 13 6 5" xfId="16984"/>
    <cellStyle name="20% - Accent2 13 7" xfId="1659"/>
    <cellStyle name="20% - Accent2 13 7 2" xfId="13036"/>
    <cellStyle name="20% - Accent2 13 7 3" xfId="16987"/>
    <cellStyle name="20% - Accent2 13 8" xfId="1660"/>
    <cellStyle name="20% - Accent2 13 8 2" xfId="13037"/>
    <cellStyle name="20% - Accent2 13 8 3" xfId="16988"/>
    <cellStyle name="20% - Accent2 13 9" xfId="13005"/>
    <cellStyle name="20% - Accent2 13_Volatility" xfId="1661"/>
    <cellStyle name="20% - Accent2 14" xfId="1662"/>
    <cellStyle name="20% - Accent2 14 10" xfId="16989"/>
    <cellStyle name="20% - Accent2 14 2" xfId="1663"/>
    <cellStyle name="20% - Accent2 14 2 2" xfId="1664"/>
    <cellStyle name="20% - Accent2 14 2 2 2" xfId="1665"/>
    <cellStyle name="20% - Accent2 14 2 2 2 2" xfId="13041"/>
    <cellStyle name="20% - Accent2 14 2 2 2 3" xfId="16992"/>
    <cellStyle name="20% - Accent2 14 2 2 3" xfId="1666"/>
    <cellStyle name="20% - Accent2 14 2 2 3 2" xfId="13042"/>
    <cellStyle name="20% - Accent2 14 2 2 3 3" xfId="16993"/>
    <cellStyle name="20% - Accent2 14 2 2 4" xfId="13040"/>
    <cellStyle name="20% - Accent2 14 2 2 5" xfId="16991"/>
    <cellStyle name="20% - Accent2 14 2 3" xfId="1667"/>
    <cellStyle name="20% - Accent2 14 2 3 2" xfId="1668"/>
    <cellStyle name="20% - Accent2 14 2 3 2 2" xfId="13044"/>
    <cellStyle name="20% - Accent2 14 2 3 2 3" xfId="16995"/>
    <cellStyle name="20% - Accent2 14 2 3 3" xfId="1669"/>
    <cellStyle name="20% - Accent2 14 2 3 3 2" xfId="13045"/>
    <cellStyle name="20% - Accent2 14 2 3 3 3" xfId="16996"/>
    <cellStyle name="20% - Accent2 14 2 3 4" xfId="13043"/>
    <cellStyle name="20% - Accent2 14 2 3 5" xfId="16994"/>
    <cellStyle name="20% - Accent2 14 2 4" xfId="1670"/>
    <cellStyle name="20% - Accent2 14 2 4 2" xfId="1671"/>
    <cellStyle name="20% - Accent2 14 2 4 2 2" xfId="13047"/>
    <cellStyle name="20% - Accent2 14 2 4 2 3" xfId="16998"/>
    <cellStyle name="20% - Accent2 14 2 4 3" xfId="1672"/>
    <cellStyle name="20% - Accent2 14 2 4 3 2" xfId="13048"/>
    <cellStyle name="20% - Accent2 14 2 4 3 3" xfId="16999"/>
    <cellStyle name="20% - Accent2 14 2 4 4" xfId="13046"/>
    <cellStyle name="20% - Accent2 14 2 4 5" xfId="16997"/>
    <cellStyle name="20% - Accent2 14 2 5" xfId="1673"/>
    <cellStyle name="20% - Accent2 14 2 5 2" xfId="13049"/>
    <cellStyle name="20% - Accent2 14 2 5 3" xfId="17000"/>
    <cellStyle name="20% - Accent2 14 2 6" xfId="1674"/>
    <cellStyle name="20% - Accent2 14 2 6 2" xfId="13050"/>
    <cellStyle name="20% - Accent2 14 2 6 3" xfId="17001"/>
    <cellStyle name="20% - Accent2 14 2 7" xfId="13039"/>
    <cellStyle name="20% - Accent2 14 2 8" xfId="16990"/>
    <cellStyle name="20% - Accent2 14 2_Volatility" xfId="1675"/>
    <cellStyle name="20% - Accent2 14 3" xfId="1676"/>
    <cellStyle name="20% - Accent2 14 3 2" xfId="1677"/>
    <cellStyle name="20% - Accent2 14 3 2 2" xfId="1678"/>
    <cellStyle name="20% - Accent2 14 3 2 2 2" xfId="13053"/>
    <cellStyle name="20% - Accent2 14 3 2 2 3" xfId="17004"/>
    <cellStyle name="20% - Accent2 14 3 2 3" xfId="1679"/>
    <cellStyle name="20% - Accent2 14 3 2 3 2" xfId="13054"/>
    <cellStyle name="20% - Accent2 14 3 2 3 3" xfId="17005"/>
    <cellStyle name="20% - Accent2 14 3 2 4" xfId="13052"/>
    <cellStyle name="20% - Accent2 14 3 2 5" xfId="17003"/>
    <cellStyle name="20% - Accent2 14 3 3" xfId="1680"/>
    <cellStyle name="20% - Accent2 14 3 3 2" xfId="1681"/>
    <cellStyle name="20% - Accent2 14 3 3 2 2" xfId="13056"/>
    <cellStyle name="20% - Accent2 14 3 3 2 3" xfId="17007"/>
    <cellStyle name="20% - Accent2 14 3 3 3" xfId="1682"/>
    <cellStyle name="20% - Accent2 14 3 3 3 2" xfId="13057"/>
    <cellStyle name="20% - Accent2 14 3 3 3 3" xfId="17008"/>
    <cellStyle name="20% - Accent2 14 3 3 4" xfId="13055"/>
    <cellStyle name="20% - Accent2 14 3 3 5" xfId="17006"/>
    <cellStyle name="20% - Accent2 14 3 4" xfId="1683"/>
    <cellStyle name="20% - Accent2 14 3 4 2" xfId="13058"/>
    <cellStyle name="20% - Accent2 14 3 4 3" xfId="17009"/>
    <cellStyle name="20% - Accent2 14 3 5" xfId="1684"/>
    <cellStyle name="20% - Accent2 14 3 5 2" xfId="13059"/>
    <cellStyle name="20% - Accent2 14 3 5 3" xfId="17010"/>
    <cellStyle name="20% - Accent2 14 3 6" xfId="13051"/>
    <cellStyle name="20% - Accent2 14 3 7" xfId="17002"/>
    <cellStyle name="20% - Accent2 14 3_Volatility" xfId="1685"/>
    <cellStyle name="20% - Accent2 14 4" xfId="1686"/>
    <cellStyle name="20% - Accent2 14 4 2" xfId="1687"/>
    <cellStyle name="20% - Accent2 14 4 2 2" xfId="13061"/>
    <cellStyle name="20% - Accent2 14 4 2 3" xfId="17012"/>
    <cellStyle name="20% - Accent2 14 4 3" xfId="1688"/>
    <cellStyle name="20% - Accent2 14 4 3 2" xfId="13062"/>
    <cellStyle name="20% - Accent2 14 4 3 3" xfId="17013"/>
    <cellStyle name="20% - Accent2 14 4 4" xfId="13060"/>
    <cellStyle name="20% - Accent2 14 4 5" xfId="17011"/>
    <cellStyle name="20% - Accent2 14 5" xfId="1689"/>
    <cellStyle name="20% - Accent2 14 5 2" xfId="1690"/>
    <cellStyle name="20% - Accent2 14 5 2 2" xfId="13064"/>
    <cellStyle name="20% - Accent2 14 5 2 3" xfId="17015"/>
    <cellStyle name="20% - Accent2 14 5 3" xfId="1691"/>
    <cellStyle name="20% - Accent2 14 5 3 2" xfId="13065"/>
    <cellStyle name="20% - Accent2 14 5 3 3" xfId="17016"/>
    <cellStyle name="20% - Accent2 14 5 4" xfId="13063"/>
    <cellStyle name="20% - Accent2 14 5 5" xfId="17014"/>
    <cellStyle name="20% - Accent2 14 6" xfId="1692"/>
    <cellStyle name="20% - Accent2 14 6 2" xfId="1693"/>
    <cellStyle name="20% - Accent2 14 6 2 2" xfId="13067"/>
    <cellStyle name="20% - Accent2 14 6 2 3" xfId="17018"/>
    <cellStyle name="20% - Accent2 14 6 3" xfId="1694"/>
    <cellStyle name="20% - Accent2 14 6 3 2" xfId="13068"/>
    <cellStyle name="20% - Accent2 14 6 3 3" xfId="17019"/>
    <cellStyle name="20% - Accent2 14 6 4" xfId="13066"/>
    <cellStyle name="20% - Accent2 14 6 5" xfId="17017"/>
    <cellStyle name="20% - Accent2 14 7" xfId="1695"/>
    <cellStyle name="20% - Accent2 14 7 2" xfId="13069"/>
    <cellStyle name="20% - Accent2 14 7 3" xfId="17020"/>
    <cellStyle name="20% - Accent2 14 8" xfId="1696"/>
    <cellStyle name="20% - Accent2 14 8 2" xfId="13070"/>
    <cellStyle name="20% - Accent2 14 8 3" xfId="17021"/>
    <cellStyle name="20% - Accent2 14 9" xfId="13038"/>
    <cellStyle name="20% - Accent2 14_Volatility" xfId="1697"/>
    <cellStyle name="20% - Accent2 15" xfId="1698"/>
    <cellStyle name="20% - Accent2 15 10" xfId="17022"/>
    <cellStyle name="20% - Accent2 15 2" xfId="1699"/>
    <cellStyle name="20% - Accent2 15 2 2" xfId="1700"/>
    <cellStyle name="20% - Accent2 15 2 2 2" xfId="1701"/>
    <cellStyle name="20% - Accent2 15 2 2 2 2" xfId="13074"/>
    <cellStyle name="20% - Accent2 15 2 2 2 3" xfId="17025"/>
    <cellStyle name="20% - Accent2 15 2 2 3" xfId="1702"/>
    <cellStyle name="20% - Accent2 15 2 2 3 2" xfId="13075"/>
    <cellStyle name="20% - Accent2 15 2 2 3 3" xfId="17026"/>
    <cellStyle name="20% - Accent2 15 2 2 4" xfId="13073"/>
    <cellStyle name="20% - Accent2 15 2 2 5" xfId="17024"/>
    <cellStyle name="20% - Accent2 15 2 3" xfId="1703"/>
    <cellStyle name="20% - Accent2 15 2 3 2" xfId="1704"/>
    <cellStyle name="20% - Accent2 15 2 3 2 2" xfId="13077"/>
    <cellStyle name="20% - Accent2 15 2 3 2 3" xfId="17028"/>
    <cellStyle name="20% - Accent2 15 2 3 3" xfId="1705"/>
    <cellStyle name="20% - Accent2 15 2 3 3 2" xfId="13078"/>
    <cellStyle name="20% - Accent2 15 2 3 3 3" xfId="17029"/>
    <cellStyle name="20% - Accent2 15 2 3 4" xfId="13076"/>
    <cellStyle name="20% - Accent2 15 2 3 5" xfId="17027"/>
    <cellStyle name="20% - Accent2 15 2 4" xfId="1706"/>
    <cellStyle name="20% - Accent2 15 2 4 2" xfId="1707"/>
    <cellStyle name="20% - Accent2 15 2 4 2 2" xfId="13080"/>
    <cellStyle name="20% - Accent2 15 2 4 2 3" xfId="17031"/>
    <cellStyle name="20% - Accent2 15 2 4 3" xfId="1708"/>
    <cellStyle name="20% - Accent2 15 2 4 3 2" xfId="13081"/>
    <cellStyle name="20% - Accent2 15 2 4 3 3" xfId="17032"/>
    <cellStyle name="20% - Accent2 15 2 4 4" xfId="13079"/>
    <cellStyle name="20% - Accent2 15 2 4 5" xfId="17030"/>
    <cellStyle name="20% - Accent2 15 2 5" xfId="1709"/>
    <cellStyle name="20% - Accent2 15 2 5 2" xfId="13082"/>
    <cellStyle name="20% - Accent2 15 2 5 3" xfId="17033"/>
    <cellStyle name="20% - Accent2 15 2 6" xfId="1710"/>
    <cellStyle name="20% - Accent2 15 2 6 2" xfId="13083"/>
    <cellStyle name="20% - Accent2 15 2 6 3" xfId="17034"/>
    <cellStyle name="20% - Accent2 15 2 7" xfId="13072"/>
    <cellStyle name="20% - Accent2 15 2 8" xfId="17023"/>
    <cellStyle name="20% - Accent2 15 2_Volatility" xfId="1711"/>
    <cellStyle name="20% - Accent2 15 3" xfId="1712"/>
    <cellStyle name="20% - Accent2 15 3 2" xfId="1713"/>
    <cellStyle name="20% - Accent2 15 3 2 2" xfId="1714"/>
    <cellStyle name="20% - Accent2 15 3 2 2 2" xfId="13086"/>
    <cellStyle name="20% - Accent2 15 3 2 2 3" xfId="17037"/>
    <cellStyle name="20% - Accent2 15 3 2 3" xfId="1715"/>
    <cellStyle name="20% - Accent2 15 3 2 3 2" xfId="13087"/>
    <cellStyle name="20% - Accent2 15 3 2 3 3" xfId="17038"/>
    <cellStyle name="20% - Accent2 15 3 2 4" xfId="13085"/>
    <cellStyle name="20% - Accent2 15 3 2 5" xfId="17036"/>
    <cellStyle name="20% - Accent2 15 3 3" xfId="1716"/>
    <cellStyle name="20% - Accent2 15 3 3 2" xfId="1717"/>
    <cellStyle name="20% - Accent2 15 3 3 2 2" xfId="13089"/>
    <cellStyle name="20% - Accent2 15 3 3 2 3" xfId="17040"/>
    <cellStyle name="20% - Accent2 15 3 3 3" xfId="1718"/>
    <cellStyle name="20% - Accent2 15 3 3 3 2" xfId="13090"/>
    <cellStyle name="20% - Accent2 15 3 3 3 3" xfId="17041"/>
    <cellStyle name="20% - Accent2 15 3 3 4" xfId="13088"/>
    <cellStyle name="20% - Accent2 15 3 3 5" xfId="17039"/>
    <cellStyle name="20% - Accent2 15 3 4" xfId="1719"/>
    <cellStyle name="20% - Accent2 15 3 4 2" xfId="13091"/>
    <cellStyle name="20% - Accent2 15 3 4 3" xfId="17042"/>
    <cellStyle name="20% - Accent2 15 3 5" xfId="1720"/>
    <cellStyle name="20% - Accent2 15 3 5 2" xfId="13092"/>
    <cellStyle name="20% - Accent2 15 3 5 3" xfId="17043"/>
    <cellStyle name="20% - Accent2 15 3 6" xfId="13084"/>
    <cellStyle name="20% - Accent2 15 3 7" xfId="17035"/>
    <cellStyle name="20% - Accent2 15 3_Volatility" xfId="1721"/>
    <cellStyle name="20% - Accent2 15 4" xfId="1722"/>
    <cellStyle name="20% - Accent2 15 4 2" xfId="1723"/>
    <cellStyle name="20% - Accent2 15 4 2 2" xfId="13094"/>
    <cellStyle name="20% - Accent2 15 4 2 3" xfId="17045"/>
    <cellStyle name="20% - Accent2 15 4 3" xfId="1724"/>
    <cellStyle name="20% - Accent2 15 4 3 2" xfId="13095"/>
    <cellStyle name="20% - Accent2 15 4 3 3" xfId="17046"/>
    <cellStyle name="20% - Accent2 15 4 4" xfId="13093"/>
    <cellStyle name="20% - Accent2 15 4 5" xfId="17044"/>
    <cellStyle name="20% - Accent2 15 5" xfId="1725"/>
    <cellStyle name="20% - Accent2 15 5 2" xfId="1726"/>
    <cellStyle name="20% - Accent2 15 5 2 2" xfId="13097"/>
    <cellStyle name="20% - Accent2 15 5 2 3" xfId="17048"/>
    <cellStyle name="20% - Accent2 15 5 3" xfId="1727"/>
    <cellStyle name="20% - Accent2 15 5 3 2" xfId="13098"/>
    <cellStyle name="20% - Accent2 15 5 3 3" xfId="17049"/>
    <cellStyle name="20% - Accent2 15 5 4" xfId="13096"/>
    <cellStyle name="20% - Accent2 15 5 5" xfId="17047"/>
    <cellStyle name="20% - Accent2 15 6" xfId="1728"/>
    <cellStyle name="20% - Accent2 15 6 2" xfId="1729"/>
    <cellStyle name="20% - Accent2 15 6 2 2" xfId="13100"/>
    <cellStyle name="20% - Accent2 15 6 2 3" xfId="17051"/>
    <cellStyle name="20% - Accent2 15 6 3" xfId="1730"/>
    <cellStyle name="20% - Accent2 15 6 3 2" xfId="13101"/>
    <cellStyle name="20% - Accent2 15 6 3 3" xfId="17052"/>
    <cellStyle name="20% - Accent2 15 6 4" xfId="13099"/>
    <cellStyle name="20% - Accent2 15 6 5" xfId="17050"/>
    <cellStyle name="20% - Accent2 15 7" xfId="1731"/>
    <cellStyle name="20% - Accent2 15 7 2" xfId="13102"/>
    <cellStyle name="20% - Accent2 15 7 3" xfId="17053"/>
    <cellStyle name="20% - Accent2 15 8" xfId="1732"/>
    <cellStyle name="20% - Accent2 15 8 2" xfId="13103"/>
    <cellStyle name="20% - Accent2 15 8 3" xfId="17054"/>
    <cellStyle name="20% - Accent2 15 9" xfId="13071"/>
    <cellStyle name="20% - Accent2 15_Volatility" xfId="1733"/>
    <cellStyle name="20% - Accent2 16" xfId="1734"/>
    <cellStyle name="20% - Accent2 16 2" xfId="13104"/>
    <cellStyle name="20% - Accent2 16 3" xfId="17055"/>
    <cellStyle name="20% - Accent2 17" xfId="1735"/>
    <cellStyle name="20% - Accent2 17 2" xfId="13105"/>
    <cellStyle name="20% - Accent2 17 3" xfId="17056"/>
    <cellStyle name="20% - Accent2 18" xfId="1736"/>
    <cellStyle name="20% - Accent2 18 2" xfId="13106"/>
    <cellStyle name="20% - Accent2 18 3" xfId="17057"/>
    <cellStyle name="20% - Accent2 19" xfId="1737"/>
    <cellStyle name="20% - Accent2 19 2" xfId="13107"/>
    <cellStyle name="20% - Accent2 19 3" xfId="17058"/>
    <cellStyle name="20% - Accent2 2" xfId="1738"/>
    <cellStyle name="20% - Accent2 2 10" xfId="17059"/>
    <cellStyle name="20% - Accent2 2 2" xfId="1739"/>
    <cellStyle name="20% - Accent2 2 2 2" xfId="1740"/>
    <cellStyle name="20% - Accent2 2 2 2 2" xfId="1741"/>
    <cellStyle name="20% - Accent2 2 2 2 2 2" xfId="13111"/>
    <cellStyle name="20% - Accent2 2 2 2 2 3" xfId="17062"/>
    <cellStyle name="20% - Accent2 2 2 2 3" xfId="1742"/>
    <cellStyle name="20% - Accent2 2 2 2 3 2" xfId="13112"/>
    <cellStyle name="20% - Accent2 2 2 2 3 3" xfId="17063"/>
    <cellStyle name="20% - Accent2 2 2 2 4" xfId="13110"/>
    <cellStyle name="20% - Accent2 2 2 2 5" xfId="17061"/>
    <cellStyle name="20% - Accent2 2 2 3" xfId="1743"/>
    <cellStyle name="20% - Accent2 2 2 3 2" xfId="1744"/>
    <cellStyle name="20% - Accent2 2 2 3 2 2" xfId="13114"/>
    <cellStyle name="20% - Accent2 2 2 3 2 3" xfId="17065"/>
    <cellStyle name="20% - Accent2 2 2 3 3" xfId="1745"/>
    <cellStyle name="20% - Accent2 2 2 3 3 2" xfId="13115"/>
    <cellStyle name="20% - Accent2 2 2 3 3 3" xfId="17066"/>
    <cellStyle name="20% - Accent2 2 2 3 4" xfId="13113"/>
    <cellStyle name="20% - Accent2 2 2 3 5" xfId="17064"/>
    <cellStyle name="20% - Accent2 2 2 4" xfId="1746"/>
    <cellStyle name="20% - Accent2 2 2 4 2" xfId="1747"/>
    <cellStyle name="20% - Accent2 2 2 4 2 2" xfId="13117"/>
    <cellStyle name="20% - Accent2 2 2 4 2 3" xfId="17068"/>
    <cellStyle name="20% - Accent2 2 2 4 3" xfId="1748"/>
    <cellStyle name="20% - Accent2 2 2 4 3 2" xfId="13118"/>
    <cellStyle name="20% - Accent2 2 2 4 3 3" xfId="17069"/>
    <cellStyle name="20% - Accent2 2 2 4 4" xfId="13116"/>
    <cellStyle name="20% - Accent2 2 2 4 5" xfId="17067"/>
    <cellStyle name="20% - Accent2 2 2 5" xfId="1749"/>
    <cellStyle name="20% - Accent2 2 2 5 2" xfId="13119"/>
    <cellStyle name="20% - Accent2 2 2 5 3" xfId="17070"/>
    <cellStyle name="20% - Accent2 2 2 6" xfId="1750"/>
    <cellStyle name="20% - Accent2 2 2 6 2" xfId="13120"/>
    <cellStyle name="20% - Accent2 2 2 6 3" xfId="17071"/>
    <cellStyle name="20% - Accent2 2 2 7" xfId="13109"/>
    <cellStyle name="20% - Accent2 2 2 8" xfId="17060"/>
    <cellStyle name="20% - Accent2 2 2_Volatility" xfId="1751"/>
    <cellStyle name="20% - Accent2 2 3" xfId="1752"/>
    <cellStyle name="20% - Accent2 2 3 2" xfId="1753"/>
    <cellStyle name="20% - Accent2 2 3 2 2" xfId="1754"/>
    <cellStyle name="20% - Accent2 2 3 2 2 2" xfId="13123"/>
    <cellStyle name="20% - Accent2 2 3 2 2 3" xfId="17074"/>
    <cellStyle name="20% - Accent2 2 3 2 3" xfId="1755"/>
    <cellStyle name="20% - Accent2 2 3 2 3 2" xfId="13124"/>
    <cellStyle name="20% - Accent2 2 3 2 3 3" xfId="17075"/>
    <cellStyle name="20% - Accent2 2 3 2 4" xfId="13122"/>
    <cellStyle name="20% - Accent2 2 3 2 5" xfId="17073"/>
    <cellStyle name="20% - Accent2 2 3 3" xfId="1756"/>
    <cellStyle name="20% - Accent2 2 3 3 2" xfId="1757"/>
    <cellStyle name="20% - Accent2 2 3 3 2 2" xfId="13126"/>
    <cellStyle name="20% - Accent2 2 3 3 2 3" xfId="17077"/>
    <cellStyle name="20% - Accent2 2 3 3 3" xfId="1758"/>
    <cellStyle name="20% - Accent2 2 3 3 3 2" xfId="13127"/>
    <cellStyle name="20% - Accent2 2 3 3 3 3" xfId="17078"/>
    <cellStyle name="20% - Accent2 2 3 3 4" xfId="13125"/>
    <cellStyle name="20% - Accent2 2 3 3 5" xfId="17076"/>
    <cellStyle name="20% - Accent2 2 3 4" xfId="1759"/>
    <cellStyle name="20% - Accent2 2 3 4 2" xfId="13128"/>
    <cellStyle name="20% - Accent2 2 3 4 3" xfId="17079"/>
    <cellStyle name="20% - Accent2 2 3 5" xfId="1760"/>
    <cellStyle name="20% - Accent2 2 3 5 2" xfId="13129"/>
    <cellStyle name="20% - Accent2 2 3 5 3" xfId="17080"/>
    <cellStyle name="20% - Accent2 2 3 6" xfId="13121"/>
    <cellStyle name="20% - Accent2 2 3 7" xfId="17072"/>
    <cellStyle name="20% - Accent2 2 3_Volatility" xfId="1761"/>
    <cellStyle name="20% - Accent2 2 4" xfId="1762"/>
    <cellStyle name="20% - Accent2 2 4 2" xfId="1763"/>
    <cellStyle name="20% - Accent2 2 4 2 2" xfId="13131"/>
    <cellStyle name="20% - Accent2 2 4 2 3" xfId="17082"/>
    <cellStyle name="20% - Accent2 2 4 3" xfId="1764"/>
    <cellStyle name="20% - Accent2 2 4 3 2" xfId="13132"/>
    <cellStyle name="20% - Accent2 2 4 3 3" xfId="17083"/>
    <cellStyle name="20% - Accent2 2 4 4" xfId="13130"/>
    <cellStyle name="20% - Accent2 2 4 5" xfId="17081"/>
    <cellStyle name="20% - Accent2 2 5" xfId="1765"/>
    <cellStyle name="20% - Accent2 2 5 2" xfId="1766"/>
    <cellStyle name="20% - Accent2 2 5 2 2" xfId="13134"/>
    <cellStyle name="20% - Accent2 2 5 2 3" xfId="17085"/>
    <cellStyle name="20% - Accent2 2 5 3" xfId="1767"/>
    <cellStyle name="20% - Accent2 2 5 3 2" xfId="13135"/>
    <cellStyle name="20% - Accent2 2 5 3 3" xfId="17086"/>
    <cellStyle name="20% - Accent2 2 5 4" xfId="13133"/>
    <cellStyle name="20% - Accent2 2 5 5" xfId="17084"/>
    <cellStyle name="20% - Accent2 2 6" xfId="1768"/>
    <cellStyle name="20% - Accent2 2 6 2" xfId="1769"/>
    <cellStyle name="20% - Accent2 2 6 2 2" xfId="13137"/>
    <cellStyle name="20% - Accent2 2 6 2 3" xfId="17088"/>
    <cellStyle name="20% - Accent2 2 6 3" xfId="1770"/>
    <cellStyle name="20% - Accent2 2 6 3 2" xfId="13138"/>
    <cellStyle name="20% - Accent2 2 6 3 3" xfId="17089"/>
    <cellStyle name="20% - Accent2 2 6 4" xfId="13136"/>
    <cellStyle name="20% - Accent2 2 6 5" xfId="17087"/>
    <cellStyle name="20% - Accent2 2 7" xfId="1771"/>
    <cellStyle name="20% - Accent2 2 7 2" xfId="13139"/>
    <cellStyle name="20% - Accent2 2 7 3" xfId="17090"/>
    <cellStyle name="20% - Accent2 2 8" xfId="1772"/>
    <cellStyle name="20% - Accent2 2 8 2" xfId="13140"/>
    <cellStyle name="20% - Accent2 2 8 3" xfId="17091"/>
    <cellStyle name="20% - Accent2 2 9" xfId="13108"/>
    <cellStyle name="20% - Accent2 2_Volatility" xfId="1773"/>
    <cellStyle name="20% - Accent2 3" xfId="1774"/>
    <cellStyle name="20% - Accent2 3 10" xfId="17092"/>
    <cellStyle name="20% - Accent2 3 2" xfId="1775"/>
    <cellStyle name="20% - Accent2 3 2 2" xfId="1776"/>
    <cellStyle name="20% - Accent2 3 2 2 2" xfId="1777"/>
    <cellStyle name="20% - Accent2 3 2 2 2 2" xfId="13144"/>
    <cellStyle name="20% - Accent2 3 2 2 2 3" xfId="17095"/>
    <cellStyle name="20% - Accent2 3 2 2 3" xfId="1778"/>
    <cellStyle name="20% - Accent2 3 2 2 3 2" xfId="13145"/>
    <cellStyle name="20% - Accent2 3 2 2 3 3" xfId="17096"/>
    <cellStyle name="20% - Accent2 3 2 2 4" xfId="13143"/>
    <cellStyle name="20% - Accent2 3 2 2 5" xfId="17094"/>
    <cellStyle name="20% - Accent2 3 2 3" xfId="1779"/>
    <cellStyle name="20% - Accent2 3 2 3 2" xfId="1780"/>
    <cellStyle name="20% - Accent2 3 2 3 2 2" xfId="13147"/>
    <cellStyle name="20% - Accent2 3 2 3 2 3" xfId="17098"/>
    <cellStyle name="20% - Accent2 3 2 3 3" xfId="1781"/>
    <cellStyle name="20% - Accent2 3 2 3 3 2" xfId="13148"/>
    <cellStyle name="20% - Accent2 3 2 3 3 3" xfId="17099"/>
    <cellStyle name="20% - Accent2 3 2 3 4" xfId="13146"/>
    <cellStyle name="20% - Accent2 3 2 3 5" xfId="17097"/>
    <cellStyle name="20% - Accent2 3 2 4" xfId="1782"/>
    <cellStyle name="20% - Accent2 3 2 4 2" xfId="1783"/>
    <cellStyle name="20% - Accent2 3 2 4 2 2" xfId="13150"/>
    <cellStyle name="20% - Accent2 3 2 4 2 3" xfId="17101"/>
    <cellStyle name="20% - Accent2 3 2 4 3" xfId="1784"/>
    <cellStyle name="20% - Accent2 3 2 4 3 2" xfId="13151"/>
    <cellStyle name="20% - Accent2 3 2 4 3 3" xfId="17102"/>
    <cellStyle name="20% - Accent2 3 2 4 4" xfId="13149"/>
    <cellStyle name="20% - Accent2 3 2 4 5" xfId="17100"/>
    <cellStyle name="20% - Accent2 3 2 5" xfId="1785"/>
    <cellStyle name="20% - Accent2 3 2 5 2" xfId="13152"/>
    <cellStyle name="20% - Accent2 3 2 5 3" xfId="17103"/>
    <cellStyle name="20% - Accent2 3 2 6" xfId="1786"/>
    <cellStyle name="20% - Accent2 3 2 6 2" xfId="13153"/>
    <cellStyle name="20% - Accent2 3 2 6 3" xfId="17104"/>
    <cellStyle name="20% - Accent2 3 2 7" xfId="13142"/>
    <cellStyle name="20% - Accent2 3 2 8" xfId="17093"/>
    <cellStyle name="20% - Accent2 3 2_Volatility" xfId="1787"/>
    <cellStyle name="20% - Accent2 3 3" xfId="1788"/>
    <cellStyle name="20% - Accent2 3 3 2" xfId="1789"/>
    <cellStyle name="20% - Accent2 3 3 2 2" xfId="1790"/>
    <cellStyle name="20% - Accent2 3 3 2 2 2" xfId="13156"/>
    <cellStyle name="20% - Accent2 3 3 2 2 3" xfId="17107"/>
    <cellStyle name="20% - Accent2 3 3 2 3" xfId="1791"/>
    <cellStyle name="20% - Accent2 3 3 2 3 2" xfId="13157"/>
    <cellStyle name="20% - Accent2 3 3 2 3 3" xfId="17108"/>
    <cellStyle name="20% - Accent2 3 3 2 4" xfId="13155"/>
    <cellStyle name="20% - Accent2 3 3 2 5" xfId="17106"/>
    <cellStyle name="20% - Accent2 3 3 3" xfId="1792"/>
    <cellStyle name="20% - Accent2 3 3 3 2" xfId="1793"/>
    <cellStyle name="20% - Accent2 3 3 3 2 2" xfId="13159"/>
    <cellStyle name="20% - Accent2 3 3 3 2 3" xfId="17110"/>
    <cellStyle name="20% - Accent2 3 3 3 3" xfId="1794"/>
    <cellStyle name="20% - Accent2 3 3 3 3 2" xfId="13160"/>
    <cellStyle name="20% - Accent2 3 3 3 3 3" xfId="17111"/>
    <cellStyle name="20% - Accent2 3 3 3 4" xfId="13158"/>
    <cellStyle name="20% - Accent2 3 3 3 5" xfId="17109"/>
    <cellStyle name="20% - Accent2 3 3 4" xfId="1795"/>
    <cellStyle name="20% - Accent2 3 3 4 2" xfId="13161"/>
    <cellStyle name="20% - Accent2 3 3 4 3" xfId="17112"/>
    <cellStyle name="20% - Accent2 3 3 5" xfId="1796"/>
    <cellStyle name="20% - Accent2 3 3 5 2" xfId="13162"/>
    <cellStyle name="20% - Accent2 3 3 5 3" xfId="17113"/>
    <cellStyle name="20% - Accent2 3 3 6" xfId="13154"/>
    <cellStyle name="20% - Accent2 3 3 7" xfId="17105"/>
    <cellStyle name="20% - Accent2 3 3_Volatility" xfId="1797"/>
    <cellStyle name="20% - Accent2 3 4" xfId="1798"/>
    <cellStyle name="20% - Accent2 3 4 2" xfId="1799"/>
    <cellStyle name="20% - Accent2 3 4 2 2" xfId="13164"/>
    <cellStyle name="20% - Accent2 3 4 2 3" xfId="17115"/>
    <cellStyle name="20% - Accent2 3 4 3" xfId="1800"/>
    <cellStyle name="20% - Accent2 3 4 3 2" xfId="13165"/>
    <cellStyle name="20% - Accent2 3 4 3 3" xfId="17116"/>
    <cellStyle name="20% - Accent2 3 4 4" xfId="13163"/>
    <cellStyle name="20% - Accent2 3 4 5" xfId="17114"/>
    <cellStyle name="20% - Accent2 3 5" xfId="1801"/>
    <cellStyle name="20% - Accent2 3 5 2" xfId="1802"/>
    <cellStyle name="20% - Accent2 3 5 2 2" xfId="13167"/>
    <cellStyle name="20% - Accent2 3 5 2 3" xfId="17118"/>
    <cellStyle name="20% - Accent2 3 5 3" xfId="1803"/>
    <cellStyle name="20% - Accent2 3 5 3 2" xfId="13168"/>
    <cellStyle name="20% - Accent2 3 5 3 3" xfId="17119"/>
    <cellStyle name="20% - Accent2 3 5 4" xfId="13166"/>
    <cellStyle name="20% - Accent2 3 5 5" xfId="17117"/>
    <cellStyle name="20% - Accent2 3 6" xfId="1804"/>
    <cellStyle name="20% - Accent2 3 6 2" xfId="1805"/>
    <cellStyle name="20% - Accent2 3 6 2 2" xfId="13170"/>
    <cellStyle name="20% - Accent2 3 6 2 3" xfId="17121"/>
    <cellStyle name="20% - Accent2 3 6 3" xfId="1806"/>
    <cellStyle name="20% - Accent2 3 6 3 2" xfId="13171"/>
    <cellStyle name="20% - Accent2 3 6 3 3" xfId="17122"/>
    <cellStyle name="20% - Accent2 3 6 4" xfId="13169"/>
    <cellStyle name="20% - Accent2 3 6 5" xfId="17120"/>
    <cellStyle name="20% - Accent2 3 7" xfId="1807"/>
    <cellStyle name="20% - Accent2 3 7 2" xfId="13172"/>
    <cellStyle name="20% - Accent2 3 7 3" xfId="17123"/>
    <cellStyle name="20% - Accent2 3 8" xfId="1808"/>
    <cellStyle name="20% - Accent2 3 8 2" xfId="13173"/>
    <cellStyle name="20% - Accent2 3 8 3" xfId="17124"/>
    <cellStyle name="20% - Accent2 3 9" xfId="13141"/>
    <cellStyle name="20% - Accent2 3_Volatility" xfId="1809"/>
    <cellStyle name="20% - Accent2 4" xfId="1810"/>
    <cellStyle name="20% - Accent2 4 10" xfId="17125"/>
    <cellStyle name="20% - Accent2 4 2" xfId="1811"/>
    <cellStyle name="20% - Accent2 4 2 2" xfId="1812"/>
    <cellStyle name="20% - Accent2 4 2 2 2" xfId="1813"/>
    <cellStyle name="20% - Accent2 4 2 2 2 2" xfId="13177"/>
    <cellStyle name="20% - Accent2 4 2 2 2 3" xfId="17128"/>
    <cellStyle name="20% - Accent2 4 2 2 3" xfId="1814"/>
    <cellStyle name="20% - Accent2 4 2 2 3 2" xfId="13178"/>
    <cellStyle name="20% - Accent2 4 2 2 3 3" xfId="17129"/>
    <cellStyle name="20% - Accent2 4 2 2 4" xfId="13176"/>
    <cellStyle name="20% - Accent2 4 2 2 5" xfId="17127"/>
    <cellStyle name="20% - Accent2 4 2 3" xfId="1815"/>
    <cellStyle name="20% - Accent2 4 2 3 2" xfId="1816"/>
    <cellStyle name="20% - Accent2 4 2 3 2 2" xfId="13180"/>
    <cellStyle name="20% - Accent2 4 2 3 2 3" xfId="17131"/>
    <cellStyle name="20% - Accent2 4 2 3 3" xfId="1817"/>
    <cellStyle name="20% - Accent2 4 2 3 3 2" xfId="13181"/>
    <cellStyle name="20% - Accent2 4 2 3 3 3" xfId="17132"/>
    <cellStyle name="20% - Accent2 4 2 3 4" xfId="13179"/>
    <cellStyle name="20% - Accent2 4 2 3 5" xfId="17130"/>
    <cellStyle name="20% - Accent2 4 2 4" xfId="1818"/>
    <cellStyle name="20% - Accent2 4 2 4 2" xfId="1819"/>
    <cellStyle name="20% - Accent2 4 2 4 2 2" xfId="13183"/>
    <cellStyle name="20% - Accent2 4 2 4 2 3" xfId="17134"/>
    <cellStyle name="20% - Accent2 4 2 4 3" xfId="1820"/>
    <cellStyle name="20% - Accent2 4 2 4 3 2" xfId="13184"/>
    <cellStyle name="20% - Accent2 4 2 4 3 3" xfId="17135"/>
    <cellStyle name="20% - Accent2 4 2 4 4" xfId="13182"/>
    <cellStyle name="20% - Accent2 4 2 4 5" xfId="17133"/>
    <cellStyle name="20% - Accent2 4 2 5" xfId="1821"/>
    <cellStyle name="20% - Accent2 4 2 5 2" xfId="13185"/>
    <cellStyle name="20% - Accent2 4 2 5 3" xfId="17136"/>
    <cellStyle name="20% - Accent2 4 2 6" xfId="1822"/>
    <cellStyle name="20% - Accent2 4 2 6 2" xfId="13186"/>
    <cellStyle name="20% - Accent2 4 2 6 3" xfId="17137"/>
    <cellStyle name="20% - Accent2 4 2 7" xfId="13175"/>
    <cellStyle name="20% - Accent2 4 2 8" xfId="17126"/>
    <cellStyle name="20% - Accent2 4 2_Volatility" xfId="1823"/>
    <cellStyle name="20% - Accent2 4 3" xfId="1824"/>
    <cellStyle name="20% - Accent2 4 3 2" xfId="1825"/>
    <cellStyle name="20% - Accent2 4 3 2 2" xfId="1826"/>
    <cellStyle name="20% - Accent2 4 3 2 2 2" xfId="13189"/>
    <cellStyle name="20% - Accent2 4 3 2 2 3" xfId="17140"/>
    <cellStyle name="20% - Accent2 4 3 2 3" xfId="1827"/>
    <cellStyle name="20% - Accent2 4 3 2 3 2" xfId="13190"/>
    <cellStyle name="20% - Accent2 4 3 2 3 3" xfId="17141"/>
    <cellStyle name="20% - Accent2 4 3 2 4" xfId="13188"/>
    <cellStyle name="20% - Accent2 4 3 2 5" xfId="17139"/>
    <cellStyle name="20% - Accent2 4 3 3" xfId="1828"/>
    <cellStyle name="20% - Accent2 4 3 3 2" xfId="1829"/>
    <cellStyle name="20% - Accent2 4 3 3 2 2" xfId="13192"/>
    <cellStyle name="20% - Accent2 4 3 3 2 3" xfId="17143"/>
    <cellStyle name="20% - Accent2 4 3 3 3" xfId="1830"/>
    <cellStyle name="20% - Accent2 4 3 3 3 2" xfId="13193"/>
    <cellStyle name="20% - Accent2 4 3 3 3 3" xfId="17144"/>
    <cellStyle name="20% - Accent2 4 3 3 4" xfId="13191"/>
    <cellStyle name="20% - Accent2 4 3 3 5" xfId="17142"/>
    <cellStyle name="20% - Accent2 4 3 4" xfId="1831"/>
    <cellStyle name="20% - Accent2 4 3 4 2" xfId="13194"/>
    <cellStyle name="20% - Accent2 4 3 4 3" xfId="17145"/>
    <cellStyle name="20% - Accent2 4 3 5" xfId="1832"/>
    <cellStyle name="20% - Accent2 4 3 5 2" xfId="13195"/>
    <cellStyle name="20% - Accent2 4 3 5 3" xfId="17146"/>
    <cellStyle name="20% - Accent2 4 3 6" xfId="13187"/>
    <cellStyle name="20% - Accent2 4 3 7" xfId="17138"/>
    <cellStyle name="20% - Accent2 4 3_Volatility" xfId="1833"/>
    <cellStyle name="20% - Accent2 4 4" xfId="1834"/>
    <cellStyle name="20% - Accent2 4 4 2" xfId="1835"/>
    <cellStyle name="20% - Accent2 4 4 2 2" xfId="13197"/>
    <cellStyle name="20% - Accent2 4 4 2 3" xfId="17148"/>
    <cellStyle name="20% - Accent2 4 4 3" xfId="1836"/>
    <cellStyle name="20% - Accent2 4 4 3 2" xfId="13198"/>
    <cellStyle name="20% - Accent2 4 4 3 3" xfId="17149"/>
    <cellStyle name="20% - Accent2 4 4 4" xfId="13196"/>
    <cellStyle name="20% - Accent2 4 4 5" xfId="17147"/>
    <cellStyle name="20% - Accent2 4 5" xfId="1837"/>
    <cellStyle name="20% - Accent2 4 5 2" xfId="1838"/>
    <cellStyle name="20% - Accent2 4 5 2 2" xfId="13200"/>
    <cellStyle name="20% - Accent2 4 5 2 3" xfId="17151"/>
    <cellStyle name="20% - Accent2 4 5 3" xfId="1839"/>
    <cellStyle name="20% - Accent2 4 5 3 2" xfId="13201"/>
    <cellStyle name="20% - Accent2 4 5 3 3" xfId="17152"/>
    <cellStyle name="20% - Accent2 4 5 4" xfId="13199"/>
    <cellStyle name="20% - Accent2 4 5 5" xfId="17150"/>
    <cellStyle name="20% - Accent2 4 6" xfId="1840"/>
    <cellStyle name="20% - Accent2 4 6 2" xfId="1841"/>
    <cellStyle name="20% - Accent2 4 6 2 2" xfId="13203"/>
    <cellStyle name="20% - Accent2 4 6 2 3" xfId="17154"/>
    <cellStyle name="20% - Accent2 4 6 3" xfId="1842"/>
    <cellStyle name="20% - Accent2 4 6 3 2" xfId="13204"/>
    <cellStyle name="20% - Accent2 4 6 3 3" xfId="17155"/>
    <cellStyle name="20% - Accent2 4 6 4" xfId="13202"/>
    <cellStyle name="20% - Accent2 4 6 5" xfId="17153"/>
    <cellStyle name="20% - Accent2 4 7" xfId="1843"/>
    <cellStyle name="20% - Accent2 4 7 2" xfId="13205"/>
    <cellStyle name="20% - Accent2 4 7 3" xfId="17156"/>
    <cellStyle name="20% - Accent2 4 8" xfId="1844"/>
    <cellStyle name="20% - Accent2 4 8 2" xfId="13206"/>
    <cellStyle name="20% - Accent2 4 8 3" xfId="17157"/>
    <cellStyle name="20% - Accent2 4 9" xfId="13174"/>
    <cellStyle name="20% - Accent2 4_Volatility" xfId="1845"/>
    <cellStyle name="20% - Accent2 5" xfId="1846"/>
    <cellStyle name="20% - Accent2 5 10" xfId="17158"/>
    <cellStyle name="20% - Accent2 5 2" xfId="1847"/>
    <cellStyle name="20% - Accent2 5 2 2" xfId="1848"/>
    <cellStyle name="20% - Accent2 5 2 2 2" xfId="1849"/>
    <cellStyle name="20% - Accent2 5 2 2 2 2" xfId="13210"/>
    <cellStyle name="20% - Accent2 5 2 2 2 3" xfId="17161"/>
    <cellStyle name="20% - Accent2 5 2 2 3" xfId="1850"/>
    <cellStyle name="20% - Accent2 5 2 2 3 2" xfId="13211"/>
    <cellStyle name="20% - Accent2 5 2 2 3 3" xfId="17162"/>
    <cellStyle name="20% - Accent2 5 2 2 4" xfId="13209"/>
    <cellStyle name="20% - Accent2 5 2 2 5" xfId="17160"/>
    <cellStyle name="20% - Accent2 5 2 3" xfId="1851"/>
    <cellStyle name="20% - Accent2 5 2 3 2" xfId="1852"/>
    <cellStyle name="20% - Accent2 5 2 3 2 2" xfId="13213"/>
    <cellStyle name="20% - Accent2 5 2 3 2 3" xfId="17164"/>
    <cellStyle name="20% - Accent2 5 2 3 3" xfId="1853"/>
    <cellStyle name="20% - Accent2 5 2 3 3 2" xfId="13214"/>
    <cellStyle name="20% - Accent2 5 2 3 3 3" xfId="17165"/>
    <cellStyle name="20% - Accent2 5 2 3 4" xfId="13212"/>
    <cellStyle name="20% - Accent2 5 2 3 5" xfId="17163"/>
    <cellStyle name="20% - Accent2 5 2 4" xfId="1854"/>
    <cellStyle name="20% - Accent2 5 2 4 2" xfId="1855"/>
    <cellStyle name="20% - Accent2 5 2 4 2 2" xfId="13216"/>
    <cellStyle name="20% - Accent2 5 2 4 2 3" xfId="17167"/>
    <cellStyle name="20% - Accent2 5 2 4 3" xfId="1856"/>
    <cellStyle name="20% - Accent2 5 2 4 3 2" xfId="13217"/>
    <cellStyle name="20% - Accent2 5 2 4 3 3" xfId="17168"/>
    <cellStyle name="20% - Accent2 5 2 4 4" xfId="13215"/>
    <cellStyle name="20% - Accent2 5 2 4 5" xfId="17166"/>
    <cellStyle name="20% - Accent2 5 2 5" xfId="1857"/>
    <cellStyle name="20% - Accent2 5 2 5 2" xfId="13218"/>
    <cellStyle name="20% - Accent2 5 2 5 3" xfId="17169"/>
    <cellStyle name="20% - Accent2 5 2 6" xfId="1858"/>
    <cellStyle name="20% - Accent2 5 2 6 2" xfId="13219"/>
    <cellStyle name="20% - Accent2 5 2 6 3" xfId="17170"/>
    <cellStyle name="20% - Accent2 5 2 7" xfId="13208"/>
    <cellStyle name="20% - Accent2 5 2 8" xfId="17159"/>
    <cellStyle name="20% - Accent2 5 2_Volatility" xfId="1859"/>
    <cellStyle name="20% - Accent2 5 3" xfId="1860"/>
    <cellStyle name="20% - Accent2 5 3 2" xfId="1861"/>
    <cellStyle name="20% - Accent2 5 3 2 2" xfId="1862"/>
    <cellStyle name="20% - Accent2 5 3 2 2 2" xfId="13222"/>
    <cellStyle name="20% - Accent2 5 3 2 2 3" xfId="17173"/>
    <cellStyle name="20% - Accent2 5 3 2 3" xfId="1863"/>
    <cellStyle name="20% - Accent2 5 3 2 3 2" xfId="13223"/>
    <cellStyle name="20% - Accent2 5 3 2 3 3" xfId="17174"/>
    <cellStyle name="20% - Accent2 5 3 2 4" xfId="13221"/>
    <cellStyle name="20% - Accent2 5 3 2 5" xfId="17172"/>
    <cellStyle name="20% - Accent2 5 3 3" xfId="1864"/>
    <cellStyle name="20% - Accent2 5 3 3 2" xfId="1865"/>
    <cellStyle name="20% - Accent2 5 3 3 2 2" xfId="13225"/>
    <cellStyle name="20% - Accent2 5 3 3 2 3" xfId="17176"/>
    <cellStyle name="20% - Accent2 5 3 3 3" xfId="1866"/>
    <cellStyle name="20% - Accent2 5 3 3 3 2" xfId="13226"/>
    <cellStyle name="20% - Accent2 5 3 3 3 3" xfId="17177"/>
    <cellStyle name="20% - Accent2 5 3 3 4" xfId="13224"/>
    <cellStyle name="20% - Accent2 5 3 3 5" xfId="17175"/>
    <cellStyle name="20% - Accent2 5 3 4" xfId="1867"/>
    <cellStyle name="20% - Accent2 5 3 4 2" xfId="13227"/>
    <cellStyle name="20% - Accent2 5 3 4 3" xfId="17178"/>
    <cellStyle name="20% - Accent2 5 3 5" xfId="1868"/>
    <cellStyle name="20% - Accent2 5 3 5 2" xfId="13228"/>
    <cellStyle name="20% - Accent2 5 3 5 3" xfId="17179"/>
    <cellStyle name="20% - Accent2 5 3 6" xfId="13220"/>
    <cellStyle name="20% - Accent2 5 3 7" xfId="17171"/>
    <cellStyle name="20% - Accent2 5 3_Volatility" xfId="1869"/>
    <cellStyle name="20% - Accent2 5 4" xfId="1870"/>
    <cellStyle name="20% - Accent2 5 4 2" xfId="1871"/>
    <cellStyle name="20% - Accent2 5 4 2 2" xfId="13230"/>
    <cellStyle name="20% - Accent2 5 4 2 3" xfId="17181"/>
    <cellStyle name="20% - Accent2 5 4 3" xfId="1872"/>
    <cellStyle name="20% - Accent2 5 4 3 2" xfId="13231"/>
    <cellStyle name="20% - Accent2 5 4 3 3" xfId="17182"/>
    <cellStyle name="20% - Accent2 5 4 4" xfId="13229"/>
    <cellStyle name="20% - Accent2 5 4 5" xfId="17180"/>
    <cellStyle name="20% - Accent2 5 5" xfId="1873"/>
    <cellStyle name="20% - Accent2 5 5 2" xfId="1874"/>
    <cellStyle name="20% - Accent2 5 5 2 2" xfId="13233"/>
    <cellStyle name="20% - Accent2 5 5 2 3" xfId="17184"/>
    <cellStyle name="20% - Accent2 5 5 3" xfId="1875"/>
    <cellStyle name="20% - Accent2 5 5 3 2" xfId="13234"/>
    <cellStyle name="20% - Accent2 5 5 3 3" xfId="17185"/>
    <cellStyle name="20% - Accent2 5 5 4" xfId="13232"/>
    <cellStyle name="20% - Accent2 5 5 5" xfId="17183"/>
    <cellStyle name="20% - Accent2 5 6" xfId="1876"/>
    <cellStyle name="20% - Accent2 5 6 2" xfId="1877"/>
    <cellStyle name="20% - Accent2 5 6 2 2" xfId="13236"/>
    <cellStyle name="20% - Accent2 5 6 2 3" xfId="17187"/>
    <cellStyle name="20% - Accent2 5 6 3" xfId="1878"/>
    <cellStyle name="20% - Accent2 5 6 3 2" xfId="13237"/>
    <cellStyle name="20% - Accent2 5 6 3 3" xfId="17188"/>
    <cellStyle name="20% - Accent2 5 6 4" xfId="13235"/>
    <cellStyle name="20% - Accent2 5 6 5" xfId="17186"/>
    <cellStyle name="20% - Accent2 5 7" xfId="1879"/>
    <cellStyle name="20% - Accent2 5 7 2" xfId="13238"/>
    <cellStyle name="20% - Accent2 5 7 3" xfId="17189"/>
    <cellStyle name="20% - Accent2 5 8" xfId="1880"/>
    <cellStyle name="20% - Accent2 5 8 2" xfId="13239"/>
    <cellStyle name="20% - Accent2 5 8 3" xfId="17190"/>
    <cellStyle name="20% - Accent2 5 9" xfId="13207"/>
    <cellStyle name="20% - Accent2 5_Volatility" xfId="1881"/>
    <cellStyle name="20% - Accent2 6" xfId="1882"/>
    <cellStyle name="20% - Accent2 6 10" xfId="17191"/>
    <cellStyle name="20% - Accent2 6 2" xfId="1883"/>
    <cellStyle name="20% - Accent2 6 2 2" xfId="1884"/>
    <cellStyle name="20% - Accent2 6 2 2 2" xfId="1885"/>
    <cellStyle name="20% - Accent2 6 2 2 2 2" xfId="13243"/>
    <cellStyle name="20% - Accent2 6 2 2 2 3" xfId="17194"/>
    <cellStyle name="20% - Accent2 6 2 2 3" xfId="1886"/>
    <cellStyle name="20% - Accent2 6 2 2 3 2" xfId="13244"/>
    <cellStyle name="20% - Accent2 6 2 2 3 3" xfId="17195"/>
    <cellStyle name="20% - Accent2 6 2 2 4" xfId="13242"/>
    <cellStyle name="20% - Accent2 6 2 2 5" xfId="17193"/>
    <cellStyle name="20% - Accent2 6 2 3" xfId="1887"/>
    <cellStyle name="20% - Accent2 6 2 3 2" xfId="1888"/>
    <cellStyle name="20% - Accent2 6 2 3 2 2" xfId="13246"/>
    <cellStyle name="20% - Accent2 6 2 3 2 3" xfId="17197"/>
    <cellStyle name="20% - Accent2 6 2 3 3" xfId="1889"/>
    <cellStyle name="20% - Accent2 6 2 3 3 2" xfId="13247"/>
    <cellStyle name="20% - Accent2 6 2 3 3 3" xfId="17198"/>
    <cellStyle name="20% - Accent2 6 2 3 4" xfId="13245"/>
    <cellStyle name="20% - Accent2 6 2 3 5" xfId="17196"/>
    <cellStyle name="20% - Accent2 6 2 4" xfId="1890"/>
    <cellStyle name="20% - Accent2 6 2 4 2" xfId="1891"/>
    <cellStyle name="20% - Accent2 6 2 4 2 2" xfId="13249"/>
    <cellStyle name="20% - Accent2 6 2 4 2 3" xfId="17200"/>
    <cellStyle name="20% - Accent2 6 2 4 3" xfId="1892"/>
    <cellStyle name="20% - Accent2 6 2 4 3 2" xfId="13250"/>
    <cellStyle name="20% - Accent2 6 2 4 3 3" xfId="17201"/>
    <cellStyle name="20% - Accent2 6 2 4 4" xfId="13248"/>
    <cellStyle name="20% - Accent2 6 2 4 5" xfId="17199"/>
    <cellStyle name="20% - Accent2 6 2 5" xfId="1893"/>
    <cellStyle name="20% - Accent2 6 2 5 2" xfId="13251"/>
    <cellStyle name="20% - Accent2 6 2 5 3" xfId="17202"/>
    <cellStyle name="20% - Accent2 6 2 6" xfId="1894"/>
    <cellStyle name="20% - Accent2 6 2 6 2" xfId="13252"/>
    <cellStyle name="20% - Accent2 6 2 6 3" xfId="17203"/>
    <cellStyle name="20% - Accent2 6 2 7" xfId="13241"/>
    <cellStyle name="20% - Accent2 6 2 8" xfId="17192"/>
    <cellStyle name="20% - Accent2 6 2_Volatility" xfId="1895"/>
    <cellStyle name="20% - Accent2 6 3" xfId="1896"/>
    <cellStyle name="20% - Accent2 6 3 2" xfId="1897"/>
    <cellStyle name="20% - Accent2 6 3 2 2" xfId="1898"/>
    <cellStyle name="20% - Accent2 6 3 2 2 2" xfId="13255"/>
    <cellStyle name="20% - Accent2 6 3 2 2 3" xfId="17206"/>
    <cellStyle name="20% - Accent2 6 3 2 3" xfId="1899"/>
    <cellStyle name="20% - Accent2 6 3 2 3 2" xfId="13256"/>
    <cellStyle name="20% - Accent2 6 3 2 3 3" xfId="17207"/>
    <cellStyle name="20% - Accent2 6 3 2 4" xfId="13254"/>
    <cellStyle name="20% - Accent2 6 3 2 5" xfId="17205"/>
    <cellStyle name="20% - Accent2 6 3 3" xfId="1900"/>
    <cellStyle name="20% - Accent2 6 3 3 2" xfId="1901"/>
    <cellStyle name="20% - Accent2 6 3 3 2 2" xfId="13258"/>
    <cellStyle name="20% - Accent2 6 3 3 2 3" xfId="17209"/>
    <cellStyle name="20% - Accent2 6 3 3 3" xfId="1902"/>
    <cellStyle name="20% - Accent2 6 3 3 3 2" xfId="13259"/>
    <cellStyle name="20% - Accent2 6 3 3 3 3" xfId="17210"/>
    <cellStyle name="20% - Accent2 6 3 3 4" xfId="13257"/>
    <cellStyle name="20% - Accent2 6 3 3 5" xfId="17208"/>
    <cellStyle name="20% - Accent2 6 3 4" xfId="1903"/>
    <cellStyle name="20% - Accent2 6 3 4 2" xfId="13260"/>
    <cellStyle name="20% - Accent2 6 3 4 3" xfId="17211"/>
    <cellStyle name="20% - Accent2 6 3 5" xfId="1904"/>
    <cellStyle name="20% - Accent2 6 3 5 2" xfId="13261"/>
    <cellStyle name="20% - Accent2 6 3 5 3" xfId="17212"/>
    <cellStyle name="20% - Accent2 6 3 6" xfId="13253"/>
    <cellStyle name="20% - Accent2 6 3 7" xfId="17204"/>
    <cellStyle name="20% - Accent2 6 3_Volatility" xfId="1905"/>
    <cellStyle name="20% - Accent2 6 4" xfId="1906"/>
    <cellStyle name="20% - Accent2 6 4 2" xfId="1907"/>
    <cellStyle name="20% - Accent2 6 4 2 2" xfId="13263"/>
    <cellStyle name="20% - Accent2 6 4 2 3" xfId="17214"/>
    <cellStyle name="20% - Accent2 6 4 3" xfId="1908"/>
    <cellStyle name="20% - Accent2 6 4 3 2" xfId="13264"/>
    <cellStyle name="20% - Accent2 6 4 3 3" xfId="17215"/>
    <cellStyle name="20% - Accent2 6 4 4" xfId="13262"/>
    <cellStyle name="20% - Accent2 6 4 5" xfId="17213"/>
    <cellStyle name="20% - Accent2 6 5" xfId="1909"/>
    <cellStyle name="20% - Accent2 6 5 2" xfId="1910"/>
    <cellStyle name="20% - Accent2 6 5 2 2" xfId="13266"/>
    <cellStyle name="20% - Accent2 6 5 2 3" xfId="17217"/>
    <cellStyle name="20% - Accent2 6 5 3" xfId="1911"/>
    <cellStyle name="20% - Accent2 6 5 3 2" xfId="13267"/>
    <cellStyle name="20% - Accent2 6 5 3 3" xfId="17218"/>
    <cellStyle name="20% - Accent2 6 5 4" xfId="13265"/>
    <cellStyle name="20% - Accent2 6 5 5" xfId="17216"/>
    <cellStyle name="20% - Accent2 6 6" xfId="1912"/>
    <cellStyle name="20% - Accent2 6 6 2" xfId="1913"/>
    <cellStyle name="20% - Accent2 6 6 2 2" xfId="13269"/>
    <cellStyle name="20% - Accent2 6 6 2 3" xfId="17220"/>
    <cellStyle name="20% - Accent2 6 6 3" xfId="1914"/>
    <cellStyle name="20% - Accent2 6 6 3 2" xfId="13270"/>
    <cellStyle name="20% - Accent2 6 6 3 3" xfId="17221"/>
    <cellStyle name="20% - Accent2 6 6 4" xfId="13268"/>
    <cellStyle name="20% - Accent2 6 6 5" xfId="17219"/>
    <cellStyle name="20% - Accent2 6 7" xfId="1915"/>
    <cellStyle name="20% - Accent2 6 7 2" xfId="13271"/>
    <cellStyle name="20% - Accent2 6 7 3" xfId="17222"/>
    <cellStyle name="20% - Accent2 6 8" xfId="1916"/>
    <cellStyle name="20% - Accent2 6 8 2" xfId="13272"/>
    <cellStyle name="20% - Accent2 6 8 3" xfId="17223"/>
    <cellStyle name="20% - Accent2 6 9" xfId="13240"/>
    <cellStyle name="20% - Accent2 6_Volatility" xfId="1917"/>
    <cellStyle name="20% - Accent2 7" xfId="1918"/>
    <cellStyle name="20% - Accent2 7 10" xfId="17224"/>
    <cellStyle name="20% - Accent2 7 2" xfId="1919"/>
    <cellStyle name="20% - Accent2 7 2 2" xfId="1920"/>
    <cellStyle name="20% - Accent2 7 2 2 2" xfId="1921"/>
    <cellStyle name="20% - Accent2 7 2 2 2 2" xfId="13276"/>
    <cellStyle name="20% - Accent2 7 2 2 2 3" xfId="17227"/>
    <cellStyle name="20% - Accent2 7 2 2 3" xfId="1922"/>
    <cellStyle name="20% - Accent2 7 2 2 3 2" xfId="13277"/>
    <cellStyle name="20% - Accent2 7 2 2 3 3" xfId="17228"/>
    <cellStyle name="20% - Accent2 7 2 2 4" xfId="13275"/>
    <cellStyle name="20% - Accent2 7 2 2 5" xfId="17226"/>
    <cellStyle name="20% - Accent2 7 2 3" xfId="1923"/>
    <cellStyle name="20% - Accent2 7 2 3 2" xfId="1924"/>
    <cellStyle name="20% - Accent2 7 2 3 2 2" xfId="13279"/>
    <cellStyle name="20% - Accent2 7 2 3 2 3" xfId="17230"/>
    <cellStyle name="20% - Accent2 7 2 3 3" xfId="1925"/>
    <cellStyle name="20% - Accent2 7 2 3 3 2" xfId="13280"/>
    <cellStyle name="20% - Accent2 7 2 3 3 3" xfId="17231"/>
    <cellStyle name="20% - Accent2 7 2 3 4" xfId="13278"/>
    <cellStyle name="20% - Accent2 7 2 3 5" xfId="17229"/>
    <cellStyle name="20% - Accent2 7 2 4" xfId="1926"/>
    <cellStyle name="20% - Accent2 7 2 4 2" xfId="1927"/>
    <cellStyle name="20% - Accent2 7 2 4 2 2" xfId="13282"/>
    <cellStyle name="20% - Accent2 7 2 4 2 3" xfId="17233"/>
    <cellStyle name="20% - Accent2 7 2 4 3" xfId="1928"/>
    <cellStyle name="20% - Accent2 7 2 4 3 2" xfId="13283"/>
    <cellStyle name="20% - Accent2 7 2 4 3 3" xfId="17234"/>
    <cellStyle name="20% - Accent2 7 2 4 4" xfId="13281"/>
    <cellStyle name="20% - Accent2 7 2 4 5" xfId="17232"/>
    <cellStyle name="20% - Accent2 7 2 5" xfId="1929"/>
    <cellStyle name="20% - Accent2 7 2 5 2" xfId="13284"/>
    <cellStyle name="20% - Accent2 7 2 5 3" xfId="17235"/>
    <cellStyle name="20% - Accent2 7 2 6" xfId="1930"/>
    <cellStyle name="20% - Accent2 7 2 6 2" xfId="13285"/>
    <cellStyle name="20% - Accent2 7 2 6 3" xfId="17236"/>
    <cellStyle name="20% - Accent2 7 2 7" xfId="13274"/>
    <cellStyle name="20% - Accent2 7 2 8" xfId="17225"/>
    <cellStyle name="20% - Accent2 7 2_Volatility" xfId="1931"/>
    <cellStyle name="20% - Accent2 7 3" xfId="1932"/>
    <cellStyle name="20% - Accent2 7 3 2" xfId="1933"/>
    <cellStyle name="20% - Accent2 7 3 2 2" xfId="1934"/>
    <cellStyle name="20% - Accent2 7 3 2 2 2" xfId="13288"/>
    <cellStyle name="20% - Accent2 7 3 2 2 3" xfId="17239"/>
    <cellStyle name="20% - Accent2 7 3 2 3" xfId="1935"/>
    <cellStyle name="20% - Accent2 7 3 2 3 2" xfId="13289"/>
    <cellStyle name="20% - Accent2 7 3 2 3 3" xfId="17240"/>
    <cellStyle name="20% - Accent2 7 3 2 4" xfId="13287"/>
    <cellStyle name="20% - Accent2 7 3 2 5" xfId="17238"/>
    <cellStyle name="20% - Accent2 7 3 3" xfId="1936"/>
    <cellStyle name="20% - Accent2 7 3 3 2" xfId="1937"/>
    <cellStyle name="20% - Accent2 7 3 3 2 2" xfId="13291"/>
    <cellStyle name="20% - Accent2 7 3 3 2 3" xfId="17242"/>
    <cellStyle name="20% - Accent2 7 3 3 3" xfId="1938"/>
    <cellStyle name="20% - Accent2 7 3 3 3 2" xfId="13292"/>
    <cellStyle name="20% - Accent2 7 3 3 3 3" xfId="17243"/>
    <cellStyle name="20% - Accent2 7 3 3 4" xfId="13290"/>
    <cellStyle name="20% - Accent2 7 3 3 5" xfId="17241"/>
    <cellStyle name="20% - Accent2 7 3 4" xfId="1939"/>
    <cellStyle name="20% - Accent2 7 3 4 2" xfId="13293"/>
    <cellStyle name="20% - Accent2 7 3 4 3" xfId="17244"/>
    <cellStyle name="20% - Accent2 7 3 5" xfId="1940"/>
    <cellStyle name="20% - Accent2 7 3 5 2" xfId="13294"/>
    <cellStyle name="20% - Accent2 7 3 5 3" xfId="17245"/>
    <cellStyle name="20% - Accent2 7 3 6" xfId="13286"/>
    <cellStyle name="20% - Accent2 7 3 7" xfId="17237"/>
    <cellStyle name="20% - Accent2 7 3_Volatility" xfId="1941"/>
    <cellStyle name="20% - Accent2 7 4" xfId="1942"/>
    <cellStyle name="20% - Accent2 7 4 2" xfId="1943"/>
    <cellStyle name="20% - Accent2 7 4 2 2" xfId="13296"/>
    <cellStyle name="20% - Accent2 7 4 2 3" xfId="17247"/>
    <cellStyle name="20% - Accent2 7 4 3" xfId="1944"/>
    <cellStyle name="20% - Accent2 7 4 3 2" xfId="13297"/>
    <cellStyle name="20% - Accent2 7 4 3 3" xfId="17248"/>
    <cellStyle name="20% - Accent2 7 4 4" xfId="13295"/>
    <cellStyle name="20% - Accent2 7 4 5" xfId="17246"/>
    <cellStyle name="20% - Accent2 7 5" xfId="1945"/>
    <cellStyle name="20% - Accent2 7 5 2" xfId="1946"/>
    <cellStyle name="20% - Accent2 7 5 2 2" xfId="13299"/>
    <cellStyle name="20% - Accent2 7 5 2 3" xfId="17250"/>
    <cellStyle name="20% - Accent2 7 5 3" xfId="1947"/>
    <cellStyle name="20% - Accent2 7 5 3 2" xfId="13300"/>
    <cellStyle name="20% - Accent2 7 5 3 3" xfId="17251"/>
    <cellStyle name="20% - Accent2 7 5 4" xfId="13298"/>
    <cellStyle name="20% - Accent2 7 5 5" xfId="17249"/>
    <cellStyle name="20% - Accent2 7 6" xfId="1948"/>
    <cellStyle name="20% - Accent2 7 6 2" xfId="1949"/>
    <cellStyle name="20% - Accent2 7 6 2 2" xfId="13302"/>
    <cellStyle name="20% - Accent2 7 6 2 3" xfId="17253"/>
    <cellStyle name="20% - Accent2 7 6 3" xfId="1950"/>
    <cellStyle name="20% - Accent2 7 6 3 2" xfId="13303"/>
    <cellStyle name="20% - Accent2 7 6 3 3" xfId="17254"/>
    <cellStyle name="20% - Accent2 7 6 4" xfId="13301"/>
    <cellStyle name="20% - Accent2 7 6 5" xfId="17252"/>
    <cellStyle name="20% - Accent2 7 7" xfId="1951"/>
    <cellStyle name="20% - Accent2 7 7 2" xfId="13304"/>
    <cellStyle name="20% - Accent2 7 7 3" xfId="17255"/>
    <cellStyle name="20% - Accent2 7 8" xfId="1952"/>
    <cellStyle name="20% - Accent2 7 8 2" xfId="13305"/>
    <cellStyle name="20% - Accent2 7 8 3" xfId="17256"/>
    <cellStyle name="20% - Accent2 7 9" xfId="13273"/>
    <cellStyle name="20% - Accent2 7_Volatility" xfId="1953"/>
    <cellStyle name="20% - Accent2 8" xfId="1954"/>
    <cellStyle name="20% - Accent2 8 10" xfId="17257"/>
    <cellStyle name="20% - Accent2 8 2" xfId="1955"/>
    <cellStyle name="20% - Accent2 8 2 2" xfId="1956"/>
    <cellStyle name="20% - Accent2 8 2 2 2" xfId="1957"/>
    <cellStyle name="20% - Accent2 8 2 2 2 2" xfId="13309"/>
    <cellStyle name="20% - Accent2 8 2 2 2 3" xfId="17260"/>
    <cellStyle name="20% - Accent2 8 2 2 3" xfId="1958"/>
    <cellStyle name="20% - Accent2 8 2 2 3 2" xfId="13310"/>
    <cellStyle name="20% - Accent2 8 2 2 3 3" xfId="17261"/>
    <cellStyle name="20% - Accent2 8 2 2 4" xfId="13308"/>
    <cellStyle name="20% - Accent2 8 2 2 5" xfId="17259"/>
    <cellStyle name="20% - Accent2 8 2 3" xfId="1959"/>
    <cellStyle name="20% - Accent2 8 2 3 2" xfId="1960"/>
    <cellStyle name="20% - Accent2 8 2 3 2 2" xfId="13312"/>
    <cellStyle name="20% - Accent2 8 2 3 2 3" xfId="17263"/>
    <cellStyle name="20% - Accent2 8 2 3 3" xfId="1961"/>
    <cellStyle name="20% - Accent2 8 2 3 3 2" xfId="13313"/>
    <cellStyle name="20% - Accent2 8 2 3 3 3" xfId="17264"/>
    <cellStyle name="20% - Accent2 8 2 3 4" xfId="13311"/>
    <cellStyle name="20% - Accent2 8 2 3 5" xfId="17262"/>
    <cellStyle name="20% - Accent2 8 2 4" xfId="1962"/>
    <cellStyle name="20% - Accent2 8 2 4 2" xfId="1963"/>
    <cellStyle name="20% - Accent2 8 2 4 2 2" xfId="13315"/>
    <cellStyle name="20% - Accent2 8 2 4 2 3" xfId="17266"/>
    <cellStyle name="20% - Accent2 8 2 4 3" xfId="1964"/>
    <cellStyle name="20% - Accent2 8 2 4 3 2" xfId="13316"/>
    <cellStyle name="20% - Accent2 8 2 4 3 3" xfId="17267"/>
    <cellStyle name="20% - Accent2 8 2 4 4" xfId="13314"/>
    <cellStyle name="20% - Accent2 8 2 4 5" xfId="17265"/>
    <cellStyle name="20% - Accent2 8 2 5" xfId="1965"/>
    <cellStyle name="20% - Accent2 8 2 5 2" xfId="13317"/>
    <cellStyle name="20% - Accent2 8 2 5 3" xfId="17268"/>
    <cellStyle name="20% - Accent2 8 2 6" xfId="1966"/>
    <cellStyle name="20% - Accent2 8 2 6 2" xfId="13318"/>
    <cellStyle name="20% - Accent2 8 2 6 3" xfId="17269"/>
    <cellStyle name="20% - Accent2 8 2 7" xfId="13307"/>
    <cellStyle name="20% - Accent2 8 2 8" xfId="17258"/>
    <cellStyle name="20% - Accent2 8 2_Volatility" xfId="1967"/>
    <cellStyle name="20% - Accent2 8 3" xfId="1968"/>
    <cellStyle name="20% - Accent2 8 3 2" xfId="1969"/>
    <cellStyle name="20% - Accent2 8 3 2 2" xfId="1970"/>
    <cellStyle name="20% - Accent2 8 3 2 2 2" xfId="13321"/>
    <cellStyle name="20% - Accent2 8 3 2 2 3" xfId="17272"/>
    <cellStyle name="20% - Accent2 8 3 2 3" xfId="1971"/>
    <cellStyle name="20% - Accent2 8 3 2 3 2" xfId="13322"/>
    <cellStyle name="20% - Accent2 8 3 2 3 3" xfId="17273"/>
    <cellStyle name="20% - Accent2 8 3 2 4" xfId="13320"/>
    <cellStyle name="20% - Accent2 8 3 2 5" xfId="17271"/>
    <cellStyle name="20% - Accent2 8 3 3" xfId="1972"/>
    <cellStyle name="20% - Accent2 8 3 3 2" xfId="1973"/>
    <cellStyle name="20% - Accent2 8 3 3 2 2" xfId="13324"/>
    <cellStyle name="20% - Accent2 8 3 3 2 3" xfId="17275"/>
    <cellStyle name="20% - Accent2 8 3 3 3" xfId="1974"/>
    <cellStyle name="20% - Accent2 8 3 3 3 2" xfId="13325"/>
    <cellStyle name="20% - Accent2 8 3 3 3 3" xfId="17276"/>
    <cellStyle name="20% - Accent2 8 3 3 4" xfId="13323"/>
    <cellStyle name="20% - Accent2 8 3 3 5" xfId="17274"/>
    <cellStyle name="20% - Accent2 8 3 4" xfId="1975"/>
    <cellStyle name="20% - Accent2 8 3 4 2" xfId="13326"/>
    <cellStyle name="20% - Accent2 8 3 4 3" xfId="17277"/>
    <cellStyle name="20% - Accent2 8 3 5" xfId="1976"/>
    <cellStyle name="20% - Accent2 8 3 5 2" xfId="13327"/>
    <cellStyle name="20% - Accent2 8 3 5 3" xfId="17278"/>
    <cellStyle name="20% - Accent2 8 3 6" xfId="13319"/>
    <cellStyle name="20% - Accent2 8 3 7" xfId="17270"/>
    <cellStyle name="20% - Accent2 8 3_Volatility" xfId="1977"/>
    <cellStyle name="20% - Accent2 8 4" xfId="1978"/>
    <cellStyle name="20% - Accent2 8 4 2" xfId="1979"/>
    <cellStyle name="20% - Accent2 8 4 2 2" xfId="13329"/>
    <cellStyle name="20% - Accent2 8 4 2 3" xfId="17280"/>
    <cellStyle name="20% - Accent2 8 4 3" xfId="1980"/>
    <cellStyle name="20% - Accent2 8 4 3 2" xfId="13330"/>
    <cellStyle name="20% - Accent2 8 4 3 3" xfId="17281"/>
    <cellStyle name="20% - Accent2 8 4 4" xfId="13328"/>
    <cellStyle name="20% - Accent2 8 4 5" xfId="17279"/>
    <cellStyle name="20% - Accent2 8 5" xfId="1981"/>
    <cellStyle name="20% - Accent2 8 5 2" xfId="1982"/>
    <cellStyle name="20% - Accent2 8 5 2 2" xfId="13332"/>
    <cellStyle name="20% - Accent2 8 5 2 3" xfId="17283"/>
    <cellStyle name="20% - Accent2 8 5 3" xfId="1983"/>
    <cellStyle name="20% - Accent2 8 5 3 2" xfId="13333"/>
    <cellStyle name="20% - Accent2 8 5 3 3" xfId="17284"/>
    <cellStyle name="20% - Accent2 8 5 4" xfId="13331"/>
    <cellStyle name="20% - Accent2 8 5 5" xfId="17282"/>
    <cellStyle name="20% - Accent2 8 6" xfId="1984"/>
    <cellStyle name="20% - Accent2 8 6 2" xfId="1985"/>
    <cellStyle name="20% - Accent2 8 6 2 2" xfId="13335"/>
    <cellStyle name="20% - Accent2 8 6 2 3" xfId="17286"/>
    <cellStyle name="20% - Accent2 8 6 3" xfId="1986"/>
    <cellStyle name="20% - Accent2 8 6 3 2" xfId="13336"/>
    <cellStyle name="20% - Accent2 8 6 3 3" xfId="17287"/>
    <cellStyle name="20% - Accent2 8 6 4" xfId="13334"/>
    <cellStyle name="20% - Accent2 8 6 5" xfId="17285"/>
    <cellStyle name="20% - Accent2 8 7" xfId="1987"/>
    <cellStyle name="20% - Accent2 8 7 2" xfId="13337"/>
    <cellStyle name="20% - Accent2 8 7 3" xfId="17288"/>
    <cellStyle name="20% - Accent2 8 8" xfId="1988"/>
    <cellStyle name="20% - Accent2 8 8 2" xfId="13338"/>
    <cellStyle name="20% - Accent2 8 8 3" xfId="17289"/>
    <cellStyle name="20% - Accent2 8 9" xfId="13306"/>
    <cellStyle name="20% - Accent2 8_Volatility" xfId="1989"/>
    <cellStyle name="20% - Accent2 9" xfId="1990"/>
    <cellStyle name="20% - Accent2 9 10" xfId="17290"/>
    <cellStyle name="20% - Accent2 9 2" xfId="1991"/>
    <cellStyle name="20% - Accent2 9 2 2" xfId="1992"/>
    <cellStyle name="20% - Accent2 9 2 2 2" xfId="1993"/>
    <cellStyle name="20% - Accent2 9 2 2 2 2" xfId="13342"/>
    <cellStyle name="20% - Accent2 9 2 2 2 3" xfId="17293"/>
    <cellStyle name="20% - Accent2 9 2 2 3" xfId="1994"/>
    <cellStyle name="20% - Accent2 9 2 2 3 2" xfId="13343"/>
    <cellStyle name="20% - Accent2 9 2 2 3 3" xfId="17294"/>
    <cellStyle name="20% - Accent2 9 2 2 4" xfId="13341"/>
    <cellStyle name="20% - Accent2 9 2 2 5" xfId="17292"/>
    <cellStyle name="20% - Accent2 9 2 3" xfId="1995"/>
    <cellStyle name="20% - Accent2 9 2 3 2" xfId="1996"/>
    <cellStyle name="20% - Accent2 9 2 3 2 2" xfId="13345"/>
    <cellStyle name="20% - Accent2 9 2 3 2 3" xfId="17296"/>
    <cellStyle name="20% - Accent2 9 2 3 3" xfId="1997"/>
    <cellStyle name="20% - Accent2 9 2 3 3 2" xfId="13346"/>
    <cellStyle name="20% - Accent2 9 2 3 3 3" xfId="17297"/>
    <cellStyle name="20% - Accent2 9 2 3 4" xfId="13344"/>
    <cellStyle name="20% - Accent2 9 2 3 5" xfId="17295"/>
    <cellStyle name="20% - Accent2 9 2 4" xfId="1998"/>
    <cellStyle name="20% - Accent2 9 2 4 2" xfId="1999"/>
    <cellStyle name="20% - Accent2 9 2 4 2 2" xfId="13348"/>
    <cellStyle name="20% - Accent2 9 2 4 2 3" xfId="17299"/>
    <cellStyle name="20% - Accent2 9 2 4 3" xfId="2000"/>
    <cellStyle name="20% - Accent2 9 2 4 3 2" xfId="13349"/>
    <cellStyle name="20% - Accent2 9 2 4 3 3" xfId="17300"/>
    <cellStyle name="20% - Accent2 9 2 4 4" xfId="13347"/>
    <cellStyle name="20% - Accent2 9 2 4 5" xfId="17298"/>
    <cellStyle name="20% - Accent2 9 2 5" xfId="2001"/>
    <cellStyle name="20% - Accent2 9 2 5 2" xfId="13350"/>
    <cellStyle name="20% - Accent2 9 2 5 3" xfId="17301"/>
    <cellStyle name="20% - Accent2 9 2 6" xfId="2002"/>
    <cellStyle name="20% - Accent2 9 2 6 2" xfId="13351"/>
    <cellStyle name="20% - Accent2 9 2 6 3" xfId="17302"/>
    <cellStyle name="20% - Accent2 9 2 7" xfId="13340"/>
    <cellStyle name="20% - Accent2 9 2 8" xfId="17291"/>
    <cellStyle name="20% - Accent2 9 2_Volatility" xfId="2003"/>
    <cellStyle name="20% - Accent2 9 3" xfId="2004"/>
    <cellStyle name="20% - Accent2 9 3 2" xfId="2005"/>
    <cellStyle name="20% - Accent2 9 3 2 2" xfId="2006"/>
    <cellStyle name="20% - Accent2 9 3 2 2 2" xfId="13354"/>
    <cellStyle name="20% - Accent2 9 3 2 2 3" xfId="17305"/>
    <cellStyle name="20% - Accent2 9 3 2 3" xfId="2007"/>
    <cellStyle name="20% - Accent2 9 3 2 3 2" xfId="13355"/>
    <cellStyle name="20% - Accent2 9 3 2 3 3" xfId="17306"/>
    <cellStyle name="20% - Accent2 9 3 2 4" xfId="13353"/>
    <cellStyle name="20% - Accent2 9 3 2 5" xfId="17304"/>
    <cellStyle name="20% - Accent2 9 3 3" xfId="2008"/>
    <cellStyle name="20% - Accent2 9 3 3 2" xfId="2009"/>
    <cellStyle name="20% - Accent2 9 3 3 2 2" xfId="13357"/>
    <cellStyle name="20% - Accent2 9 3 3 2 3" xfId="17308"/>
    <cellStyle name="20% - Accent2 9 3 3 3" xfId="2010"/>
    <cellStyle name="20% - Accent2 9 3 3 3 2" xfId="13358"/>
    <cellStyle name="20% - Accent2 9 3 3 3 3" xfId="17309"/>
    <cellStyle name="20% - Accent2 9 3 3 4" xfId="13356"/>
    <cellStyle name="20% - Accent2 9 3 3 5" xfId="17307"/>
    <cellStyle name="20% - Accent2 9 3 4" xfId="2011"/>
    <cellStyle name="20% - Accent2 9 3 4 2" xfId="13359"/>
    <cellStyle name="20% - Accent2 9 3 4 3" xfId="17310"/>
    <cellStyle name="20% - Accent2 9 3 5" xfId="2012"/>
    <cellStyle name="20% - Accent2 9 3 5 2" xfId="13360"/>
    <cellStyle name="20% - Accent2 9 3 5 3" xfId="17311"/>
    <cellStyle name="20% - Accent2 9 3 6" xfId="13352"/>
    <cellStyle name="20% - Accent2 9 3 7" xfId="17303"/>
    <cellStyle name="20% - Accent2 9 3_Volatility" xfId="2013"/>
    <cellStyle name="20% - Accent2 9 4" xfId="2014"/>
    <cellStyle name="20% - Accent2 9 4 2" xfId="2015"/>
    <cellStyle name="20% - Accent2 9 4 2 2" xfId="13362"/>
    <cellStyle name="20% - Accent2 9 4 2 3" xfId="17313"/>
    <cellStyle name="20% - Accent2 9 4 3" xfId="2016"/>
    <cellStyle name="20% - Accent2 9 4 3 2" xfId="13363"/>
    <cellStyle name="20% - Accent2 9 4 3 3" xfId="17314"/>
    <cellStyle name="20% - Accent2 9 4 4" xfId="13361"/>
    <cellStyle name="20% - Accent2 9 4 5" xfId="17312"/>
    <cellStyle name="20% - Accent2 9 5" xfId="2017"/>
    <cellStyle name="20% - Accent2 9 5 2" xfId="2018"/>
    <cellStyle name="20% - Accent2 9 5 2 2" xfId="13365"/>
    <cellStyle name="20% - Accent2 9 5 2 3" xfId="17316"/>
    <cellStyle name="20% - Accent2 9 5 3" xfId="2019"/>
    <cellStyle name="20% - Accent2 9 5 3 2" xfId="13366"/>
    <cellStyle name="20% - Accent2 9 5 3 3" xfId="17317"/>
    <cellStyle name="20% - Accent2 9 5 4" xfId="13364"/>
    <cellStyle name="20% - Accent2 9 5 5" xfId="17315"/>
    <cellStyle name="20% - Accent2 9 6" xfId="2020"/>
    <cellStyle name="20% - Accent2 9 6 2" xfId="2021"/>
    <cellStyle name="20% - Accent2 9 6 2 2" xfId="13368"/>
    <cellStyle name="20% - Accent2 9 6 2 3" xfId="17319"/>
    <cellStyle name="20% - Accent2 9 6 3" xfId="2022"/>
    <cellStyle name="20% - Accent2 9 6 3 2" xfId="13369"/>
    <cellStyle name="20% - Accent2 9 6 3 3" xfId="17320"/>
    <cellStyle name="20% - Accent2 9 6 4" xfId="13367"/>
    <cellStyle name="20% - Accent2 9 6 5" xfId="17318"/>
    <cellStyle name="20% - Accent2 9 7" xfId="2023"/>
    <cellStyle name="20% - Accent2 9 7 2" xfId="13370"/>
    <cellStyle name="20% - Accent2 9 7 3" xfId="17321"/>
    <cellStyle name="20% - Accent2 9 8" xfId="2024"/>
    <cellStyle name="20% - Accent2 9 8 2" xfId="13371"/>
    <cellStyle name="20% - Accent2 9 8 3" xfId="17322"/>
    <cellStyle name="20% - Accent2 9 9" xfId="13339"/>
    <cellStyle name="20% - Accent2 9_Volatility" xfId="2025"/>
    <cellStyle name="20% - Accent3 10" xfId="2026"/>
    <cellStyle name="20% - Accent3 10 10" xfId="17323"/>
    <cellStyle name="20% - Accent3 10 2" xfId="2027"/>
    <cellStyle name="20% - Accent3 10 2 2" xfId="2028"/>
    <cellStyle name="20% - Accent3 10 2 2 2" xfId="2029"/>
    <cellStyle name="20% - Accent3 10 2 2 2 2" xfId="13375"/>
    <cellStyle name="20% - Accent3 10 2 2 2 3" xfId="17326"/>
    <cellStyle name="20% - Accent3 10 2 2 3" xfId="2030"/>
    <cellStyle name="20% - Accent3 10 2 2 3 2" xfId="13376"/>
    <cellStyle name="20% - Accent3 10 2 2 3 3" xfId="17327"/>
    <cellStyle name="20% - Accent3 10 2 2 4" xfId="13374"/>
    <cellStyle name="20% - Accent3 10 2 2 5" xfId="17325"/>
    <cellStyle name="20% - Accent3 10 2 3" xfId="2031"/>
    <cellStyle name="20% - Accent3 10 2 3 2" xfId="2032"/>
    <cellStyle name="20% - Accent3 10 2 3 2 2" xfId="13378"/>
    <cellStyle name="20% - Accent3 10 2 3 2 3" xfId="17329"/>
    <cellStyle name="20% - Accent3 10 2 3 3" xfId="2033"/>
    <cellStyle name="20% - Accent3 10 2 3 3 2" xfId="13379"/>
    <cellStyle name="20% - Accent3 10 2 3 3 3" xfId="17330"/>
    <cellStyle name="20% - Accent3 10 2 3 4" xfId="13377"/>
    <cellStyle name="20% - Accent3 10 2 3 5" xfId="17328"/>
    <cellStyle name="20% - Accent3 10 2 4" xfId="2034"/>
    <cellStyle name="20% - Accent3 10 2 4 2" xfId="2035"/>
    <cellStyle name="20% - Accent3 10 2 4 2 2" xfId="13381"/>
    <cellStyle name="20% - Accent3 10 2 4 2 3" xfId="17332"/>
    <cellStyle name="20% - Accent3 10 2 4 3" xfId="2036"/>
    <cellStyle name="20% - Accent3 10 2 4 3 2" xfId="13382"/>
    <cellStyle name="20% - Accent3 10 2 4 3 3" xfId="17333"/>
    <cellStyle name="20% - Accent3 10 2 4 4" xfId="13380"/>
    <cellStyle name="20% - Accent3 10 2 4 5" xfId="17331"/>
    <cellStyle name="20% - Accent3 10 2 5" xfId="2037"/>
    <cellStyle name="20% - Accent3 10 2 5 2" xfId="13383"/>
    <cellStyle name="20% - Accent3 10 2 5 3" xfId="17334"/>
    <cellStyle name="20% - Accent3 10 2 6" xfId="2038"/>
    <cellStyle name="20% - Accent3 10 2 6 2" xfId="13384"/>
    <cellStyle name="20% - Accent3 10 2 6 3" xfId="17335"/>
    <cellStyle name="20% - Accent3 10 2 7" xfId="13373"/>
    <cellStyle name="20% - Accent3 10 2 8" xfId="17324"/>
    <cellStyle name="20% - Accent3 10 2_Volatility" xfId="2039"/>
    <cellStyle name="20% - Accent3 10 3" xfId="2040"/>
    <cellStyle name="20% - Accent3 10 3 2" xfId="2041"/>
    <cellStyle name="20% - Accent3 10 3 2 2" xfId="2042"/>
    <cellStyle name="20% - Accent3 10 3 2 2 2" xfId="13387"/>
    <cellStyle name="20% - Accent3 10 3 2 2 3" xfId="17338"/>
    <cellStyle name="20% - Accent3 10 3 2 3" xfId="2043"/>
    <cellStyle name="20% - Accent3 10 3 2 3 2" xfId="13388"/>
    <cellStyle name="20% - Accent3 10 3 2 3 3" xfId="17339"/>
    <cellStyle name="20% - Accent3 10 3 2 4" xfId="13386"/>
    <cellStyle name="20% - Accent3 10 3 2 5" xfId="17337"/>
    <cellStyle name="20% - Accent3 10 3 3" xfId="2044"/>
    <cellStyle name="20% - Accent3 10 3 3 2" xfId="2045"/>
    <cellStyle name="20% - Accent3 10 3 3 2 2" xfId="13390"/>
    <cellStyle name="20% - Accent3 10 3 3 2 3" xfId="17341"/>
    <cellStyle name="20% - Accent3 10 3 3 3" xfId="2046"/>
    <cellStyle name="20% - Accent3 10 3 3 3 2" xfId="13391"/>
    <cellStyle name="20% - Accent3 10 3 3 3 3" xfId="17342"/>
    <cellStyle name="20% - Accent3 10 3 3 4" xfId="13389"/>
    <cellStyle name="20% - Accent3 10 3 3 5" xfId="17340"/>
    <cellStyle name="20% - Accent3 10 3 4" xfId="2047"/>
    <cellStyle name="20% - Accent3 10 3 4 2" xfId="13392"/>
    <cellStyle name="20% - Accent3 10 3 4 3" xfId="17343"/>
    <cellStyle name="20% - Accent3 10 3 5" xfId="2048"/>
    <cellStyle name="20% - Accent3 10 3 5 2" xfId="13393"/>
    <cellStyle name="20% - Accent3 10 3 5 3" xfId="17344"/>
    <cellStyle name="20% - Accent3 10 3 6" xfId="13385"/>
    <cellStyle name="20% - Accent3 10 3 7" xfId="17336"/>
    <cellStyle name="20% - Accent3 10 3_Volatility" xfId="2049"/>
    <cellStyle name="20% - Accent3 10 4" xfId="2050"/>
    <cellStyle name="20% - Accent3 10 4 2" xfId="2051"/>
    <cellStyle name="20% - Accent3 10 4 2 2" xfId="13395"/>
    <cellStyle name="20% - Accent3 10 4 2 3" xfId="17346"/>
    <cellStyle name="20% - Accent3 10 4 3" xfId="2052"/>
    <cellStyle name="20% - Accent3 10 4 3 2" xfId="13396"/>
    <cellStyle name="20% - Accent3 10 4 3 3" xfId="17347"/>
    <cellStyle name="20% - Accent3 10 4 4" xfId="13394"/>
    <cellStyle name="20% - Accent3 10 4 5" xfId="17345"/>
    <cellStyle name="20% - Accent3 10 5" xfId="2053"/>
    <cellStyle name="20% - Accent3 10 5 2" xfId="2054"/>
    <cellStyle name="20% - Accent3 10 5 2 2" xfId="13398"/>
    <cellStyle name="20% - Accent3 10 5 2 3" xfId="17349"/>
    <cellStyle name="20% - Accent3 10 5 3" xfId="2055"/>
    <cellStyle name="20% - Accent3 10 5 3 2" xfId="13399"/>
    <cellStyle name="20% - Accent3 10 5 3 3" xfId="17350"/>
    <cellStyle name="20% - Accent3 10 5 4" xfId="13397"/>
    <cellStyle name="20% - Accent3 10 5 5" xfId="17348"/>
    <cellStyle name="20% - Accent3 10 6" xfId="2056"/>
    <cellStyle name="20% - Accent3 10 6 2" xfId="2057"/>
    <cellStyle name="20% - Accent3 10 6 2 2" xfId="13401"/>
    <cellStyle name="20% - Accent3 10 6 2 3" xfId="17352"/>
    <cellStyle name="20% - Accent3 10 6 3" xfId="2058"/>
    <cellStyle name="20% - Accent3 10 6 3 2" xfId="13402"/>
    <cellStyle name="20% - Accent3 10 6 3 3" xfId="17353"/>
    <cellStyle name="20% - Accent3 10 6 4" xfId="13400"/>
    <cellStyle name="20% - Accent3 10 6 5" xfId="17351"/>
    <cellStyle name="20% - Accent3 10 7" xfId="2059"/>
    <cellStyle name="20% - Accent3 10 7 2" xfId="13403"/>
    <cellStyle name="20% - Accent3 10 7 3" xfId="17354"/>
    <cellStyle name="20% - Accent3 10 8" xfId="2060"/>
    <cellStyle name="20% - Accent3 10 8 2" xfId="13404"/>
    <cellStyle name="20% - Accent3 10 8 3" xfId="17355"/>
    <cellStyle name="20% - Accent3 10 9" xfId="13372"/>
    <cellStyle name="20% - Accent3 10_Volatility" xfId="2061"/>
    <cellStyle name="20% - Accent3 11" xfId="2062"/>
    <cellStyle name="20% - Accent3 11 10" xfId="17356"/>
    <cellStyle name="20% - Accent3 11 2" xfId="2063"/>
    <cellStyle name="20% - Accent3 11 2 2" xfId="2064"/>
    <cellStyle name="20% - Accent3 11 2 2 2" xfId="2065"/>
    <cellStyle name="20% - Accent3 11 2 2 2 2" xfId="13408"/>
    <cellStyle name="20% - Accent3 11 2 2 2 3" xfId="17359"/>
    <cellStyle name="20% - Accent3 11 2 2 3" xfId="2066"/>
    <cellStyle name="20% - Accent3 11 2 2 3 2" xfId="13409"/>
    <cellStyle name="20% - Accent3 11 2 2 3 3" xfId="17360"/>
    <cellStyle name="20% - Accent3 11 2 2 4" xfId="13407"/>
    <cellStyle name="20% - Accent3 11 2 2 5" xfId="17358"/>
    <cellStyle name="20% - Accent3 11 2 3" xfId="2067"/>
    <cellStyle name="20% - Accent3 11 2 3 2" xfId="2068"/>
    <cellStyle name="20% - Accent3 11 2 3 2 2" xfId="13411"/>
    <cellStyle name="20% - Accent3 11 2 3 2 3" xfId="17362"/>
    <cellStyle name="20% - Accent3 11 2 3 3" xfId="2069"/>
    <cellStyle name="20% - Accent3 11 2 3 3 2" xfId="13412"/>
    <cellStyle name="20% - Accent3 11 2 3 3 3" xfId="17363"/>
    <cellStyle name="20% - Accent3 11 2 3 4" xfId="13410"/>
    <cellStyle name="20% - Accent3 11 2 3 5" xfId="17361"/>
    <cellStyle name="20% - Accent3 11 2 4" xfId="2070"/>
    <cellStyle name="20% - Accent3 11 2 4 2" xfId="2071"/>
    <cellStyle name="20% - Accent3 11 2 4 2 2" xfId="13414"/>
    <cellStyle name="20% - Accent3 11 2 4 2 3" xfId="17365"/>
    <cellStyle name="20% - Accent3 11 2 4 3" xfId="2072"/>
    <cellStyle name="20% - Accent3 11 2 4 3 2" xfId="13415"/>
    <cellStyle name="20% - Accent3 11 2 4 3 3" xfId="17366"/>
    <cellStyle name="20% - Accent3 11 2 4 4" xfId="13413"/>
    <cellStyle name="20% - Accent3 11 2 4 5" xfId="17364"/>
    <cellStyle name="20% - Accent3 11 2 5" xfId="2073"/>
    <cellStyle name="20% - Accent3 11 2 5 2" xfId="13416"/>
    <cellStyle name="20% - Accent3 11 2 5 3" xfId="17367"/>
    <cellStyle name="20% - Accent3 11 2 6" xfId="2074"/>
    <cellStyle name="20% - Accent3 11 2 6 2" xfId="13417"/>
    <cellStyle name="20% - Accent3 11 2 6 3" xfId="17368"/>
    <cellStyle name="20% - Accent3 11 2 7" xfId="13406"/>
    <cellStyle name="20% - Accent3 11 2 8" xfId="17357"/>
    <cellStyle name="20% - Accent3 11 2_Volatility" xfId="2075"/>
    <cellStyle name="20% - Accent3 11 3" xfId="2076"/>
    <cellStyle name="20% - Accent3 11 3 2" xfId="2077"/>
    <cellStyle name="20% - Accent3 11 3 2 2" xfId="2078"/>
    <cellStyle name="20% - Accent3 11 3 2 2 2" xfId="13420"/>
    <cellStyle name="20% - Accent3 11 3 2 2 3" xfId="17371"/>
    <cellStyle name="20% - Accent3 11 3 2 3" xfId="2079"/>
    <cellStyle name="20% - Accent3 11 3 2 3 2" xfId="13421"/>
    <cellStyle name="20% - Accent3 11 3 2 3 3" xfId="17372"/>
    <cellStyle name="20% - Accent3 11 3 2 4" xfId="13419"/>
    <cellStyle name="20% - Accent3 11 3 2 5" xfId="17370"/>
    <cellStyle name="20% - Accent3 11 3 3" xfId="2080"/>
    <cellStyle name="20% - Accent3 11 3 3 2" xfId="2081"/>
    <cellStyle name="20% - Accent3 11 3 3 2 2" xfId="13423"/>
    <cellStyle name="20% - Accent3 11 3 3 2 3" xfId="17374"/>
    <cellStyle name="20% - Accent3 11 3 3 3" xfId="2082"/>
    <cellStyle name="20% - Accent3 11 3 3 3 2" xfId="13424"/>
    <cellStyle name="20% - Accent3 11 3 3 3 3" xfId="17375"/>
    <cellStyle name="20% - Accent3 11 3 3 4" xfId="13422"/>
    <cellStyle name="20% - Accent3 11 3 3 5" xfId="17373"/>
    <cellStyle name="20% - Accent3 11 3 4" xfId="2083"/>
    <cellStyle name="20% - Accent3 11 3 4 2" xfId="13425"/>
    <cellStyle name="20% - Accent3 11 3 4 3" xfId="17376"/>
    <cellStyle name="20% - Accent3 11 3 5" xfId="2084"/>
    <cellStyle name="20% - Accent3 11 3 5 2" xfId="13426"/>
    <cellStyle name="20% - Accent3 11 3 5 3" xfId="17377"/>
    <cellStyle name="20% - Accent3 11 3 6" xfId="13418"/>
    <cellStyle name="20% - Accent3 11 3 7" xfId="17369"/>
    <cellStyle name="20% - Accent3 11 3_Volatility" xfId="2085"/>
    <cellStyle name="20% - Accent3 11 4" xfId="2086"/>
    <cellStyle name="20% - Accent3 11 4 2" xfId="2087"/>
    <cellStyle name="20% - Accent3 11 4 2 2" xfId="13428"/>
    <cellStyle name="20% - Accent3 11 4 2 3" xfId="17379"/>
    <cellStyle name="20% - Accent3 11 4 3" xfId="2088"/>
    <cellStyle name="20% - Accent3 11 4 3 2" xfId="13429"/>
    <cellStyle name="20% - Accent3 11 4 3 3" xfId="17380"/>
    <cellStyle name="20% - Accent3 11 4 4" xfId="13427"/>
    <cellStyle name="20% - Accent3 11 4 5" xfId="17378"/>
    <cellStyle name="20% - Accent3 11 5" xfId="2089"/>
    <cellStyle name="20% - Accent3 11 5 2" xfId="2090"/>
    <cellStyle name="20% - Accent3 11 5 2 2" xfId="13431"/>
    <cellStyle name="20% - Accent3 11 5 2 3" xfId="17382"/>
    <cellStyle name="20% - Accent3 11 5 3" xfId="2091"/>
    <cellStyle name="20% - Accent3 11 5 3 2" xfId="13432"/>
    <cellStyle name="20% - Accent3 11 5 3 3" xfId="17383"/>
    <cellStyle name="20% - Accent3 11 5 4" xfId="13430"/>
    <cellStyle name="20% - Accent3 11 5 5" xfId="17381"/>
    <cellStyle name="20% - Accent3 11 6" xfId="2092"/>
    <cellStyle name="20% - Accent3 11 6 2" xfId="2093"/>
    <cellStyle name="20% - Accent3 11 6 2 2" xfId="13434"/>
    <cellStyle name="20% - Accent3 11 6 2 3" xfId="17385"/>
    <cellStyle name="20% - Accent3 11 6 3" xfId="2094"/>
    <cellStyle name="20% - Accent3 11 6 3 2" xfId="13435"/>
    <cellStyle name="20% - Accent3 11 6 3 3" xfId="17386"/>
    <cellStyle name="20% - Accent3 11 6 4" xfId="13433"/>
    <cellStyle name="20% - Accent3 11 6 5" xfId="17384"/>
    <cellStyle name="20% - Accent3 11 7" xfId="2095"/>
    <cellStyle name="20% - Accent3 11 7 2" xfId="13436"/>
    <cellStyle name="20% - Accent3 11 7 3" xfId="17387"/>
    <cellStyle name="20% - Accent3 11 8" xfId="2096"/>
    <cellStyle name="20% - Accent3 11 8 2" xfId="13437"/>
    <cellStyle name="20% - Accent3 11 8 3" xfId="17388"/>
    <cellStyle name="20% - Accent3 11 9" xfId="13405"/>
    <cellStyle name="20% - Accent3 11_Volatility" xfId="2097"/>
    <cellStyle name="20% - Accent3 12" xfId="2098"/>
    <cellStyle name="20% - Accent3 12 10" xfId="17389"/>
    <cellStyle name="20% - Accent3 12 2" xfId="2099"/>
    <cellStyle name="20% - Accent3 12 2 2" xfId="2100"/>
    <cellStyle name="20% - Accent3 12 2 2 2" xfId="2101"/>
    <cellStyle name="20% - Accent3 12 2 2 2 2" xfId="13441"/>
    <cellStyle name="20% - Accent3 12 2 2 2 3" xfId="17392"/>
    <cellStyle name="20% - Accent3 12 2 2 3" xfId="2102"/>
    <cellStyle name="20% - Accent3 12 2 2 3 2" xfId="13442"/>
    <cellStyle name="20% - Accent3 12 2 2 3 3" xfId="17393"/>
    <cellStyle name="20% - Accent3 12 2 2 4" xfId="13440"/>
    <cellStyle name="20% - Accent3 12 2 2 5" xfId="17391"/>
    <cellStyle name="20% - Accent3 12 2 3" xfId="2103"/>
    <cellStyle name="20% - Accent3 12 2 3 2" xfId="2104"/>
    <cellStyle name="20% - Accent3 12 2 3 2 2" xfId="13444"/>
    <cellStyle name="20% - Accent3 12 2 3 2 3" xfId="17395"/>
    <cellStyle name="20% - Accent3 12 2 3 3" xfId="2105"/>
    <cellStyle name="20% - Accent3 12 2 3 3 2" xfId="13445"/>
    <cellStyle name="20% - Accent3 12 2 3 3 3" xfId="17396"/>
    <cellStyle name="20% - Accent3 12 2 3 4" xfId="13443"/>
    <cellStyle name="20% - Accent3 12 2 3 5" xfId="17394"/>
    <cellStyle name="20% - Accent3 12 2 4" xfId="2106"/>
    <cellStyle name="20% - Accent3 12 2 4 2" xfId="2107"/>
    <cellStyle name="20% - Accent3 12 2 4 2 2" xfId="13447"/>
    <cellStyle name="20% - Accent3 12 2 4 2 3" xfId="17398"/>
    <cellStyle name="20% - Accent3 12 2 4 3" xfId="2108"/>
    <cellStyle name="20% - Accent3 12 2 4 3 2" xfId="13448"/>
    <cellStyle name="20% - Accent3 12 2 4 3 3" xfId="17399"/>
    <cellStyle name="20% - Accent3 12 2 4 4" xfId="13446"/>
    <cellStyle name="20% - Accent3 12 2 4 5" xfId="17397"/>
    <cellStyle name="20% - Accent3 12 2 5" xfId="2109"/>
    <cellStyle name="20% - Accent3 12 2 5 2" xfId="13449"/>
    <cellStyle name="20% - Accent3 12 2 5 3" xfId="17400"/>
    <cellStyle name="20% - Accent3 12 2 6" xfId="2110"/>
    <cellStyle name="20% - Accent3 12 2 6 2" xfId="13450"/>
    <cellStyle name="20% - Accent3 12 2 6 3" xfId="17401"/>
    <cellStyle name="20% - Accent3 12 2 7" xfId="13439"/>
    <cellStyle name="20% - Accent3 12 2 8" xfId="17390"/>
    <cellStyle name="20% - Accent3 12 2_Volatility" xfId="2111"/>
    <cellStyle name="20% - Accent3 12 3" xfId="2112"/>
    <cellStyle name="20% - Accent3 12 3 2" xfId="2113"/>
    <cellStyle name="20% - Accent3 12 3 2 2" xfId="2114"/>
    <cellStyle name="20% - Accent3 12 3 2 2 2" xfId="13453"/>
    <cellStyle name="20% - Accent3 12 3 2 2 3" xfId="17404"/>
    <cellStyle name="20% - Accent3 12 3 2 3" xfId="2115"/>
    <cellStyle name="20% - Accent3 12 3 2 3 2" xfId="13454"/>
    <cellStyle name="20% - Accent3 12 3 2 3 3" xfId="17405"/>
    <cellStyle name="20% - Accent3 12 3 2 4" xfId="13452"/>
    <cellStyle name="20% - Accent3 12 3 2 5" xfId="17403"/>
    <cellStyle name="20% - Accent3 12 3 3" xfId="2116"/>
    <cellStyle name="20% - Accent3 12 3 3 2" xfId="2117"/>
    <cellStyle name="20% - Accent3 12 3 3 2 2" xfId="13456"/>
    <cellStyle name="20% - Accent3 12 3 3 2 3" xfId="17407"/>
    <cellStyle name="20% - Accent3 12 3 3 3" xfId="2118"/>
    <cellStyle name="20% - Accent3 12 3 3 3 2" xfId="13457"/>
    <cellStyle name="20% - Accent3 12 3 3 3 3" xfId="17408"/>
    <cellStyle name="20% - Accent3 12 3 3 4" xfId="13455"/>
    <cellStyle name="20% - Accent3 12 3 3 5" xfId="17406"/>
    <cellStyle name="20% - Accent3 12 3 4" xfId="2119"/>
    <cellStyle name="20% - Accent3 12 3 4 2" xfId="13458"/>
    <cellStyle name="20% - Accent3 12 3 4 3" xfId="17409"/>
    <cellStyle name="20% - Accent3 12 3 5" xfId="2120"/>
    <cellStyle name="20% - Accent3 12 3 5 2" xfId="13459"/>
    <cellStyle name="20% - Accent3 12 3 5 3" xfId="17410"/>
    <cellStyle name="20% - Accent3 12 3 6" xfId="13451"/>
    <cellStyle name="20% - Accent3 12 3 7" xfId="17402"/>
    <cellStyle name="20% - Accent3 12 3_Volatility" xfId="2121"/>
    <cellStyle name="20% - Accent3 12 4" xfId="2122"/>
    <cellStyle name="20% - Accent3 12 4 2" xfId="2123"/>
    <cellStyle name="20% - Accent3 12 4 2 2" xfId="13461"/>
    <cellStyle name="20% - Accent3 12 4 2 3" xfId="17412"/>
    <cellStyle name="20% - Accent3 12 4 3" xfId="2124"/>
    <cellStyle name="20% - Accent3 12 4 3 2" xfId="13462"/>
    <cellStyle name="20% - Accent3 12 4 3 3" xfId="17413"/>
    <cellStyle name="20% - Accent3 12 4 4" xfId="13460"/>
    <cellStyle name="20% - Accent3 12 4 5" xfId="17411"/>
    <cellStyle name="20% - Accent3 12 5" xfId="2125"/>
    <cellStyle name="20% - Accent3 12 5 2" xfId="2126"/>
    <cellStyle name="20% - Accent3 12 5 2 2" xfId="13464"/>
    <cellStyle name="20% - Accent3 12 5 2 3" xfId="17415"/>
    <cellStyle name="20% - Accent3 12 5 3" xfId="2127"/>
    <cellStyle name="20% - Accent3 12 5 3 2" xfId="13465"/>
    <cellStyle name="20% - Accent3 12 5 3 3" xfId="17416"/>
    <cellStyle name="20% - Accent3 12 5 4" xfId="13463"/>
    <cellStyle name="20% - Accent3 12 5 5" xfId="17414"/>
    <cellStyle name="20% - Accent3 12 6" xfId="2128"/>
    <cellStyle name="20% - Accent3 12 6 2" xfId="2129"/>
    <cellStyle name="20% - Accent3 12 6 2 2" xfId="13467"/>
    <cellStyle name="20% - Accent3 12 6 2 3" xfId="17418"/>
    <cellStyle name="20% - Accent3 12 6 3" xfId="2130"/>
    <cellStyle name="20% - Accent3 12 6 3 2" xfId="13468"/>
    <cellStyle name="20% - Accent3 12 6 3 3" xfId="17419"/>
    <cellStyle name="20% - Accent3 12 6 4" xfId="13466"/>
    <cellStyle name="20% - Accent3 12 6 5" xfId="17417"/>
    <cellStyle name="20% - Accent3 12 7" xfId="2131"/>
    <cellStyle name="20% - Accent3 12 7 2" xfId="13469"/>
    <cellStyle name="20% - Accent3 12 7 3" xfId="17420"/>
    <cellStyle name="20% - Accent3 12 8" xfId="2132"/>
    <cellStyle name="20% - Accent3 12 8 2" xfId="13470"/>
    <cellStyle name="20% - Accent3 12 8 3" xfId="17421"/>
    <cellStyle name="20% - Accent3 12 9" xfId="13438"/>
    <cellStyle name="20% - Accent3 12_Volatility" xfId="2133"/>
    <cellStyle name="20% - Accent3 13" xfId="2134"/>
    <cellStyle name="20% - Accent3 13 10" xfId="17422"/>
    <cellStyle name="20% - Accent3 13 2" xfId="2135"/>
    <cellStyle name="20% - Accent3 13 2 2" xfId="2136"/>
    <cellStyle name="20% - Accent3 13 2 2 2" xfId="2137"/>
    <cellStyle name="20% - Accent3 13 2 2 2 2" xfId="13474"/>
    <cellStyle name="20% - Accent3 13 2 2 2 3" xfId="17425"/>
    <cellStyle name="20% - Accent3 13 2 2 3" xfId="2138"/>
    <cellStyle name="20% - Accent3 13 2 2 3 2" xfId="13475"/>
    <cellStyle name="20% - Accent3 13 2 2 3 3" xfId="17426"/>
    <cellStyle name="20% - Accent3 13 2 2 4" xfId="13473"/>
    <cellStyle name="20% - Accent3 13 2 2 5" xfId="17424"/>
    <cellStyle name="20% - Accent3 13 2 3" xfId="2139"/>
    <cellStyle name="20% - Accent3 13 2 3 2" xfId="2140"/>
    <cellStyle name="20% - Accent3 13 2 3 2 2" xfId="13477"/>
    <cellStyle name="20% - Accent3 13 2 3 2 3" xfId="17428"/>
    <cellStyle name="20% - Accent3 13 2 3 3" xfId="2141"/>
    <cellStyle name="20% - Accent3 13 2 3 3 2" xfId="13478"/>
    <cellStyle name="20% - Accent3 13 2 3 3 3" xfId="17429"/>
    <cellStyle name="20% - Accent3 13 2 3 4" xfId="13476"/>
    <cellStyle name="20% - Accent3 13 2 3 5" xfId="17427"/>
    <cellStyle name="20% - Accent3 13 2 4" xfId="2142"/>
    <cellStyle name="20% - Accent3 13 2 4 2" xfId="2143"/>
    <cellStyle name="20% - Accent3 13 2 4 2 2" xfId="13480"/>
    <cellStyle name="20% - Accent3 13 2 4 2 3" xfId="17431"/>
    <cellStyle name="20% - Accent3 13 2 4 3" xfId="2144"/>
    <cellStyle name="20% - Accent3 13 2 4 3 2" xfId="13481"/>
    <cellStyle name="20% - Accent3 13 2 4 3 3" xfId="17432"/>
    <cellStyle name="20% - Accent3 13 2 4 4" xfId="13479"/>
    <cellStyle name="20% - Accent3 13 2 4 5" xfId="17430"/>
    <cellStyle name="20% - Accent3 13 2 5" xfId="2145"/>
    <cellStyle name="20% - Accent3 13 2 5 2" xfId="13482"/>
    <cellStyle name="20% - Accent3 13 2 5 3" xfId="17433"/>
    <cellStyle name="20% - Accent3 13 2 6" xfId="2146"/>
    <cellStyle name="20% - Accent3 13 2 6 2" xfId="13483"/>
    <cellStyle name="20% - Accent3 13 2 6 3" xfId="17434"/>
    <cellStyle name="20% - Accent3 13 2 7" xfId="13472"/>
    <cellStyle name="20% - Accent3 13 2 8" xfId="17423"/>
    <cellStyle name="20% - Accent3 13 2_Volatility" xfId="2147"/>
    <cellStyle name="20% - Accent3 13 3" xfId="2148"/>
    <cellStyle name="20% - Accent3 13 3 2" xfId="2149"/>
    <cellStyle name="20% - Accent3 13 3 2 2" xfId="2150"/>
    <cellStyle name="20% - Accent3 13 3 2 2 2" xfId="13486"/>
    <cellStyle name="20% - Accent3 13 3 2 2 3" xfId="17437"/>
    <cellStyle name="20% - Accent3 13 3 2 3" xfId="2151"/>
    <cellStyle name="20% - Accent3 13 3 2 3 2" xfId="13487"/>
    <cellStyle name="20% - Accent3 13 3 2 3 3" xfId="17438"/>
    <cellStyle name="20% - Accent3 13 3 2 4" xfId="13485"/>
    <cellStyle name="20% - Accent3 13 3 2 5" xfId="17436"/>
    <cellStyle name="20% - Accent3 13 3 3" xfId="2152"/>
    <cellStyle name="20% - Accent3 13 3 3 2" xfId="2153"/>
    <cellStyle name="20% - Accent3 13 3 3 2 2" xfId="13489"/>
    <cellStyle name="20% - Accent3 13 3 3 2 3" xfId="17440"/>
    <cellStyle name="20% - Accent3 13 3 3 3" xfId="2154"/>
    <cellStyle name="20% - Accent3 13 3 3 3 2" xfId="13490"/>
    <cellStyle name="20% - Accent3 13 3 3 3 3" xfId="17441"/>
    <cellStyle name="20% - Accent3 13 3 3 4" xfId="13488"/>
    <cellStyle name="20% - Accent3 13 3 3 5" xfId="17439"/>
    <cellStyle name="20% - Accent3 13 3 4" xfId="2155"/>
    <cellStyle name="20% - Accent3 13 3 4 2" xfId="13491"/>
    <cellStyle name="20% - Accent3 13 3 4 3" xfId="17442"/>
    <cellStyle name="20% - Accent3 13 3 5" xfId="2156"/>
    <cellStyle name="20% - Accent3 13 3 5 2" xfId="13492"/>
    <cellStyle name="20% - Accent3 13 3 5 3" xfId="17443"/>
    <cellStyle name="20% - Accent3 13 3 6" xfId="13484"/>
    <cellStyle name="20% - Accent3 13 3 7" xfId="17435"/>
    <cellStyle name="20% - Accent3 13 3_Volatility" xfId="2157"/>
    <cellStyle name="20% - Accent3 13 4" xfId="2158"/>
    <cellStyle name="20% - Accent3 13 4 2" xfId="2159"/>
    <cellStyle name="20% - Accent3 13 4 2 2" xfId="13494"/>
    <cellStyle name="20% - Accent3 13 4 2 3" xfId="17445"/>
    <cellStyle name="20% - Accent3 13 4 3" xfId="2160"/>
    <cellStyle name="20% - Accent3 13 4 3 2" xfId="13495"/>
    <cellStyle name="20% - Accent3 13 4 3 3" xfId="17446"/>
    <cellStyle name="20% - Accent3 13 4 4" xfId="13493"/>
    <cellStyle name="20% - Accent3 13 4 5" xfId="17444"/>
    <cellStyle name="20% - Accent3 13 5" xfId="2161"/>
    <cellStyle name="20% - Accent3 13 5 2" xfId="2162"/>
    <cellStyle name="20% - Accent3 13 5 2 2" xfId="13497"/>
    <cellStyle name="20% - Accent3 13 5 2 3" xfId="17448"/>
    <cellStyle name="20% - Accent3 13 5 3" xfId="2163"/>
    <cellStyle name="20% - Accent3 13 5 3 2" xfId="13498"/>
    <cellStyle name="20% - Accent3 13 5 3 3" xfId="17449"/>
    <cellStyle name="20% - Accent3 13 5 4" xfId="13496"/>
    <cellStyle name="20% - Accent3 13 5 5" xfId="17447"/>
    <cellStyle name="20% - Accent3 13 6" xfId="2164"/>
    <cellStyle name="20% - Accent3 13 6 2" xfId="2165"/>
    <cellStyle name="20% - Accent3 13 6 2 2" xfId="13500"/>
    <cellStyle name="20% - Accent3 13 6 2 3" xfId="17451"/>
    <cellStyle name="20% - Accent3 13 6 3" xfId="2166"/>
    <cellStyle name="20% - Accent3 13 6 3 2" xfId="13501"/>
    <cellStyle name="20% - Accent3 13 6 3 3" xfId="17452"/>
    <cellStyle name="20% - Accent3 13 6 4" xfId="13499"/>
    <cellStyle name="20% - Accent3 13 6 5" xfId="17450"/>
    <cellStyle name="20% - Accent3 13 7" xfId="2167"/>
    <cellStyle name="20% - Accent3 13 7 2" xfId="13502"/>
    <cellStyle name="20% - Accent3 13 7 3" xfId="17453"/>
    <cellStyle name="20% - Accent3 13 8" xfId="2168"/>
    <cellStyle name="20% - Accent3 13 8 2" xfId="13503"/>
    <cellStyle name="20% - Accent3 13 8 3" xfId="17454"/>
    <cellStyle name="20% - Accent3 13 9" xfId="13471"/>
    <cellStyle name="20% - Accent3 13_Volatility" xfId="2169"/>
    <cellStyle name="20% - Accent3 14" xfId="2170"/>
    <cellStyle name="20% - Accent3 14 10" xfId="17455"/>
    <cellStyle name="20% - Accent3 14 2" xfId="2171"/>
    <cellStyle name="20% - Accent3 14 2 2" xfId="2172"/>
    <cellStyle name="20% - Accent3 14 2 2 2" xfId="2173"/>
    <cellStyle name="20% - Accent3 14 2 2 2 2" xfId="13507"/>
    <cellStyle name="20% - Accent3 14 2 2 2 3" xfId="17458"/>
    <cellStyle name="20% - Accent3 14 2 2 3" xfId="2174"/>
    <cellStyle name="20% - Accent3 14 2 2 3 2" xfId="13508"/>
    <cellStyle name="20% - Accent3 14 2 2 3 3" xfId="17459"/>
    <cellStyle name="20% - Accent3 14 2 2 4" xfId="13506"/>
    <cellStyle name="20% - Accent3 14 2 2 5" xfId="17457"/>
    <cellStyle name="20% - Accent3 14 2 3" xfId="2175"/>
    <cellStyle name="20% - Accent3 14 2 3 2" xfId="2176"/>
    <cellStyle name="20% - Accent3 14 2 3 2 2" xfId="13510"/>
    <cellStyle name="20% - Accent3 14 2 3 2 3" xfId="17461"/>
    <cellStyle name="20% - Accent3 14 2 3 3" xfId="2177"/>
    <cellStyle name="20% - Accent3 14 2 3 3 2" xfId="13511"/>
    <cellStyle name="20% - Accent3 14 2 3 3 3" xfId="17462"/>
    <cellStyle name="20% - Accent3 14 2 3 4" xfId="13509"/>
    <cellStyle name="20% - Accent3 14 2 3 5" xfId="17460"/>
    <cellStyle name="20% - Accent3 14 2 4" xfId="2178"/>
    <cellStyle name="20% - Accent3 14 2 4 2" xfId="2179"/>
    <cellStyle name="20% - Accent3 14 2 4 2 2" xfId="13513"/>
    <cellStyle name="20% - Accent3 14 2 4 2 3" xfId="17464"/>
    <cellStyle name="20% - Accent3 14 2 4 3" xfId="2180"/>
    <cellStyle name="20% - Accent3 14 2 4 3 2" xfId="13514"/>
    <cellStyle name="20% - Accent3 14 2 4 3 3" xfId="17465"/>
    <cellStyle name="20% - Accent3 14 2 4 4" xfId="13512"/>
    <cellStyle name="20% - Accent3 14 2 4 5" xfId="17463"/>
    <cellStyle name="20% - Accent3 14 2 5" xfId="2181"/>
    <cellStyle name="20% - Accent3 14 2 5 2" xfId="13515"/>
    <cellStyle name="20% - Accent3 14 2 5 3" xfId="17466"/>
    <cellStyle name="20% - Accent3 14 2 6" xfId="2182"/>
    <cellStyle name="20% - Accent3 14 2 6 2" xfId="13516"/>
    <cellStyle name="20% - Accent3 14 2 6 3" xfId="17467"/>
    <cellStyle name="20% - Accent3 14 2 7" xfId="13505"/>
    <cellStyle name="20% - Accent3 14 2 8" xfId="17456"/>
    <cellStyle name="20% - Accent3 14 2_Volatility" xfId="2183"/>
    <cellStyle name="20% - Accent3 14 3" xfId="2184"/>
    <cellStyle name="20% - Accent3 14 3 2" xfId="2185"/>
    <cellStyle name="20% - Accent3 14 3 2 2" xfId="2186"/>
    <cellStyle name="20% - Accent3 14 3 2 2 2" xfId="13519"/>
    <cellStyle name="20% - Accent3 14 3 2 2 3" xfId="17470"/>
    <cellStyle name="20% - Accent3 14 3 2 3" xfId="2187"/>
    <cellStyle name="20% - Accent3 14 3 2 3 2" xfId="13520"/>
    <cellStyle name="20% - Accent3 14 3 2 3 3" xfId="17471"/>
    <cellStyle name="20% - Accent3 14 3 2 4" xfId="13518"/>
    <cellStyle name="20% - Accent3 14 3 2 5" xfId="17469"/>
    <cellStyle name="20% - Accent3 14 3 3" xfId="2188"/>
    <cellStyle name="20% - Accent3 14 3 3 2" xfId="2189"/>
    <cellStyle name="20% - Accent3 14 3 3 2 2" xfId="13522"/>
    <cellStyle name="20% - Accent3 14 3 3 2 3" xfId="17473"/>
    <cellStyle name="20% - Accent3 14 3 3 3" xfId="2190"/>
    <cellStyle name="20% - Accent3 14 3 3 3 2" xfId="13523"/>
    <cellStyle name="20% - Accent3 14 3 3 3 3" xfId="17474"/>
    <cellStyle name="20% - Accent3 14 3 3 4" xfId="13521"/>
    <cellStyle name="20% - Accent3 14 3 3 5" xfId="17472"/>
    <cellStyle name="20% - Accent3 14 3 4" xfId="2191"/>
    <cellStyle name="20% - Accent3 14 3 4 2" xfId="13524"/>
    <cellStyle name="20% - Accent3 14 3 4 3" xfId="17475"/>
    <cellStyle name="20% - Accent3 14 3 5" xfId="2192"/>
    <cellStyle name="20% - Accent3 14 3 5 2" xfId="13525"/>
    <cellStyle name="20% - Accent3 14 3 5 3" xfId="17476"/>
    <cellStyle name="20% - Accent3 14 3 6" xfId="13517"/>
    <cellStyle name="20% - Accent3 14 3 7" xfId="17468"/>
    <cellStyle name="20% - Accent3 14 3_Volatility" xfId="2193"/>
    <cellStyle name="20% - Accent3 14 4" xfId="2194"/>
    <cellStyle name="20% - Accent3 14 4 2" xfId="2195"/>
    <cellStyle name="20% - Accent3 14 4 2 2" xfId="13527"/>
    <cellStyle name="20% - Accent3 14 4 2 3" xfId="17478"/>
    <cellStyle name="20% - Accent3 14 4 3" xfId="2196"/>
    <cellStyle name="20% - Accent3 14 4 3 2" xfId="13528"/>
    <cellStyle name="20% - Accent3 14 4 3 3" xfId="17479"/>
    <cellStyle name="20% - Accent3 14 4 4" xfId="13526"/>
    <cellStyle name="20% - Accent3 14 4 5" xfId="17477"/>
    <cellStyle name="20% - Accent3 14 5" xfId="2197"/>
    <cellStyle name="20% - Accent3 14 5 2" xfId="2198"/>
    <cellStyle name="20% - Accent3 14 5 2 2" xfId="13530"/>
    <cellStyle name="20% - Accent3 14 5 2 3" xfId="17481"/>
    <cellStyle name="20% - Accent3 14 5 3" xfId="2199"/>
    <cellStyle name="20% - Accent3 14 5 3 2" xfId="13531"/>
    <cellStyle name="20% - Accent3 14 5 3 3" xfId="17482"/>
    <cellStyle name="20% - Accent3 14 5 4" xfId="13529"/>
    <cellStyle name="20% - Accent3 14 5 5" xfId="17480"/>
    <cellStyle name="20% - Accent3 14 6" xfId="2200"/>
    <cellStyle name="20% - Accent3 14 6 2" xfId="2201"/>
    <cellStyle name="20% - Accent3 14 6 2 2" xfId="13533"/>
    <cellStyle name="20% - Accent3 14 6 2 3" xfId="17484"/>
    <cellStyle name="20% - Accent3 14 6 3" xfId="2202"/>
    <cellStyle name="20% - Accent3 14 6 3 2" xfId="13534"/>
    <cellStyle name="20% - Accent3 14 6 3 3" xfId="17485"/>
    <cellStyle name="20% - Accent3 14 6 4" xfId="13532"/>
    <cellStyle name="20% - Accent3 14 6 5" xfId="17483"/>
    <cellStyle name="20% - Accent3 14 7" xfId="2203"/>
    <cellStyle name="20% - Accent3 14 7 2" xfId="13535"/>
    <cellStyle name="20% - Accent3 14 7 3" xfId="17486"/>
    <cellStyle name="20% - Accent3 14 8" xfId="2204"/>
    <cellStyle name="20% - Accent3 14 8 2" xfId="13536"/>
    <cellStyle name="20% - Accent3 14 8 3" xfId="17487"/>
    <cellStyle name="20% - Accent3 14 9" xfId="13504"/>
    <cellStyle name="20% - Accent3 14_Volatility" xfId="2205"/>
    <cellStyle name="20% - Accent3 15" xfId="2206"/>
    <cellStyle name="20% - Accent3 15 10" xfId="17488"/>
    <cellStyle name="20% - Accent3 15 2" xfId="2207"/>
    <cellStyle name="20% - Accent3 15 2 2" xfId="2208"/>
    <cellStyle name="20% - Accent3 15 2 2 2" xfId="2209"/>
    <cellStyle name="20% - Accent3 15 2 2 2 2" xfId="13540"/>
    <cellStyle name="20% - Accent3 15 2 2 2 3" xfId="17491"/>
    <cellStyle name="20% - Accent3 15 2 2 3" xfId="2210"/>
    <cellStyle name="20% - Accent3 15 2 2 3 2" xfId="13541"/>
    <cellStyle name="20% - Accent3 15 2 2 3 3" xfId="17492"/>
    <cellStyle name="20% - Accent3 15 2 2 4" xfId="13539"/>
    <cellStyle name="20% - Accent3 15 2 2 5" xfId="17490"/>
    <cellStyle name="20% - Accent3 15 2 3" xfId="2211"/>
    <cellStyle name="20% - Accent3 15 2 3 2" xfId="2212"/>
    <cellStyle name="20% - Accent3 15 2 3 2 2" xfId="13543"/>
    <cellStyle name="20% - Accent3 15 2 3 2 3" xfId="17494"/>
    <cellStyle name="20% - Accent3 15 2 3 3" xfId="2213"/>
    <cellStyle name="20% - Accent3 15 2 3 3 2" xfId="13544"/>
    <cellStyle name="20% - Accent3 15 2 3 3 3" xfId="17495"/>
    <cellStyle name="20% - Accent3 15 2 3 4" xfId="13542"/>
    <cellStyle name="20% - Accent3 15 2 3 5" xfId="17493"/>
    <cellStyle name="20% - Accent3 15 2 4" xfId="2214"/>
    <cellStyle name="20% - Accent3 15 2 4 2" xfId="2215"/>
    <cellStyle name="20% - Accent3 15 2 4 2 2" xfId="13546"/>
    <cellStyle name="20% - Accent3 15 2 4 2 3" xfId="17497"/>
    <cellStyle name="20% - Accent3 15 2 4 3" xfId="2216"/>
    <cellStyle name="20% - Accent3 15 2 4 3 2" xfId="13547"/>
    <cellStyle name="20% - Accent3 15 2 4 3 3" xfId="17498"/>
    <cellStyle name="20% - Accent3 15 2 4 4" xfId="13545"/>
    <cellStyle name="20% - Accent3 15 2 4 5" xfId="17496"/>
    <cellStyle name="20% - Accent3 15 2 5" xfId="2217"/>
    <cellStyle name="20% - Accent3 15 2 5 2" xfId="13548"/>
    <cellStyle name="20% - Accent3 15 2 5 3" xfId="17499"/>
    <cellStyle name="20% - Accent3 15 2 6" xfId="2218"/>
    <cellStyle name="20% - Accent3 15 2 6 2" xfId="13549"/>
    <cellStyle name="20% - Accent3 15 2 6 3" xfId="17500"/>
    <cellStyle name="20% - Accent3 15 2 7" xfId="13538"/>
    <cellStyle name="20% - Accent3 15 2 8" xfId="17489"/>
    <cellStyle name="20% - Accent3 15 2_Volatility" xfId="2219"/>
    <cellStyle name="20% - Accent3 15 3" xfId="2220"/>
    <cellStyle name="20% - Accent3 15 3 2" xfId="2221"/>
    <cellStyle name="20% - Accent3 15 3 2 2" xfId="2222"/>
    <cellStyle name="20% - Accent3 15 3 2 2 2" xfId="13552"/>
    <cellStyle name="20% - Accent3 15 3 2 2 3" xfId="17503"/>
    <cellStyle name="20% - Accent3 15 3 2 3" xfId="2223"/>
    <cellStyle name="20% - Accent3 15 3 2 3 2" xfId="13553"/>
    <cellStyle name="20% - Accent3 15 3 2 3 3" xfId="17504"/>
    <cellStyle name="20% - Accent3 15 3 2 4" xfId="13551"/>
    <cellStyle name="20% - Accent3 15 3 2 5" xfId="17502"/>
    <cellStyle name="20% - Accent3 15 3 3" xfId="2224"/>
    <cellStyle name="20% - Accent3 15 3 3 2" xfId="2225"/>
    <cellStyle name="20% - Accent3 15 3 3 2 2" xfId="13555"/>
    <cellStyle name="20% - Accent3 15 3 3 2 3" xfId="17506"/>
    <cellStyle name="20% - Accent3 15 3 3 3" xfId="2226"/>
    <cellStyle name="20% - Accent3 15 3 3 3 2" xfId="13556"/>
    <cellStyle name="20% - Accent3 15 3 3 3 3" xfId="17507"/>
    <cellStyle name="20% - Accent3 15 3 3 4" xfId="13554"/>
    <cellStyle name="20% - Accent3 15 3 3 5" xfId="17505"/>
    <cellStyle name="20% - Accent3 15 3 4" xfId="2227"/>
    <cellStyle name="20% - Accent3 15 3 4 2" xfId="13557"/>
    <cellStyle name="20% - Accent3 15 3 4 3" xfId="17508"/>
    <cellStyle name="20% - Accent3 15 3 5" xfId="2228"/>
    <cellStyle name="20% - Accent3 15 3 5 2" xfId="13558"/>
    <cellStyle name="20% - Accent3 15 3 5 3" xfId="17509"/>
    <cellStyle name="20% - Accent3 15 3 6" xfId="13550"/>
    <cellStyle name="20% - Accent3 15 3 7" xfId="17501"/>
    <cellStyle name="20% - Accent3 15 3_Volatility" xfId="2229"/>
    <cellStyle name="20% - Accent3 15 4" xfId="2230"/>
    <cellStyle name="20% - Accent3 15 4 2" xfId="2231"/>
    <cellStyle name="20% - Accent3 15 4 2 2" xfId="13560"/>
    <cellStyle name="20% - Accent3 15 4 2 3" xfId="17511"/>
    <cellStyle name="20% - Accent3 15 4 3" xfId="2232"/>
    <cellStyle name="20% - Accent3 15 4 3 2" xfId="13561"/>
    <cellStyle name="20% - Accent3 15 4 3 3" xfId="17512"/>
    <cellStyle name="20% - Accent3 15 4 4" xfId="13559"/>
    <cellStyle name="20% - Accent3 15 4 5" xfId="17510"/>
    <cellStyle name="20% - Accent3 15 5" xfId="2233"/>
    <cellStyle name="20% - Accent3 15 5 2" xfId="2234"/>
    <cellStyle name="20% - Accent3 15 5 2 2" xfId="13563"/>
    <cellStyle name="20% - Accent3 15 5 2 3" xfId="17514"/>
    <cellStyle name="20% - Accent3 15 5 3" xfId="2235"/>
    <cellStyle name="20% - Accent3 15 5 3 2" xfId="13564"/>
    <cellStyle name="20% - Accent3 15 5 3 3" xfId="17515"/>
    <cellStyle name="20% - Accent3 15 5 4" xfId="13562"/>
    <cellStyle name="20% - Accent3 15 5 5" xfId="17513"/>
    <cellStyle name="20% - Accent3 15 6" xfId="2236"/>
    <cellStyle name="20% - Accent3 15 6 2" xfId="2237"/>
    <cellStyle name="20% - Accent3 15 6 2 2" xfId="13566"/>
    <cellStyle name="20% - Accent3 15 6 2 3" xfId="17517"/>
    <cellStyle name="20% - Accent3 15 6 3" xfId="2238"/>
    <cellStyle name="20% - Accent3 15 6 3 2" xfId="13567"/>
    <cellStyle name="20% - Accent3 15 6 3 3" xfId="17518"/>
    <cellStyle name="20% - Accent3 15 6 4" xfId="13565"/>
    <cellStyle name="20% - Accent3 15 6 5" xfId="17516"/>
    <cellStyle name="20% - Accent3 15 7" xfId="2239"/>
    <cellStyle name="20% - Accent3 15 7 2" xfId="13568"/>
    <cellStyle name="20% - Accent3 15 7 3" xfId="17519"/>
    <cellStyle name="20% - Accent3 15 8" xfId="2240"/>
    <cellStyle name="20% - Accent3 15 8 2" xfId="13569"/>
    <cellStyle name="20% - Accent3 15 8 3" xfId="17520"/>
    <cellStyle name="20% - Accent3 15 9" xfId="13537"/>
    <cellStyle name="20% - Accent3 15_Volatility" xfId="2241"/>
    <cellStyle name="20% - Accent3 16" xfId="2242"/>
    <cellStyle name="20% - Accent3 16 2" xfId="13570"/>
    <cellStyle name="20% - Accent3 16 3" xfId="17521"/>
    <cellStyle name="20% - Accent3 17" xfId="2243"/>
    <cellStyle name="20% - Accent3 17 2" xfId="13571"/>
    <cellStyle name="20% - Accent3 17 3" xfId="17522"/>
    <cellStyle name="20% - Accent3 18" xfId="2244"/>
    <cellStyle name="20% - Accent3 18 2" xfId="13572"/>
    <cellStyle name="20% - Accent3 18 3" xfId="17523"/>
    <cellStyle name="20% - Accent3 19" xfId="2245"/>
    <cellStyle name="20% - Accent3 19 2" xfId="13573"/>
    <cellStyle name="20% - Accent3 19 3" xfId="17524"/>
    <cellStyle name="20% - Accent3 2" xfId="2246"/>
    <cellStyle name="20% - Accent3 2 10" xfId="17525"/>
    <cellStyle name="20% - Accent3 2 2" xfId="2247"/>
    <cellStyle name="20% - Accent3 2 2 2" xfId="2248"/>
    <cellStyle name="20% - Accent3 2 2 2 2" xfId="2249"/>
    <cellStyle name="20% - Accent3 2 2 2 2 2" xfId="13577"/>
    <cellStyle name="20% - Accent3 2 2 2 2 3" xfId="17528"/>
    <cellStyle name="20% - Accent3 2 2 2 3" xfId="2250"/>
    <cellStyle name="20% - Accent3 2 2 2 3 2" xfId="13578"/>
    <cellStyle name="20% - Accent3 2 2 2 3 3" xfId="17529"/>
    <cellStyle name="20% - Accent3 2 2 2 4" xfId="13576"/>
    <cellStyle name="20% - Accent3 2 2 2 5" xfId="17527"/>
    <cellStyle name="20% - Accent3 2 2 3" xfId="2251"/>
    <cellStyle name="20% - Accent3 2 2 3 2" xfId="2252"/>
    <cellStyle name="20% - Accent3 2 2 3 2 2" xfId="13580"/>
    <cellStyle name="20% - Accent3 2 2 3 2 3" xfId="17531"/>
    <cellStyle name="20% - Accent3 2 2 3 3" xfId="2253"/>
    <cellStyle name="20% - Accent3 2 2 3 3 2" xfId="13581"/>
    <cellStyle name="20% - Accent3 2 2 3 3 3" xfId="17532"/>
    <cellStyle name="20% - Accent3 2 2 3 4" xfId="13579"/>
    <cellStyle name="20% - Accent3 2 2 3 5" xfId="17530"/>
    <cellStyle name="20% - Accent3 2 2 4" xfId="2254"/>
    <cellStyle name="20% - Accent3 2 2 4 2" xfId="2255"/>
    <cellStyle name="20% - Accent3 2 2 4 2 2" xfId="13583"/>
    <cellStyle name="20% - Accent3 2 2 4 2 3" xfId="17534"/>
    <cellStyle name="20% - Accent3 2 2 4 3" xfId="2256"/>
    <cellStyle name="20% - Accent3 2 2 4 3 2" xfId="13584"/>
    <cellStyle name="20% - Accent3 2 2 4 3 3" xfId="17535"/>
    <cellStyle name="20% - Accent3 2 2 4 4" xfId="13582"/>
    <cellStyle name="20% - Accent3 2 2 4 5" xfId="17533"/>
    <cellStyle name="20% - Accent3 2 2 5" xfId="2257"/>
    <cellStyle name="20% - Accent3 2 2 5 2" xfId="13585"/>
    <cellStyle name="20% - Accent3 2 2 5 3" xfId="17536"/>
    <cellStyle name="20% - Accent3 2 2 6" xfId="2258"/>
    <cellStyle name="20% - Accent3 2 2 6 2" xfId="13586"/>
    <cellStyle name="20% - Accent3 2 2 6 3" xfId="17537"/>
    <cellStyle name="20% - Accent3 2 2 7" xfId="13575"/>
    <cellStyle name="20% - Accent3 2 2 8" xfId="17526"/>
    <cellStyle name="20% - Accent3 2 2_Volatility" xfId="2259"/>
    <cellStyle name="20% - Accent3 2 3" xfId="2260"/>
    <cellStyle name="20% - Accent3 2 3 2" xfId="2261"/>
    <cellStyle name="20% - Accent3 2 3 2 2" xfId="2262"/>
    <cellStyle name="20% - Accent3 2 3 2 2 2" xfId="13589"/>
    <cellStyle name="20% - Accent3 2 3 2 2 3" xfId="17540"/>
    <cellStyle name="20% - Accent3 2 3 2 3" xfId="2263"/>
    <cellStyle name="20% - Accent3 2 3 2 3 2" xfId="13590"/>
    <cellStyle name="20% - Accent3 2 3 2 3 3" xfId="17541"/>
    <cellStyle name="20% - Accent3 2 3 2 4" xfId="13588"/>
    <cellStyle name="20% - Accent3 2 3 2 5" xfId="17539"/>
    <cellStyle name="20% - Accent3 2 3 3" xfId="2264"/>
    <cellStyle name="20% - Accent3 2 3 3 2" xfId="2265"/>
    <cellStyle name="20% - Accent3 2 3 3 2 2" xfId="13592"/>
    <cellStyle name="20% - Accent3 2 3 3 2 3" xfId="17543"/>
    <cellStyle name="20% - Accent3 2 3 3 3" xfId="2266"/>
    <cellStyle name="20% - Accent3 2 3 3 3 2" xfId="13593"/>
    <cellStyle name="20% - Accent3 2 3 3 3 3" xfId="17544"/>
    <cellStyle name="20% - Accent3 2 3 3 4" xfId="13591"/>
    <cellStyle name="20% - Accent3 2 3 3 5" xfId="17542"/>
    <cellStyle name="20% - Accent3 2 3 4" xfId="2267"/>
    <cellStyle name="20% - Accent3 2 3 4 2" xfId="13594"/>
    <cellStyle name="20% - Accent3 2 3 4 3" xfId="17545"/>
    <cellStyle name="20% - Accent3 2 3 5" xfId="2268"/>
    <cellStyle name="20% - Accent3 2 3 5 2" xfId="13595"/>
    <cellStyle name="20% - Accent3 2 3 5 3" xfId="17546"/>
    <cellStyle name="20% - Accent3 2 3 6" xfId="13587"/>
    <cellStyle name="20% - Accent3 2 3 7" xfId="17538"/>
    <cellStyle name="20% - Accent3 2 3_Volatility" xfId="2269"/>
    <cellStyle name="20% - Accent3 2 4" xfId="2270"/>
    <cellStyle name="20% - Accent3 2 4 2" xfId="2271"/>
    <cellStyle name="20% - Accent3 2 4 2 2" xfId="13597"/>
    <cellStyle name="20% - Accent3 2 4 2 3" xfId="17548"/>
    <cellStyle name="20% - Accent3 2 4 3" xfId="2272"/>
    <cellStyle name="20% - Accent3 2 4 3 2" xfId="13598"/>
    <cellStyle name="20% - Accent3 2 4 3 3" xfId="17549"/>
    <cellStyle name="20% - Accent3 2 4 4" xfId="13596"/>
    <cellStyle name="20% - Accent3 2 4 5" xfId="17547"/>
    <cellStyle name="20% - Accent3 2 5" xfId="2273"/>
    <cellStyle name="20% - Accent3 2 5 2" xfId="2274"/>
    <cellStyle name="20% - Accent3 2 5 2 2" xfId="13600"/>
    <cellStyle name="20% - Accent3 2 5 2 3" xfId="17551"/>
    <cellStyle name="20% - Accent3 2 5 3" xfId="2275"/>
    <cellStyle name="20% - Accent3 2 5 3 2" xfId="13601"/>
    <cellStyle name="20% - Accent3 2 5 3 3" xfId="17552"/>
    <cellStyle name="20% - Accent3 2 5 4" xfId="13599"/>
    <cellStyle name="20% - Accent3 2 5 5" xfId="17550"/>
    <cellStyle name="20% - Accent3 2 6" xfId="2276"/>
    <cellStyle name="20% - Accent3 2 6 2" xfId="2277"/>
    <cellStyle name="20% - Accent3 2 6 2 2" xfId="13603"/>
    <cellStyle name="20% - Accent3 2 6 2 3" xfId="17554"/>
    <cellStyle name="20% - Accent3 2 6 3" xfId="2278"/>
    <cellStyle name="20% - Accent3 2 6 3 2" xfId="13604"/>
    <cellStyle name="20% - Accent3 2 6 3 3" xfId="17555"/>
    <cellStyle name="20% - Accent3 2 6 4" xfId="13602"/>
    <cellStyle name="20% - Accent3 2 6 5" xfId="17553"/>
    <cellStyle name="20% - Accent3 2 7" xfId="2279"/>
    <cellStyle name="20% - Accent3 2 7 2" xfId="13605"/>
    <cellStyle name="20% - Accent3 2 7 3" xfId="17556"/>
    <cellStyle name="20% - Accent3 2 8" xfId="2280"/>
    <cellStyle name="20% - Accent3 2 8 2" xfId="13606"/>
    <cellStyle name="20% - Accent3 2 8 3" xfId="17557"/>
    <cellStyle name="20% - Accent3 2 9" xfId="13574"/>
    <cellStyle name="20% - Accent3 2_Volatility" xfId="2281"/>
    <cellStyle name="20% - Accent3 3" xfId="2282"/>
    <cellStyle name="20% - Accent3 3 10" xfId="17558"/>
    <cellStyle name="20% - Accent3 3 2" xfId="2283"/>
    <cellStyle name="20% - Accent3 3 2 2" xfId="2284"/>
    <cellStyle name="20% - Accent3 3 2 2 2" xfId="2285"/>
    <cellStyle name="20% - Accent3 3 2 2 2 2" xfId="13610"/>
    <cellStyle name="20% - Accent3 3 2 2 2 3" xfId="17561"/>
    <cellStyle name="20% - Accent3 3 2 2 3" xfId="2286"/>
    <cellStyle name="20% - Accent3 3 2 2 3 2" xfId="13611"/>
    <cellStyle name="20% - Accent3 3 2 2 3 3" xfId="17562"/>
    <cellStyle name="20% - Accent3 3 2 2 4" xfId="13609"/>
    <cellStyle name="20% - Accent3 3 2 2 5" xfId="17560"/>
    <cellStyle name="20% - Accent3 3 2 3" xfId="2287"/>
    <cellStyle name="20% - Accent3 3 2 3 2" xfId="2288"/>
    <cellStyle name="20% - Accent3 3 2 3 2 2" xfId="13613"/>
    <cellStyle name="20% - Accent3 3 2 3 2 3" xfId="17564"/>
    <cellStyle name="20% - Accent3 3 2 3 3" xfId="2289"/>
    <cellStyle name="20% - Accent3 3 2 3 3 2" xfId="13614"/>
    <cellStyle name="20% - Accent3 3 2 3 3 3" xfId="17565"/>
    <cellStyle name="20% - Accent3 3 2 3 4" xfId="13612"/>
    <cellStyle name="20% - Accent3 3 2 3 5" xfId="17563"/>
    <cellStyle name="20% - Accent3 3 2 4" xfId="2290"/>
    <cellStyle name="20% - Accent3 3 2 4 2" xfId="2291"/>
    <cellStyle name="20% - Accent3 3 2 4 2 2" xfId="13616"/>
    <cellStyle name="20% - Accent3 3 2 4 2 3" xfId="17567"/>
    <cellStyle name="20% - Accent3 3 2 4 3" xfId="2292"/>
    <cellStyle name="20% - Accent3 3 2 4 3 2" xfId="13617"/>
    <cellStyle name="20% - Accent3 3 2 4 3 3" xfId="17568"/>
    <cellStyle name="20% - Accent3 3 2 4 4" xfId="13615"/>
    <cellStyle name="20% - Accent3 3 2 4 5" xfId="17566"/>
    <cellStyle name="20% - Accent3 3 2 5" xfId="2293"/>
    <cellStyle name="20% - Accent3 3 2 5 2" xfId="13618"/>
    <cellStyle name="20% - Accent3 3 2 5 3" xfId="17569"/>
    <cellStyle name="20% - Accent3 3 2 6" xfId="2294"/>
    <cellStyle name="20% - Accent3 3 2 6 2" xfId="13619"/>
    <cellStyle name="20% - Accent3 3 2 6 3" xfId="17570"/>
    <cellStyle name="20% - Accent3 3 2 7" xfId="13608"/>
    <cellStyle name="20% - Accent3 3 2 8" xfId="17559"/>
    <cellStyle name="20% - Accent3 3 2_Volatility" xfId="2295"/>
    <cellStyle name="20% - Accent3 3 3" xfId="2296"/>
    <cellStyle name="20% - Accent3 3 3 2" xfId="2297"/>
    <cellStyle name="20% - Accent3 3 3 2 2" xfId="2298"/>
    <cellStyle name="20% - Accent3 3 3 2 2 2" xfId="13622"/>
    <cellStyle name="20% - Accent3 3 3 2 2 3" xfId="17573"/>
    <cellStyle name="20% - Accent3 3 3 2 3" xfId="2299"/>
    <cellStyle name="20% - Accent3 3 3 2 3 2" xfId="13623"/>
    <cellStyle name="20% - Accent3 3 3 2 3 3" xfId="17574"/>
    <cellStyle name="20% - Accent3 3 3 2 4" xfId="13621"/>
    <cellStyle name="20% - Accent3 3 3 2 5" xfId="17572"/>
    <cellStyle name="20% - Accent3 3 3 3" xfId="2300"/>
    <cellStyle name="20% - Accent3 3 3 3 2" xfId="2301"/>
    <cellStyle name="20% - Accent3 3 3 3 2 2" xfId="13625"/>
    <cellStyle name="20% - Accent3 3 3 3 2 3" xfId="17576"/>
    <cellStyle name="20% - Accent3 3 3 3 3" xfId="2302"/>
    <cellStyle name="20% - Accent3 3 3 3 3 2" xfId="13626"/>
    <cellStyle name="20% - Accent3 3 3 3 3 3" xfId="17577"/>
    <cellStyle name="20% - Accent3 3 3 3 4" xfId="13624"/>
    <cellStyle name="20% - Accent3 3 3 3 5" xfId="17575"/>
    <cellStyle name="20% - Accent3 3 3 4" xfId="2303"/>
    <cellStyle name="20% - Accent3 3 3 4 2" xfId="13627"/>
    <cellStyle name="20% - Accent3 3 3 4 3" xfId="17578"/>
    <cellStyle name="20% - Accent3 3 3 5" xfId="2304"/>
    <cellStyle name="20% - Accent3 3 3 5 2" xfId="13628"/>
    <cellStyle name="20% - Accent3 3 3 5 3" xfId="17579"/>
    <cellStyle name="20% - Accent3 3 3 6" xfId="13620"/>
    <cellStyle name="20% - Accent3 3 3 7" xfId="17571"/>
    <cellStyle name="20% - Accent3 3 3_Volatility" xfId="2305"/>
    <cellStyle name="20% - Accent3 3 4" xfId="2306"/>
    <cellStyle name="20% - Accent3 3 4 2" xfId="2307"/>
    <cellStyle name="20% - Accent3 3 4 2 2" xfId="13630"/>
    <cellStyle name="20% - Accent3 3 4 2 3" xfId="17581"/>
    <cellStyle name="20% - Accent3 3 4 3" xfId="2308"/>
    <cellStyle name="20% - Accent3 3 4 3 2" xfId="13631"/>
    <cellStyle name="20% - Accent3 3 4 3 3" xfId="17582"/>
    <cellStyle name="20% - Accent3 3 4 4" xfId="13629"/>
    <cellStyle name="20% - Accent3 3 4 5" xfId="17580"/>
    <cellStyle name="20% - Accent3 3 5" xfId="2309"/>
    <cellStyle name="20% - Accent3 3 5 2" xfId="2310"/>
    <cellStyle name="20% - Accent3 3 5 2 2" xfId="13633"/>
    <cellStyle name="20% - Accent3 3 5 2 3" xfId="17584"/>
    <cellStyle name="20% - Accent3 3 5 3" xfId="2311"/>
    <cellStyle name="20% - Accent3 3 5 3 2" xfId="13634"/>
    <cellStyle name="20% - Accent3 3 5 3 3" xfId="17585"/>
    <cellStyle name="20% - Accent3 3 5 4" xfId="13632"/>
    <cellStyle name="20% - Accent3 3 5 5" xfId="17583"/>
    <cellStyle name="20% - Accent3 3 6" xfId="2312"/>
    <cellStyle name="20% - Accent3 3 6 2" xfId="2313"/>
    <cellStyle name="20% - Accent3 3 6 2 2" xfId="13636"/>
    <cellStyle name="20% - Accent3 3 6 2 3" xfId="17587"/>
    <cellStyle name="20% - Accent3 3 6 3" xfId="2314"/>
    <cellStyle name="20% - Accent3 3 6 3 2" xfId="13637"/>
    <cellStyle name="20% - Accent3 3 6 3 3" xfId="17588"/>
    <cellStyle name="20% - Accent3 3 6 4" xfId="13635"/>
    <cellStyle name="20% - Accent3 3 6 5" xfId="17586"/>
    <cellStyle name="20% - Accent3 3 7" xfId="2315"/>
    <cellStyle name="20% - Accent3 3 7 2" xfId="13638"/>
    <cellStyle name="20% - Accent3 3 7 3" xfId="17589"/>
    <cellStyle name="20% - Accent3 3 8" xfId="2316"/>
    <cellStyle name="20% - Accent3 3 8 2" xfId="13639"/>
    <cellStyle name="20% - Accent3 3 8 3" xfId="17590"/>
    <cellStyle name="20% - Accent3 3 9" xfId="13607"/>
    <cellStyle name="20% - Accent3 3_Volatility" xfId="2317"/>
    <cellStyle name="20% - Accent3 4" xfId="2318"/>
    <cellStyle name="20% - Accent3 4 10" xfId="17591"/>
    <cellStyle name="20% - Accent3 4 2" xfId="2319"/>
    <cellStyle name="20% - Accent3 4 2 2" xfId="2320"/>
    <cellStyle name="20% - Accent3 4 2 2 2" xfId="2321"/>
    <cellStyle name="20% - Accent3 4 2 2 2 2" xfId="13643"/>
    <cellStyle name="20% - Accent3 4 2 2 2 3" xfId="17594"/>
    <cellStyle name="20% - Accent3 4 2 2 3" xfId="2322"/>
    <cellStyle name="20% - Accent3 4 2 2 3 2" xfId="13644"/>
    <cellStyle name="20% - Accent3 4 2 2 3 3" xfId="17595"/>
    <cellStyle name="20% - Accent3 4 2 2 4" xfId="13642"/>
    <cellStyle name="20% - Accent3 4 2 2 5" xfId="17593"/>
    <cellStyle name="20% - Accent3 4 2 3" xfId="2323"/>
    <cellStyle name="20% - Accent3 4 2 3 2" xfId="2324"/>
    <cellStyle name="20% - Accent3 4 2 3 2 2" xfId="13646"/>
    <cellStyle name="20% - Accent3 4 2 3 2 3" xfId="17597"/>
    <cellStyle name="20% - Accent3 4 2 3 3" xfId="2325"/>
    <cellStyle name="20% - Accent3 4 2 3 3 2" xfId="13647"/>
    <cellStyle name="20% - Accent3 4 2 3 3 3" xfId="17598"/>
    <cellStyle name="20% - Accent3 4 2 3 4" xfId="13645"/>
    <cellStyle name="20% - Accent3 4 2 3 5" xfId="17596"/>
    <cellStyle name="20% - Accent3 4 2 4" xfId="2326"/>
    <cellStyle name="20% - Accent3 4 2 4 2" xfId="2327"/>
    <cellStyle name="20% - Accent3 4 2 4 2 2" xfId="13649"/>
    <cellStyle name="20% - Accent3 4 2 4 2 3" xfId="17600"/>
    <cellStyle name="20% - Accent3 4 2 4 3" xfId="2328"/>
    <cellStyle name="20% - Accent3 4 2 4 3 2" xfId="13650"/>
    <cellStyle name="20% - Accent3 4 2 4 3 3" xfId="17601"/>
    <cellStyle name="20% - Accent3 4 2 4 4" xfId="13648"/>
    <cellStyle name="20% - Accent3 4 2 4 5" xfId="17599"/>
    <cellStyle name="20% - Accent3 4 2 5" xfId="2329"/>
    <cellStyle name="20% - Accent3 4 2 5 2" xfId="13651"/>
    <cellStyle name="20% - Accent3 4 2 5 3" xfId="17602"/>
    <cellStyle name="20% - Accent3 4 2 6" xfId="2330"/>
    <cellStyle name="20% - Accent3 4 2 6 2" xfId="13652"/>
    <cellStyle name="20% - Accent3 4 2 6 3" xfId="17603"/>
    <cellStyle name="20% - Accent3 4 2 7" xfId="13641"/>
    <cellStyle name="20% - Accent3 4 2 8" xfId="17592"/>
    <cellStyle name="20% - Accent3 4 2_Volatility" xfId="2331"/>
    <cellStyle name="20% - Accent3 4 3" xfId="2332"/>
    <cellStyle name="20% - Accent3 4 3 2" xfId="2333"/>
    <cellStyle name="20% - Accent3 4 3 2 2" xfId="2334"/>
    <cellStyle name="20% - Accent3 4 3 2 2 2" xfId="13655"/>
    <cellStyle name="20% - Accent3 4 3 2 2 3" xfId="17606"/>
    <cellStyle name="20% - Accent3 4 3 2 3" xfId="2335"/>
    <cellStyle name="20% - Accent3 4 3 2 3 2" xfId="13656"/>
    <cellStyle name="20% - Accent3 4 3 2 3 3" xfId="17607"/>
    <cellStyle name="20% - Accent3 4 3 2 4" xfId="13654"/>
    <cellStyle name="20% - Accent3 4 3 2 5" xfId="17605"/>
    <cellStyle name="20% - Accent3 4 3 3" xfId="2336"/>
    <cellStyle name="20% - Accent3 4 3 3 2" xfId="2337"/>
    <cellStyle name="20% - Accent3 4 3 3 2 2" xfId="13658"/>
    <cellStyle name="20% - Accent3 4 3 3 2 3" xfId="17609"/>
    <cellStyle name="20% - Accent3 4 3 3 3" xfId="2338"/>
    <cellStyle name="20% - Accent3 4 3 3 3 2" xfId="13659"/>
    <cellStyle name="20% - Accent3 4 3 3 3 3" xfId="17610"/>
    <cellStyle name="20% - Accent3 4 3 3 4" xfId="13657"/>
    <cellStyle name="20% - Accent3 4 3 3 5" xfId="17608"/>
    <cellStyle name="20% - Accent3 4 3 4" xfId="2339"/>
    <cellStyle name="20% - Accent3 4 3 4 2" xfId="13660"/>
    <cellStyle name="20% - Accent3 4 3 4 3" xfId="17611"/>
    <cellStyle name="20% - Accent3 4 3 5" xfId="2340"/>
    <cellStyle name="20% - Accent3 4 3 5 2" xfId="13661"/>
    <cellStyle name="20% - Accent3 4 3 5 3" xfId="17612"/>
    <cellStyle name="20% - Accent3 4 3 6" xfId="13653"/>
    <cellStyle name="20% - Accent3 4 3 7" xfId="17604"/>
    <cellStyle name="20% - Accent3 4 3_Volatility" xfId="2341"/>
    <cellStyle name="20% - Accent3 4 4" xfId="2342"/>
    <cellStyle name="20% - Accent3 4 4 2" xfId="2343"/>
    <cellStyle name="20% - Accent3 4 4 2 2" xfId="13663"/>
    <cellStyle name="20% - Accent3 4 4 2 3" xfId="17614"/>
    <cellStyle name="20% - Accent3 4 4 3" xfId="2344"/>
    <cellStyle name="20% - Accent3 4 4 3 2" xfId="13664"/>
    <cellStyle name="20% - Accent3 4 4 3 3" xfId="17615"/>
    <cellStyle name="20% - Accent3 4 4 4" xfId="13662"/>
    <cellStyle name="20% - Accent3 4 4 5" xfId="17613"/>
    <cellStyle name="20% - Accent3 4 5" xfId="2345"/>
    <cellStyle name="20% - Accent3 4 5 2" xfId="2346"/>
    <cellStyle name="20% - Accent3 4 5 2 2" xfId="13666"/>
    <cellStyle name="20% - Accent3 4 5 2 3" xfId="17617"/>
    <cellStyle name="20% - Accent3 4 5 3" xfId="2347"/>
    <cellStyle name="20% - Accent3 4 5 3 2" xfId="13667"/>
    <cellStyle name="20% - Accent3 4 5 3 3" xfId="17618"/>
    <cellStyle name="20% - Accent3 4 5 4" xfId="13665"/>
    <cellStyle name="20% - Accent3 4 5 5" xfId="17616"/>
    <cellStyle name="20% - Accent3 4 6" xfId="2348"/>
    <cellStyle name="20% - Accent3 4 6 2" xfId="2349"/>
    <cellStyle name="20% - Accent3 4 6 2 2" xfId="13669"/>
    <cellStyle name="20% - Accent3 4 6 2 3" xfId="17620"/>
    <cellStyle name="20% - Accent3 4 6 3" xfId="2350"/>
    <cellStyle name="20% - Accent3 4 6 3 2" xfId="13670"/>
    <cellStyle name="20% - Accent3 4 6 3 3" xfId="17621"/>
    <cellStyle name="20% - Accent3 4 6 4" xfId="13668"/>
    <cellStyle name="20% - Accent3 4 6 5" xfId="17619"/>
    <cellStyle name="20% - Accent3 4 7" xfId="2351"/>
    <cellStyle name="20% - Accent3 4 7 2" xfId="13671"/>
    <cellStyle name="20% - Accent3 4 7 3" xfId="17622"/>
    <cellStyle name="20% - Accent3 4 8" xfId="2352"/>
    <cellStyle name="20% - Accent3 4 8 2" xfId="13672"/>
    <cellStyle name="20% - Accent3 4 8 3" xfId="17623"/>
    <cellStyle name="20% - Accent3 4 9" xfId="13640"/>
    <cellStyle name="20% - Accent3 4_Volatility" xfId="2353"/>
    <cellStyle name="20% - Accent3 5" xfId="2354"/>
    <cellStyle name="20% - Accent3 5 10" xfId="17624"/>
    <cellStyle name="20% - Accent3 5 2" xfId="2355"/>
    <cellStyle name="20% - Accent3 5 2 2" xfId="2356"/>
    <cellStyle name="20% - Accent3 5 2 2 2" xfId="2357"/>
    <cellStyle name="20% - Accent3 5 2 2 2 2" xfId="13676"/>
    <cellStyle name="20% - Accent3 5 2 2 2 3" xfId="17627"/>
    <cellStyle name="20% - Accent3 5 2 2 3" xfId="2358"/>
    <cellStyle name="20% - Accent3 5 2 2 3 2" xfId="13677"/>
    <cellStyle name="20% - Accent3 5 2 2 3 3" xfId="17628"/>
    <cellStyle name="20% - Accent3 5 2 2 4" xfId="13675"/>
    <cellStyle name="20% - Accent3 5 2 2 5" xfId="17626"/>
    <cellStyle name="20% - Accent3 5 2 3" xfId="2359"/>
    <cellStyle name="20% - Accent3 5 2 3 2" xfId="2360"/>
    <cellStyle name="20% - Accent3 5 2 3 2 2" xfId="13679"/>
    <cellStyle name="20% - Accent3 5 2 3 2 3" xfId="17630"/>
    <cellStyle name="20% - Accent3 5 2 3 3" xfId="2361"/>
    <cellStyle name="20% - Accent3 5 2 3 3 2" xfId="13680"/>
    <cellStyle name="20% - Accent3 5 2 3 3 3" xfId="17631"/>
    <cellStyle name="20% - Accent3 5 2 3 4" xfId="13678"/>
    <cellStyle name="20% - Accent3 5 2 3 5" xfId="17629"/>
    <cellStyle name="20% - Accent3 5 2 4" xfId="2362"/>
    <cellStyle name="20% - Accent3 5 2 4 2" xfId="2363"/>
    <cellStyle name="20% - Accent3 5 2 4 2 2" xfId="13682"/>
    <cellStyle name="20% - Accent3 5 2 4 2 3" xfId="17633"/>
    <cellStyle name="20% - Accent3 5 2 4 3" xfId="2364"/>
    <cellStyle name="20% - Accent3 5 2 4 3 2" xfId="13683"/>
    <cellStyle name="20% - Accent3 5 2 4 3 3" xfId="17634"/>
    <cellStyle name="20% - Accent3 5 2 4 4" xfId="13681"/>
    <cellStyle name="20% - Accent3 5 2 4 5" xfId="17632"/>
    <cellStyle name="20% - Accent3 5 2 5" xfId="2365"/>
    <cellStyle name="20% - Accent3 5 2 5 2" xfId="13684"/>
    <cellStyle name="20% - Accent3 5 2 5 3" xfId="17635"/>
    <cellStyle name="20% - Accent3 5 2 6" xfId="2366"/>
    <cellStyle name="20% - Accent3 5 2 6 2" xfId="13685"/>
    <cellStyle name="20% - Accent3 5 2 6 3" xfId="17636"/>
    <cellStyle name="20% - Accent3 5 2 7" xfId="13674"/>
    <cellStyle name="20% - Accent3 5 2 8" xfId="17625"/>
    <cellStyle name="20% - Accent3 5 2_Volatility" xfId="2367"/>
    <cellStyle name="20% - Accent3 5 3" xfId="2368"/>
    <cellStyle name="20% - Accent3 5 3 2" xfId="2369"/>
    <cellStyle name="20% - Accent3 5 3 2 2" xfId="2370"/>
    <cellStyle name="20% - Accent3 5 3 2 2 2" xfId="13688"/>
    <cellStyle name="20% - Accent3 5 3 2 2 3" xfId="17639"/>
    <cellStyle name="20% - Accent3 5 3 2 3" xfId="2371"/>
    <cellStyle name="20% - Accent3 5 3 2 3 2" xfId="13689"/>
    <cellStyle name="20% - Accent3 5 3 2 3 3" xfId="17640"/>
    <cellStyle name="20% - Accent3 5 3 2 4" xfId="13687"/>
    <cellStyle name="20% - Accent3 5 3 2 5" xfId="17638"/>
    <cellStyle name="20% - Accent3 5 3 3" xfId="2372"/>
    <cellStyle name="20% - Accent3 5 3 3 2" xfId="2373"/>
    <cellStyle name="20% - Accent3 5 3 3 2 2" xfId="13691"/>
    <cellStyle name="20% - Accent3 5 3 3 2 3" xfId="17642"/>
    <cellStyle name="20% - Accent3 5 3 3 3" xfId="2374"/>
    <cellStyle name="20% - Accent3 5 3 3 3 2" xfId="13692"/>
    <cellStyle name="20% - Accent3 5 3 3 3 3" xfId="17643"/>
    <cellStyle name="20% - Accent3 5 3 3 4" xfId="13690"/>
    <cellStyle name="20% - Accent3 5 3 3 5" xfId="17641"/>
    <cellStyle name="20% - Accent3 5 3 4" xfId="2375"/>
    <cellStyle name="20% - Accent3 5 3 4 2" xfId="13693"/>
    <cellStyle name="20% - Accent3 5 3 4 3" xfId="17644"/>
    <cellStyle name="20% - Accent3 5 3 5" xfId="2376"/>
    <cellStyle name="20% - Accent3 5 3 5 2" xfId="13694"/>
    <cellStyle name="20% - Accent3 5 3 5 3" xfId="17645"/>
    <cellStyle name="20% - Accent3 5 3 6" xfId="13686"/>
    <cellStyle name="20% - Accent3 5 3 7" xfId="17637"/>
    <cellStyle name="20% - Accent3 5 3_Volatility" xfId="2377"/>
    <cellStyle name="20% - Accent3 5 4" xfId="2378"/>
    <cellStyle name="20% - Accent3 5 4 2" xfId="2379"/>
    <cellStyle name="20% - Accent3 5 4 2 2" xfId="13696"/>
    <cellStyle name="20% - Accent3 5 4 2 3" xfId="17647"/>
    <cellStyle name="20% - Accent3 5 4 3" xfId="2380"/>
    <cellStyle name="20% - Accent3 5 4 3 2" xfId="13697"/>
    <cellStyle name="20% - Accent3 5 4 3 3" xfId="17648"/>
    <cellStyle name="20% - Accent3 5 4 4" xfId="13695"/>
    <cellStyle name="20% - Accent3 5 4 5" xfId="17646"/>
    <cellStyle name="20% - Accent3 5 5" xfId="2381"/>
    <cellStyle name="20% - Accent3 5 5 2" xfId="2382"/>
    <cellStyle name="20% - Accent3 5 5 2 2" xfId="13699"/>
    <cellStyle name="20% - Accent3 5 5 2 3" xfId="17650"/>
    <cellStyle name="20% - Accent3 5 5 3" xfId="2383"/>
    <cellStyle name="20% - Accent3 5 5 3 2" xfId="13700"/>
    <cellStyle name="20% - Accent3 5 5 3 3" xfId="17651"/>
    <cellStyle name="20% - Accent3 5 5 4" xfId="13698"/>
    <cellStyle name="20% - Accent3 5 5 5" xfId="17649"/>
    <cellStyle name="20% - Accent3 5 6" xfId="2384"/>
    <cellStyle name="20% - Accent3 5 6 2" xfId="2385"/>
    <cellStyle name="20% - Accent3 5 6 2 2" xfId="13702"/>
    <cellStyle name="20% - Accent3 5 6 2 3" xfId="17653"/>
    <cellStyle name="20% - Accent3 5 6 3" xfId="2386"/>
    <cellStyle name="20% - Accent3 5 6 3 2" xfId="13703"/>
    <cellStyle name="20% - Accent3 5 6 3 3" xfId="17654"/>
    <cellStyle name="20% - Accent3 5 6 4" xfId="13701"/>
    <cellStyle name="20% - Accent3 5 6 5" xfId="17652"/>
    <cellStyle name="20% - Accent3 5 7" xfId="2387"/>
    <cellStyle name="20% - Accent3 5 7 2" xfId="13704"/>
    <cellStyle name="20% - Accent3 5 7 3" xfId="17655"/>
    <cellStyle name="20% - Accent3 5 8" xfId="2388"/>
    <cellStyle name="20% - Accent3 5 8 2" xfId="13705"/>
    <cellStyle name="20% - Accent3 5 8 3" xfId="17656"/>
    <cellStyle name="20% - Accent3 5 9" xfId="13673"/>
    <cellStyle name="20% - Accent3 5_Volatility" xfId="2389"/>
    <cellStyle name="20% - Accent3 6" xfId="2390"/>
    <cellStyle name="20% - Accent3 6 10" xfId="17657"/>
    <cellStyle name="20% - Accent3 6 2" xfId="2391"/>
    <cellStyle name="20% - Accent3 6 2 2" xfId="2392"/>
    <cellStyle name="20% - Accent3 6 2 2 2" xfId="2393"/>
    <cellStyle name="20% - Accent3 6 2 2 2 2" xfId="13709"/>
    <cellStyle name="20% - Accent3 6 2 2 2 3" xfId="17660"/>
    <cellStyle name="20% - Accent3 6 2 2 3" xfId="2394"/>
    <cellStyle name="20% - Accent3 6 2 2 3 2" xfId="13710"/>
    <cellStyle name="20% - Accent3 6 2 2 3 3" xfId="17661"/>
    <cellStyle name="20% - Accent3 6 2 2 4" xfId="13708"/>
    <cellStyle name="20% - Accent3 6 2 2 5" xfId="17659"/>
    <cellStyle name="20% - Accent3 6 2 3" xfId="2395"/>
    <cellStyle name="20% - Accent3 6 2 3 2" xfId="2396"/>
    <cellStyle name="20% - Accent3 6 2 3 2 2" xfId="13712"/>
    <cellStyle name="20% - Accent3 6 2 3 2 3" xfId="17663"/>
    <cellStyle name="20% - Accent3 6 2 3 3" xfId="2397"/>
    <cellStyle name="20% - Accent3 6 2 3 3 2" xfId="13713"/>
    <cellStyle name="20% - Accent3 6 2 3 3 3" xfId="17664"/>
    <cellStyle name="20% - Accent3 6 2 3 4" xfId="13711"/>
    <cellStyle name="20% - Accent3 6 2 3 5" xfId="17662"/>
    <cellStyle name="20% - Accent3 6 2 4" xfId="2398"/>
    <cellStyle name="20% - Accent3 6 2 4 2" xfId="2399"/>
    <cellStyle name="20% - Accent3 6 2 4 2 2" xfId="13715"/>
    <cellStyle name="20% - Accent3 6 2 4 2 3" xfId="17666"/>
    <cellStyle name="20% - Accent3 6 2 4 3" xfId="2400"/>
    <cellStyle name="20% - Accent3 6 2 4 3 2" xfId="13716"/>
    <cellStyle name="20% - Accent3 6 2 4 3 3" xfId="17667"/>
    <cellStyle name="20% - Accent3 6 2 4 4" xfId="13714"/>
    <cellStyle name="20% - Accent3 6 2 4 5" xfId="17665"/>
    <cellStyle name="20% - Accent3 6 2 5" xfId="2401"/>
    <cellStyle name="20% - Accent3 6 2 5 2" xfId="13717"/>
    <cellStyle name="20% - Accent3 6 2 5 3" xfId="17668"/>
    <cellStyle name="20% - Accent3 6 2 6" xfId="2402"/>
    <cellStyle name="20% - Accent3 6 2 6 2" xfId="13718"/>
    <cellStyle name="20% - Accent3 6 2 6 3" xfId="17669"/>
    <cellStyle name="20% - Accent3 6 2 7" xfId="13707"/>
    <cellStyle name="20% - Accent3 6 2 8" xfId="17658"/>
    <cellStyle name="20% - Accent3 6 2_Volatility" xfId="2403"/>
    <cellStyle name="20% - Accent3 6 3" xfId="2404"/>
    <cellStyle name="20% - Accent3 6 3 2" xfId="2405"/>
    <cellStyle name="20% - Accent3 6 3 2 2" xfId="2406"/>
    <cellStyle name="20% - Accent3 6 3 2 2 2" xfId="13721"/>
    <cellStyle name="20% - Accent3 6 3 2 2 3" xfId="17672"/>
    <cellStyle name="20% - Accent3 6 3 2 3" xfId="2407"/>
    <cellStyle name="20% - Accent3 6 3 2 3 2" xfId="13722"/>
    <cellStyle name="20% - Accent3 6 3 2 3 3" xfId="17673"/>
    <cellStyle name="20% - Accent3 6 3 2 4" xfId="13720"/>
    <cellStyle name="20% - Accent3 6 3 2 5" xfId="17671"/>
    <cellStyle name="20% - Accent3 6 3 3" xfId="2408"/>
    <cellStyle name="20% - Accent3 6 3 3 2" xfId="2409"/>
    <cellStyle name="20% - Accent3 6 3 3 2 2" xfId="13724"/>
    <cellStyle name="20% - Accent3 6 3 3 2 3" xfId="17675"/>
    <cellStyle name="20% - Accent3 6 3 3 3" xfId="2410"/>
    <cellStyle name="20% - Accent3 6 3 3 3 2" xfId="13725"/>
    <cellStyle name="20% - Accent3 6 3 3 3 3" xfId="17676"/>
    <cellStyle name="20% - Accent3 6 3 3 4" xfId="13723"/>
    <cellStyle name="20% - Accent3 6 3 3 5" xfId="17674"/>
    <cellStyle name="20% - Accent3 6 3 4" xfId="2411"/>
    <cellStyle name="20% - Accent3 6 3 4 2" xfId="13726"/>
    <cellStyle name="20% - Accent3 6 3 4 3" xfId="17677"/>
    <cellStyle name="20% - Accent3 6 3 5" xfId="2412"/>
    <cellStyle name="20% - Accent3 6 3 5 2" xfId="13727"/>
    <cellStyle name="20% - Accent3 6 3 5 3" xfId="17678"/>
    <cellStyle name="20% - Accent3 6 3 6" xfId="13719"/>
    <cellStyle name="20% - Accent3 6 3 7" xfId="17670"/>
    <cellStyle name="20% - Accent3 6 3_Volatility" xfId="2413"/>
    <cellStyle name="20% - Accent3 6 4" xfId="2414"/>
    <cellStyle name="20% - Accent3 6 4 2" xfId="2415"/>
    <cellStyle name="20% - Accent3 6 4 2 2" xfId="13729"/>
    <cellStyle name="20% - Accent3 6 4 2 3" xfId="17680"/>
    <cellStyle name="20% - Accent3 6 4 3" xfId="2416"/>
    <cellStyle name="20% - Accent3 6 4 3 2" xfId="13730"/>
    <cellStyle name="20% - Accent3 6 4 3 3" xfId="17681"/>
    <cellStyle name="20% - Accent3 6 4 4" xfId="13728"/>
    <cellStyle name="20% - Accent3 6 4 5" xfId="17679"/>
    <cellStyle name="20% - Accent3 6 5" xfId="2417"/>
    <cellStyle name="20% - Accent3 6 5 2" xfId="2418"/>
    <cellStyle name="20% - Accent3 6 5 2 2" xfId="13732"/>
    <cellStyle name="20% - Accent3 6 5 2 3" xfId="17683"/>
    <cellStyle name="20% - Accent3 6 5 3" xfId="2419"/>
    <cellStyle name="20% - Accent3 6 5 3 2" xfId="13733"/>
    <cellStyle name="20% - Accent3 6 5 3 3" xfId="17684"/>
    <cellStyle name="20% - Accent3 6 5 4" xfId="13731"/>
    <cellStyle name="20% - Accent3 6 5 5" xfId="17682"/>
    <cellStyle name="20% - Accent3 6 6" xfId="2420"/>
    <cellStyle name="20% - Accent3 6 6 2" xfId="2421"/>
    <cellStyle name="20% - Accent3 6 6 2 2" xfId="13735"/>
    <cellStyle name="20% - Accent3 6 6 2 3" xfId="17686"/>
    <cellStyle name="20% - Accent3 6 6 3" xfId="2422"/>
    <cellStyle name="20% - Accent3 6 6 3 2" xfId="13736"/>
    <cellStyle name="20% - Accent3 6 6 3 3" xfId="17687"/>
    <cellStyle name="20% - Accent3 6 6 4" xfId="13734"/>
    <cellStyle name="20% - Accent3 6 6 5" xfId="17685"/>
    <cellStyle name="20% - Accent3 6 7" xfId="2423"/>
    <cellStyle name="20% - Accent3 6 7 2" xfId="13737"/>
    <cellStyle name="20% - Accent3 6 7 3" xfId="17688"/>
    <cellStyle name="20% - Accent3 6 8" xfId="2424"/>
    <cellStyle name="20% - Accent3 6 8 2" xfId="13738"/>
    <cellStyle name="20% - Accent3 6 8 3" xfId="17689"/>
    <cellStyle name="20% - Accent3 6 9" xfId="13706"/>
    <cellStyle name="20% - Accent3 6_Volatility" xfId="2425"/>
    <cellStyle name="20% - Accent3 7" xfId="2426"/>
    <cellStyle name="20% - Accent3 7 10" xfId="17690"/>
    <cellStyle name="20% - Accent3 7 2" xfId="2427"/>
    <cellStyle name="20% - Accent3 7 2 2" xfId="2428"/>
    <cellStyle name="20% - Accent3 7 2 2 2" xfId="2429"/>
    <cellStyle name="20% - Accent3 7 2 2 2 2" xfId="13742"/>
    <cellStyle name="20% - Accent3 7 2 2 2 3" xfId="17693"/>
    <cellStyle name="20% - Accent3 7 2 2 3" xfId="2430"/>
    <cellStyle name="20% - Accent3 7 2 2 3 2" xfId="13743"/>
    <cellStyle name="20% - Accent3 7 2 2 3 3" xfId="17694"/>
    <cellStyle name="20% - Accent3 7 2 2 4" xfId="13741"/>
    <cellStyle name="20% - Accent3 7 2 2 5" xfId="17692"/>
    <cellStyle name="20% - Accent3 7 2 3" xfId="2431"/>
    <cellStyle name="20% - Accent3 7 2 3 2" xfId="2432"/>
    <cellStyle name="20% - Accent3 7 2 3 2 2" xfId="13745"/>
    <cellStyle name="20% - Accent3 7 2 3 2 3" xfId="17696"/>
    <cellStyle name="20% - Accent3 7 2 3 3" xfId="2433"/>
    <cellStyle name="20% - Accent3 7 2 3 3 2" xfId="13746"/>
    <cellStyle name="20% - Accent3 7 2 3 3 3" xfId="17697"/>
    <cellStyle name="20% - Accent3 7 2 3 4" xfId="13744"/>
    <cellStyle name="20% - Accent3 7 2 3 5" xfId="17695"/>
    <cellStyle name="20% - Accent3 7 2 4" xfId="2434"/>
    <cellStyle name="20% - Accent3 7 2 4 2" xfId="2435"/>
    <cellStyle name="20% - Accent3 7 2 4 2 2" xfId="13748"/>
    <cellStyle name="20% - Accent3 7 2 4 2 3" xfId="17699"/>
    <cellStyle name="20% - Accent3 7 2 4 3" xfId="2436"/>
    <cellStyle name="20% - Accent3 7 2 4 3 2" xfId="13749"/>
    <cellStyle name="20% - Accent3 7 2 4 3 3" xfId="17700"/>
    <cellStyle name="20% - Accent3 7 2 4 4" xfId="13747"/>
    <cellStyle name="20% - Accent3 7 2 4 5" xfId="17698"/>
    <cellStyle name="20% - Accent3 7 2 5" xfId="2437"/>
    <cellStyle name="20% - Accent3 7 2 5 2" xfId="13750"/>
    <cellStyle name="20% - Accent3 7 2 5 3" xfId="17701"/>
    <cellStyle name="20% - Accent3 7 2 6" xfId="2438"/>
    <cellStyle name="20% - Accent3 7 2 6 2" xfId="13751"/>
    <cellStyle name="20% - Accent3 7 2 6 3" xfId="17702"/>
    <cellStyle name="20% - Accent3 7 2 7" xfId="13740"/>
    <cellStyle name="20% - Accent3 7 2 8" xfId="17691"/>
    <cellStyle name="20% - Accent3 7 2_Volatility" xfId="2439"/>
    <cellStyle name="20% - Accent3 7 3" xfId="2440"/>
    <cellStyle name="20% - Accent3 7 3 2" xfId="2441"/>
    <cellStyle name="20% - Accent3 7 3 2 2" xfId="2442"/>
    <cellStyle name="20% - Accent3 7 3 2 2 2" xfId="13754"/>
    <cellStyle name="20% - Accent3 7 3 2 2 3" xfId="17705"/>
    <cellStyle name="20% - Accent3 7 3 2 3" xfId="2443"/>
    <cellStyle name="20% - Accent3 7 3 2 3 2" xfId="13755"/>
    <cellStyle name="20% - Accent3 7 3 2 3 3" xfId="17706"/>
    <cellStyle name="20% - Accent3 7 3 2 4" xfId="13753"/>
    <cellStyle name="20% - Accent3 7 3 2 5" xfId="17704"/>
    <cellStyle name="20% - Accent3 7 3 3" xfId="2444"/>
    <cellStyle name="20% - Accent3 7 3 3 2" xfId="2445"/>
    <cellStyle name="20% - Accent3 7 3 3 2 2" xfId="13757"/>
    <cellStyle name="20% - Accent3 7 3 3 2 3" xfId="17708"/>
    <cellStyle name="20% - Accent3 7 3 3 3" xfId="2446"/>
    <cellStyle name="20% - Accent3 7 3 3 3 2" xfId="13758"/>
    <cellStyle name="20% - Accent3 7 3 3 3 3" xfId="17709"/>
    <cellStyle name="20% - Accent3 7 3 3 4" xfId="13756"/>
    <cellStyle name="20% - Accent3 7 3 3 5" xfId="17707"/>
    <cellStyle name="20% - Accent3 7 3 4" xfId="2447"/>
    <cellStyle name="20% - Accent3 7 3 4 2" xfId="13759"/>
    <cellStyle name="20% - Accent3 7 3 4 3" xfId="17710"/>
    <cellStyle name="20% - Accent3 7 3 5" xfId="2448"/>
    <cellStyle name="20% - Accent3 7 3 5 2" xfId="13760"/>
    <cellStyle name="20% - Accent3 7 3 5 3" xfId="17711"/>
    <cellStyle name="20% - Accent3 7 3 6" xfId="13752"/>
    <cellStyle name="20% - Accent3 7 3 7" xfId="17703"/>
    <cellStyle name="20% - Accent3 7 3_Volatility" xfId="2449"/>
    <cellStyle name="20% - Accent3 7 4" xfId="2450"/>
    <cellStyle name="20% - Accent3 7 4 2" xfId="2451"/>
    <cellStyle name="20% - Accent3 7 4 2 2" xfId="13762"/>
    <cellStyle name="20% - Accent3 7 4 2 3" xfId="17713"/>
    <cellStyle name="20% - Accent3 7 4 3" xfId="2452"/>
    <cellStyle name="20% - Accent3 7 4 3 2" xfId="13763"/>
    <cellStyle name="20% - Accent3 7 4 3 3" xfId="17714"/>
    <cellStyle name="20% - Accent3 7 4 4" xfId="13761"/>
    <cellStyle name="20% - Accent3 7 4 5" xfId="17712"/>
    <cellStyle name="20% - Accent3 7 5" xfId="2453"/>
    <cellStyle name="20% - Accent3 7 5 2" xfId="2454"/>
    <cellStyle name="20% - Accent3 7 5 2 2" xfId="13765"/>
    <cellStyle name="20% - Accent3 7 5 2 3" xfId="17716"/>
    <cellStyle name="20% - Accent3 7 5 3" xfId="2455"/>
    <cellStyle name="20% - Accent3 7 5 3 2" xfId="13766"/>
    <cellStyle name="20% - Accent3 7 5 3 3" xfId="17717"/>
    <cellStyle name="20% - Accent3 7 5 4" xfId="13764"/>
    <cellStyle name="20% - Accent3 7 5 5" xfId="17715"/>
    <cellStyle name="20% - Accent3 7 6" xfId="2456"/>
    <cellStyle name="20% - Accent3 7 6 2" xfId="2457"/>
    <cellStyle name="20% - Accent3 7 6 2 2" xfId="13768"/>
    <cellStyle name="20% - Accent3 7 6 2 3" xfId="17719"/>
    <cellStyle name="20% - Accent3 7 6 3" xfId="2458"/>
    <cellStyle name="20% - Accent3 7 6 3 2" xfId="13769"/>
    <cellStyle name="20% - Accent3 7 6 3 3" xfId="17720"/>
    <cellStyle name="20% - Accent3 7 6 4" xfId="13767"/>
    <cellStyle name="20% - Accent3 7 6 5" xfId="17718"/>
    <cellStyle name="20% - Accent3 7 7" xfId="2459"/>
    <cellStyle name="20% - Accent3 7 7 2" xfId="13770"/>
    <cellStyle name="20% - Accent3 7 7 3" xfId="17721"/>
    <cellStyle name="20% - Accent3 7 8" xfId="2460"/>
    <cellStyle name="20% - Accent3 7 8 2" xfId="13771"/>
    <cellStyle name="20% - Accent3 7 8 3" xfId="17722"/>
    <cellStyle name="20% - Accent3 7 9" xfId="13739"/>
    <cellStyle name="20% - Accent3 7_Volatility" xfId="2461"/>
    <cellStyle name="20% - Accent3 8" xfId="2462"/>
    <cellStyle name="20% - Accent3 8 10" xfId="17723"/>
    <cellStyle name="20% - Accent3 8 2" xfId="2463"/>
    <cellStyle name="20% - Accent3 8 2 2" xfId="2464"/>
    <cellStyle name="20% - Accent3 8 2 2 2" xfId="2465"/>
    <cellStyle name="20% - Accent3 8 2 2 2 2" xfId="13775"/>
    <cellStyle name="20% - Accent3 8 2 2 2 3" xfId="17726"/>
    <cellStyle name="20% - Accent3 8 2 2 3" xfId="2466"/>
    <cellStyle name="20% - Accent3 8 2 2 3 2" xfId="13776"/>
    <cellStyle name="20% - Accent3 8 2 2 3 3" xfId="17727"/>
    <cellStyle name="20% - Accent3 8 2 2 4" xfId="13774"/>
    <cellStyle name="20% - Accent3 8 2 2 5" xfId="17725"/>
    <cellStyle name="20% - Accent3 8 2 3" xfId="2467"/>
    <cellStyle name="20% - Accent3 8 2 3 2" xfId="2468"/>
    <cellStyle name="20% - Accent3 8 2 3 2 2" xfId="13778"/>
    <cellStyle name="20% - Accent3 8 2 3 2 3" xfId="17729"/>
    <cellStyle name="20% - Accent3 8 2 3 3" xfId="2469"/>
    <cellStyle name="20% - Accent3 8 2 3 3 2" xfId="13779"/>
    <cellStyle name="20% - Accent3 8 2 3 3 3" xfId="17730"/>
    <cellStyle name="20% - Accent3 8 2 3 4" xfId="13777"/>
    <cellStyle name="20% - Accent3 8 2 3 5" xfId="17728"/>
    <cellStyle name="20% - Accent3 8 2 4" xfId="2470"/>
    <cellStyle name="20% - Accent3 8 2 4 2" xfId="2471"/>
    <cellStyle name="20% - Accent3 8 2 4 2 2" xfId="13781"/>
    <cellStyle name="20% - Accent3 8 2 4 2 3" xfId="17732"/>
    <cellStyle name="20% - Accent3 8 2 4 3" xfId="2472"/>
    <cellStyle name="20% - Accent3 8 2 4 3 2" xfId="13782"/>
    <cellStyle name="20% - Accent3 8 2 4 3 3" xfId="17733"/>
    <cellStyle name="20% - Accent3 8 2 4 4" xfId="13780"/>
    <cellStyle name="20% - Accent3 8 2 4 5" xfId="17731"/>
    <cellStyle name="20% - Accent3 8 2 5" xfId="2473"/>
    <cellStyle name="20% - Accent3 8 2 5 2" xfId="13783"/>
    <cellStyle name="20% - Accent3 8 2 5 3" xfId="17734"/>
    <cellStyle name="20% - Accent3 8 2 6" xfId="2474"/>
    <cellStyle name="20% - Accent3 8 2 6 2" xfId="13784"/>
    <cellStyle name="20% - Accent3 8 2 6 3" xfId="17735"/>
    <cellStyle name="20% - Accent3 8 2 7" xfId="13773"/>
    <cellStyle name="20% - Accent3 8 2 8" xfId="17724"/>
    <cellStyle name="20% - Accent3 8 2_Volatility" xfId="2475"/>
    <cellStyle name="20% - Accent3 8 3" xfId="2476"/>
    <cellStyle name="20% - Accent3 8 3 2" xfId="2477"/>
    <cellStyle name="20% - Accent3 8 3 2 2" xfId="2478"/>
    <cellStyle name="20% - Accent3 8 3 2 2 2" xfId="13787"/>
    <cellStyle name="20% - Accent3 8 3 2 2 3" xfId="17738"/>
    <cellStyle name="20% - Accent3 8 3 2 3" xfId="2479"/>
    <cellStyle name="20% - Accent3 8 3 2 3 2" xfId="13788"/>
    <cellStyle name="20% - Accent3 8 3 2 3 3" xfId="17739"/>
    <cellStyle name="20% - Accent3 8 3 2 4" xfId="13786"/>
    <cellStyle name="20% - Accent3 8 3 2 5" xfId="17737"/>
    <cellStyle name="20% - Accent3 8 3 3" xfId="2480"/>
    <cellStyle name="20% - Accent3 8 3 3 2" xfId="2481"/>
    <cellStyle name="20% - Accent3 8 3 3 2 2" xfId="13790"/>
    <cellStyle name="20% - Accent3 8 3 3 2 3" xfId="17741"/>
    <cellStyle name="20% - Accent3 8 3 3 3" xfId="2482"/>
    <cellStyle name="20% - Accent3 8 3 3 3 2" xfId="13791"/>
    <cellStyle name="20% - Accent3 8 3 3 3 3" xfId="17742"/>
    <cellStyle name="20% - Accent3 8 3 3 4" xfId="13789"/>
    <cellStyle name="20% - Accent3 8 3 3 5" xfId="17740"/>
    <cellStyle name="20% - Accent3 8 3 4" xfId="2483"/>
    <cellStyle name="20% - Accent3 8 3 4 2" xfId="13792"/>
    <cellStyle name="20% - Accent3 8 3 4 3" xfId="17743"/>
    <cellStyle name="20% - Accent3 8 3 5" xfId="2484"/>
    <cellStyle name="20% - Accent3 8 3 5 2" xfId="13793"/>
    <cellStyle name="20% - Accent3 8 3 5 3" xfId="17744"/>
    <cellStyle name="20% - Accent3 8 3 6" xfId="13785"/>
    <cellStyle name="20% - Accent3 8 3 7" xfId="17736"/>
    <cellStyle name="20% - Accent3 8 3_Volatility" xfId="2485"/>
    <cellStyle name="20% - Accent3 8 4" xfId="2486"/>
    <cellStyle name="20% - Accent3 8 4 2" xfId="2487"/>
    <cellStyle name="20% - Accent3 8 4 2 2" xfId="13795"/>
    <cellStyle name="20% - Accent3 8 4 2 3" xfId="17746"/>
    <cellStyle name="20% - Accent3 8 4 3" xfId="2488"/>
    <cellStyle name="20% - Accent3 8 4 3 2" xfId="13796"/>
    <cellStyle name="20% - Accent3 8 4 3 3" xfId="17747"/>
    <cellStyle name="20% - Accent3 8 4 4" xfId="13794"/>
    <cellStyle name="20% - Accent3 8 4 5" xfId="17745"/>
    <cellStyle name="20% - Accent3 8 5" xfId="2489"/>
    <cellStyle name="20% - Accent3 8 5 2" xfId="2490"/>
    <cellStyle name="20% - Accent3 8 5 2 2" xfId="13798"/>
    <cellStyle name="20% - Accent3 8 5 2 3" xfId="17749"/>
    <cellStyle name="20% - Accent3 8 5 3" xfId="2491"/>
    <cellStyle name="20% - Accent3 8 5 3 2" xfId="13799"/>
    <cellStyle name="20% - Accent3 8 5 3 3" xfId="17750"/>
    <cellStyle name="20% - Accent3 8 5 4" xfId="13797"/>
    <cellStyle name="20% - Accent3 8 5 5" xfId="17748"/>
    <cellStyle name="20% - Accent3 8 6" xfId="2492"/>
    <cellStyle name="20% - Accent3 8 6 2" xfId="2493"/>
    <cellStyle name="20% - Accent3 8 6 2 2" xfId="13801"/>
    <cellStyle name="20% - Accent3 8 6 2 3" xfId="17752"/>
    <cellStyle name="20% - Accent3 8 6 3" xfId="2494"/>
    <cellStyle name="20% - Accent3 8 6 3 2" xfId="13802"/>
    <cellStyle name="20% - Accent3 8 6 3 3" xfId="17753"/>
    <cellStyle name="20% - Accent3 8 6 4" xfId="13800"/>
    <cellStyle name="20% - Accent3 8 6 5" xfId="17751"/>
    <cellStyle name="20% - Accent3 8 7" xfId="2495"/>
    <cellStyle name="20% - Accent3 8 7 2" xfId="13803"/>
    <cellStyle name="20% - Accent3 8 7 3" xfId="17754"/>
    <cellStyle name="20% - Accent3 8 8" xfId="2496"/>
    <cellStyle name="20% - Accent3 8 8 2" xfId="13804"/>
    <cellStyle name="20% - Accent3 8 8 3" xfId="17755"/>
    <cellStyle name="20% - Accent3 8 9" xfId="13772"/>
    <cellStyle name="20% - Accent3 8_Volatility" xfId="2497"/>
    <cellStyle name="20% - Accent3 9" xfId="2498"/>
    <cellStyle name="20% - Accent3 9 10" xfId="17756"/>
    <cellStyle name="20% - Accent3 9 2" xfId="2499"/>
    <cellStyle name="20% - Accent3 9 2 2" xfId="2500"/>
    <cellStyle name="20% - Accent3 9 2 2 2" xfId="2501"/>
    <cellStyle name="20% - Accent3 9 2 2 2 2" xfId="13808"/>
    <cellStyle name="20% - Accent3 9 2 2 2 3" xfId="17759"/>
    <cellStyle name="20% - Accent3 9 2 2 3" xfId="2502"/>
    <cellStyle name="20% - Accent3 9 2 2 3 2" xfId="13809"/>
    <cellStyle name="20% - Accent3 9 2 2 3 3" xfId="17760"/>
    <cellStyle name="20% - Accent3 9 2 2 4" xfId="13807"/>
    <cellStyle name="20% - Accent3 9 2 2 5" xfId="17758"/>
    <cellStyle name="20% - Accent3 9 2 3" xfId="2503"/>
    <cellStyle name="20% - Accent3 9 2 3 2" xfId="2504"/>
    <cellStyle name="20% - Accent3 9 2 3 2 2" xfId="13811"/>
    <cellStyle name="20% - Accent3 9 2 3 2 3" xfId="17762"/>
    <cellStyle name="20% - Accent3 9 2 3 3" xfId="2505"/>
    <cellStyle name="20% - Accent3 9 2 3 3 2" xfId="13812"/>
    <cellStyle name="20% - Accent3 9 2 3 3 3" xfId="17763"/>
    <cellStyle name="20% - Accent3 9 2 3 4" xfId="13810"/>
    <cellStyle name="20% - Accent3 9 2 3 5" xfId="17761"/>
    <cellStyle name="20% - Accent3 9 2 4" xfId="2506"/>
    <cellStyle name="20% - Accent3 9 2 4 2" xfId="2507"/>
    <cellStyle name="20% - Accent3 9 2 4 2 2" xfId="13814"/>
    <cellStyle name="20% - Accent3 9 2 4 2 3" xfId="17765"/>
    <cellStyle name="20% - Accent3 9 2 4 3" xfId="2508"/>
    <cellStyle name="20% - Accent3 9 2 4 3 2" xfId="13815"/>
    <cellStyle name="20% - Accent3 9 2 4 3 3" xfId="17766"/>
    <cellStyle name="20% - Accent3 9 2 4 4" xfId="13813"/>
    <cellStyle name="20% - Accent3 9 2 4 5" xfId="17764"/>
    <cellStyle name="20% - Accent3 9 2 5" xfId="2509"/>
    <cellStyle name="20% - Accent3 9 2 5 2" xfId="13816"/>
    <cellStyle name="20% - Accent3 9 2 5 3" xfId="17767"/>
    <cellStyle name="20% - Accent3 9 2 6" xfId="2510"/>
    <cellStyle name="20% - Accent3 9 2 6 2" xfId="13817"/>
    <cellStyle name="20% - Accent3 9 2 6 3" xfId="17768"/>
    <cellStyle name="20% - Accent3 9 2 7" xfId="13806"/>
    <cellStyle name="20% - Accent3 9 2 8" xfId="17757"/>
    <cellStyle name="20% - Accent3 9 2_Volatility" xfId="2511"/>
    <cellStyle name="20% - Accent3 9 3" xfId="2512"/>
    <cellStyle name="20% - Accent3 9 3 2" xfId="2513"/>
    <cellStyle name="20% - Accent3 9 3 2 2" xfId="2514"/>
    <cellStyle name="20% - Accent3 9 3 2 2 2" xfId="13820"/>
    <cellStyle name="20% - Accent3 9 3 2 2 3" xfId="17771"/>
    <cellStyle name="20% - Accent3 9 3 2 3" xfId="2515"/>
    <cellStyle name="20% - Accent3 9 3 2 3 2" xfId="13821"/>
    <cellStyle name="20% - Accent3 9 3 2 3 3" xfId="17772"/>
    <cellStyle name="20% - Accent3 9 3 2 4" xfId="13819"/>
    <cellStyle name="20% - Accent3 9 3 2 5" xfId="17770"/>
    <cellStyle name="20% - Accent3 9 3 3" xfId="2516"/>
    <cellStyle name="20% - Accent3 9 3 3 2" xfId="2517"/>
    <cellStyle name="20% - Accent3 9 3 3 2 2" xfId="13823"/>
    <cellStyle name="20% - Accent3 9 3 3 2 3" xfId="17774"/>
    <cellStyle name="20% - Accent3 9 3 3 3" xfId="2518"/>
    <cellStyle name="20% - Accent3 9 3 3 3 2" xfId="13824"/>
    <cellStyle name="20% - Accent3 9 3 3 3 3" xfId="17775"/>
    <cellStyle name="20% - Accent3 9 3 3 4" xfId="13822"/>
    <cellStyle name="20% - Accent3 9 3 3 5" xfId="17773"/>
    <cellStyle name="20% - Accent3 9 3 4" xfId="2519"/>
    <cellStyle name="20% - Accent3 9 3 4 2" xfId="13825"/>
    <cellStyle name="20% - Accent3 9 3 4 3" xfId="17776"/>
    <cellStyle name="20% - Accent3 9 3 5" xfId="2520"/>
    <cellStyle name="20% - Accent3 9 3 5 2" xfId="13826"/>
    <cellStyle name="20% - Accent3 9 3 5 3" xfId="17777"/>
    <cellStyle name="20% - Accent3 9 3 6" xfId="13818"/>
    <cellStyle name="20% - Accent3 9 3 7" xfId="17769"/>
    <cellStyle name="20% - Accent3 9 3_Volatility" xfId="2521"/>
    <cellStyle name="20% - Accent3 9 4" xfId="2522"/>
    <cellStyle name="20% - Accent3 9 4 2" xfId="2523"/>
    <cellStyle name="20% - Accent3 9 4 2 2" xfId="13828"/>
    <cellStyle name="20% - Accent3 9 4 2 3" xfId="17779"/>
    <cellStyle name="20% - Accent3 9 4 3" xfId="2524"/>
    <cellStyle name="20% - Accent3 9 4 3 2" xfId="13829"/>
    <cellStyle name="20% - Accent3 9 4 3 3" xfId="17780"/>
    <cellStyle name="20% - Accent3 9 4 4" xfId="13827"/>
    <cellStyle name="20% - Accent3 9 4 5" xfId="17778"/>
    <cellStyle name="20% - Accent3 9 5" xfId="2525"/>
    <cellStyle name="20% - Accent3 9 5 2" xfId="2526"/>
    <cellStyle name="20% - Accent3 9 5 2 2" xfId="13831"/>
    <cellStyle name="20% - Accent3 9 5 2 3" xfId="17782"/>
    <cellStyle name="20% - Accent3 9 5 3" xfId="2527"/>
    <cellStyle name="20% - Accent3 9 5 3 2" xfId="13832"/>
    <cellStyle name="20% - Accent3 9 5 3 3" xfId="17783"/>
    <cellStyle name="20% - Accent3 9 5 4" xfId="13830"/>
    <cellStyle name="20% - Accent3 9 5 5" xfId="17781"/>
    <cellStyle name="20% - Accent3 9 6" xfId="2528"/>
    <cellStyle name="20% - Accent3 9 6 2" xfId="2529"/>
    <cellStyle name="20% - Accent3 9 6 2 2" xfId="13834"/>
    <cellStyle name="20% - Accent3 9 6 2 3" xfId="17785"/>
    <cellStyle name="20% - Accent3 9 6 3" xfId="2530"/>
    <cellStyle name="20% - Accent3 9 6 3 2" xfId="13835"/>
    <cellStyle name="20% - Accent3 9 6 3 3" xfId="17786"/>
    <cellStyle name="20% - Accent3 9 6 4" xfId="13833"/>
    <cellStyle name="20% - Accent3 9 6 5" xfId="17784"/>
    <cellStyle name="20% - Accent3 9 7" xfId="2531"/>
    <cellStyle name="20% - Accent3 9 7 2" xfId="13836"/>
    <cellStyle name="20% - Accent3 9 7 3" xfId="17787"/>
    <cellStyle name="20% - Accent3 9 8" xfId="2532"/>
    <cellStyle name="20% - Accent3 9 8 2" xfId="13837"/>
    <cellStyle name="20% - Accent3 9 8 3" xfId="17788"/>
    <cellStyle name="20% - Accent3 9 9" xfId="13805"/>
    <cellStyle name="20% - Accent3 9_Volatility" xfId="2533"/>
    <cellStyle name="20% - Accent4 10" xfId="2534"/>
    <cellStyle name="20% - Accent4 10 10" xfId="17789"/>
    <cellStyle name="20% - Accent4 10 2" xfId="2535"/>
    <cellStyle name="20% - Accent4 10 2 2" xfId="2536"/>
    <cellStyle name="20% - Accent4 10 2 2 2" xfId="2537"/>
    <cellStyle name="20% - Accent4 10 2 2 2 2" xfId="13841"/>
    <cellStyle name="20% - Accent4 10 2 2 2 3" xfId="17792"/>
    <cellStyle name="20% - Accent4 10 2 2 3" xfId="2538"/>
    <cellStyle name="20% - Accent4 10 2 2 3 2" xfId="13842"/>
    <cellStyle name="20% - Accent4 10 2 2 3 3" xfId="17793"/>
    <cellStyle name="20% - Accent4 10 2 2 4" xfId="13840"/>
    <cellStyle name="20% - Accent4 10 2 2 5" xfId="17791"/>
    <cellStyle name="20% - Accent4 10 2 3" xfId="2539"/>
    <cellStyle name="20% - Accent4 10 2 3 2" xfId="2540"/>
    <cellStyle name="20% - Accent4 10 2 3 2 2" xfId="13844"/>
    <cellStyle name="20% - Accent4 10 2 3 2 3" xfId="17795"/>
    <cellStyle name="20% - Accent4 10 2 3 3" xfId="2541"/>
    <cellStyle name="20% - Accent4 10 2 3 3 2" xfId="13845"/>
    <cellStyle name="20% - Accent4 10 2 3 3 3" xfId="17796"/>
    <cellStyle name="20% - Accent4 10 2 3 4" xfId="13843"/>
    <cellStyle name="20% - Accent4 10 2 3 5" xfId="17794"/>
    <cellStyle name="20% - Accent4 10 2 4" xfId="2542"/>
    <cellStyle name="20% - Accent4 10 2 4 2" xfId="2543"/>
    <cellStyle name="20% - Accent4 10 2 4 2 2" xfId="13847"/>
    <cellStyle name="20% - Accent4 10 2 4 2 3" xfId="17798"/>
    <cellStyle name="20% - Accent4 10 2 4 3" xfId="2544"/>
    <cellStyle name="20% - Accent4 10 2 4 3 2" xfId="13848"/>
    <cellStyle name="20% - Accent4 10 2 4 3 3" xfId="17799"/>
    <cellStyle name="20% - Accent4 10 2 4 4" xfId="13846"/>
    <cellStyle name="20% - Accent4 10 2 4 5" xfId="17797"/>
    <cellStyle name="20% - Accent4 10 2 5" xfId="2545"/>
    <cellStyle name="20% - Accent4 10 2 5 2" xfId="13849"/>
    <cellStyle name="20% - Accent4 10 2 5 3" xfId="17800"/>
    <cellStyle name="20% - Accent4 10 2 6" xfId="2546"/>
    <cellStyle name="20% - Accent4 10 2 6 2" xfId="13850"/>
    <cellStyle name="20% - Accent4 10 2 6 3" xfId="17801"/>
    <cellStyle name="20% - Accent4 10 2 7" xfId="13839"/>
    <cellStyle name="20% - Accent4 10 2 8" xfId="17790"/>
    <cellStyle name="20% - Accent4 10 2_Volatility" xfId="2547"/>
    <cellStyle name="20% - Accent4 10 3" xfId="2548"/>
    <cellStyle name="20% - Accent4 10 3 2" xfId="2549"/>
    <cellStyle name="20% - Accent4 10 3 2 2" xfId="2550"/>
    <cellStyle name="20% - Accent4 10 3 2 2 2" xfId="13853"/>
    <cellStyle name="20% - Accent4 10 3 2 2 3" xfId="17804"/>
    <cellStyle name="20% - Accent4 10 3 2 3" xfId="2551"/>
    <cellStyle name="20% - Accent4 10 3 2 3 2" xfId="13854"/>
    <cellStyle name="20% - Accent4 10 3 2 3 3" xfId="17805"/>
    <cellStyle name="20% - Accent4 10 3 2 4" xfId="13852"/>
    <cellStyle name="20% - Accent4 10 3 2 5" xfId="17803"/>
    <cellStyle name="20% - Accent4 10 3 3" xfId="2552"/>
    <cellStyle name="20% - Accent4 10 3 3 2" xfId="2553"/>
    <cellStyle name="20% - Accent4 10 3 3 2 2" xfId="13856"/>
    <cellStyle name="20% - Accent4 10 3 3 2 3" xfId="17807"/>
    <cellStyle name="20% - Accent4 10 3 3 3" xfId="2554"/>
    <cellStyle name="20% - Accent4 10 3 3 3 2" xfId="13857"/>
    <cellStyle name="20% - Accent4 10 3 3 3 3" xfId="17808"/>
    <cellStyle name="20% - Accent4 10 3 3 4" xfId="13855"/>
    <cellStyle name="20% - Accent4 10 3 3 5" xfId="17806"/>
    <cellStyle name="20% - Accent4 10 3 4" xfId="2555"/>
    <cellStyle name="20% - Accent4 10 3 4 2" xfId="13858"/>
    <cellStyle name="20% - Accent4 10 3 4 3" xfId="17809"/>
    <cellStyle name="20% - Accent4 10 3 5" xfId="2556"/>
    <cellStyle name="20% - Accent4 10 3 5 2" xfId="13859"/>
    <cellStyle name="20% - Accent4 10 3 5 3" xfId="17810"/>
    <cellStyle name="20% - Accent4 10 3 6" xfId="13851"/>
    <cellStyle name="20% - Accent4 10 3 7" xfId="17802"/>
    <cellStyle name="20% - Accent4 10 3_Volatility" xfId="2557"/>
    <cellStyle name="20% - Accent4 10 4" xfId="2558"/>
    <cellStyle name="20% - Accent4 10 4 2" xfId="2559"/>
    <cellStyle name="20% - Accent4 10 4 2 2" xfId="13861"/>
    <cellStyle name="20% - Accent4 10 4 2 3" xfId="17812"/>
    <cellStyle name="20% - Accent4 10 4 3" xfId="2560"/>
    <cellStyle name="20% - Accent4 10 4 3 2" xfId="13862"/>
    <cellStyle name="20% - Accent4 10 4 3 3" xfId="17813"/>
    <cellStyle name="20% - Accent4 10 4 4" xfId="13860"/>
    <cellStyle name="20% - Accent4 10 4 5" xfId="17811"/>
    <cellStyle name="20% - Accent4 10 5" xfId="2561"/>
    <cellStyle name="20% - Accent4 10 5 2" xfId="2562"/>
    <cellStyle name="20% - Accent4 10 5 2 2" xfId="13864"/>
    <cellStyle name="20% - Accent4 10 5 2 3" xfId="17815"/>
    <cellStyle name="20% - Accent4 10 5 3" xfId="2563"/>
    <cellStyle name="20% - Accent4 10 5 3 2" xfId="13865"/>
    <cellStyle name="20% - Accent4 10 5 3 3" xfId="17816"/>
    <cellStyle name="20% - Accent4 10 5 4" xfId="13863"/>
    <cellStyle name="20% - Accent4 10 5 5" xfId="17814"/>
    <cellStyle name="20% - Accent4 10 6" xfId="2564"/>
    <cellStyle name="20% - Accent4 10 6 2" xfId="2565"/>
    <cellStyle name="20% - Accent4 10 6 2 2" xfId="13867"/>
    <cellStyle name="20% - Accent4 10 6 2 3" xfId="17818"/>
    <cellStyle name="20% - Accent4 10 6 3" xfId="2566"/>
    <cellStyle name="20% - Accent4 10 6 3 2" xfId="13868"/>
    <cellStyle name="20% - Accent4 10 6 3 3" xfId="17819"/>
    <cellStyle name="20% - Accent4 10 6 4" xfId="13866"/>
    <cellStyle name="20% - Accent4 10 6 5" xfId="17817"/>
    <cellStyle name="20% - Accent4 10 7" xfId="2567"/>
    <cellStyle name="20% - Accent4 10 7 2" xfId="13869"/>
    <cellStyle name="20% - Accent4 10 7 3" xfId="17820"/>
    <cellStyle name="20% - Accent4 10 8" xfId="2568"/>
    <cellStyle name="20% - Accent4 10 8 2" xfId="13870"/>
    <cellStyle name="20% - Accent4 10 8 3" xfId="17821"/>
    <cellStyle name="20% - Accent4 10 9" xfId="13838"/>
    <cellStyle name="20% - Accent4 10_Volatility" xfId="2569"/>
    <cellStyle name="20% - Accent4 11" xfId="2570"/>
    <cellStyle name="20% - Accent4 11 10" xfId="17822"/>
    <cellStyle name="20% - Accent4 11 2" xfId="2571"/>
    <cellStyle name="20% - Accent4 11 2 2" xfId="2572"/>
    <cellStyle name="20% - Accent4 11 2 2 2" xfId="2573"/>
    <cellStyle name="20% - Accent4 11 2 2 2 2" xfId="13874"/>
    <cellStyle name="20% - Accent4 11 2 2 2 3" xfId="17825"/>
    <cellStyle name="20% - Accent4 11 2 2 3" xfId="2574"/>
    <cellStyle name="20% - Accent4 11 2 2 3 2" xfId="13875"/>
    <cellStyle name="20% - Accent4 11 2 2 3 3" xfId="17826"/>
    <cellStyle name="20% - Accent4 11 2 2 4" xfId="13873"/>
    <cellStyle name="20% - Accent4 11 2 2 5" xfId="17824"/>
    <cellStyle name="20% - Accent4 11 2 3" xfId="2575"/>
    <cellStyle name="20% - Accent4 11 2 3 2" xfId="2576"/>
    <cellStyle name="20% - Accent4 11 2 3 2 2" xfId="13877"/>
    <cellStyle name="20% - Accent4 11 2 3 2 3" xfId="17828"/>
    <cellStyle name="20% - Accent4 11 2 3 3" xfId="2577"/>
    <cellStyle name="20% - Accent4 11 2 3 3 2" xfId="13878"/>
    <cellStyle name="20% - Accent4 11 2 3 3 3" xfId="17829"/>
    <cellStyle name="20% - Accent4 11 2 3 4" xfId="13876"/>
    <cellStyle name="20% - Accent4 11 2 3 5" xfId="17827"/>
    <cellStyle name="20% - Accent4 11 2 4" xfId="2578"/>
    <cellStyle name="20% - Accent4 11 2 4 2" xfId="2579"/>
    <cellStyle name="20% - Accent4 11 2 4 2 2" xfId="13880"/>
    <cellStyle name="20% - Accent4 11 2 4 2 3" xfId="17831"/>
    <cellStyle name="20% - Accent4 11 2 4 3" xfId="2580"/>
    <cellStyle name="20% - Accent4 11 2 4 3 2" xfId="13881"/>
    <cellStyle name="20% - Accent4 11 2 4 3 3" xfId="17832"/>
    <cellStyle name="20% - Accent4 11 2 4 4" xfId="13879"/>
    <cellStyle name="20% - Accent4 11 2 4 5" xfId="17830"/>
    <cellStyle name="20% - Accent4 11 2 5" xfId="2581"/>
    <cellStyle name="20% - Accent4 11 2 5 2" xfId="13882"/>
    <cellStyle name="20% - Accent4 11 2 5 3" xfId="17833"/>
    <cellStyle name="20% - Accent4 11 2 6" xfId="2582"/>
    <cellStyle name="20% - Accent4 11 2 6 2" xfId="13883"/>
    <cellStyle name="20% - Accent4 11 2 6 3" xfId="17834"/>
    <cellStyle name="20% - Accent4 11 2 7" xfId="13872"/>
    <cellStyle name="20% - Accent4 11 2 8" xfId="17823"/>
    <cellStyle name="20% - Accent4 11 2_Volatility" xfId="2583"/>
    <cellStyle name="20% - Accent4 11 3" xfId="2584"/>
    <cellStyle name="20% - Accent4 11 3 2" xfId="2585"/>
    <cellStyle name="20% - Accent4 11 3 2 2" xfId="2586"/>
    <cellStyle name="20% - Accent4 11 3 2 2 2" xfId="13886"/>
    <cellStyle name="20% - Accent4 11 3 2 2 3" xfId="17837"/>
    <cellStyle name="20% - Accent4 11 3 2 3" xfId="2587"/>
    <cellStyle name="20% - Accent4 11 3 2 3 2" xfId="13887"/>
    <cellStyle name="20% - Accent4 11 3 2 3 3" xfId="17838"/>
    <cellStyle name="20% - Accent4 11 3 2 4" xfId="13885"/>
    <cellStyle name="20% - Accent4 11 3 2 5" xfId="17836"/>
    <cellStyle name="20% - Accent4 11 3 3" xfId="2588"/>
    <cellStyle name="20% - Accent4 11 3 3 2" xfId="2589"/>
    <cellStyle name="20% - Accent4 11 3 3 2 2" xfId="13889"/>
    <cellStyle name="20% - Accent4 11 3 3 2 3" xfId="17840"/>
    <cellStyle name="20% - Accent4 11 3 3 3" xfId="2590"/>
    <cellStyle name="20% - Accent4 11 3 3 3 2" xfId="13890"/>
    <cellStyle name="20% - Accent4 11 3 3 3 3" xfId="17841"/>
    <cellStyle name="20% - Accent4 11 3 3 4" xfId="13888"/>
    <cellStyle name="20% - Accent4 11 3 3 5" xfId="17839"/>
    <cellStyle name="20% - Accent4 11 3 4" xfId="2591"/>
    <cellStyle name="20% - Accent4 11 3 4 2" xfId="13891"/>
    <cellStyle name="20% - Accent4 11 3 4 3" xfId="17842"/>
    <cellStyle name="20% - Accent4 11 3 5" xfId="2592"/>
    <cellStyle name="20% - Accent4 11 3 5 2" xfId="13892"/>
    <cellStyle name="20% - Accent4 11 3 5 3" xfId="17843"/>
    <cellStyle name="20% - Accent4 11 3 6" xfId="13884"/>
    <cellStyle name="20% - Accent4 11 3 7" xfId="17835"/>
    <cellStyle name="20% - Accent4 11 3_Volatility" xfId="2593"/>
    <cellStyle name="20% - Accent4 11 4" xfId="2594"/>
    <cellStyle name="20% - Accent4 11 4 2" xfId="2595"/>
    <cellStyle name="20% - Accent4 11 4 2 2" xfId="13894"/>
    <cellStyle name="20% - Accent4 11 4 2 3" xfId="17845"/>
    <cellStyle name="20% - Accent4 11 4 3" xfId="2596"/>
    <cellStyle name="20% - Accent4 11 4 3 2" xfId="13895"/>
    <cellStyle name="20% - Accent4 11 4 3 3" xfId="17846"/>
    <cellStyle name="20% - Accent4 11 4 4" xfId="13893"/>
    <cellStyle name="20% - Accent4 11 4 5" xfId="17844"/>
    <cellStyle name="20% - Accent4 11 5" xfId="2597"/>
    <cellStyle name="20% - Accent4 11 5 2" xfId="2598"/>
    <cellStyle name="20% - Accent4 11 5 2 2" xfId="13897"/>
    <cellStyle name="20% - Accent4 11 5 2 3" xfId="17848"/>
    <cellStyle name="20% - Accent4 11 5 3" xfId="2599"/>
    <cellStyle name="20% - Accent4 11 5 3 2" xfId="13898"/>
    <cellStyle name="20% - Accent4 11 5 3 3" xfId="17849"/>
    <cellStyle name="20% - Accent4 11 5 4" xfId="13896"/>
    <cellStyle name="20% - Accent4 11 5 5" xfId="17847"/>
    <cellStyle name="20% - Accent4 11 6" xfId="2600"/>
    <cellStyle name="20% - Accent4 11 6 2" xfId="2601"/>
    <cellStyle name="20% - Accent4 11 6 2 2" xfId="13900"/>
    <cellStyle name="20% - Accent4 11 6 2 3" xfId="17851"/>
    <cellStyle name="20% - Accent4 11 6 3" xfId="2602"/>
    <cellStyle name="20% - Accent4 11 6 3 2" xfId="13901"/>
    <cellStyle name="20% - Accent4 11 6 3 3" xfId="17852"/>
    <cellStyle name="20% - Accent4 11 6 4" xfId="13899"/>
    <cellStyle name="20% - Accent4 11 6 5" xfId="17850"/>
    <cellStyle name="20% - Accent4 11 7" xfId="2603"/>
    <cellStyle name="20% - Accent4 11 7 2" xfId="13902"/>
    <cellStyle name="20% - Accent4 11 7 3" xfId="17853"/>
    <cellStyle name="20% - Accent4 11 8" xfId="2604"/>
    <cellStyle name="20% - Accent4 11 8 2" xfId="13903"/>
    <cellStyle name="20% - Accent4 11 8 3" xfId="17854"/>
    <cellStyle name="20% - Accent4 11 9" xfId="13871"/>
    <cellStyle name="20% - Accent4 11_Volatility" xfId="2605"/>
    <cellStyle name="20% - Accent4 12" xfId="2606"/>
    <cellStyle name="20% - Accent4 12 10" xfId="17855"/>
    <cellStyle name="20% - Accent4 12 2" xfId="2607"/>
    <cellStyle name="20% - Accent4 12 2 2" xfId="2608"/>
    <cellStyle name="20% - Accent4 12 2 2 2" xfId="2609"/>
    <cellStyle name="20% - Accent4 12 2 2 2 2" xfId="13907"/>
    <cellStyle name="20% - Accent4 12 2 2 2 3" xfId="17858"/>
    <cellStyle name="20% - Accent4 12 2 2 3" xfId="2610"/>
    <cellStyle name="20% - Accent4 12 2 2 3 2" xfId="13908"/>
    <cellStyle name="20% - Accent4 12 2 2 3 3" xfId="17859"/>
    <cellStyle name="20% - Accent4 12 2 2 4" xfId="13906"/>
    <cellStyle name="20% - Accent4 12 2 2 5" xfId="17857"/>
    <cellStyle name="20% - Accent4 12 2 3" xfId="2611"/>
    <cellStyle name="20% - Accent4 12 2 3 2" xfId="2612"/>
    <cellStyle name="20% - Accent4 12 2 3 2 2" xfId="13910"/>
    <cellStyle name="20% - Accent4 12 2 3 2 3" xfId="17861"/>
    <cellStyle name="20% - Accent4 12 2 3 3" xfId="2613"/>
    <cellStyle name="20% - Accent4 12 2 3 3 2" xfId="13911"/>
    <cellStyle name="20% - Accent4 12 2 3 3 3" xfId="17862"/>
    <cellStyle name="20% - Accent4 12 2 3 4" xfId="13909"/>
    <cellStyle name="20% - Accent4 12 2 3 5" xfId="17860"/>
    <cellStyle name="20% - Accent4 12 2 4" xfId="2614"/>
    <cellStyle name="20% - Accent4 12 2 4 2" xfId="2615"/>
    <cellStyle name="20% - Accent4 12 2 4 2 2" xfId="13913"/>
    <cellStyle name="20% - Accent4 12 2 4 2 3" xfId="17864"/>
    <cellStyle name="20% - Accent4 12 2 4 3" xfId="2616"/>
    <cellStyle name="20% - Accent4 12 2 4 3 2" xfId="13914"/>
    <cellStyle name="20% - Accent4 12 2 4 3 3" xfId="17865"/>
    <cellStyle name="20% - Accent4 12 2 4 4" xfId="13912"/>
    <cellStyle name="20% - Accent4 12 2 4 5" xfId="17863"/>
    <cellStyle name="20% - Accent4 12 2 5" xfId="2617"/>
    <cellStyle name="20% - Accent4 12 2 5 2" xfId="13915"/>
    <cellStyle name="20% - Accent4 12 2 5 3" xfId="17866"/>
    <cellStyle name="20% - Accent4 12 2 6" xfId="2618"/>
    <cellStyle name="20% - Accent4 12 2 6 2" xfId="13916"/>
    <cellStyle name="20% - Accent4 12 2 6 3" xfId="17867"/>
    <cellStyle name="20% - Accent4 12 2 7" xfId="13905"/>
    <cellStyle name="20% - Accent4 12 2 8" xfId="17856"/>
    <cellStyle name="20% - Accent4 12 2_Volatility" xfId="2619"/>
    <cellStyle name="20% - Accent4 12 3" xfId="2620"/>
    <cellStyle name="20% - Accent4 12 3 2" xfId="2621"/>
    <cellStyle name="20% - Accent4 12 3 2 2" xfId="2622"/>
    <cellStyle name="20% - Accent4 12 3 2 2 2" xfId="13919"/>
    <cellStyle name="20% - Accent4 12 3 2 2 3" xfId="17870"/>
    <cellStyle name="20% - Accent4 12 3 2 3" xfId="2623"/>
    <cellStyle name="20% - Accent4 12 3 2 3 2" xfId="13920"/>
    <cellStyle name="20% - Accent4 12 3 2 3 3" xfId="17871"/>
    <cellStyle name="20% - Accent4 12 3 2 4" xfId="13918"/>
    <cellStyle name="20% - Accent4 12 3 2 5" xfId="17869"/>
    <cellStyle name="20% - Accent4 12 3 3" xfId="2624"/>
    <cellStyle name="20% - Accent4 12 3 3 2" xfId="2625"/>
    <cellStyle name="20% - Accent4 12 3 3 2 2" xfId="13922"/>
    <cellStyle name="20% - Accent4 12 3 3 2 3" xfId="17873"/>
    <cellStyle name="20% - Accent4 12 3 3 3" xfId="2626"/>
    <cellStyle name="20% - Accent4 12 3 3 3 2" xfId="13923"/>
    <cellStyle name="20% - Accent4 12 3 3 3 3" xfId="17874"/>
    <cellStyle name="20% - Accent4 12 3 3 4" xfId="13921"/>
    <cellStyle name="20% - Accent4 12 3 3 5" xfId="17872"/>
    <cellStyle name="20% - Accent4 12 3 4" xfId="2627"/>
    <cellStyle name="20% - Accent4 12 3 4 2" xfId="13924"/>
    <cellStyle name="20% - Accent4 12 3 4 3" xfId="17875"/>
    <cellStyle name="20% - Accent4 12 3 5" xfId="2628"/>
    <cellStyle name="20% - Accent4 12 3 5 2" xfId="13925"/>
    <cellStyle name="20% - Accent4 12 3 5 3" xfId="17876"/>
    <cellStyle name="20% - Accent4 12 3 6" xfId="13917"/>
    <cellStyle name="20% - Accent4 12 3 7" xfId="17868"/>
    <cellStyle name="20% - Accent4 12 3_Volatility" xfId="2629"/>
    <cellStyle name="20% - Accent4 12 4" xfId="2630"/>
    <cellStyle name="20% - Accent4 12 4 2" xfId="2631"/>
    <cellStyle name="20% - Accent4 12 4 2 2" xfId="13927"/>
    <cellStyle name="20% - Accent4 12 4 2 3" xfId="17878"/>
    <cellStyle name="20% - Accent4 12 4 3" xfId="2632"/>
    <cellStyle name="20% - Accent4 12 4 3 2" xfId="13928"/>
    <cellStyle name="20% - Accent4 12 4 3 3" xfId="17879"/>
    <cellStyle name="20% - Accent4 12 4 4" xfId="13926"/>
    <cellStyle name="20% - Accent4 12 4 5" xfId="17877"/>
    <cellStyle name="20% - Accent4 12 5" xfId="2633"/>
    <cellStyle name="20% - Accent4 12 5 2" xfId="2634"/>
    <cellStyle name="20% - Accent4 12 5 2 2" xfId="13930"/>
    <cellStyle name="20% - Accent4 12 5 2 3" xfId="17881"/>
    <cellStyle name="20% - Accent4 12 5 3" xfId="2635"/>
    <cellStyle name="20% - Accent4 12 5 3 2" xfId="13931"/>
    <cellStyle name="20% - Accent4 12 5 3 3" xfId="17882"/>
    <cellStyle name="20% - Accent4 12 5 4" xfId="13929"/>
    <cellStyle name="20% - Accent4 12 5 5" xfId="17880"/>
    <cellStyle name="20% - Accent4 12 6" xfId="2636"/>
    <cellStyle name="20% - Accent4 12 6 2" xfId="2637"/>
    <cellStyle name="20% - Accent4 12 6 2 2" xfId="13933"/>
    <cellStyle name="20% - Accent4 12 6 2 3" xfId="17884"/>
    <cellStyle name="20% - Accent4 12 6 3" xfId="2638"/>
    <cellStyle name="20% - Accent4 12 6 3 2" xfId="13934"/>
    <cellStyle name="20% - Accent4 12 6 3 3" xfId="17885"/>
    <cellStyle name="20% - Accent4 12 6 4" xfId="13932"/>
    <cellStyle name="20% - Accent4 12 6 5" xfId="17883"/>
    <cellStyle name="20% - Accent4 12 7" xfId="2639"/>
    <cellStyle name="20% - Accent4 12 7 2" xfId="13935"/>
    <cellStyle name="20% - Accent4 12 7 3" xfId="17886"/>
    <cellStyle name="20% - Accent4 12 8" xfId="2640"/>
    <cellStyle name="20% - Accent4 12 8 2" xfId="13936"/>
    <cellStyle name="20% - Accent4 12 8 3" xfId="17887"/>
    <cellStyle name="20% - Accent4 12 9" xfId="13904"/>
    <cellStyle name="20% - Accent4 12_Volatility" xfId="2641"/>
    <cellStyle name="20% - Accent4 13" xfId="2642"/>
    <cellStyle name="20% - Accent4 13 10" xfId="17888"/>
    <cellStyle name="20% - Accent4 13 2" xfId="2643"/>
    <cellStyle name="20% - Accent4 13 2 2" xfId="2644"/>
    <cellStyle name="20% - Accent4 13 2 2 2" xfId="2645"/>
    <cellStyle name="20% - Accent4 13 2 2 2 2" xfId="13940"/>
    <cellStyle name="20% - Accent4 13 2 2 2 3" xfId="17891"/>
    <cellStyle name="20% - Accent4 13 2 2 3" xfId="2646"/>
    <cellStyle name="20% - Accent4 13 2 2 3 2" xfId="13941"/>
    <cellStyle name="20% - Accent4 13 2 2 3 3" xfId="17892"/>
    <cellStyle name="20% - Accent4 13 2 2 4" xfId="13939"/>
    <cellStyle name="20% - Accent4 13 2 2 5" xfId="17890"/>
    <cellStyle name="20% - Accent4 13 2 3" xfId="2647"/>
    <cellStyle name="20% - Accent4 13 2 3 2" xfId="2648"/>
    <cellStyle name="20% - Accent4 13 2 3 2 2" xfId="13943"/>
    <cellStyle name="20% - Accent4 13 2 3 2 3" xfId="17894"/>
    <cellStyle name="20% - Accent4 13 2 3 3" xfId="2649"/>
    <cellStyle name="20% - Accent4 13 2 3 3 2" xfId="13944"/>
    <cellStyle name="20% - Accent4 13 2 3 3 3" xfId="17895"/>
    <cellStyle name="20% - Accent4 13 2 3 4" xfId="13942"/>
    <cellStyle name="20% - Accent4 13 2 3 5" xfId="17893"/>
    <cellStyle name="20% - Accent4 13 2 4" xfId="2650"/>
    <cellStyle name="20% - Accent4 13 2 4 2" xfId="2651"/>
    <cellStyle name="20% - Accent4 13 2 4 2 2" xfId="13946"/>
    <cellStyle name="20% - Accent4 13 2 4 2 3" xfId="17897"/>
    <cellStyle name="20% - Accent4 13 2 4 3" xfId="2652"/>
    <cellStyle name="20% - Accent4 13 2 4 3 2" xfId="13947"/>
    <cellStyle name="20% - Accent4 13 2 4 3 3" xfId="17898"/>
    <cellStyle name="20% - Accent4 13 2 4 4" xfId="13945"/>
    <cellStyle name="20% - Accent4 13 2 4 5" xfId="17896"/>
    <cellStyle name="20% - Accent4 13 2 5" xfId="2653"/>
    <cellStyle name="20% - Accent4 13 2 5 2" xfId="13948"/>
    <cellStyle name="20% - Accent4 13 2 5 3" xfId="17899"/>
    <cellStyle name="20% - Accent4 13 2 6" xfId="2654"/>
    <cellStyle name="20% - Accent4 13 2 6 2" xfId="13949"/>
    <cellStyle name="20% - Accent4 13 2 6 3" xfId="17900"/>
    <cellStyle name="20% - Accent4 13 2 7" xfId="13938"/>
    <cellStyle name="20% - Accent4 13 2 8" xfId="17889"/>
    <cellStyle name="20% - Accent4 13 2_Volatility" xfId="2655"/>
    <cellStyle name="20% - Accent4 13 3" xfId="2656"/>
    <cellStyle name="20% - Accent4 13 3 2" xfId="2657"/>
    <cellStyle name="20% - Accent4 13 3 2 2" xfId="2658"/>
    <cellStyle name="20% - Accent4 13 3 2 2 2" xfId="13952"/>
    <cellStyle name="20% - Accent4 13 3 2 2 3" xfId="17903"/>
    <cellStyle name="20% - Accent4 13 3 2 3" xfId="2659"/>
    <cellStyle name="20% - Accent4 13 3 2 3 2" xfId="13953"/>
    <cellStyle name="20% - Accent4 13 3 2 3 3" xfId="17904"/>
    <cellStyle name="20% - Accent4 13 3 2 4" xfId="13951"/>
    <cellStyle name="20% - Accent4 13 3 2 5" xfId="17902"/>
    <cellStyle name="20% - Accent4 13 3 3" xfId="2660"/>
    <cellStyle name="20% - Accent4 13 3 3 2" xfId="2661"/>
    <cellStyle name="20% - Accent4 13 3 3 2 2" xfId="13955"/>
    <cellStyle name="20% - Accent4 13 3 3 2 3" xfId="17906"/>
    <cellStyle name="20% - Accent4 13 3 3 3" xfId="2662"/>
    <cellStyle name="20% - Accent4 13 3 3 3 2" xfId="13956"/>
    <cellStyle name="20% - Accent4 13 3 3 3 3" xfId="17907"/>
    <cellStyle name="20% - Accent4 13 3 3 4" xfId="13954"/>
    <cellStyle name="20% - Accent4 13 3 3 5" xfId="17905"/>
    <cellStyle name="20% - Accent4 13 3 4" xfId="2663"/>
    <cellStyle name="20% - Accent4 13 3 4 2" xfId="13957"/>
    <cellStyle name="20% - Accent4 13 3 4 3" xfId="17908"/>
    <cellStyle name="20% - Accent4 13 3 5" xfId="2664"/>
    <cellStyle name="20% - Accent4 13 3 5 2" xfId="13958"/>
    <cellStyle name="20% - Accent4 13 3 5 3" xfId="17909"/>
    <cellStyle name="20% - Accent4 13 3 6" xfId="13950"/>
    <cellStyle name="20% - Accent4 13 3 7" xfId="17901"/>
    <cellStyle name="20% - Accent4 13 3_Volatility" xfId="2665"/>
    <cellStyle name="20% - Accent4 13 4" xfId="2666"/>
    <cellStyle name="20% - Accent4 13 4 2" xfId="2667"/>
    <cellStyle name="20% - Accent4 13 4 2 2" xfId="13960"/>
    <cellStyle name="20% - Accent4 13 4 2 3" xfId="17911"/>
    <cellStyle name="20% - Accent4 13 4 3" xfId="2668"/>
    <cellStyle name="20% - Accent4 13 4 3 2" xfId="13961"/>
    <cellStyle name="20% - Accent4 13 4 3 3" xfId="17912"/>
    <cellStyle name="20% - Accent4 13 4 4" xfId="13959"/>
    <cellStyle name="20% - Accent4 13 4 5" xfId="17910"/>
    <cellStyle name="20% - Accent4 13 5" xfId="2669"/>
    <cellStyle name="20% - Accent4 13 5 2" xfId="2670"/>
    <cellStyle name="20% - Accent4 13 5 2 2" xfId="13963"/>
    <cellStyle name="20% - Accent4 13 5 2 3" xfId="17914"/>
    <cellStyle name="20% - Accent4 13 5 3" xfId="2671"/>
    <cellStyle name="20% - Accent4 13 5 3 2" xfId="13964"/>
    <cellStyle name="20% - Accent4 13 5 3 3" xfId="17915"/>
    <cellStyle name="20% - Accent4 13 5 4" xfId="13962"/>
    <cellStyle name="20% - Accent4 13 5 5" xfId="17913"/>
    <cellStyle name="20% - Accent4 13 6" xfId="2672"/>
    <cellStyle name="20% - Accent4 13 6 2" xfId="2673"/>
    <cellStyle name="20% - Accent4 13 6 2 2" xfId="13966"/>
    <cellStyle name="20% - Accent4 13 6 2 3" xfId="17917"/>
    <cellStyle name="20% - Accent4 13 6 3" xfId="2674"/>
    <cellStyle name="20% - Accent4 13 6 3 2" xfId="13967"/>
    <cellStyle name="20% - Accent4 13 6 3 3" xfId="17918"/>
    <cellStyle name="20% - Accent4 13 6 4" xfId="13965"/>
    <cellStyle name="20% - Accent4 13 6 5" xfId="17916"/>
    <cellStyle name="20% - Accent4 13 7" xfId="2675"/>
    <cellStyle name="20% - Accent4 13 7 2" xfId="13968"/>
    <cellStyle name="20% - Accent4 13 7 3" xfId="17919"/>
    <cellStyle name="20% - Accent4 13 8" xfId="2676"/>
    <cellStyle name="20% - Accent4 13 8 2" xfId="13969"/>
    <cellStyle name="20% - Accent4 13 8 3" xfId="17920"/>
    <cellStyle name="20% - Accent4 13 9" xfId="13937"/>
    <cellStyle name="20% - Accent4 13_Volatility" xfId="2677"/>
    <cellStyle name="20% - Accent4 14" xfId="2678"/>
    <cellStyle name="20% - Accent4 14 10" xfId="17921"/>
    <cellStyle name="20% - Accent4 14 2" xfId="2679"/>
    <cellStyle name="20% - Accent4 14 2 2" xfId="2680"/>
    <cellStyle name="20% - Accent4 14 2 2 2" xfId="2681"/>
    <cellStyle name="20% - Accent4 14 2 2 2 2" xfId="13973"/>
    <cellStyle name="20% - Accent4 14 2 2 2 3" xfId="17924"/>
    <cellStyle name="20% - Accent4 14 2 2 3" xfId="2682"/>
    <cellStyle name="20% - Accent4 14 2 2 3 2" xfId="13974"/>
    <cellStyle name="20% - Accent4 14 2 2 3 3" xfId="17925"/>
    <cellStyle name="20% - Accent4 14 2 2 4" xfId="13972"/>
    <cellStyle name="20% - Accent4 14 2 2 5" xfId="17923"/>
    <cellStyle name="20% - Accent4 14 2 3" xfId="2683"/>
    <cellStyle name="20% - Accent4 14 2 3 2" xfId="2684"/>
    <cellStyle name="20% - Accent4 14 2 3 2 2" xfId="13976"/>
    <cellStyle name="20% - Accent4 14 2 3 2 3" xfId="17927"/>
    <cellStyle name="20% - Accent4 14 2 3 3" xfId="2685"/>
    <cellStyle name="20% - Accent4 14 2 3 3 2" xfId="13977"/>
    <cellStyle name="20% - Accent4 14 2 3 3 3" xfId="17928"/>
    <cellStyle name="20% - Accent4 14 2 3 4" xfId="13975"/>
    <cellStyle name="20% - Accent4 14 2 3 5" xfId="17926"/>
    <cellStyle name="20% - Accent4 14 2 4" xfId="2686"/>
    <cellStyle name="20% - Accent4 14 2 4 2" xfId="2687"/>
    <cellStyle name="20% - Accent4 14 2 4 2 2" xfId="13979"/>
    <cellStyle name="20% - Accent4 14 2 4 2 3" xfId="17930"/>
    <cellStyle name="20% - Accent4 14 2 4 3" xfId="2688"/>
    <cellStyle name="20% - Accent4 14 2 4 3 2" xfId="13980"/>
    <cellStyle name="20% - Accent4 14 2 4 3 3" xfId="17931"/>
    <cellStyle name="20% - Accent4 14 2 4 4" xfId="13978"/>
    <cellStyle name="20% - Accent4 14 2 4 5" xfId="17929"/>
    <cellStyle name="20% - Accent4 14 2 5" xfId="2689"/>
    <cellStyle name="20% - Accent4 14 2 5 2" xfId="13981"/>
    <cellStyle name="20% - Accent4 14 2 5 3" xfId="17932"/>
    <cellStyle name="20% - Accent4 14 2 6" xfId="2690"/>
    <cellStyle name="20% - Accent4 14 2 6 2" xfId="13982"/>
    <cellStyle name="20% - Accent4 14 2 6 3" xfId="17933"/>
    <cellStyle name="20% - Accent4 14 2 7" xfId="13971"/>
    <cellStyle name="20% - Accent4 14 2 8" xfId="17922"/>
    <cellStyle name="20% - Accent4 14 2_Volatility" xfId="2691"/>
    <cellStyle name="20% - Accent4 14 3" xfId="2692"/>
    <cellStyle name="20% - Accent4 14 3 2" xfId="2693"/>
    <cellStyle name="20% - Accent4 14 3 2 2" xfId="2694"/>
    <cellStyle name="20% - Accent4 14 3 2 2 2" xfId="13985"/>
    <cellStyle name="20% - Accent4 14 3 2 2 3" xfId="17936"/>
    <cellStyle name="20% - Accent4 14 3 2 3" xfId="2695"/>
    <cellStyle name="20% - Accent4 14 3 2 3 2" xfId="13986"/>
    <cellStyle name="20% - Accent4 14 3 2 3 3" xfId="17937"/>
    <cellStyle name="20% - Accent4 14 3 2 4" xfId="13984"/>
    <cellStyle name="20% - Accent4 14 3 2 5" xfId="17935"/>
    <cellStyle name="20% - Accent4 14 3 3" xfId="2696"/>
    <cellStyle name="20% - Accent4 14 3 3 2" xfId="2697"/>
    <cellStyle name="20% - Accent4 14 3 3 2 2" xfId="13988"/>
    <cellStyle name="20% - Accent4 14 3 3 2 3" xfId="17939"/>
    <cellStyle name="20% - Accent4 14 3 3 3" xfId="2698"/>
    <cellStyle name="20% - Accent4 14 3 3 3 2" xfId="13989"/>
    <cellStyle name="20% - Accent4 14 3 3 3 3" xfId="17940"/>
    <cellStyle name="20% - Accent4 14 3 3 4" xfId="13987"/>
    <cellStyle name="20% - Accent4 14 3 3 5" xfId="17938"/>
    <cellStyle name="20% - Accent4 14 3 4" xfId="2699"/>
    <cellStyle name="20% - Accent4 14 3 4 2" xfId="13990"/>
    <cellStyle name="20% - Accent4 14 3 4 3" xfId="17941"/>
    <cellStyle name="20% - Accent4 14 3 5" xfId="2700"/>
    <cellStyle name="20% - Accent4 14 3 5 2" xfId="13991"/>
    <cellStyle name="20% - Accent4 14 3 5 3" xfId="17942"/>
    <cellStyle name="20% - Accent4 14 3 6" xfId="13983"/>
    <cellStyle name="20% - Accent4 14 3 7" xfId="17934"/>
    <cellStyle name="20% - Accent4 14 3_Volatility" xfId="2701"/>
    <cellStyle name="20% - Accent4 14 4" xfId="2702"/>
    <cellStyle name="20% - Accent4 14 4 2" xfId="2703"/>
    <cellStyle name="20% - Accent4 14 4 2 2" xfId="13993"/>
    <cellStyle name="20% - Accent4 14 4 2 3" xfId="17944"/>
    <cellStyle name="20% - Accent4 14 4 3" xfId="2704"/>
    <cellStyle name="20% - Accent4 14 4 3 2" xfId="13994"/>
    <cellStyle name="20% - Accent4 14 4 3 3" xfId="17945"/>
    <cellStyle name="20% - Accent4 14 4 4" xfId="13992"/>
    <cellStyle name="20% - Accent4 14 4 5" xfId="17943"/>
    <cellStyle name="20% - Accent4 14 5" xfId="2705"/>
    <cellStyle name="20% - Accent4 14 5 2" xfId="2706"/>
    <cellStyle name="20% - Accent4 14 5 2 2" xfId="13996"/>
    <cellStyle name="20% - Accent4 14 5 2 3" xfId="17947"/>
    <cellStyle name="20% - Accent4 14 5 3" xfId="2707"/>
    <cellStyle name="20% - Accent4 14 5 3 2" xfId="13997"/>
    <cellStyle name="20% - Accent4 14 5 3 3" xfId="17948"/>
    <cellStyle name="20% - Accent4 14 5 4" xfId="13995"/>
    <cellStyle name="20% - Accent4 14 5 5" xfId="17946"/>
    <cellStyle name="20% - Accent4 14 6" xfId="2708"/>
    <cellStyle name="20% - Accent4 14 6 2" xfId="2709"/>
    <cellStyle name="20% - Accent4 14 6 2 2" xfId="13999"/>
    <cellStyle name="20% - Accent4 14 6 2 3" xfId="17950"/>
    <cellStyle name="20% - Accent4 14 6 3" xfId="2710"/>
    <cellStyle name="20% - Accent4 14 6 3 2" xfId="14000"/>
    <cellStyle name="20% - Accent4 14 6 3 3" xfId="17951"/>
    <cellStyle name="20% - Accent4 14 6 4" xfId="13998"/>
    <cellStyle name="20% - Accent4 14 6 5" xfId="17949"/>
    <cellStyle name="20% - Accent4 14 7" xfId="2711"/>
    <cellStyle name="20% - Accent4 14 7 2" xfId="14001"/>
    <cellStyle name="20% - Accent4 14 7 3" xfId="17952"/>
    <cellStyle name="20% - Accent4 14 8" xfId="2712"/>
    <cellStyle name="20% - Accent4 14 8 2" xfId="14002"/>
    <cellStyle name="20% - Accent4 14 8 3" xfId="17953"/>
    <cellStyle name="20% - Accent4 14 9" xfId="13970"/>
    <cellStyle name="20% - Accent4 14_Volatility" xfId="2713"/>
    <cellStyle name="20% - Accent4 15" xfId="2714"/>
    <cellStyle name="20% - Accent4 15 10" xfId="17954"/>
    <cellStyle name="20% - Accent4 15 2" xfId="2715"/>
    <cellStyle name="20% - Accent4 15 2 2" xfId="2716"/>
    <cellStyle name="20% - Accent4 15 2 2 2" xfId="2717"/>
    <cellStyle name="20% - Accent4 15 2 2 2 2" xfId="14006"/>
    <cellStyle name="20% - Accent4 15 2 2 2 3" xfId="17957"/>
    <cellStyle name="20% - Accent4 15 2 2 3" xfId="2718"/>
    <cellStyle name="20% - Accent4 15 2 2 3 2" xfId="14007"/>
    <cellStyle name="20% - Accent4 15 2 2 3 3" xfId="17958"/>
    <cellStyle name="20% - Accent4 15 2 2 4" xfId="14005"/>
    <cellStyle name="20% - Accent4 15 2 2 5" xfId="17956"/>
    <cellStyle name="20% - Accent4 15 2 3" xfId="2719"/>
    <cellStyle name="20% - Accent4 15 2 3 2" xfId="2720"/>
    <cellStyle name="20% - Accent4 15 2 3 2 2" xfId="14009"/>
    <cellStyle name="20% - Accent4 15 2 3 2 3" xfId="17960"/>
    <cellStyle name="20% - Accent4 15 2 3 3" xfId="2721"/>
    <cellStyle name="20% - Accent4 15 2 3 3 2" xfId="14010"/>
    <cellStyle name="20% - Accent4 15 2 3 3 3" xfId="17961"/>
    <cellStyle name="20% - Accent4 15 2 3 4" xfId="14008"/>
    <cellStyle name="20% - Accent4 15 2 3 5" xfId="17959"/>
    <cellStyle name="20% - Accent4 15 2 4" xfId="2722"/>
    <cellStyle name="20% - Accent4 15 2 4 2" xfId="2723"/>
    <cellStyle name="20% - Accent4 15 2 4 2 2" xfId="14012"/>
    <cellStyle name="20% - Accent4 15 2 4 2 3" xfId="17963"/>
    <cellStyle name="20% - Accent4 15 2 4 3" xfId="2724"/>
    <cellStyle name="20% - Accent4 15 2 4 3 2" xfId="14013"/>
    <cellStyle name="20% - Accent4 15 2 4 3 3" xfId="17964"/>
    <cellStyle name="20% - Accent4 15 2 4 4" xfId="14011"/>
    <cellStyle name="20% - Accent4 15 2 4 5" xfId="17962"/>
    <cellStyle name="20% - Accent4 15 2 5" xfId="2725"/>
    <cellStyle name="20% - Accent4 15 2 5 2" xfId="14014"/>
    <cellStyle name="20% - Accent4 15 2 5 3" xfId="17965"/>
    <cellStyle name="20% - Accent4 15 2 6" xfId="2726"/>
    <cellStyle name="20% - Accent4 15 2 6 2" xfId="14015"/>
    <cellStyle name="20% - Accent4 15 2 6 3" xfId="17966"/>
    <cellStyle name="20% - Accent4 15 2 7" xfId="14004"/>
    <cellStyle name="20% - Accent4 15 2 8" xfId="17955"/>
    <cellStyle name="20% - Accent4 15 2_Volatility" xfId="2727"/>
    <cellStyle name="20% - Accent4 15 3" xfId="2728"/>
    <cellStyle name="20% - Accent4 15 3 2" xfId="2729"/>
    <cellStyle name="20% - Accent4 15 3 2 2" xfId="2730"/>
    <cellStyle name="20% - Accent4 15 3 2 2 2" xfId="14018"/>
    <cellStyle name="20% - Accent4 15 3 2 2 3" xfId="17969"/>
    <cellStyle name="20% - Accent4 15 3 2 3" xfId="2731"/>
    <cellStyle name="20% - Accent4 15 3 2 3 2" xfId="14019"/>
    <cellStyle name="20% - Accent4 15 3 2 3 3" xfId="17970"/>
    <cellStyle name="20% - Accent4 15 3 2 4" xfId="14017"/>
    <cellStyle name="20% - Accent4 15 3 2 5" xfId="17968"/>
    <cellStyle name="20% - Accent4 15 3 3" xfId="2732"/>
    <cellStyle name="20% - Accent4 15 3 3 2" xfId="2733"/>
    <cellStyle name="20% - Accent4 15 3 3 2 2" xfId="14021"/>
    <cellStyle name="20% - Accent4 15 3 3 2 3" xfId="17972"/>
    <cellStyle name="20% - Accent4 15 3 3 3" xfId="2734"/>
    <cellStyle name="20% - Accent4 15 3 3 3 2" xfId="14022"/>
    <cellStyle name="20% - Accent4 15 3 3 3 3" xfId="17973"/>
    <cellStyle name="20% - Accent4 15 3 3 4" xfId="14020"/>
    <cellStyle name="20% - Accent4 15 3 3 5" xfId="17971"/>
    <cellStyle name="20% - Accent4 15 3 4" xfId="2735"/>
    <cellStyle name="20% - Accent4 15 3 4 2" xfId="14023"/>
    <cellStyle name="20% - Accent4 15 3 4 3" xfId="17974"/>
    <cellStyle name="20% - Accent4 15 3 5" xfId="2736"/>
    <cellStyle name="20% - Accent4 15 3 5 2" xfId="14024"/>
    <cellStyle name="20% - Accent4 15 3 5 3" xfId="17975"/>
    <cellStyle name="20% - Accent4 15 3 6" xfId="14016"/>
    <cellStyle name="20% - Accent4 15 3 7" xfId="17967"/>
    <cellStyle name="20% - Accent4 15 3_Volatility" xfId="2737"/>
    <cellStyle name="20% - Accent4 15 4" xfId="2738"/>
    <cellStyle name="20% - Accent4 15 4 2" xfId="2739"/>
    <cellStyle name="20% - Accent4 15 4 2 2" xfId="14026"/>
    <cellStyle name="20% - Accent4 15 4 2 3" xfId="17977"/>
    <cellStyle name="20% - Accent4 15 4 3" xfId="2740"/>
    <cellStyle name="20% - Accent4 15 4 3 2" xfId="14027"/>
    <cellStyle name="20% - Accent4 15 4 3 3" xfId="17978"/>
    <cellStyle name="20% - Accent4 15 4 4" xfId="14025"/>
    <cellStyle name="20% - Accent4 15 4 5" xfId="17976"/>
    <cellStyle name="20% - Accent4 15 5" xfId="2741"/>
    <cellStyle name="20% - Accent4 15 5 2" xfId="2742"/>
    <cellStyle name="20% - Accent4 15 5 2 2" xfId="14029"/>
    <cellStyle name="20% - Accent4 15 5 2 3" xfId="17980"/>
    <cellStyle name="20% - Accent4 15 5 3" xfId="2743"/>
    <cellStyle name="20% - Accent4 15 5 3 2" xfId="14030"/>
    <cellStyle name="20% - Accent4 15 5 3 3" xfId="17981"/>
    <cellStyle name="20% - Accent4 15 5 4" xfId="14028"/>
    <cellStyle name="20% - Accent4 15 5 5" xfId="17979"/>
    <cellStyle name="20% - Accent4 15 6" xfId="2744"/>
    <cellStyle name="20% - Accent4 15 6 2" xfId="2745"/>
    <cellStyle name="20% - Accent4 15 6 2 2" xfId="14032"/>
    <cellStyle name="20% - Accent4 15 6 2 3" xfId="17983"/>
    <cellStyle name="20% - Accent4 15 6 3" xfId="2746"/>
    <cellStyle name="20% - Accent4 15 6 3 2" xfId="14033"/>
    <cellStyle name="20% - Accent4 15 6 3 3" xfId="17984"/>
    <cellStyle name="20% - Accent4 15 6 4" xfId="14031"/>
    <cellStyle name="20% - Accent4 15 6 5" xfId="17982"/>
    <cellStyle name="20% - Accent4 15 7" xfId="2747"/>
    <cellStyle name="20% - Accent4 15 7 2" xfId="14034"/>
    <cellStyle name="20% - Accent4 15 7 3" xfId="17985"/>
    <cellStyle name="20% - Accent4 15 8" xfId="2748"/>
    <cellStyle name="20% - Accent4 15 8 2" xfId="14035"/>
    <cellStyle name="20% - Accent4 15 8 3" xfId="17986"/>
    <cellStyle name="20% - Accent4 15 9" xfId="14003"/>
    <cellStyle name="20% - Accent4 15_Volatility" xfId="2749"/>
    <cellStyle name="20% - Accent4 16" xfId="2750"/>
    <cellStyle name="20% - Accent4 16 2" xfId="14036"/>
    <cellStyle name="20% - Accent4 16 3" xfId="17987"/>
    <cellStyle name="20% - Accent4 17" xfId="2751"/>
    <cellStyle name="20% - Accent4 17 2" xfId="14037"/>
    <cellStyle name="20% - Accent4 17 3" xfId="17988"/>
    <cellStyle name="20% - Accent4 18" xfId="2752"/>
    <cellStyle name="20% - Accent4 18 2" xfId="14038"/>
    <cellStyle name="20% - Accent4 18 3" xfId="17989"/>
    <cellStyle name="20% - Accent4 19" xfId="2753"/>
    <cellStyle name="20% - Accent4 19 2" xfId="14039"/>
    <cellStyle name="20% - Accent4 19 3" xfId="17990"/>
    <cellStyle name="20% - Accent4 2" xfId="2754"/>
    <cellStyle name="20% - Accent4 2 10" xfId="17991"/>
    <cellStyle name="20% - Accent4 2 2" xfId="2755"/>
    <cellStyle name="20% - Accent4 2 2 2" xfId="2756"/>
    <cellStyle name="20% - Accent4 2 2 2 2" xfId="2757"/>
    <cellStyle name="20% - Accent4 2 2 2 2 2" xfId="14043"/>
    <cellStyle name="20% - Accent4 2 2 2 2 3" xfId="17994"/>
    <cellStyle name="20% - Accent4 2 2 2 3" xfId="2758"/>
    <cellStyle name="20% - Accent4 2 2 2 3 2" xfId="14044"/>
    <cellStyle name="20% - Accent4 2 2 2 3 3" xfId="17995"/>
    <cellStyle name="20% - Accent4 2 2 2 4" xfId="14042"/>
    <cellStyle name="20% - Accent4 2 2 2 5" xfId="17993"/>
    <cellStyle name="20% - Accent4 2 2 3" xfId="2759"/>
    <cellStyle name="20% - Accent4 2 2 3 2" xfId="2760"/>
    <cellStyle name="20% - Accent4 2 2 3 2 2" xfId="14046"/>
    <cellStyle name="20% - Accent4 2 2 3 2 3" xfId="17997"/>
    <cellStyle name="20% - Accent4 2 2 3 3" xfId="2761"/>
    <cellStyle name="20% - Accent4 2 2 3 3 2" xfId="14047"/>
    <cellStyle name="20% - Accent4 2 2 3 3 3" xfId="17998"/>
    <cellStyle name="20% - Accent4 2 2 3 4" xfId="14045"/>
    <cellStyle name="20% - Accent4 2 2 3 5" xfId="17996"/>
    <cellStyle name="20% - Accent4 2 2 4" xfId="2762"/>
    <cellStyle name="20% - Accent4 2 2 4 2" xfId="2763"/>
    <cellStyle name="20% - Accent4 2 2 4 2 2" xfId="14049"/>
    <cellStyle name="20% - Accent4 2 2 4 2 3" xfId="18000"/>
    <cellStyle name="20% - Accent4 2 2 4 3" xfId="2764"/>
    <cellStyle name="20% - Accent4 2 2 4 3 2" xfId="14050"/>
    <cellStyle name="20% - Accent4 2 2 4 3 3" xfId="18001"/>
    <cellStyle name="20% - Accent4 2 2 4 4" xfId="14048"/>
    <cellStyle name="20% - Accent4 2 2 4 5" xfId="17999"/>
    <cellStyle name="20% - Accent4 2 2 5" xfId="2765"/>
    <cellStyle name="20% - Accent4 2 2 5 2" xfId="14051"/>
    <cellStyle name="20% - Accent4 2 2 5 3" xfId="18002"/>
    <cellStyle name="20% - Accent4 2 2 6" xfId="2766"/>
    <cellStyle name="20% - Accent4 2 2 6 2" xfId="14052"/>
    <cellStyle name="20% - Accent4 2 2 6 3" xfId="18003"/>
    <cellStyle name="20% - Accent4 2 2 7" xfId="14041"/>
    <cellStyle name="20% - Accent4 2 2 8" xfId="17992"/>
    <cellStyle name="20% - Accent4 2 2_Volatility" xfId="2767"/>
    <cellStyle name="20% - Accent4 2 3" xfId="2768"/>
    <cellStyle name="20% - Accent4 2 3 2" xfId="2769"/>
    <cellStyle name="20% - Accent4 2 3 2 2" xfId="2770"/>
    <cellStyle name="20% - Accent4 2 3 2 2 2" xfId="14055"/>
    <cellStyle name="20% - Accent4 2 3 2 2 3" xfId="18006"/>
    <cellStyle name="20% - Accent4 2 3 2 3" xfId="2771"/>
    <cellStyle name="20% - Accent4 2 3 2 3 2" xfId="14056"/>
    <cellStyle name="20% - Accent4 2 3 2 3 3" xfId="18007"/>
    <cellStyle name="20% - Accent4 2 3 2 4" xfId="14054"/>
    <cellStyle name="20% - Accent4 2 3 2 5" xfId="18005"/>
    <cellStyle name="20% - Accent4 2 3 3" xfId="2772"/>
    <cellStyle name="20% - Accent4 2 3 3 2" xfId="2773"/>
    <cellStyle name="20% - Accent4 2 3 3 2 2" xfId="14058"/>
    <cellStyle name="20% - Accent4 2 3 3 2 3" xfId="18009"/>
    <cellStyle name="20% - Accent4 2 3 3 3" xfId="2774"/>
    <cellStyle name="20% - Accent4 2 3 3 3 2" xfId="14059"/>
    <cellStyle name="20% - Accent4 2 3 3 3 3" xfId="18010"/>
    <cellStyle name="20% - Accent4 2 3 3 4" xfId="14057"/>
    <cellStyle name="20% - Accent4 2 3 3 5" xfId="18008"/>
    <cellStyle name="20% - Accent4 2 3 4" xfId="2775"/>
    <cellStyle name="20% - Accent4 2 3 4 2" xfId="14060"/>
    <cellStyle name="20% - Accent4 2 3 4 3" xfId="18011"/>
    <cellStyle name="20% - Accent4 2 3 5" xfId="2776"/>
    <cellStyle name="20% - Accent4 2 3 5 2" xfId="14061"/>
    <cellStyle name="20% - Accent4 2 3 5 3" xfId="18012"/>
    <cellStyle name="20% - Accent4 2 3 6" xfId="14053"/>
    <cellStyle name="20% - Accent4 2 3 7" xfId="18004"/>
    <cellStyle name="20% - Accent4 2 3_Volatility" xfId="2777"/>
    <cellStyle name="20% - Accent4 2 4" xfId="2778"/>
    <cellStyle name="20% - Accent4 2 4 2" xfId="2779"/>
    <cellStyle name="20% - Accent4 2 4 2 2" xfId="14063"/>
    <cellStyle name="20% - Accent4 2 4 2 3" xfId="18014"/>
    <cellStyle name="20% - Accent4 2 4 3" xfId="2780"/>
    <cellStyle name="20% - Accent4 2 4 3 2" xfId="14064"/>
    <cellStyle name="20% - Accent4 2 4 3 3" xfId="18015"/>
    <cellStyle name="20% - Accent4 2 4 4" xfId="14062"/>
    <cellStyle name="20% - Accent4 2 4 5" xfId="18013"/>
    <cellStyle name="20% - Accent4 2 5" xfId="2781"/>
    <cellStyle name="20% - Accent4 2 5 2" xfId="2782"/>
    <cellStyle name="20% - Accent4 2 5 2 2" xfId="14066"/>
    <cellStyle name="20% - Accent4 2 5 2 3" xfId="18017"/>
    <cellStyle name="20% - Accent4 2 5 3" xfId="2783"/>
    <cellStyle name="20% - Accent4 2 5 3 2" xfId="14067"/>
    <cellStyle name="20% - Accent4 2 5 3 3" xfId="18018"/>
    <cellStyle name="20% - Accent4 2 5 4" xfId="14065"/>
    <cellStyle name="20% - Accent4 2 5 5" xfId="18016"/>
    <cellStyle name="20% - Accent4 2 6" xfId="2784"/>
    <cellStyle name="20% - Accent4 2 6 2" xfId="2785"/>
    <cellStyle name="20% - Accent4 2 6 2 2" xfId="14069"/>
    <cellStyle name="20% - Accent4 2 6 2 3" xfId="18020"/>
    <cellStyle name="20% - Accent4 2 6 3" xfId="2786"/>
    <cellStyle name="20% - Accent4 2 6 3 2" xfId="14070"/>
    <cellStyle name="20% - Accent4 2 6 3 3" xfId="18021"/>
    <cellStyle name="20% - Accent4 2 6 4" xfId="14068"/>
    <cellStyle name="20% - Accent4 2 6 5" xfId="18019"/>
    <cellStyle name="20% - Accent4 2 7" xfId="2787"/>
    <cellStyle name="20% - Accent4 2 7 2" xfId="14071"/>
    <cellStyle name="20% - Accent4 2 7 3" xfId="18022"/>
    <cellStyle name="20% - Accent4 2 8" xfId="2788"/>
    <cellStyle name="20% - Accent4 2 8 2" xfId="14072"/>
    <cellStyle name="20% - Accent4 2 8 3" xfId="18023"/>
    <cellStyle name="20% - Accent4 2 9" xfId="14040"/>
    <cellStyle name="20% - Accent4 2_Volatility" xfId="2789"/>
    <cellStyle name="20% - Accent4 3" xfId="2790"/>
    <cellStyle name="20% - Accent4 3 10" xfId="18024"/>
    <cellStyle name="20% - Accent4 3 2" xfId="2791"/>
    <cellStyle name="20% - Accent4 3 2 2" xfId="2792"/>
    <cellStyle name="20% - Accent4 3 2 2 2" xfId="2793"/>
    <cellStyle name="20% - Accent4 3 2 2 2 2" xfId="14076"/>
    <cellStyle name="20% - Accent4 3 2 2 2 3" xfId="18027"/>
    <cellStyle name="20% - Accent4 3 2 2 3" xfId="2794"/>
    <cellStyle name="20% - Accent4 3 2 2 3 2" xfId="14077"/>
    <cellStyle name="20% - Accent4 3 2 2 3 3" xfId="18028"/>
    <cellStyle name="20% - Accent4 3 2 2 4" xfId="14075"/>
    <cellStyle name="20% - Accent4 3 2 2 5" xfId="18026"/>
    <cellStyle name="20% - Accent4 3 2 3" xfId="2795"/>
    <cellStyle name="20% - Accent4 3 2 3 2" xfId="2796"/>
    <cellStyle name="20% - Accent4 3 2 3 2 2" xfId="14079"/>
    <cellStyle name="20% - Accent4 3 2 3 2 3" xfId="18030"/>
    <cellStyle name="20% - Accent4 3 2 3 3" xfId="2797"/>
    <cellStyle name="20% - Accent4 3 2 3 3 2" xfId="14080"/>
    <cellStyle name="20% - Accent4 3 2 3 3 3" xfId="18031"/>
    <cellStyle name="20% - Accent4 3 2 3 4" xfId="14078"/>
    <cellStyle name="20% - Accent4 3 2 3 5" xfId="18029"/>
    <cellStyle name="20% - Accent4 3 2 4" xfId="2798"/>
    <cellStyle name="20% - Accent4 3 2 4 2" xfId="2799"/>
    <cellStyle name="20% - Accent4 3 2 4 2 2" xfId="14082"/>
    <cellStyle name="20% - Accent4 3 2 4 2 3" xfId="18033"/>
    <cellStyle name="20% - Accent4 3 2 4 3" xfId="2800"/>
    <cellStyle name="20% - Accent4 3 2 4 3 2" xfId="14083"/>
    <cellStyle name="20% - Accent4 3 2 4 3 3" xfId="18034"/>
    <cellStyle name="20% - Accent4 3 2 4 4" xfId="14081"/>
    <cellStyle name="20% - Accent4 3 2 4 5" xfId="18032"/>
    <cellStyle name="20% - Accent4 3 2 5" xfId="2801"/>
    <cellStyle name="20% - Accent4 3 2 5 2" xfId="14084"/>
    <cellStyle name="20% - Accent4 3 2 5 3" xfId="18035"/>
    <cellStyle name="20% - Accent4 3 2 6" xfId="2802"/>
    <cellStyle name="20% - Accent4 3 2 6 2" xfId="14085"/>
    <cellStyle name="20% - Accent4 3 2 6 3" xfId="18036"/>
    <cellStyle name="20% - Accent4 3 2 7" xfId="14074"/>
    <cellStyle name="20% - Accent4 3 2 8" xfId="18025"/>
    <cellStyle name="20% - Accent4 3 2_Volatility" xfId="2803"/>
    <cellStyle name="20% - Accent4 3 3" xfId="2804"/>
    <cellStyle name="20% - Accent4 3 3 2" xfId="2805"/>
    <cellStyle name="20% - Accent4 3 3 2 2" xfId="2806"/>
    <cellStyle name="20% - Accent4 3 3 2 2 2" xfId="14088"/>
    <cellStyle name="20% - Accent4 3 3 2 2 3" xfId="18039"/>
    <cellStyle name="20% - Accent4 3 3 2 3" xfId="2807"/>
    <cellStyle name="20% - Accent4 3 3 2 3 2" xfId="14089"/>
    <cellStyle name="20% - Accent4 3 3 2 3 3" xfId="18040"/>
    <cellStyle name="20% - Accent4 3 3 2 4" xfId="14087"/>
    <cellStyle name="20% - Accent4 3 3 2 5" xfId="18038"/>
    <cellStyle name="20% - Accent4 3 3 3" xfId="2808"/>
    <cellStyle name="20% - Accent4 3 3 3 2" xfId="2809"/>
    <cellStyle name="20% - Accent4 3 3 3 2 2" xfId="14091"/>
    <cellStyle name="20% - Accent4 3 3 3 2 3" xfId="18042"/>
    <cellStyle name="20% - Accent4 3 3 3 3" xfId="2810"/>
    <cellStyle name="20% - Accent4 3 3 3 3 2" xfId="14092"/>
    <cellStyle name="20% - Accent4 3 3 3 3 3" xfId="18043"/>
    <cellStyle name="20% - Accent4 3 3 3 4" xfId="14090"/>
    <cellStyle name="20% - Accent4 3 3 3 5" xfId="18041"/>
    <cellStyle name="20% - Accent4 3 3 4" xfId="2811"/>
    <cellStyle name="20% - Accent4 3 3 4 2" xfId="14093"/>
    <cellStyle name="20% - Accent4 3 3 4 3" xfId="18044"/>
    <cellStyle name="20% - Accent4 3 3 5" xfId="2812"/>
    <cellStyle name="20% - Accent4 3 3 5 2" xfId="14094"/>
    <cellStyle name="20% - Accent4 3 3 5 3" xfId="18045"/>
    <cellStyle name="20% - Accent4 3 3 6" xfId="14086"/>
    <cellStyle name="20% - Accent4 3 3 7" xfId="18037"/>
    <cellStyle name="20% - Accent4 3 3_Volatility" xfId="2813"/>
    <cellStyle name="20% - Accent4 3 4" xfId="2814"/>
    <cellStyle name="20% - Accent4 3 4 2" xfId="2815"/>
    <cellStyle name="20% - Accent4 3 4 2 2" xfId="14096"/>
    <cellStyle name="20% - Accent4 3 4 2 3" xfId="18047"/>
    <cellStyle name="20% - Accent4 3 4 3" xfId="2816"/>
    <cellStyle name="20% - Accent4 3 4 3 2" xfId="14097"/>
    <cellStyle name="20% - Accent4 3 4 3 3" xfId="18048"/>
    <cellStyle name="20% - Accent4 3 4 4" xfId="14095"/>
    <cellStyle name="20% - Accent4 3 4 5" xfId="18046"/>
    <cellStyle name="20% - Accent4 3 5" xfId="2817"/>
    <cellStyle name="20% - Accent4 3 5 2" xfId="2818"/>
    <cellStyle name="20% - Accent4 3 5 2 2" xfId="14099"/>
    <cellStyle name="20% - Accent4 3 5 2 3" xfId="18050"/>
    <cellStyle name="20% - Accent4 3 5 3" xfId="2819"/>
    <cellStyle name="20% - Accent4 3 5 3 2" xfId="14100"/>
    <cellStyle name="20% - Accent4 3 5 3 3" xfId="18051"/>
    <cellStyle name="20% - Accent4 3 5 4" xfId="14098"/>
    <cellStyle name="20% - Accent4 3 5 5" xfId="18049"/>
    <cellStyle name="20% - Accent4 3 6" xfId="2820"/>
    <cellStyle name="20% - Accent4 3 6 2" xfId="2821"/>
    <cellStyle name="20% - Accent4 3 6 2 2" xfId="14102"/>
    <cellStyle name="20% - Accent4 3 6 2 3" xfId="18053"/>
    <cellStyle name="20% - Accent4 3 6 3" xfId="2822"/>
    <cellStyle name="20% - Accent4 3 6 3 2" xfId="14103"/>
    <cellStyle name="20% - Accent4 3 6 3 3" xfId="18054"/>
    <cellStyle name="20% - Accent4 3 6 4" xfId="14101"/>
    <cellStyle name="20% - Accent4 3 6 5" xfId="18052"/>
    <cellStyle name="20% - Accent4 3 7" xfId="2823"/>
    <cellStyle name="20% - Accent4 3 7 2" xfId="14104"/>
    <cellStyle name="20% - Accent4 3 7 3" xfId="18055"/>
    <cellStyle name="20% - Accent4 3 8" xfId="2824"/>
    <cellStyle name="20% - Accent4 3 8 2" xfId="14105"/>
    <cellStyle name="20% - Accent4 3 8 3" xfId="18056"/>
    <cellStyle name="20% - Accent4 3 9" xfId="14073"/>
    <cellStyle name="20% - Accent4 3_Volatility" xfId="2825"/>
    <cellStyle name="20% - Accent4 4" xfId="2826"/>
    <cellStyle name="20% - Accent4 4 10" xfId="18057"/>
    <cellStyle name="20% - Accent4 4 2" xfId="2827"/>
    <cellStyle name="20% - Accent4 4 2 2" xfId="2828"/>
    <cellStyle name="20% - Accent4 4 2 2 2" xfId="2829"/>
    <cellStyle name="20% - Accent4 4 2 2 2 2" xfId="14109"/>
    <cellStyle name="20% - Accent4 4 2 2 2 3" xfId="18060"/>
    <cellStyle name="20% - Accent4 4 2 2 3" xfId="2830"/>
    <cellStyle name="20% - Accent4 4 2 2 3 2" xfId="14110"/>
    <cellStyle name="20% - Accent4 4 2 2 3 3" xfId="18061"/>
    <cellStyle name="20% - Accent4 4 2 2 4" xfId="14108"/>
    <cellStyle name="20% - Accent4 4 2 2 5" xfId="18059"/>
    <cellStyle name="20% - Accent4 4 2 3" xfId="2831"/>
    <cellStyle name="20% - Accent4 4 2 3 2" xfId="2832"/>
    <cellStyle name="20% - Accent4 4 2 3 2 2" xfId="14112"/>
    <cellStyle name="20% - Accent4 4 2 3 2 3" xfId="18063"/>
    <cellStyle name="20% - Accent4 4 2 3 3" xfId="2833"/>
    <cellStyle name="20% - Accent4 4 2 3 3 2" xfId="14113"/>
    <cellStyle name="20% - Accent4 4 2 3 3 3" xfId="18064"/>
    <cellStyle name="20% - Accent4 4 2 3 4" xfId="14111"/>
    <cellStyle name="20% - Accent4 4 2 3 5" xfId="18062"/>
    <cellStyle name="20% - Accent4 4 2 4" xfId="2834"/>
    <cellStyle name="20% - Accent4 4 2 4 2" xfId="2835"/>
    <cellStyle name="20% - Accent4 4 2 4 2 2" xfId="14115"/>
    <cellStyle name="20% - Accent4 4 2 4 2 3" xfId="18066"/>
    <cellStyle name="20% - Accent4 4 2 4 3" xfId="2836"/>
    <cellStyle name="20% - Accent4 4 2 4 3 2" xfId="14116"/>
    <cellStyle name="20% - Accent4 4 2 4 3 3" xfId="18067"/>
    <cellStyle name="20% - Accent4 4 2 4 4" xfId="14114"/>
    <cellStyle name="20% - Accent4 4 2 4 5" xfId="18065"/>
    <cellStyle name="20% - Accent4 4 2 5" xfId="2837"/>
    <cellStyle name="20% - Accent4 4 2 5 2" xfId="14117"/>
    <cellStyle name="20% - Accent4 4 2 5 3" xfId="18068"/>
    <cellStyle name="20% - Accent4 4 2 6" xfId="2838"/>
    <cellStyle name="20% - Accent4 4 2 6 2" xfId="14118"/>
    <cellStyle name="20% - Accent4 4 2 6 3" xfId="18069"/>
    <cellStyle name="20% - Accent4 4 2 7" xfId="14107"/>
    <cellStyle name="20% - Accent4 4 2 8" xfId="18058"/>
    <cellStyle name="20% - Accent4 4 2_Volatility" xfId="2839"/>
    <cellStyle name="20% - Accent4 4 3" xfId="2840"/>
    <cellStyle name="20% - Accent4 4 3 2" xfId="2841"/>
    <cellStyle name="20% - Accent4 4 3 2 2" xfId="2842"/>
    <cellStyle name="20% - Accent4 4 3 2 2 2" xfId="14121"/>
    <cellStyle name="20% - Accent4 4 3 2 2 3" xfId="18072"/>
    <cellStyle name="20% - Accent4 4 3 2 3" xfId="2843"/>
    <cellStyle name="20% - Accent4 4 3 2 3 2" xfId="14122"/>
    <cellStyle name="20% - Accent4 4 3 2 3 3" xfId="18073"/>
    <cellStyle name="20% - Accent4 4 3 2 4" xfId="14120"/>
    <cellStyle name="20% - Accent4 4 3 2 5" xfId="18071"/>
    <cellStyle name="20% - Accent4 4 3 3" xfId="2844"/>
    <cellStyle name="20% - Accent4 4 3 3 2" xfId="2845"/>
    <cellStyle name="20% - Accent4 4 3 3 2 2" xfId="14124"/>
    <cellStyle name="20% - Accent4 4 3 3 2 3" xfId="18075"/>
    <cellStyle name="20% - Accent4 4 3 3 3" xfId="2846"/>
    <cellStyle name="20% - Accent4 4 3 3 3 2" xfId="14125"/>
    <cellStyle name="20% - Accent4 4 3 3 3 3" xfId="18076"/>
    <cellStyle name="20% - Accent4 4 3 3 4" xfId="14123"/>
    <cellStyle name="20% - Accent4 4 3 3 5" xfId="18074"/>
    <cellStyle name="20% - Accent4 4 3 4" xfId="2847"/>
    <cellStyle name="20% - Accent4 4 3 4 2" xfId="14126"/>
    <cellStyle name="20% - Accent4 4 3 4 3" xfId="18077"/>
    <cellStyle name="20% - Accent4 4 3 5" xfId="2848"/>
    <cellStyle name="20% - Accent4 4 3 5 2" xfId="14127"/>
    <cellStyle name="20% - Accent4 4 3 5 3" xfId="18078"/>
    <cellStyle name="20% - Accent4 4 3 6" xfId="14119"/>
    <cellStyle name="20% - Accent4 4 3 7" xfId="18070"/>
    <cellStyle name="20% - Accent4 4 3_Volatility" xfId="2849"/>
    <cellStyle name="20% - Accent4 4 4" xfId="2850"/>
    <cellStyle name="20% - Accent4 4 4 2" xfId="2851"/>
    <cellStyle name="20% - Accent4 4 4 2 2" xfId="14129"/>
    <cellStyle name="20% - Accent4 4 4 2 3" xfId="18080"/>
    <cellStyle name="20% - Accent4 4 4 3" xfId="2852"/>
    <cellStyle name="20% - Accent4 4 4 3 2" xfId="14130"/>
    <cellStyle name="20% - Accent4 4 4 3 3" xfId="18081"/>
    <cellStyle name="20% - Accent4 4 4 4" xfId="14128"/>
    <cellStyle name="20% - Accent4 4 4 5" xfId="18079"/>
    <cellStyle name="20% - Accent4 4 5" xfId="2853"/>
    <cellStyle name="20% - Accent4 4 5 2" xfId="2854"/>
    <cellStyle name="20% - Accent4 4 5 2 2" xfId="14132"/>
    <cellStyle name="20% - Accent4 4 5 2 3" xfId="18083"/>
    <cellStyle name="20% - Accent4 4 5 3" xfId="2855"/>
    <cellStyle name="20% - Accent4 4 5 3 2" xfId="14133"/>
    <cellStyle name="20% - Accent4 4 5 3 3" xfId="18084"/>
    <cellStyle name="20% - Accent4 4 5 4" xfId="14131"/>
    <cellStyle name="20% - Accent4 4 5 5" xfId="18082"/>
    <cellStyle name="20% - Accent4 4 6" xfId="2856"/>
    <cellStyle name="20% - Accent4 4 6 2" xfId="2857"/>
    <cellStyle name="20% - Accent4 4 6 2 2" xfId="14135"/>
    <cellStyle name="20% - Accent4 4 6 2 3" xfId="18086"/>
    <cellStyle name="20% - Accent4 4 6 3" xfId="2858"/>
    <cellStyle name="20% - Accent4 4 6 3 2" xfId="14136"/>
    <cellStyle name="20% - Accent4 4 6 3 3" xfId="18087"/>
    <cellStyle name="20% - Accent4 4 6 4" xfId="14134"/>
    <cellStyle name="20% - Accent4 4 6 5" xfId="18085"/>
    <cellStyle name="20% - Accent4 4 7" xfId="2859"/>
    <cellStyle name="20% - Accent4 4 7 2" xfId="14137"/>
    <cellStyle name="20% - Accent4 4 7 3" xfId="18088"/>
    <cellStyle name="20% - Accent4 4 8" xfId="2860"/>
    <cellStyle name="20% - Accent4 4 8 2" xfId="14138"/>
    <cellStyle name="20% - Accent4 4 8 3" xfId="18089"/>
    <cellStyle name="20% - Accent4 4 9" xfId="14106"/>
    <cellStyle name="20% - Accent4 4_Volatility" xfId="2861"/>
    <cellStyle name="20% - Accent4 5" xfId="2862"/>
    <cellStyle name="20% - Accent4 5 10" xfId="18090"/>
    <cellStyle name="20% - Accent4 5 2" xfId="2863"/>
    <cellStyle name="20% - Accent4 5 2 2" xfId="2864"/>
    <cellStyle name="20% - Accent4 5 2 2 2" xfId="2865"/>
    <cellStyle name="20% - Accent4 5 2 2 2 2" xfId="14142"/>
    <cellStyle name="20% - Accent4 5 2 2 2 3" xfId="18093"/>
    <cellStyle name="20% - Accent4 5 2 2 3" xfId="2866"/>
    <cellStyle name="20% - Accent4 5 2 2 3 2" xfId="14143"/>
    <cellStyle name="20% - Accent4 5 2 2 3 3" xfId="18094"/>
    <cellStyle name="20% - Accent4 5 2 2 4" xfId="14141"/>
    <cellStyle name="20% - Accent4 5 2 2 5" xfId="18092"/>
    <cellStyle name="20% - Accent4 5 2 3" xfId="2867"/>
    <cellStyle name="20% - Accent4 5 2 3 2" xfId="2868"/>
    <cellStyle name="20% - Accent4 5 2 3 2 2" xfId="14145"/>
    <cellStyle name="20% - Accent4 5 2 3 2 3" xfId="18096"/>
    <cellStyle name="20% - Accent4 5 2 3 3" xfId="2869"/>
    <cellStyle name="20% - Accent4 5 2 3 3 2" xfId="14146"/>
    <cellStyle name="20% - Accent4 5 2 3 3 3" xfId="18097"/>
    <cellStyle name="20% - Accent4 5 2 3 4" xfId="14144"/>
    <cellStyle name="20% - Accent4 5 2 3 5" xfId="18095"/>
    <cellStyle name="20% - Accent4 5 2 4" xfId="2870"/>
    <cellStyle name="20% - Accent4 5 2 4 2" xfId="2871"/>
    <cellStyle name="20% - Accent4 5 2 4 2 2" xfId="14148"/>
    <cellStyle name="20% - Accent4 5 2 4 2 3" xfId="18099"/>
    <cellStyle name="20% - Accent4 5 2 4 3" xfId="2872"/>
    <cellStyle name="20% - Accent4 5 2 4 3 2" xfId="14149"/>
    <cellStyle name="20% - Accent4 5 2 4 3 3" xfId="18100"/>
    <cellStyle name="20% - Accent4 5 2 4 4" xfId="14147"/>
    <cellStyle name="20% - Accent4 5 2 4 5" xfId="18098"/>
    <cellStyle name="20% - Accent4 5 2 5" xfId="2873"/>
    <cellStyle name="20% - Accent4 5 2 5 2" xfId="14150"/>
    <cellStyle name="20% - Accent4 5 2 5 3" xfId="18101"/>
    <cellStyle name="20% - Accent4 5 2 6" xfId="2874"/>
    <cellStyle name="20% - Accent4 5 2 6 2" xfId="14151"/>
    <cellStyle name="20% - Accent4 5 2 6 3" xfId="18102"/>
    <cellStyle name="20% - Accent4 5 2 7" xfId="14140"/>
    <cellStyle name="20% - Accent4 5 2 8" xfId="18091"/>
    <cellStyle name="20% - Accent4 5 2_Volatility" xfId="2875"/>
    <cellStyle name="20% - Accent4 5 3" xfId="2876"/>
    <cellStyle name="20% - Accent4 5 3 2" xfId="2877"/>
    <cellStyle name="20% - Accent4 5 3 2 2" xfId="2878"/>
    <cellStyle name="20% - Accent4 5 3 2 2 2" xfId="14154"/>
    <cellStyle name="20% - Accent4 5 3 2 2 3" xfId="18105"/>
    <cellStyle name="20% - Accent4 5 3 2 3" xfId="2879"/>
    <cellStyle name="20% - Accent4 5 3 2 3 2" xfId="14155"/>
    <cellStyle name="20% - Accent4 5 3 2 3 3" xfId="18106"/>
    <cellStyle name="20% - Accent4 5 3 2 4" xfId="14153"/>
    <cellStyle name="20% - Accent4 5 3 2 5" xfId="18104"/>
    <cellStyle name="20% - Accent4 5 3 3" xfId="2880"/>
    <cellStyle name="20% - Accent4 5 3 3 2" xfId="2881"/>
    <cellStyle name="20% - Accent4 5 3 3 2 2" xfId="14157"/>
    <cellStyle name="20% - Accent4 5 3 3 2 3" xfId="18108"/>
    <cellStyle name="20% - Accent4 5 3 3 3" xfId="2882"/>
    <cellStyle name="20% - Accent4 5 3 3 3 2" xfId="14158"/>
    <cellStyle name="20% - Accent4 5 3 3 3 3" xfId="18109"/>
    <cellStyle name="20% - Accent4 5 3 3 4" xfId="14156"/>
    <cellStyle name="20% - Accent4 5 3 3 5" xfId="18107"/>
    <cellStyle name="20% - Accent4 5 3 4" xfId="2883"/>
    <cellStyle name="20% - Accent4 5 3 4 2" xfId="14159"/>
    <cellStyle name="20% - Accent4 5 3 4 3" xfId="18110"/>
    <cellStyle name="20% - Accent4 5 3 5" xfId="2884"/>
    <cellStyle name="20% - Accent4 5 3 5 2" xfId="14160"/>
    <cellStyle name="20% - Accent4 5 3 5 3" xfId="18111"/>
    <cellStyle name="20% - Accent4 5 3 6" xfId="14152"/>
    <cellStyle name="20% - Accent4 5 3 7" xfId="18103"/>
    <cellStyle name="20% - Accent4 5 3_Volatility" xfId="2885"/>
    <cellStyle name="20% - Accent4 5 4" xfId="2886"/>
    <cellStyle name="20% - Accent4 5 4 2" xfId="2887"/>
    <cellStyle name="20% - Accent4 5 4 2 2" xfId="14162"/>
    <cellStyle name="20% - Accent4 5 4 2 3" xfId="18113"/>
    <cellStyle name="20% - Accent4 5 4 3" xfId="2888"/>
    <cellStyle name="20% - Accent4 5 4 3 2" xfId="14163"/>
    <cellStyle name="20% - Accent4 5 4 3 3" xfId="18114"/>
    <cellStyle name="20% - Accent4 5 4 4" xfId="14161"/>
    <cellStyle name="20% - Accent4 5 4 5" xfId="18112"/>
    <cellStyle name="20% - Accent4 5 5" xfId="2889"/>
    <cellStyle name="20% - Accent4 5 5 2" xfId="2890"/>
    <cellStyle name="20% - Accent4 5 5 2 2" xfId="14165"/>
    <cellStyle name="20% - Accent4 5 5 2 3" xfId="18116"/>
    <cellStyle name="20% - Accent4 5 5 3" xfId="2891"/>
    <cellStyle name="20% - Accent4 5 5 3 2" xfId="14166"/>
    <cellStyle name="20% - Accent4 5 5 3 3" xfId="18117"/>
    <cellStyle name="20% - Accent4 5 5 4" xfId="14164"/>
    <cellStyle name="20% - Accent4 5 5 5" xfId="18115"/>
    <cellStyle name="20% - Accent4 5 6" xfId="2892"/>
    <cellStyle name="20% - Accent4 5 6 2" xfId="2893"/>
    <cellStyle name="20% - Accent4 5 6 2 2" xfId="14168"/>
    <cellStyle name="20% - Accent4 5 6 2 3" xfId="18119"/>
    <cellStyle name="20% - Accent4 5 6 3" xfId="2894"/>
    <cellStyle name="20% - Accent4 5 6 3 2" xfId="14169"/>
    <cellStyle name="20% - Accent4 5 6 3 3" xfId="18120"/>
    <cellStyle name="20% - Accent4 5 6 4" xfId="14167"/>
    <cellStyle name="20% - Accent4 5 6 5" xfId="18118"/>
    <cellStyle name="20% - Accent4 5 7" xfId="2895"/>
    <cellStyle name="20% - Accent4 5 7 2" xfId="14170"/>
    <cellStyle name="20% - Accent4 5 7 3" xfId="18121"/>
    <cellStyle name="20% - Accent4 5 8" xfId="2896"/>
    <cellStyle name="20% - Accent4 5 8 2" xfId="14171"/>
    <cellStyle name="20% - Accent4 5 8 3" xfId="18122"/>
    <cellStyle name="20% - Accent4 5 9" xfId="14139"/>
    <cellStyle name="20% - Accent4 5_Volatility" xfId="2897"/>
    <cellStyle name="20% - Accent4 6" xfId="2898"/>
    <cellStyle name="20% - Accent4 6 10" xfId="18123"/>
    <cellStyle name="20% - Accent4 6 2" xfId="2899"/>
    <cellStyle name="20% - Accent4 6 2 2" xfId="2900"/>
    <cellStyle name="20% - Accent4 6 2 2 2" xfId="2901"/>
    <cellStyle name="20% - Accent4 6 2 2 2 2" xfId="14175"/>
    <cellStyle name="20% - Accent4 6 2 2 2 3" xfId="18126"/>
    <cellStyle name="20% - Accent4 6 2 2 3" xfId="2902"/>
    <cellStyle name="20% - Accent4 6 2 2 3 2" xfId="14176"/>
    <cellStyle name="20% - Accent4 6 2 2 3 3" xfId="18127"/>
    <cellStyle name="20% - Accent4 6 2 2 4" xfId="14174"/>
    <cellStyle name="20% - Accent4 6 2 2 5" xfId="18125"/>
    <cellStyle name="20% - Accent4 6 2 3" xfId="2903"/>
    <cellStyle name="20% - Accent4 6 2 3 2" xfId="2904"/>
    <cellStyle name="20% - Accent4 6 2 3 2 2" xfId="14178"/>
    <cellStyle name="20% - Accent4 6 2 3 2 3" xfId="18129"/>
    <cellStyle name="20% - Accent4 6 2 3 3" xfId="2905"/>
    <cellStyle name="20% - Accent4 6 2 3 3 2" xfId="14179"/>
    <cellStyle name="20% - Accent4 6 2 3 3 3" xfId="18130"/>
    <cellStyle name="20% - Accent4 6 2 3 4" xfId="14177"/>
    <cellStyle name="20% - Accent4 6 2 3 5" xfId="18128"/>
    <cellStyle name="20% - Accent4 6 2 4" xfId="2906"/>
    <cellStyle name="20% - Accent4 6 2 4 2" xfId="2907"/>
    <cellStyle name="20% - Accent4 6 2 4 2 2" xfId="14181"/>
    <cellStyle name="20% - Accent4 6 2 4 2 3" xfId="18132"/>
    <cellStyle name="20% - Accent4 6 2 4 3" xfId="2908"/>
    <cellStyle name="20% - Accent4 6 2 4 3 2" xfId="14182"/>
    <cellStyle name="20% - Accent4 6 2 4 3 3" xfId="18133"/>
    <cellStyle name="20% - Accent4 6 2 4 4" xfId="14180"/>
    <cellStyle name="20% - Accent4 6 2 4 5" xfId="18131"/>
    <cellStyle name="20% - Accent4 6 2 5" xfId="2909"/>
    <cellStyle name="20% - Accent4 6 2 5 2" xfId="14183"/>
    <cellStyle name="20% - Accent4 6 2 5 3" xfId="18134"/>
    <cellStyle name="20% - Accent4 6 2 6" xfId="2910"/>
    <cellStyle name="20% - Accent4 6 2 6 2" xfId="14184"/>
    <cellStyle name="20% - Accent4 6 2 6 3" xfId="18135"/>
    <cellStyle name="20% - Accent4 6 2 7" xfId="14173"/>
    <cellStyle name="20% - Accent4 6 2 8" xfId="18124"/>
    <cellStyle name="20% - Accent4 6 2_Volatility" xfId="2911"/>
    <cellStyle name="20% - Accent4 6 3" xfId="2912"/>
    <cellStyle name="20% - Accent4 6 3 2" xfId="2913"/>
    <cellStyle name="20% - Accent4 6 3 2 2" xfId="2914"/>
    <cellStyle name="20% - Accent4 6 3 2 2 2" xfId="14187"/>
    <cellStyle name="20% - Accent4 6 3 2 2 3" xfId="18138"/>
    <cellStyle name="20% - Accent4 6 3 2 3" xfId="2915"/>
    <cellStyle name="20% - Accent4 6 3 2 3 2" xfId="14188"/>
    <cellStyle name="20% - Accent4 6 3 2 3 3" xfId="18139"/>
    <cellStyle name="20% - Accent4 6 3 2 4" xfId="14186"/>
    <cellStyle name="20% - Accent4 6 3 2 5" xfId="18137"/>
    <cellStyle name="20% - Accent4 6 3 3" xfId="2916"/>
    <cellStyle name="20% - Accent4 6 3 3 2" xfId="2917"/>
    <cellStyle name="20% - Accent4 6 3 3 2 2" xfId="14190"/>
    <cellStyle name="20% - Accent4 6 3 3 2 3" xfId="18141"/>
    <cellStyle name="20% - Accent4 6 3 3 3" xfId="2918"/>
    <cellStyle name="20% - Accent4 6 3 3 3 2" xfId="14191"/>
    <cellStyle name="20% - Accent4 6 3 3 3 3" xfId="18142"/>
    <cellStyle name="20% - Accent4 6 3 3 4" xfId="14189"/>
    <cellStyle name="20% - Accent4 6 3 3 5" xfId="18140"/>
    <cellStyle name="20% - Accent4 6 3 4" xfId="2919"/>
    <cellStyle name="20% - Accent4 6 3 4 2" xfId="14192"/>
    <cellStyle name="20% - Accent4 6 3 4 3" xfId="18143"/>
    <cellStyle name="20% - Accent4 6 3 5" xfId="2920"/>
    <cellStyle name="20% - Accent4 6 3 5 2" xfId="14193"/>
    <cellStyle name="20% - Accent4 6 3 5 3" xfId="18144"/>
    <cellStyle name="20% - Accent4 6 3 6" xfId="14185"/>
    <cellStyle name="20% - Accent4 6 3 7" xfId="18136"/>
    <cellStyle name="20% - Accent4 6 3_Volatility" xfId="2921"/>
    <cellStyle name="20% - Accent4 6 4" xfId="2922"/>
    <cellStyle name="20% - Accent4 6 4 2" xfId="2923"/>
    <cellStyle name="20% - Accent4 6 4 2 2" xfId="14195"/>
    <cellStyle name="20% - Accent4 6 4 2 3" xfId="18146"/>
    <cellStyle name="20% - Accent4 6 4 3" xfId="2924"/>
    <cellStyle name="20% - Accent4 6 4 3 2" xfId="14196"/>
    <cellStyle name="20% - Accent4 6 4 3 3" xfId="18147"/>
    <cellStyle name="20% - Accent4 6 4 4" xfId="14194"/>
    <cellStyle name="20% - Accent4 6 4 5" xfId="18145"/>
    <cellStyle name="20% - Accent4 6 5" xfId="2925"/>
    <cellStyle name="20% - Accent4 6 5 2" xfId="2926"/>
    <cellStyle name="20% - Accent4 6 5 2 2" xfId="14198"/>
    <cellStyle name="20% - Accent4 6 5 2 3" xfId="18149"/>
    <cellStyle name="20% - Accent4 6 5 3" xfId="2927"/>
    <cellStyle name="20% - Accent4 6 5 3 2" xfId="14199"/>
    <cellStyle name="20% - Accent4 6 5 3 3" xfId="18150"/>
    <cellStyle name="20% - Accent4 6 5 4" xfId="14197"/>
    <cellStyle name="20% - Accent4 6 5 5" xfId="18148"/>
    <cellStyle name="20% - Accent4 6 6" xfId="2928"/>
    <cellStyle name="20% - Accent4 6 6 2" xfId="2929"/>
    <cellStyle name="20% - Accent4 6 6 2 2" xfId="14201"/>
    <cellStyle name="20% - Accent4 6 6 2 3" xfId="18152"/>
    <cellStyle name="20% - Accent4 6 6 3" xfId="2930"/>
    <cellStyle name="20% - Accent4 6 6 3 2" xfId="14202"/>
    <cellStyle name="20% - Accent4 6 6 3 3" xfId="18153"/>
    <cellStyle name="20% - Accent4 6 6 4" xfId="14200"/>
    <cellStyle name="20% - Accent4 6 6 5" xfId="18151"/>
    <cellStyle name="20% - Accent4 6 7" xfId="2931"/>
    <cellStyle name="20% - Accent4 6 7 2" xfId="14203"/>
    <cellStyle name="20% - Accent4 6 7 3" xfId="18154"/>
    <cellStyle name="20% - Accent4 6 8" xfId="2932"/>
    <cellStyle name="20% - Accent4 6 8 2" xfId="14204"/>
    <cellStyle name="20% - Accent4 6 8 3" xfId="18155"/>
    <cellStyle name="20% - Accent4 6 9" xfId="14172"/>
    <cellStyle name="20% - Accent4 6_Volatility" xfId="2933"/>
    <cellStyle name="20% - Accent4 7" xfId="2934"/>
    <cellStyle name="20% - Accent4 7 10" xfId="18156"/>
    <cellStyle name="20% - Accent4 7 2" xfId="2935"/>
    <cellStyle name="20% - Accent4 7 2 2" xfId="2936"/>
    <cellStyle name="20% - Accent4 7 2 2 2" xfId="2937"/>
    <cellStyle name="20% - Accent4 7 2 2 2 2" xfId="14208"/>
    <cellStyle name="20% - Accent4 7 2 2 2 3" xfId="18159"/>
    <cellStyle name="20% - Accent4 7 2 2 3" xfId="2938"/>
    <cellStyle name="20% - Accent4 7 2 2 3 2" xfId="14209"/>
    <cellStyle name="20% - Accent4 7 2 2 3 3" xfId="18160"/>
    <cellStyle name="20% - Accent4 7 2 2 4" xfId="14207"/>
    <cellStyle name="20% - Accent4 7 2 2 5" xfId="18158"/>
    <cellStyle name="20% - Accent4 7 2 3" xfId="2939"/>
    <cellStyle name="20% - Accent4 7 2 3 2" xfId="2940"/>
    <cellStyle name="20% - Accent4 7 2 3 2 2" xfId="14211"/>
    <cellStyle name="20% - Accent4 7 2 3 2 3" xfId="18162"/>
    <cellStyle name="20% - Accent4 7 2 3 3" xfId="2941"/>
    <cellStyle name="20% - Accent4 7 2 3 3 2" xfId="14212"/>
    <cellStyle name="20% - Accent4 7 2 3 3 3" xfId="18163"/>
    <cellStyle name="20% - Accent4 7 2 3 4" xfId="14210"/>
    <cellStyle name="20% - Accent4 7 2 3 5" xfId="18161"/>
    <cellStyle name="20% - Accent4 7 2 4" xfId="2942"/>
    <cellStyle name="20% - Accent4 7 2 4 2" xfId="2943"/>
    <cellStyle name="20% - Accent4 7 2 4 2 2" xfId="14214"/>
    <cellStyle name="20% - Accent4 7 2 4 2 3" xfId="18165"/>
    <cellStyle name="20% - Accent4 7 2 4 3" xfId="2944"/>
    <cellStyle name="20% - Accent4 7 2 4 3 2" xfId="14215"/>
    <cellStyle name="20% - Accent4 7 2 4 3 3" xfId="18166"/>
    <cellStyle name="20% - Accent4 7 2 4 4" xfId="14213"/>
    <cellStyle name="20% - Accent4 7 2 4 5" xfId="18164"/>
    <cellStyle name="20% - Accent4 7 2 5" xfId="2945"/>
    <cellStyle name="20% - Accent4 7 2 5 2" xfId="14216"/>
    <cellStyle name="20% - Accent4 7 2 5 3" xfId="18167"/>
    <cellStyle name="20% - Accent4 7 2 6" xfId="2946"/>
    <cellStyle name="20% - Accent4 7 2 6 2" xfId="14217"/>
    <cellStyle name="20% - Accent4 7 2 6 3" xfId="18168"/>
    <cellStyle name="20% - Accent4 7 2 7" xfId="14206"/>
    <cellStyle name="20% - Accent4 7 2 8" xfId="18157"/>
    <cellStyle name="20% - Accent4 7 2_Volatility" xfId="2947"/>
    <cellStyle name="20% - Accent4 7 3" xfId="2948"/>
    <cellStyle name="20% - Accent4 7 3 2" xfId="2949"/>
    <cellStyle name="20% - Accent4 7 3 2 2" xfId="2950"/>
    <cellStyle name="20% - Accent4 7 3 2 2 2" xfId="14220"/>
    <cellStyle name="20% - Accent4 7 3 2 2 3" xfId="18171"/>
    <cellStyle name="20% - Accent4 7 3 2 3" xfId="2951"/>
    <cellStyle name="20% - Accent4 7 3 2 3 2" xfId="14221"/>
    <cellStyle name="20% - Accent4 7 3 2 3 3" xfId="18172"/>
    <cellStyle name="20% - Accent4 7 3 2 4" xfId="14219"/>
    <cellStyle name="20% - Accent4 7 3 2 5" xfId="18170"/>
    <cellStyle name="20% - Accent4 7 3 3" xfId="2952"/>
    <cellStyle name="20% - Accent4 7 3 3 2" xfId="2953"/>
    <cellStyle name="20% - Accent4 7 3 3 2 2" xfId="14223"/>
    <cellStyle name="20% - Accent4 7 3 3 2 3" xfId="18174"/>
    <cellStyle name="20% - Accent4 7 3 3 3" xfId="2954"/>
    <cellStyle name="20% - Accent4 7 3 3 3 2" xfId="14224"/>
    <cellStyle name="20% - Accent4 7 3 3 3 3" xfId="18175"/>
    <cellStyle name="20% - Accent4 7 3 3 4" xfId="14222"/>
    <cellStyle name="20% - Accent4 7 3 3 5" xfId="18173"/>
    <cellStyle name="20% - Accent4 7 3 4" xfId="2955"/>
    <cellStyle name="20% - Accent4 7 3 4 2" xfId="14225"/>
    <cellStyle name="20% - Accent4 7 3 4 3" xfId="18176"/>
    <cellStyle name="20% - Accent4 7 3 5" xfId="2956"/>
    <cellStyle name="20% - Accent4 7 3 5 2" xfId="14226"/>
    <cellStyle name="20% - Accent4 7 3 5 3" xfId="18177"/>
    <cellStyle name="20% - Accent4 7 3 6" xfId="14218"/>
    <cellStyle name="20% - Accent4 7 3 7" xfId="18169"/>
    <cellStyle name="20% - Accent4 7 3_Volatility" xfId="2957"/>
    <cellStyle name="20% - Accent4 7 4" xfId="2958"/>
    <cellStyle name="20% - Accent4 7 4 2" xfId="2959"/>
    <cellStyle name="20% - Accent4 7 4 2 2" xfId="14228"/>
    <cellStyle name="20% - Accent4 7 4 2 3" xfId="18179"/>
    <cellStyle name="20% - Accent4 7 4 3" xfId="2960"/>
    <cellStyle name="20% - Accent4 7 4 3 2" xfId="14229"/>
    <cellStyle name="20% - Accent4 7 4 3 3" xfId="18180"/>
    <cellStyle name="20% - Accent4 7 4 4" xfId="14227"/>
    <cellStyle name="20% - Accent4 7 4 5" xfId="18178"/>
    <cellStyle name="20% - Accent4 7 5" xfId="2961"/>
    <cellStyle name="20% - Accent4 7 5 2" xfId="2962"/>
    <cellStyle name="20% - Accent4 7 5 2 2" xfId="14231"/>
    <cellStyle name="20% - Accent4 7 5 2 3" xfId="18182"/>
    <cellStyle name="20% - Accent4 7 5 3" xfId="2963"/>
    <cellStyle name="20% - Accent4 7 5 3 2" xfId="14232"/>
    <cellStyle name="20% - Accent4 7 5 3 3" xfId="18183"/>
    <cellStyle name="20% - Accent4 7 5 4" xfId="14230"/>
    <cellStyle name="20% - Accent4 7 5 5" xfId="18181"/>
    <cellStyle name="20% - Accent4 7 6" xfId="2964"/>
    <cellStyle name="20% - Accent4 7 6 2" xfId="2965"/>
    <cellStyle name="20% - Accent4 7 6 2 2" xfId="14234"/>
    <cellStyle name="20% - Accent4 7 6 2 3" xfId="18185"/>
    <cellStyle name="20% - Accent4 7 6 3" xfId="2966"/>
    <cellStyle name="20% - Accent4 7 6 3 2" xfId="14235"/>
    <cellStyle name="20% - Accent4 7 6 3 3" xfId="18186"/>
    <cellStyle name="20% - Accent4 7 6 4" xfId="14233"/>
    <cellStyle name="20% - Accent4 7 6 5" xfId="18184"/>
    <cellStyle name="20% - Accent4 7 7" xfId="2967"/>
    <cellStyle name="20% - Accent4 7 7 2" xfId="14236"/>
    <cellStyle name="20% - Accent4 7 7 3" xfId="18187"/>
    <cellStyle name="20% - Accent4 7 8" xfId="2968"/>
    <cellStyle name="20% - Accent4 7 8 2" xfId="14237"/>
    <cellStyle name="20% - Accent4 7 8 3" xfId="18188"/>
    <cellStyle name="20% - Accent4 7 9" xfId="14205"/>
    <cellStyle name="20% - Accent4 7_Volatility" xfId="2969"/>
    <cellStyle name="20% - Accent4 8" xfId="2970"/>
    <cellStyle name="20% - Accent4 8 10" xfId="18189"/>
    <cellStyle name="20% - Accent4 8 2" xfId="2971"/>
    <cellStyle name="20% - Accent4 8 2 2" xfId="2972"/>
    <cellStyle name="20% - Accent4 8 2 2 2" xfId="2973"/>
    <cellStyle name="20% - Accent4 8 2 2 2 2" xfId="14241"/>
    <cellStyle name="20% - Accent4 8 2 2 2 3" xfId="18192"/>
    <cellStyle name="20% - Accent4 8 2 2 3" xfId="2974"/>
    <cellStyle name="20% - Accent4 8 2 2 3 2" xfId="14242"/>
    <cellStyle name="20% - Accent4 8 2 2 3 3" xfId="18193"/>
    <cellStyle name="20% - Accent4 8 2 2 4" xfId="14240"/>
    <cellStyle name="20% - Accent4 8 2 2 5" xfId="18191"/>
    <cellStyle name="20% - Accent4 8 2 3" xfId="2975"/>
    <cellStyle name="20% - Accent4 8 2 3 2" xfId="2976"/>
    <cellStyle name="20% - Accent4 8 2 3 2 2" xfId="14244"/>
    <cellStyle name="20% - Accent4 8 2 3 2 3" xfId="18195"/>
    <cellStyle name="20% - Accent4 8 2 3 3" xfId="2977"/>
    <cellStyle name="20% - Accent4 8 2 3 3 2" xfId="14245"/>
    <cellStyle name="20% - Accent4 8 2 3 3 3" xfId="18196"/>
    <cellStyle name="20% - Accent4 8 2 3 4" xfId="14243"/>
    <cellStyle name="20% - Accent4 8 2 3 5" xfId="18194"/>
    <cellStyle name="20% - Accent4 8 2 4" xfId="2978"/>
    <cellStyle name="20% - Accent4 8 2 4 2" xfId="2979"/>
    <cellStyle name="20% - Accent4 8 2 4 2 2" xfId="14247"/>
    <cellStyle name="20% - Accent4 8 2 4 2 3" xfId="18198"/>
    <cellStyle name="20% - Accent4 8 2 4 3" xfId="2980"/>
    <cellStyle name="20% - Accent4 8 2 4 3 2" xfId="14248"/>
    <cellStyle name="20% - Accent4 8 2 4 3 3" xfId="18199"/>
    <cellStyle name="20% - Accent4 8 2 4 4" xfId="14246"/>
    <cellStyle name="20% - Accent4 8 2 4 5" xfId="18197"/>
    <cellStyle name="20% - Accent4 8 2 5" xfId="2981"/>
    <cellStyle name="20% - Accent4 8 2 5 2" xfId="14249"/>
    <cellStyle name="20% - Accent4 8 2 5 3" xfId="18200"/>
    <cellStyle name="20% - Accent4 8 2 6" xfId="2982"/>
    <cellStyle name="20% - Accent4 8 2 6 2" xfId="14250"/>
    <cellStyle name="20% - Accent4 8 2 6 3" xfId="18201"/>
    <cellStyle name="20% - Accent4 8 2 7" xfId="14239"/>
    <cellStyle name="20% - Accent4 8 2 8" xfId="18190"/>
    <cellStyle name="20% - Accent4 8 2_Volatility" xfId="2983"/>
    <cellStyle name="20% - Accent4 8 3" xfId="2984"/>
    <cellStyle name="20% - Accent4 8 3 2" xfId="2985"/>
    <cellStyle name="20% - Accent4 8 3 2 2" xfId="2986"/>
    <cellStyle name="20% - Accent4 8 3 2 2 2" xfId="14253"/>
    <cellStyle name="20% - Accent4 8 3 2 2 3" xfId="18204"/>
    <cellStyle name="20% - Accent4 8 3 2 3" xfId="2987"/>
    <cellStyle name="20% - Accent4 8 3 2 3 2" xfId="14254"/>
    <cellStyle name="20% - Accent4 8 3 2 3 3" xfId="18205"/>
    <cellStyle name="20% - Accent4 8 3 2 4" xfId="14252"/>
    <cellStyle name="20% - Accent4 8 3 2 5" xfId="18203"/>
    <cellStyle name="20% - Accent4 8 3 3" xfId="2988"/>
    <cellStyle name="20% - Accent4 8 3 3 2" xfId="2989"/>
    <cellStyle name="20% - Accent4 8 3 3 2 2" xfId="14256"/>
    <cellStyle name="20% - Accent4 8 3 3 2 3" xfId="18207"/>
    <cellStyle name="20% - Accent4 8 3 3 3" xfId="2990"/>
    <cellStyle name="20% - Accent4 8 3 3 3 2" xfId="14257"/>
    <cellStyle name="20% - Accent4 8 3 3 3 3" xfId="18208"/>
    <cellStyle name="20% - Accent4 8 3 3 4" xfId="14255"/>
    <cellStyle name="20% - Accent4 8 3 3 5" xfId="18206"/>
    <cellStyle name="20% - Accent4 8 3 4" xfId="2991"/>
    <cellStyle name="20% - Accent4 8 3 4 2" xfId="14258"/>
    <cellStyle name="20% - Accent4 8 3 4 3" xfId="18209"/>
    <cellStyle name="20% - Accent4 8 3 5" xfId="2992"/>
    <cellStyle name="20% - Accent4 8 3 5 2" xfId="14259"/>
    <cellStyle name="20% - Accent4 8 3 5 3" xfId="18210"/>
    <cellStyle name="20% - Accent4 8 3 6" xfId="14251"/>
    <cellStyle name="20% - Accent4 8 3 7" xfId="18202"/>
    <cellStyle name="20% - Accent4 8 3_Volatility" xfId="2993"/>
    <cellStyle name="20% - Accent4 8 4" xfId="2994"/>
    <cellStyle name="20% - Accent4 8 4 2" xfId="2995"/>
    <cellStyle name="20% - Accent4 8 4 2 2" xfId="14261"/>
    <cellStyle name="20% - Accent4 8 4 2 3" xfId="18212"/>
    <cellStyle name="20% - Accent4 8 4 3" xfId="2996"/>
    <cellStyle name="20% - Accent4 8 4 3 2" xfId="14262"/>
    <cellStyle name="20% - Accent4 8 4 3 3" xfId="18213"/>
    <cellStyle name="20% - Accent4 8 4 4" xfId="14260"/>
    <cellStyle name="20% - Accent4 8 4 5" xfId="18211"/>
    <cellStyle name="20% - Accent4 8 5" xfId="2997"/>
    <cellStyle name="20% - Accent4 8 5 2" xfId="2998"/>
    <cellStyle name="20% - Accent4 8 5 2 2" xfId="14264"/>
    <cellStyle name="20% - Accent4 8 5 2 3" xfId="18215"/>
    <cellStyle name="20% - Accent4 8 5 3" xfId="2999"/>
    <cellStyle name="20% - Accent4 8 5 3 2" xfId="14265"/>
    <cellStyle name="20% - Accent4 8 5 3 3" xfId="18216"/>
    <cellStyle name="20% - Accent4 8 5 4" xfId="14263"/>
    <cellStyle name="20% - Accent4 8 5 5" xfId="18214"/>
    <cellStyle name="20% - Accent4 8 6" xfId="3000"/>
    <cellStyle name="20% - Accent4 8 6 2" xfId="3001"/>
    <cellStyle name="20% - Accent4 8 6 2 2" xfId="14267"/>
    <cellStyle name="20% - Accent4 8 6 2 3" xfId="18218"/>
    <cellStyle name="20% - Accent4 8 6 3" xfId="3002"/>
    <cellStyle name="20% - Accent4 8 6 3 2" xfId="14268"/>
    <cellStyle name="20% - Accent4 8 6 3 3" xfId="18219"/>
    <cellStyle name="20% - Accent4 8 6 4" xfId="14266"/>
    <cellStyle name="20% - Accent4 8 6 5" xfId="18217"/>
    <cellStyle name="20% - Accent4 8 7" xfId="3003"/>
    <cellStyle name="20% - Accent4 8 7 2" xfId="14269"/>
    <cellStyle name="20% - Accent4 8 7 3" xfId="18220"/>
    <cellStyle name="20% - Accent4 8 8" xfId="3004"/>
    <cellStyle name="20% - Accent4 8 8 2" xfId="14270"/>
    <cellStyle name="20% - Accent4 8 8 3" xfId="18221"/>
    <cellStyle name="20% - Accent4 8 9" xfId="14238"/>
    <cellStyle name="20% - Accent4 8_Volatility" xfId="3005"/>
    <cellStyle name="20% - Accent4 9" xfId="3006"/>
    <cellStyle name="20% - Accent4 9 10" xfId="18222"/>
    <cellStyle name="20% - Accent4 9 2" xfId="3007"/>
    <cellStyle name="20% - Accent4 9 2 2" xfId="3008"/>
    <cellStyle name="20% - Accent4 9 2 2 2" xfId="3009"/>
    <cellStyle name="20% - Accent4 9 2 2 2 2" xfId="14274"/>
    <cellStyle name="20% - Accent4 9 2 2 2 3" xfId="18225"/>
    <cellStyle name="20% - Accent4 9 2 2 3" xfId="3010"/>
    <cellStyle name="20% - Accent4 9 2 2 3 2" xfId="14275"/>
    <cellStyle name="20% - Accent4 9 2 2 3 3" xfId="18226"/>
    <cellStyle name="20% - Accent4 9 2 2 4" xfId="14273"/>
    <cellStyle name="20% - Accent4 9 2 2 5" xfId="18224"/>
    <cellStyle name="20% - Accent4 9 2 3" xfId="3011"/>
    <cellStyle name="20% - Accent4 9 2 3 2" xfId="3012"/>
    <cellStyle name="20% - Accent4 9 2 3 2 2" xfId="14277"/>
    <cellStyle name="20% - Accent4 9 2 3 2 3" xfId="18228"/>
    <cellStyle name="20% - Accent4 9 2 3 3" xfId="3013"/>
    <cellStyle name="20% - Accent4 9 2 3 3 2" xfId="14278"/>
    <cellStyle name="20% - Accent4 9 2 3 3 3" xfId="18229"/>
    <cellStyle name="20% - Accent4 9 2 3 4" xfId="14276"/>
    <cellStyle name="20% - Accent4 9 2 3 5" xfId="18227"/>
    <cellStyle name="20% - Accent4 9 2 4" xfId="3014"/>
    <cellStyle name="20% - Accent4 9 2 4 2" xfId="3015"/>
    <cellStyle name="20% - Accent4 9 2 4 2 2" xfId="14280"/>
    <cellStyle name="20% - Accent4 9 2 4 2 3" xfId="18231"/>
    <cellStyle name="20% - Accent4 9 2 4 3" xfId="3016"/>
    <cellStyle name="20% - Accent4 9 2 4 3 2" xfId="14281"/>
    <cellStyle name="20% - Accent4 9 2 4 3 3" xfId="18232"/>
    <cellStyle name="20% - Accent4 9 2 4 4" xfId="14279"/>
    <cellStyle name="20% - Accent4 9 2 4 5" xfId="18230"/>
    <cellStyle name="20% - Accent4 9 2 5" xfId="3017"/>
    <cellStyle name="20% - Accent4 9 2 5 2" xfId="14282"/>
    <cellStyle name="20% - Accent4 9 2 5 3" xfId="18233"/>
    <cellStyle name="20% - Accent4 9 2 6" xfId="3018"/>
    <cellStyle name="20% - Accent4 9 2 6 2" xfId="14283"/>
    <cellStyle name="20% - Accent4 9 2 6 3" xfId="18234"/>
    <cellStyle name="20% - Accent4 9 2 7" xfId="14272"/>
    <cellStyle name="20% - Accent4 9 2 8" xfId="18223"/>
    <cellStyle name="20% - Accent4 9 2_Volatility" xfId="3019"/>
    <cellStyle name="20% - Accent4 9 3" xfId="3020"/>
    <cellStyle name="20% - Accent4 9 3 2" xfId="3021"/>
    <cellStyle name="20% - Accent4 9 3 2 2" xfId="3022"/>
    <cellStyle name="20% - Accent4 9 3 2 2 2" xfId="14286"/>
    <cellStyle name="20% - Accent4 9 3 2 2 3" xfId="18237"/>
    <cellStyle name="20% - Accent4 9 3 2 3" xfId="3023"/>
    <cellStyle name="20% - Accent4 9 3 2 3 2" xfId="14287"/>
    <cellStyle name="20% - Accent4 9 3 2 3 3" xfId="18238"/>
    <cellStyle name="20% - Accent4 9 3 2 4" xfId="14285"/>
    <cellStyle name="20% - Accent4 9 3 2 5" xfId="18236"/>
    <cellStyle name="20% - Accent4 9 3 3" xfId="3024"/>
    <cellStyle name="20% - Accent4 9 3 3 2" xfId="3025"/>
    <cellStyle name="20% - Accent4 9 3 3 2 2" xfId="14289"/>
    <cellStyle name="20% - Accent4 9 3 3 2 3" xfId="18240"/>
    <cellStyle name="20% - Accent4 9 3 3 3" xfId="3026"/>
    <cellStyle name="20% - Accent4 9 3 3 3 2" xfId="14290"/>
    <cellStyle name="20% - Accent4 9 3 3 3 3" xfId="18241"/>
    <cellStyle name="20% - Accent4 9 3 3 4" xfId="14288"/>
    <cellStyle name="20% - Accent4 9 3 3 5" xfId="18239"/>
    <cellStyle name="20% - Accent4 9 3 4" xfId="3027"/>
    <cellStyle name="20% - Accent4 9 3 4 2" xfId="14291"/>
    <cellStyle name="20% - Accent4 9 3 4 3" xfId="18242"/>
    <cellStyle name="20% - Accent4 9 3 5" xfId="3028"/>
    <cellStyle name="20% - Accent4 9 3 5 2" xfId="14292"/>
    <cellStyle name="20% - Accent4 9 3 5 3" xfId="18243"/>
    <cellStyle name="20% - Accent4 9 3 6" xfId="14284"/>
    <cellStyle name="20% - Accent4 9 3 7" xfId="18235"/>
    <cellStyle name="20% - Accent4 9 3_Volatility" xfId="3029"/>
    <cellStyle name="20% - Accent4 9 4" xfId="3030"/>
    <cellStyle name="20% - Accent4 9 4 2" xfId="3031"/>
    <cellStyle name="20% - Accent4 9 4 2 2" xfId="14294"/>
    <cellStyle name="20% - Accent4 9 4 2 3" xfId="18245"/>
    <cellStyle name="20% - Accent4 9 4 3" xfId="3032"/>
    <cellStyle name="20% - Accent4 9 4 3 2" xfId="14295"/>
    <cellStyle name="20% - Accent4 9 4 3 3" xfId="18246"/>
    <cellStyle name="20% - Accent4 9 4 4" xfId="14293"/>
    <cellStyle name="20% - Accent4 9 4 5" xfId="18244"/>
    <cellStyle name="20% - Accent4 9 5" xfId="3033"/>
    <cellStyle name="20% - Accent4 9 5 2" xfId="3034"/>
    <cellStyle name="20% - Accent4 9 5 2 2" xfId="14297"/>
    <cellStyle name="20% - Accent4 9 5 2 3" xfId="18248"/>
    <cellStyle name="20% - Accent4 9 5 3" xfId="3035"/>
    <cellStyle name="20% - Accent4 9 5 3 2" xfId="14298"/>
    <cellStyle name="20% - Accent4 9 5 3 3" xfId="18249"/>
    <cellStyle name="20% - Accent4 9 5 4" xfId="14296"/>
    <cellStyle name="20% - Accent4 9 5 5" xfId="18247"/>
    <cellStyle name="20% - Accent4 9 6" xfId="3036"/>
    <cellStyle name="20% - Accent4 9 6 2" xfId="3037"/>
    <cellStyle name="20% - Accent4 9 6 2 2" xfId="14300"/>
    <cellStyle name="20% - Accent4 9 6 2 3" xfId="18251"/>
    <cellStyle name="20% - Accent4 9 6 3" xfId="3038"/>
    <cellStyle name="20% - Accent4 9 6 3 2" xfId="14301"/>
    <cellStyle name="20% - Accent4 9 6 3 3" xfId="18252"/>
    <cellStyle name="20% - Accent4 9 6 4" xfId="14299"/>
    <cellStyle name="20% - Accent4 9 6 5" xfId="18250"/>
    <cellStyle name="20% - Accent4 9 7" xfId="3039"/>
    <cellStyle name="20% - Accent4 9 7 2" xfId="14302"/>
    <cellStyle name="20% - Accent4 9 7 3" xfId="18253"/>
    <cellStyle name="20% - Accent4 9 8" xfId="3040"/>
    <cellStyle name="20% - Accent4 9 8 2" xfId="14303"/>
    <cellStyle name="20% - Accent4 9 8 3" xfId="18254"/>
    <cellStyle name="20% - Accent4 9 9" xfId="14271"/>
    <cellStyle name="20% - Accent4 9_Volatility" xfId="3041"/>
    <cellStyle name="20% - Accent5 10" xfId="3042"/>
    <cellStyle name="20% - Accent5 10 10" xfId="18255"/>
    <cellStyle name="20% - Accent5 10 2" xfId="3043"/>
    <cellStyle name="20% - Accent5 10 2 2" xfId="3044"/>
    <cellStyle name="20% - Accent5 10 2 2 2" xfId="3045"/>
    <cellStyle name="20% - Accent5 10 2 2 2 2" xfId="14307"/>
    <cellStyle name="20% - Accent5 10 2 2 2 3" xfId="18258"/>
    <cellStyle name="20% - Accent5 10 2 2 3" xfId="3046"/>
    <cellStyle name="20% - Accent5 10 2 2 3 2" xfId="14308"/>
    <cellStyle name="20% - Accent5 10 2 2 3 3" xfId="18259"/>
    <cellStyle name="20% - Accent5 10 2 2 4" xfId="14306"/>
    <cellStyle name="20% - Accent5 10 2 2 5" xfId="18257"/>
    <cellStyle name="20% - Accent5 10 2 3" xfId="3047"/>
    <cellStyle name="20% - Accent5 10 2 3 2" xfId="3048"/>
    <cellStyle name="20% - Accent5 10 2 3 2 2" xfId="14310"/>
    <cellStyle name="20% - Accent5 10 2 3 2 3" xfId="18261"/>
    <cellStyle name="20% - Accent5 10 2 3 3" xfId="3049"/>
    <cellStyle name="20% - Accent5 10 2 3 3 2" xfId="14311"/>
    <cellStyle name="20% - Accent5 10 2 3 3 3" xfId="18262"/>
    <cellStyle name="20% - Accent5 10 2 3 4" xfId="14309"/>
    <cellStyle name="20% - Accent5 10 2 3 5" xfId="18260"/>
    <cellStyle name="20% - Accent5 10 2 4" xfId="3050"/>
    <cellStyle name="20% - Accent5 10 2 4 2" xfId="3051"/>
    <cellStyle name="20% - Accent5 10 2 4 2 2" xfId="14313"/>
    <cellStyle name="20% - Accent5 10 2 4 2 3" xfId="18264"/>
    <cellStyle name="20% - Accent5 10 2 4 3" xfId="3052"/>
    <cellStyle name="20% - Accent5 10 2 4 3 2" xfId="14314"/>
    <cellStyle name="20% - Accent5 10 2 4 3 3" xfId="18265"/>
    <cellStyle name="20% - Accent5 10 2 4 4" xfId="14312"/>
    <cellStyle name="20% - Accent5 10 2 4 5" xfId="18263"/>
    <cellStyle name="20% - Accent5 10 2 5" xfId="3053"/>
    <cellStyle name="20% - Accent5 10 2 5 2" xfId="14315"/>
    <cellStyle name="20% - Accent5 10 2 5 3" xfId="18266"/>
    <cellStyle name="20% - Accent5 10 2 6" xfId="3054"/>
    <cellStyle name="20% - Accent5 10 2 6 2" xfId="14316"/>
    <cellStyle name="20% - Accent5 10 2 6 3" xfId="18267"/>
    <cellStyle name="20% - Accent5 10 2 7" xfId="14305"/>
    <cellStyle name="20% - Accent5 10 2 8" xfId="18256"/>
    <cellStyle name="20% - Accent5 10 2_Volatility" xfId="3055"/>
    <cellStyle name="20% - Accent5 10 3" xfId="3056"/>
    <cellStyle name="20% - Accent5 10 3 2" xfId="3057"/>
    <cellStyle name="20% - Accent5 10 3 2 2" xfId="3058"/>
    <cellStyle name="20% - Accent5 10 3 2 2 2" xfId="14319"/>
    <cellStyle name="20% - Accent5 10 3 2 2 3" xfId="18270"/>
    <cellStyle name="20% - Accent5 10 3 2 3" xfId="3059"/>
    <cellStyle name="20% - Accent5 10 3 2 3 2" xfId="14320"/>
    <cellStyle name="20% - Accent5 10 3 2 3 3" xfId="18271"/>
    <cellStyle name="20% - Accent5 10 3 2 4" xfId="14318"/>
    <cellStyle name="20% - Accent5 10 3 2 5" xfId="18269"/>
    <cellStyle name="20% - Accent5 10 3 3" xfId="3060"/>
    <cellStyle name="20% - Accent5 10 3 3 2" xfId="3061"/>
    <cellStyle name="20% - Accent5 10 3 3 2 2" xfId="14322"/>
    <cellStyle name="20% - Accent5 10 3 3 2 3" xfId="18273"/>
    <cellStyle name="20% - Accent5 10 3 3 3" xfId="3062"/>
    <cellStyle name="20% - Accent5 10 3 3 3 2" xfId="14323"/>
    <cellStyle name="20% - Accent5 10 3 3 3 3" xfId="18274"/>
    <cellStyle name="20% - Accent5 10 3 3 4" xfId="14321"/>
    <cellStyle name="20% - Accent5 10 3 3 5" xfId="18272"/>
    <cellStyle name="20% - Accent5 10 3 4" xfId="3063"/>
    <cellStyle name="20% - Accent5 10 3 4 2" xfId="14324"/>
    <cellStyle name="20% - Accent5 10 3 4 3" xfId="18275"/>
    <cellStyle name="20% - Accent5 10 3 5" xfId="3064"/>
    <cellStyle name="20% - Accent5 10 3 5 2" xfId="14325"/>
    <cellStyle name="20% - Accent5 10 3 5 3" xfId="18276"/>
    <cellStyle name="20% - Accent5 10 3 6" xfId="14317"/>
    <cellStyle name="20% - Accent5 10 3 7" xfId="18268"/>
    <cellStyle name="20% - Accent5 10 3_Volatility" xfId="3065"/>
    <cellStyle name="20% - Accent5 10 4" xfId="3066"/>
    <cellStyle name="20% - Accent5 10 4 2" xfId="3067"/>
    <cellStyle name="20% - Accent5 10 4 2 2" xfId="14327"/>
    <cellStyle name="20% - Accent5 10 4 2 3" xfId="18278"/>
    <cellStyle name="20% - Accent5 10 4 3" xfId="3068"/>
    <cellStyle name="20% - Accent5 10 4 3 2" xfId="14328"/>
    <cellStyle name="20% - Accent5 10 4 3 3" xfId="18279"/>
    <cellStyle name="20% - Accent5 10 4 4" xfId="14326"/>
    <cellStyle name="20% - Accent5 10 4 5" xfId="18277"/>
    <cellStyle name="20% - Accent5 10 5" xfId="3069"/>
    <cellStyle name="20% - Accent5 10 5 2" xfId="3070"/>
    <cellStyle name="20% - Accent5 10 5 2 2" xfId="14330"/>
    <cellStyle name="20% - Accent5 10 5 2 3" xfId="18281"/>
    <cellStyle name="20% - Accent5 10 5 3" xfId="3071"/>
    <cellStyle name="20% - Accent5 10 5 3 2" xfId="14331"/>
    <cellStyle name="20% - Accent5 10 5 3 3" xfId="18282"/>
    <cellStyle name="20% - Accent5 10 5 4" xfId="14329"/>
    <cellStyle name="20% - Accent5 10 5 5" xfId="18280"/>
    <cellStyle name="20% - Accent5 10 6" xfId="3072"/>
    <cellStyle name="20% - Accent5 10 6 2" xfId="3073"/>
    <cellStyle name="20% - Accent5 10 6 2 2" xfId="14333"/>
    <cellStyle name="20% - Accent5 10 6 2 3" xfId="18284"/>
    <cellStyle name="20% - Accent5 10 6 3" xfId="3074"/>
    <cellStyle name="20% - Accent5 10 6 3 2" xfId="14334"/>
    <cellStyle name="20% - Accent5 10 6 3 3" xfId="18285"/>
    <cellStyle name="20% - Accent5 10 6 4" xfId="14332"/>
    <cellStyle name="20% - Accent5 10 6 5" xfId="18283"/>
    <cellStyle name="20% - Accent5 10 7" xfId="3075"/>
    <cellStyle name="20% - Accent5 10 7 2" xfId="14335"/>
    <cellStyle name="20% - Accent5 10 7 3" xfId="18286"/>
    <cellStyle name="20% - Accent5 10 8" xfId="3076"/>
    <cellStyle name="20% - Accent5 10 8 2" xfId="14336"/>
    <cellStyle name="20% - Accent5 10 8 3" xfId="18287"/>
    <cellStyle name="20% - Accent5 10 9" xfId="14304"/>
    <cellStyle name="20% - Accent5 10_Volatility" xfId="3077"/>
    <cellStyle name="20% - Accent5 11" xfId="3078"/>
    <cellStyle name="20% - Accent5 11 10" xfId="18288"/>
    <cellStyle name="20% - Accent5 11 2" xfId="3079"/>
    <cellStyle name="20% - Accent5 11 2 2" xfId="3080"/>
    <cellStyle name="20% - Accent5 11 2 2 2" xfId="3081"/>
    <cellStyle name="20% - Accent5 11 2 2 2 2" xfId="14340"/>
    <cellStyle name="20% - Accent5 11 2 2 2 3" xfId="18291"/>
    <cellStyle name="20% - Accent5 11 2 2 3" xfId="3082"/>
    <cellStyle name="20% - Accent5 11 2 2 3 2" xfId="14341"/>
    <cellStyle name="20% - Accent5 11 2 2 3 3" xfId="18292"/>
    <cellStyle name="20% - Accent5 11 2 2 4" xfId="14339"/>
    <cellStyle name="20% - Accent5 11 2 2 5" xfId="18290"/>
    <cellStyle name="20% - Accent5 11 2 3" xfId="3083"/>
    <cellStyle name="20% - Accent5 11 2 3 2" xfId="3084"/>
    <cellStyle name="20% - Accent5 11 2 3 2 2" xfId="14343"/>
    <cellStyle name="20% - Accent5 11 2 3 2 3" xfId="18294"/>
    <cellStyle name="20% - Accent5 11 2 3 3" xfId="3085"/>
    <cellStyle name="20% - Accent5 11 2 3 3 2" xfId="14344"/>
    <cellStyle name="20% - Accent5 11 2 3 3 3" xfId="18295"/>
    <cellStyle name="20% - Accent5 11 2 3 4" xfId="14342"/>
    <cellStyle name="20% - Accent5 11 2 3 5" xfId="18293"/>
    <cellStyle name="20% - Accent5 11 2 4" xfId="3086"/>
    <cellStyle name="20% - Accent5 11 2 4 2" xfId="3087"/>
    <cellStyle name="20% - Accent5 11 2 4 2 2" xfId="14346"/>
    <cellStyle name="20% - Accent5 11 2 4 2 3" xfId="18297"/>
    <cellStyle name="20% - Accent5 11 2 4 3" xfId="3088"/>
    <cellStyle name="20% - Accent5 11 2 4 3 2" xfId="14347"/>
    <cellStyle name="20% - Accent5 11 2 4 3 3" xfId="18298"/>
    <cellStyle name="20% - Accent5 11 2 4 4" xfId="14345"/>
    <cellStyle name="20% - Accent5 11 2 4 5" xfId="18296"/>
    <cellStyle name="20% - Accent5 11 2 5" xfId="3089"/>
    <cellStyle name="20% - Accent5 11 2 5 2" xfId="14348"/>
    <cellStyle name="20% - Accent5 11 2 5 3" xfId="18299"/>
    <cellStyle name="20% - Accent5 11 2 6" xfId="3090"/>
    <cellStyle name="20% - Accent5 11 2 6 2" xfId="14349"/>
    <cellStyle name="20% - Accent5 11 2 6 3" xfId="18300"/>
    <cellStyle name="20% - Accent5 11 2 7" xfId="14338"/>
    <cellStyle name="20% - Accent5 11 2 8" xfId="18289"/>
    <cellStyle name="20% - Accent5 11 2_Volatility" xfId="3091"/>
    <cellStyle name="20% - Accent5 11 3" xfId="3092"/>
    <cellStyle name="20% - Accent5 11 3 2" xfId="3093"/>
    <cellStyle name="20% - Accent5 11 3 2 2" xfId="3094"/>
    <cellStyle name="20% - Accent5 11 3 2 2 2" xfId="14352"/>
    <cellStyle name="20% - Accent5 11 3 2 2 3" xfId="18303"/>
    <cellStyle name="20% - Accent5 11 3 2 3" xfId="3095"/>
    <cellStyle name="20% - Accent5 11 3 2 3 2" xfId="14353"/>
    <cellStyle name="20% - Accent5 11 3 2 3 3" xfId="18304"/>
    <cellStyle name="20% - Accent5 11 3 2 4" xfId="14351"/>
    <cellStyle name="20% - Accent5 11 3 2 5" xfId="18302"/>
    <cellStyle name="20% - Accent5 11 3 3" xfId="3096"/>
    <cellStyle name="20% - Accent5 11 3 3 2" xfId="3097"/>
    <cellStyle name="20% - Accent5 11 3 3 2 2" xfId="14355"/>
    <cellStyle name="20% - Accent5 11 3 3 2 3" xfId="18306"/>
    <cellStyle name="20% - Accent5 11 3 3 3" xfId="3098"/>
    <cellStyle name="20% - Accent5 11 3 3 3 2" xfId="14356"/>
    <cellStyle name="20% - Accent5 11 3 3 3 3" xfId="18307"/>
    <cellStyle name="20% - Accent5 11 3 3 4" xfId="14354"/>
    <cellStyle name="20% - Accent5 11 3 3 5" xfId="18305"/>
    <cellStyle name="20% - Accent5 11 3 4" xfId="3099"/>
    <cellStyle name="20% - Accent5 11 3 4 2" xfId="14357"/>
    <cellStyle name="20% - Accent5 11 3 4 3" xfId="18308"/>
    <cellStyle name="20% - Accent5 11 3 5" xfId="3100"/>
    <cellStyle name="20% - Accent5 11 3 5 2" xfId="14358"/>
    <cellStyle name="20% - Accent5 11 3 5 3" xfId="18309"/>
    <cellStyle name="20% - Accent5 11 3 6" xfId="14350"/>
    <cellStyle name="20% - Accent5 11 3 7" xfId="18301"/>
    <cellStyle name="20% - Accent5 11 3_Volatility" xfId="3101"/>
    <cellStyle name="20% - Accent5 11 4" xfId="3102"/>
    <cellStyle name="20% - Accent5 11 4 2" xfId="3103"/>
    <cellStyle name="20% - Accent5 11 4 2 2" xfId="14360"/>
    <cellStyle name="20% - Accent5 11 4 2 3" xfId="18311"/>
    <cellStyle name="20% - Accent5 11 4 3" xfId="3104"/>
    <cellStyle name="20% - Accent5 11 4 3 2" xfId="14361"/>
    <cellStyle name="20% - Accent5 11 4 3 3" xfId="18312"/>
    <cellStyle name="20% - Accent5 11 4 4" xfId="14359"/>
    <cellStyle name="20% - Accent5 11 4 5" xfId="18310"/>
    <cellStyle name="20% - Accent5 11 5" xfId="3105"/>
    <cellStyle name="20% - Accent5 11 5 2" xfId="3106"/>
    <cellStyle name="20% - Accent5 11 5 2 2" xfId="14363"/>
    <cellStyle name="20% - Accent5 11 5 2 3" xfId="18314"/>
    <cellStyle name="20% - Accent5 11 5 3" xfId="3107"/>
    <cellStyle name="20% - Accent5 11 5 3 2" xfId="14364"/>
    <cellStyle name="20% - Accent5 11 5 3 3" xfId="18315"/>
    <cellStyle name="20% - Accent5 11 5 4" xfId="14362"/>
    <cellStyle name="20% - Accent5 11 5 5" xfId="18313"/>
    <cellStyle name="20% - Accent5 11 6" xfId="3108"/>
    <cellStyle name="20% - Accent5 11 6 2" xfId="3109"/>
    <cellStyle name="20% - Accent5 11 6 2 2" xfId="14366"/>
    <cellStyle name="20% - Accent5 11 6 2 3" xfId="18317"/>
    <cellStyle name="20% - Accent5 11 6 3" xfId="3110"/>
    <cellStyle name="20% - Accent5 11 6 3 2" xfId="14367"/>
    <cellStyle name="20% - Accent5 11 6 3 3" xfId="18318"/>
    <cellStyle name="20% - Accent5 11 6 4" xfId="14365"/>
    <cellStyle name="20% - Accent5 11 6 5" xfId="18316"/>
    <cellStyle name="20% - Accent5 11 7" xfId="3111"/>
    <cellStyle name="20% - Accent5 11 7 2" xfId="14368"/>
    <cellStyle name="20% - Accent5 11 7 3" xfId="18319"/>
    <cellStyle name="20% - Accent5 11 8" xfId="3112"/>
    <cellStyle name="20% - Accent5 11 8 2" xfId="14369"/>
    <cellStyle name="20% - Accent5 11 8 3" xfId="18320"/>
    <cellStyle name="20% - Accent5 11 9" xfId="14337"/>
    <cellStyle name="20% - Accent5 11_Volatility" xfId="3113"/>
    <cellStyle name="20% - Accent5 12" xfId="3114"/>
    <cellStyle name="20% - Accent5 12 10" xfId="18321"/>
    <cellStyle name="20% - Accent5 12 2" xfId="3115"/>
    <cellStyle name="20% - Accent5 12 2 2" xfId="3116"/>
    <cellStyle name="20% - Accent5 12 2 2 2" xfId="3117"/>
    <cellStyle name="20% - Accent5 12 2 2 2 2" xfId="14373"/>
    <cellStyle name="20% - Accent5 12 2 2 2 3" xfId="18324"/>
    <cellStyle name="20% - Accent5 12 2 2 3" xfId="3118"/>
    <cellStyle name="20% - Accent5 12 2 2 3 2" xfId="14374"/>
    <cellStyle name="20% - Accent5 12 2 2 3 3" xfId="18325"/>
    <cellStyle name="20% - Accent5 12 2 2 4" xfId="14372"/>
    <cellStyle name="20% - Accent5 12 2 2 5" xfId="18323"/>
    <cellStyle name="20% - Accent5 12 2 3" xfId="3119"/>
    <cellStyle name="20% - Accent5 12 2 3 2" xfId="3120"/>
    <cellStyle name="20% - Accent5 12 2 3 2 2" xfId="14376"/>
    <cellStyle name="20% - Accent5 12 2 3 2 3" xfId="18327"/>
    <cellStyle name="20% - Accent5 12 2 3 3" xfId="3121"/>
    <cellStyle name="20% - Accent5 12 2 3 3 2" xfId="14377"/>
    <cellStyle name="20% - Accent5 12 2 3 3 3" xfId="18328"/>
    <cellStyle name="20% - Accent5 12 2 3 4" xfId="14375"/>
    <cellStyle name="20% - Accent5 12 2 3 5" xfId="18326"/>
    <cellStyle name="20% - Accent5 12 2 4" xfId="3122"/>
    <cellStyle name="20% - Accent5 12 2 4 2" xfId="3123"/>
    <cellStyle name="20% - Accent5 12 2 4 2 2" xfId="14379"/>
    <cellStyle name="20% - Accent5 12 2 4 2 3" xfId="18330"/>
    <cellStyle name="20% - Accent5 12 2 4 3" xfId="3124"/>
    <cellStyle name="20% - Accent5 12 2 4 3 2" xfId="14380"/>
    <cellStyle name="20% - Accent5 12 2 4 3 3" xfId="18331"/>
    <cellStyle name="20% - Accent5 12 2 4 4" xfId="14378"/>
    <cellStyle name="20% - Accent5 12 2 4 5" xfId="18329"/>
    <cellStyle name="20% - Accent5 12 2 5" xfId="3125"/>
    <cellStyle name="20% - Accent5 12 2 5 2" xfId="14381"/>
    <cellStyle name="20% - Accent5 12 2 5 3" xfId="18332"/>
    <cellStyle name="20% - Accent5 12 2 6" xfId="3126"/>
    <cellStyle name="20% - Accent5 12 2 6 2" xfId="14382"/>
    <cellStyle name="20% - Accent5 12 2 6 3" xfId="18333"/>
    <cellStyle name="20% - Accent5 12 2 7" xfId="14371"/>
    <cellStyle name="20% - Accent5 12 2 8" xfId="18322"/>
    <cellStyle name="20% - Accent5 12 2_Volatility" xfId="3127"/>
    <cellStyle name="20% - Accent5 12 3" xfId="3128"/>
    <cellStyle name="20% - Accent5 12 3 2" xfId="3129"/>
    <cellStyle name="20% - Accent5 12 3 2 2" xfId="3130"/>
    <cellStyle name="20% - Accent5 12 3 2 2 2" xfId="14385"/>
    <cellStyle name="20% - Accent5 12 3 2 2 3" xfId="18336"/>
    <cellStyle name="20% - Accent5 12 3 2 3" xfId="3131"/>
    <cellStyle name="20% - Accent5 12 3 2 3 2" xfId="14386"/>
    <cellStyle name="20% - Accent5 12 3 2 3 3" xfId="18337"/>
    <cellStyle name="20% - Accent5 12 3 2 4" xfId="14384"/>
    <cellStyle name="20% - Accent5 12 3 2 5" xfId="18335"/>
    <cellStyle name="20% - Accent5 12 3 3" xfId="3132"/>
    <cellStyle name="20% - Accent5 12 3 3 2" xfId="3133"/>
    <cellStyle name="20% - Accent5 12 3 3 2 2" xfId="14388"/>
    <cellStyle name="20% - Accent5 12 3 3 2 3" xfId="18339"/>
    <cellStyle name="20% - Accent5 12 3 3 3" xfId="3134"/>
    <cellStyle name="20% - Accent5 12 3 3 3 2" xfId="14389"/>
    <cellStyle name="20% - Accent5 12 3 3 3 3" xfId="18340"/>
    <cellStyle name="20% - Accent5 12 3 3 4" xfId="14387"/>
    <cellStyle name="20% - Accent5 12 3 3 5" xfId="18338"/>
    <cellStyle name="20% - Accent5 12 3 4" xfId="3135"/>
    <cellStyle name="20% - Accent5 12 3 4 2" xfId="14390"/>
    <cellStyle name="20% - Accent5 12 3 4 3" xfId="18341"/>
    <cellStyle name="20% - Accent5 12 3 5" xfId="3136"/>
    <cellStyle name="20% - Accent5 12 3 5 2" xfId="14391"/>
    <cellStyle name="20% - Accent5 12 3 5 3" xfId="18342"/>
    <cellStyle name="20% - Accent5 12 3 6" xfId="14383"/>
    <cellStyle name="20% - Accent5 12 3 7" xfId="18334"/>
    <cellStyle name="20% - Accent5 12 3_Volatility" xfId="3137"/>
    <cellStyle name="20% - Accent5 12 4" xfId="3138"/>
    <cellStyle name="20% - Accent5 12 4 2" xfId="3139"/>
    <cellStyle name="20% - Accent5 12 4 2 2" xfId="14393"/>
    <cellStyle name="20% - Accent5 12 4 2 3" xfId="18344"/>
    <cellStyle name="20% - Accent5 12 4 3" xfId="3140"/>
    <cellStyle name="20% - Accent5 12 4 3 2" xfId="14394"/>
    <cellStyle name="20% - Accent5 12 4 3 3" xfId="18345"/>
    <cellStyle name="20% - Accent5 12 4 4" xfId="14392"/>
    <cellStyle name="20% - Accent5 12 4 5" xfId="18343"/>
    <cellStyle name="20% - Accent5 12 5" xfId="3141"/>
    <cellStyle name="20% - Accent5 12 5 2" xfId="3142"/>
    <cellStyle name="20% - Accent5 12 5 2 2" xfId="14396"/>
    <cellStyle name="20% - Accent5 12 5 2 3" xfId="18347"/>
    <cellStyle name="20% - Accent5 12 5 3" xfId="3143"/>
    <cellStyle name="20% - Accent5 12 5 3 2" xfId="14397"/>
    <cellStyle name="20% - Accent5 12 5 3 3" xfId="18348"/>
    <cellStyle name="20% - Accent5 12 5 4" xfId="14395"/>
    <cellStyle name="20% - Accent5 12 5 5" xfId="18346"/>
    <cellStyle name="20% - Accent5 12 6" xfId="3144"/>
    <cellStyle name="20% - Accent5 12 6 2" xfId="3145"/>
    <cellStyle name="20% - Accent5 12 6 2 2" xfId="14399"/>
    <cellStyle name="20% - Accent5 12 6 2 3" xfId="18350"/>
    <cellStyle name="20% - Accent5 12 6 3" xfId="3146"/>
    <cellStyle name="20% - Accent5 12 6 3 2" xfId="14400"/>
    <cellStyle name="20% - Accent5 12 6 3 3" xfId="18351"/>
    <cellStyle name="20% - Accent5 12 6 4" xfId="14398"/>
    <cellStyle name="20% - Accent5 12 6 5" xfId="18349"/>
    <cellStyle name="20% - Accent5 12 7" xfId="3147"/>
    <cellStyle name="20% - Accent5 12 7 2" xfId="14401"/>
    <cellStyle name="20% - Accent5 12 7 3" xfId="18352"/>
    <cellStyle name="20% - Accent5 12 8" xfId="3148"/>
    <cellStyle name="20% - Accent5 12 8 2" xfId="14402"/>
    <cellStyle name="20% - Accent5 12 8 3" xfId="18353"/>
    <cellStyle name="20% - Accent5 12 9" xfId="14370"/>
    <cellStyle name="20% - Accent5 12_Volatility" xfId="3149"/>
    <cellStyle name="20% - Accent5 13" xfId="3150"/>
    <cellStyle name="20% - Accent5 13 10" xfId="18354"/>
    <cellStyle name="20% - Accent5 13 2" xfId="3151"/>
    <cellStyle name="20% - Accent5 13 2 2" xfId="3152"/>
    <cellStyle name="20% - Accent5 13 2 2 2" xfId="3153"/>
    <cellStyle name="20% - Accent5 13 2 2 2 2" xfId="14406"/>
    <cellStyle name="20% - Accent5 13 2 2 2 3" xfId="18357"/>
    <cellStyle name="20% - Accent5 13 2 2 3" xfId="3154"/>
    <cellStyle name="20% - Accent5 13 2 2 3 2" xfId="14407"/>
    <cellStyle name="20% - Accent5 13 2 2 3 3" xfId="18358"/>
    <cellStyle name="20% - Accent5 13 2 2 4" xfId="14405"/>
    <cellStyle name="20% - Accent5 13 2 2 5" xfId="18356"/>
    <cellStyle name="20% - Accent5 13 2 3" xfId="3155"/>
    <cellStyle name="20% - Accent5 13 2 3 2" xfId="3156"/>
    <cellStyle name="20% - Accent5 13 2 3 2 2" xfId="14409"/>
    <cellStyle name="20% - Accent5 13 2 3 2 3" xfId="18360"/>
    <cellStyle name="20% - Accent5 13 2 3 3" xfId="3157"/>
    <cellStyle name="20% - Accent5 13 2 3 3 2" xfId="14410"/>
    <cellStyle name="20% - Accent5 13 2 3 3 3" xfId="18361"/>
    <cellStyle name="20% - Accent5 13 2 3 4" xfId="14408"/>
    <cellStyle name="20% - Accent5 13 2 3 5" xfId="18359"/>
    <cellStyle name="20% - Accent5 13 2 4" xfId="3158"/>
    <cellStyle name="20% - Accent5 13 2 4 2" xfId="3159"/>
    <cellStyle name="20% - Accent5 13 2 4 2 2" xfId="14412"/>
    <cellStyle name="20% - Accent5 13 2 4 2 3" xfId="18363"/>
    <cellStyle name="20% - Accent5 13 2 4 3" xfId="3160"/>
    <cellStyle name="20% - Accent5 13 2 4 3 2" xfId="14413"/>
    <cellStyle name="20% - Accent5 13 2 4 3 3" xfId="18364"/>
    <cellStyle name="20% - Accent5 13 2 4 4" xfId="14411"/>
    <cellStyle name="20% - Accent5 13 2 4 5" xfId="18362"/>
    <cellStyle name="20% - Accent5 13 2 5" xfId="3161"/>
    <cellStyle name="20% - Accent5 13 2 5 2" xfId="14414"/>
    <cellStyle name="20% - Accent5 13 2 5 3" xfId="18365"/>
    <cellStyle name="20% - Accent5 13 2 6" xfId="3162"/>
    <cellStyle name="20% - Accent5 13 2 6 2" xfId="14415"/>
    <cellStyle name="20% - Accent5 13 2 6 3" xfId="18366"/>
    <cellStyle name="20% - Accent5 13 2 7" xfId="14404"/>
    <cellStyle name="20% - Accent5 13 2 8" xfId="18355"/>
    <cellStyle name="20% - Accent5 13 2_Volatility" xfId="3163"/>
    <cellStyle name="20% - Accent5 13 3" xfId="3164"/>
    <cellStyle name="20% - Accent5 13 3 2" xfId="3165"/>
    <cellStyle name="20% - Accent5 13 3 2 2" xfId="3166"/>
    <cellStyle name="20% - Accent5 13 3 2 2 2" xfId="14418"/>
    <cellStyle name="20% - Accent5 13 3 2 2 3" xfId="18369"/>
    <cellStyle name="20% - Accent5 13 3 2 3" xfId="3167"/>
    <cellStyle name="20% - Accent5 13 3 2 3 2" xfId="14419"/>
    <cellStyle name="20% - Accent5 13 3 2 3 3" xfId="18370"/>
    <cellStyle name="20% - Accent5 13 3 2 4" xfId="14417"/>
    <cellStyle name="20% - Accent5 13 3 2 5" xfId="18368"/>
    <cellStyle name="20% - Accent5 13 3 3" xfId="3168"/>
    <cellStyle name="20% - Accent5 13 3 3 2" xfId="3169"/>
    <cellStyle name="20% - Accent5 13 3 3 2 2" xfId="14421"/>
    <cellStyle name="20% - Accent5 13 3 3 2 3" xfId="18372"/>
    <cellStyle name="20% - Accent5 13 3 3 3" xfId="3170"/>
    <cellStyle name="20% - Accent5 13 3 3 3 2" xfId="14422"/>
    <cellStyle name="20% - Accent5 13 3 3 3 3" xfId="18373"/>
    <cellStyle name="20% - Accent5 13 3 3 4" xfId="14420"/>
    <cellStyle name="20% - Accent5 13 3 3 5" xfId="18371"/>
    <cellStyle name="20% - Accent5 13 3 4" xfId="3171"/>
    <cellStyle name="20% - Accent5 13 3 4 2" xfId="14423"/>
    <cellStyle name="20% - Accent5 13 3 4 3" xfId="18374"/>
    <cellStyle name="20% - Accent5 13 3 5" xfId="3172"/>
    <cellStyle name="20% - Accent5 13 3 5 2" xfId="14424"/>
    <cellStyle name="20% - Accent5 13 3 5 3" xfId="18375"/>
    <cellStyle name="20% - Accent5 13 3 6" xfId="14416"/>
    <cellStyle name="20% - Accent5 13 3 7" xfId="18367"/>
    <cellStyle name="20% - Accent5 13 3_Volatility" xfId="3173"/>
    <cellStyle name="20% - Accent5 13 4" xfId="3174"/>
    <cellStyle name="20% - Accent5 13 4 2" xfId="3175"/>
    <cellStyle name="20% - Accent5 13 4 2 2" xfId="14426"/>
    <cellStyle name="20% - Accent5 13 4 2 3" xfId="18377"/>
    <cellStyle name="20% - Accent5 13 4 3" xfId="3176"/>
    <cellStyle name="20% - Accent5 13 4 3 2" xfId="14427"/>
    <cellStyle name="20% - Accent5 13 4 3 3" xfId="18378"/>
    <cellStyle name="20% - Accent5 13 4 4" xfId="14425"/>
    <cellStyle name="20% - Accent5 13 4 5" xfId="18376"/>
    <cellStyle name="20% - Accent5 13 5" xfId="3177"/>
    <cellStyle name="20% - Accent5 13 5 2" xfId="3178"/>
    <cellStyle name="20% - Accent5 13 5 2 2" xfId="14429"/>
    <cellStyle name="20% - Accent5 13 5 2 3" xfId="18380"/>
    <cellStyle name="20% - Accent5 13 5 3" xfId="3179"/>
    <cellStyle name="20% - Accent5 13 5 3 2" xfId="14430"/>
    <cellStyle name="20% - Accent5 13 5 3 3" xfId="18381"/>
    <cellStyle name="20% - Accent5 13 5 4" xfId="14428"/>
    <cellStyle name="20% - Accent5 13 5 5" xfId="18379"/>
    <cellStyle name="20% - Accent5 13 6" xfId="3180"/>
    <cellStyle name="20% - Accent5 13 6 2" xfId="3181"/>
    <cellStyle name="20% - Accent5 13 6 2 2" xfId="14432"/>
    <cellStyle name="20% - Accent5 13 6 2 3" xfId="18383"/>
    <cellStyle name="20% - Accent5 13 6 3" xfId="3182"/>
    <cellStyle name="20% - Accent5 13 6 3 2" xfId="14433"/>
    <cellStyle name="20% - Accent5 13 6 3 3" xfId="18384"/>
    <cellStyle name="20% - Accent5 13 6 4" xfId="14431"/>
    <cellStyle name="20% - Accent5 13 6 5" xfId="18382"/>
    <cellStyle name="20% - Accent5 13 7" xfId="3183"/>
    <cellStyle name="20% - Accent5 13 7 2" xfId="14434"/>
    <cellStyle name="20% - Accent5 13 7 3" xfId="18385"/>
    <cellStyle name="20% - Accent5 13 8" xfId="3184"/>
    <cellStyle name="20% - Accent5 13 8 2" xfId="14435"/>
    <cellStyle name="20% - Accent5 13 8 3" xfId="18386"/>
    <cellStyle name="20% - Accent5 13 9" xfId="14403"/>
    <cellStyle name="20% - Accent5 13_Volatility" xfId="3185"/>
    <cellStyle name="20% - Accent5 14" xfId="3186"/>
    <cellStyle name="20% - Accent5 14 10" xfId="18387"/>
    <cellStyle name="20% - Accent5 14 2" xfId="3187"/>
    <cellStyle name="20% - Accent5 14 2 2" xfId="3188"/>
    <cellStyle name="20% - Accent5 14 2 2 2" xfId="3189"/>
    <cellStyle name="20% - Accent5 14 2 2 2 2" xfId="14439"/>
    <cellStyle name="20% - Accent5 14 2 2 2 3" xfId="18390"/>
    <cellStyle name="20% - Accent5 14 2 2 3" xfId="3190"/>
    <cellStyle name="20% - Accent5 14 2 2 3 2" xfId="14440"/>
    <cellStyle name="20% - Accent5 14 2 2 3 3" xfId="18391"/>
    <cellStyle name="20% - Accent5 14 2 2 4" xfId="14438"/>
    <cellStyle name="20% - Accent5 14 2 2 5" xfId="18389"/>
    <cellStyle name="20% - Accent5 14 2 3" xfId="3191"/>
    <cellStyle name="20% - Accent5 14 2 3 2" xfId="3192"/>
    <cellStyle name="20% - Accent5 14 2 3 2 2" xfId="14442"/>
    <cellStyle name="20% - Accent5 14 2 3 2 3" xfId="18393"/>
    <cellStyle name="20% - Accent5 14 2 3 3" xfId="3193"/>
    <cellStyle name="20% - Accent5 14 2 3 3 2" xfId="14443"/>
    <cellStyle name="20% - Accent5 14 2 3 3 3" xfId="18394"/>
    <cellStyle name="20% - Accent5 14 2 3 4" xfId="14441"/>
    <cellStyle name="20% - Accent5 14 2 3 5" xfId="18392"/>
    <cellStyle name="20% - Accent5 14 2 4" xfId="3194"/>
    <cellStyle name="20% - Accent5 14 2 4 2" xfId="3195"/>
    <cellStyle name="20% - Accent5 14 2 4 2 2" xfId="14445"/>
    <cellStyle name="20% - Accent5 14 2 4 2 3" xfId="18396"/>
    <cellStyle name="20% - Accent5 14 2 4 3" xfId="3196"/>
    <cellStyle name="20% - Accent5 14 2 4 3 2" xfId="14446"/>
    <cellStyle name="20% - Accent5 14 2 4 3 3" xfId="18397"/>
    <cellStyle name="20% - Accent5 14 2 4 4" xfId="14444"/>
    <cellStyle name="20% - Accent5 14 2 4 5" xfId="18395"/>
    <cellStyle name="20% - Accent5 14 2 5" xfId="3197"/>
    <cellStyle name="20% - Accent5 14 2 5 2" xfId="14447"/>
    <cellStyle name="20% - Accent5 14 2 5 3" xfId="18398"/>
    <cellStyle name="20% - Accent5 14 2 6" xfId="3198"/>
    <cellStyle name="20% - Accent5 14 2 6 2" xfId="14448"/>
    <cellStyle name="20% - Accent5 14 2 6 3" xfId="18399"/>
    <cellStyle name="20% - Accent5 14 2 7" xfId="14437"/>
    <cellStyle name="20% - Accent5 14 2 8" xfId="18388"/>
    <cellStyle name="20% - Accent5 14 2_Volatility" xfId="3199"/>
    <cellStyle name="20% - Accent5 14 3" xfId="3200"/>
    <cellStyle name="20% - Accent5 14 3 2" xfId="3201"/>
    <cellStyle name="20% - Accent5 14 3 2 2" xfId="3202"/>
    <cellStyle name="20% - Accent5 14 3 2 2 2" xfId="14451"/>
    <cellStyle name="20% - Accent5 14 3 2 2 3" xfId="18402"/>
    <cellStyle name="20% - Accent5 14 3 2 3" xfId="3203"/>
    <cellStyle name="20% - Accent5 14 3 2 3 2" xfId="14452"/>
    <cellStyle name="20% - Accent5 14 3 2 3 3" xfId="18403"/>
    <cellStyle name="20% - Accent5 14 3 2 4" xfId="14450"/>
    <cellStyle name="20% - Accent5 14 3 2 5" xfId="18401"/>
    <cellStyle name="20% - Accent5 14 3 3" xfId="3204"/>
    <cellStyle name="20% - Accent5 14 3 3 2" xfId="3205"/>
    <cellStyle name="20% - Accent5 14 3 3 2 2" xfId="14454"/>
    <cellStyle name="20% - Accent5 14 3 3 2 3" xfId="18405"/>
    <cellStyle name="20% - Accent5 14 3 3 3" xfId="3206"/>
    <cellStyle name="20% - Accent5 14 3 3 3 2" xfId="14455"/>
    <cellStyle name="20% - Accent5 14 3 3 3 3" xfId="18406"/>
    <cellStyle name="20% - Accent5 14 3 3 4" xfId="14453"/>
    <cellStyle name="20% - Accent5 14 3 3 5" xfId="18404"/>
    <cellStyle name="20% - Accent5 14 3 4" xfId="3207"/>
    <cellStyle name="20% - Accent5 14 3 4 2" xfId="14456"/>
    <cellStyle name="20% - Accent5 14 3 4 3" xfId="18407"/>
    <cellStyle name="20% - Accent5 14 3 5" xfId="3208"/>
    <cellStyle name="20% - Accent5 14 3 5 2" xfId="14457"/>
    <cellStyle name="20% - Accent5 14 3 5 3" xfId="18408"/>
    <cellStyle name="20% - Accent5 14 3 6" xfId="14449"/>
    <cellStyle name="20% - Accent5 14 3 7" xfId="18400"/>
    <cellStyle name="20% - Accent5 14 3_Volatility" xfId="3209"/>
    <cellStyle name="20% - Accent5 14 4" xfId="3210"/>
    <cellStyle name="20% - Accent5 14 4 2" xfId="3211"/>
    <cellStyle name="20% - Accent5 14 4 2 2" xfId="14459"/>
    <cellStyle name="20% - Accent5 14 4 2 3" xfId="18410"/>
    <cellStyle name="20% - Accent5 14 4 3" xfId="3212"/>
    <cellStyle name="20% - Accent5 14 4 3 2" xfId="14460"/>
    <cellStyle name="20% - Accent5 14 4 3 3" xfId="18411"/>
    <cellStyle name="20% - Accent5 14 4 4" xfId="14458"/>
    <cellStyle name="20% - Accent5 14 4 5" xfId="18409"/>
    <cellStyle name="20% - Accent5 14 5" xfId="3213"/>
    <cellStyle name="20% - Accent5 14 5 2" xfId="3214"/>
    <cellStyle name="20% - Accent5 14 5 2 2" xfId="14462"/>
    <cellStyle name="20% - Accent5 14 5 2 3" xfId="18413"/>
    <cellStyle name="20% - Accent5 14 5 3" xfId="3215"/>
    <cellStyle name="20% - Accent5 14 5 3 2" xfId="14463"/>
    <cellStyle name="20% - Accent5 14 5 3 3" xfId="18414"/>
    <cellStyle name="20% - Accent5 14 5 4" xfId="14461"/>
    <cellStyle name="20% - Accent5 14 5 5" xfId="18412"/>
    <cellStyle name="20% - Accent5 14 6" xfId="3216"/>
    <cellStyle name="20% - Accent5 14 6 2" xfId="3217"/>
    <cellStyle name="20% - Accent5 14 6 2 2" xfId="14465"/>
    <cellStyle name="20% - Accent5 14 6 2 3" xfId="18416"/>
    <cellStyle name="20% - Accent5 14 6 3" xfId="3218"/>
    <cellStyle name="20% - Accent5 14 6 3 2" xfId="14466"/>
    <cellStyle name="20% - Accent5 14 6 3 3" xfId="18417"/>
    <cellStyle name="20% - Accent5 14 6 4" xfId="14464"/>
    <cellStyle name="20% - Accent5 14 6 5" xfId="18415"/>
    <cellStyle name="20% - Accent5 14 7" xfId="3219"/>
    <cellStyle name="20% - Accent5 14 7 2" xfId="14467"/>
    <cellStyle name="20% - Accent5 14 7 3" xfId="18418"/>
    <cellStyle name="20% - Accent5 14 8" xfId="3220"/>
    <cellStyle name="20% - Accent5 14 8 2" xfId="14468"/>
    <cellStyle name="20% - Accent5 14 8 3" xfId="18419"/>
    <cellStyle name="20% - Accent5 14 9" xfId="14436"/>
    <cellStyle name="20% - Accent5 14_Volatility" xfId="3221"/>
    <cellStyle name="20% - Accent5 15" xfId="3222"/>
    <cellStyle name="20% - Accent5 15 10" xfId="18420"/>
    <cellStyle name="20% - Accent5 15 2" xfId="3223"/>
    <cellStyle name="20% - Accent5 15 2 2" xfId="3224"/>
    <cellStyle name="20% - Accent5 15 2 2 2" xfId="3225"/>
    <cellStyle name="20% - Accent5 15 2 2 2 2" xfId="14472"/>
    <cellStyle name="20% - Accent5 15 2 2 2 3" xfId="18423"/>
    <cellStyle name="20% - Accent5 15 2 2 3" xfId="3226"/>
    <cellStyle name="20% - Accent5 15 2 2 3 2" xfId="14473"/>
    <cellStyle name="20% - Accent5 15 2 2 3 3" xfId="18424"/>
    <cellStyle name="20% - Accent5 15 2 2 4" xfId="14471"/>
    <cellStyle name="20% - Accent5 15 2 2 5" xfId="18422"/>
    <cellStyle name="20% - Accent5 15 2 3" xfId="3227"/>
    <cellStyle name="20% - Accent5 15 2 3 2" xfId="3228"/>
    <cellStyle name="20% - Accent5 15 2 3 2 2" xfId="14475"/>
    <cellStyle name="20% - Accent5 15 2 3 2 3" xfId="18426"/>
    <cellStyle name="20% - Accent5 15 2 3 3" xfId="3229"/>
    <cellStyle name="20% - Accent5 15 2 3 3 2" xfId="14476"/>
    <cellStyle name="20% - Accent5 15 2 3 3 3" xfId="18427"/>
    <cellStyle name="20% - Accent5 15 2 3 4" xfId="14474"/>
    <cellStyle name="20% - Accent5 15 2 3 5" xfId="18425"/>
    <cellStyle name="20% - Accent5 15 2 4" xfId="3230"/>
    <cellStyle name="20% - Accent5 15 2 4 2" xfId="3231"/>
    <cellStyle name="20% - Accent5 15 2 4 2 2" xfId="14478"/>
    <cellStyle name="20% - Accent5 15 2 4 2 3" xfId="18429"/>
    <cellStyle name="20% - Accent5 15 2 4 3" xfId="3232"/>
    <cellStyle name="20% - Accent5 15 2 4 3 2" xfId="14479"/>
    <cellStyle name="20% - Accent5 15 2 4 3 3" xfId="18430"/>
    <cellStyle name="20% - Accent5 15 2 4 4" xfId="14477"/>
    <cellStyle name="20% - Accent5 15 2 4 5" xfId="18428"/>
    <cellStyle name="20% - Accent5 15 2 5" xfId="3233"/>
    <cellStyle name="20% - Accent5 15 2 5 2" xfId="14480"/>
    <cellStyle name="20% - Accent5 15 2 5 3" xfId="18431"/>
    <cellStyle name="20% - Accent5 15 2 6" xfId="3234"/>
    <cellStyle name="20% - Accent5 15 2 6 2" xfId="14481"/>
    <cellStyle name="20% - Accent5 15 2 6 3" xfId="18432"/>
    <cellStyle name="20% - Accent5 15 2 7" xfId="14470"/>
    <cellStyle name="20% - Accent5 15 2 8" xfId="18421"/>
    <cellStyle name="20% - Accent5 15 2_Volatility" xfId="3235"/>
    <cellStyle name="20% - Accent5 15 3" xfId="3236"/>
    <cellStyle name="20% - Accent5 15 3 2" xfId="3237"/>
    <cellStyle name="20% - Accent5 15 3 2 2" xfId="3238"/>
    <cellStyle name="20% - Accent5 15 3 2 2 2" xfId="14484"/>
    <cellStyle name="20% - Accent5 15 3 2 2 3" xfId="18435"/>
    <cellStyle name="20% - Accent5 15 3 2 3" xfId="3239"/>
    <cellStyle name="20% - Accent5 15 3 2 3 2" xfId="14485"/>
    <cellStyle name="20% - Accent5 15 3 2 3 3" xfId="18436"/>
    <cellStyle name="20% - Accent5 15 3 2 4" xfId="14483"/>
    <cellStyle name="20% - Accent5 15 3 2 5" xfId="18434"/>
    <cellStyle name="20% - Accent5 15 3 3" xfId="3240"/>
    <cellStyle name="20% - Accent5 15 3 3 2" xfId="3241"/>
    <cellStyle name="20% - Accent5 15 3 3 2 2" xfId="14487"/>
    <cellStyle name="20% - Accent5 15 3 3 2 3" xfId="18438"/>
    <cellStyle name="20% - Accent5 15 3 3 3" xfId="3242"/>
    <cellStyle name="20% - Accent5 15 3 3 3 2" xfId="14488"/>
    <cellStyle name="20% - Accent5 15 3 3 3 3" xfId="18439"/>
    <cellStyle name="20% - Accent5 15 3 3 4" xfId="14486"/>
    <cellStyle name="20% - Accent5 15 3 3 5" xfId="18437"/>
    <cellStyle name="20% - Accent5 15 3 4" xfId="3243"/>
    <cellStyle name="20% - Accent5 15 3 4 2" xfId="14489"/>
    <cellStyle name="20% - Accent5 15 3 4 3" xfId="18440"/>
    <cellStyle name="20% - Accent5 15 3 5" xfId="3244"/>
    <cellStyle name="20% - Accent5 15 3 5 2" xfId="14490"/>
    <cellStyle name="20% - Accent5 15 3 5 3" xfId="18441"/>
    <cellStyle name="20% - Accent5 15 3 6" xfId="14482"/>
    <cellStyle name="20% - Accent5 15 3 7" xfId="18433"/>
    <cellStyle name="20% - Accent5 15 3_Volatility" xfId="3245"/>
    <cellStyle name="20% - Accent5 15 4" xfId="3246"/>
    <cellStyle name="20% - Accent5 15 4 2" xfId="3247"/>
    <cellStyle name="20% - Accent5 15 4 2 2" xfId="14492"/>
    <cellStyle name="20% - Accent5 15 4 2 3" xfId="18443"/>
    <cellStyle name="20% - Accent5 15 4 3" xfId="3248"/>
    <cellStyle name="20% - Accent5 15 4 3 2" xfId="14493"/>
    <cellStyle name="20% - Accent5 15 4 3 3" xfId="18444"/>
    <cellStyle name="20% - Accent5 15 4 4" xfId="14491"/>
    <cellStyle name="20% - Accent5 15 4 5" xfId="18442"/>
    <cellStyle name="20% - Accent5 15 5" xfId="3249"/>
    <cellStyle name="20% - Accent5 15 5 2" xfId="3250"/>
    <cellStyle name="20% - Accent5 15 5 2 2" xfId="14495"/>
    <cellStyle name="20% - Accent5 15 5 2 3" xfId="18446"/>
    <cellStyle name="20% - Accent5 15 5 3" xfId="3251"/>
    <cellStyle name="20% - Accent5 15 5 3 2" xfId="14496"/>
    <cellStyle name="20% - Accent5 15 5 3 3" xfId="18447"/>
    <cellStyle name="20% - Accent5 15 5 4" xfId="14494"/>
    <cellStyle name="20% - Accent5 15 5 5" xfId="18445"/>
    <cellStyle name="20% - Accent5 15 6" xfId="3252"/>
    <cellStyle name="20% - Accent5 15 6 2" xfId="3253"/>
    <cellStyle name="20% - Accent5 15 6 2 2" xfId="14498"/>
    <cellStyle name="20% - Accent5 15 6 2 3" xfId="18449"/>
    <cellStyle name="20% - Accent5 15 6 3" xfId="3254"/>
    <cellStyle name="20% - Accent5 15 6 3 2" xfId="14499"/>
    <cellStyle name="20% - Accent5 15 6 3 3" xfId="18450"/>
    <cellStyle name="20% - Accent5 15 6 4" xfId="14497"/>
    <cellStyle name="20% - Accent5 15 6 5" xfId="18448"/>
    <cellStyle name="20% - Accent5 15 7" xfId="3255"/>
    <cellStyle name="20% - Accent5 15 7 2" xfId="14500"/>
    <cellStyle name="20% - Accent5 15 7 3" xfId="18451"/>
    <cellStyle name="20% - Accent5 15 8" xfId="3256"/>
    <cellStyle name="20% - Accent5 15 8 2" xfId="14501"/>
    <cellStyle name="20% - Accent5 15 8 3" xfId="18452"/>
    <cellStyle name="20% - Accent5 15 9" xfId="14469"/>
    <cellStyle name="20% - Accent5 15_Volatility" xfId="3257"/>
    <cellStyle name="20% - Accent5 16" xfId="3258"/>
    <cellStyle name="20% - Accent5 16 2" xfId="14502"/>
    <cellStyle name="20% - Accent5 16 3" xfId="18453"/>
    <cellStyle name="20% - Accent5 17" xfId="3259"/>
    <cellStyle name="20% - Accent5 17 2" xfId="14503"/>
    <cellStyle name="20% - Accent5 17 3" xfId="18454"/>
    <cellStyle name="20% - Accent5 18" xfId="3260"/>
    <cellStyle name="20% - Accent5 18 2" xfId="14504"/>
    <cellStyle name="20% - Accent5 18 3" xfId="18455"/>
    <cellStyle name="20% - Accent5 19" xfId="3261"/>
    <cellStyle name="20% - Accent5 19 2" xfId="14505"/>
    <cellStyle name="20% - Accent5 19 3" xfId="18456"/>
    <cellStyle name="20% - Accent5 2" xfId="3262"/>
    <cellStyle name="20% - Accent5 2 10" xfId="18457"/>
    <cellStyle name="20% - Accent5 2 2" xfId="3263"/>
    <cellStyle name="20% - Accent5 2 2 2" xfId="3264"/>
    <cellStyle name="20% - Accent5 2 2 2 2" xfId="3265"/>
    <cellStyle name="20% - Accent5 2 2 2 2 2" xfId="14509"/>
    <cellStyle name="20% - Accent5 2 2 2 2 3" xfId="18460"/>
    <cellStyle name="20% - Accent5 2 2 2 3" xfId="3266"/>
    <cellStyle name="20% - Accent5 2 2 2 3 2" xfId="14510"/>
    <cellStyle name="20% - Accent5 2 2 2 3 3" xfId="18461"/>
    <cellStyle name="20% - Accent5 2 2 2 4" xfId="14508"/>
    <cellStyle name="20% - Accent5 2 2 2 5" xfId="18459"/>
    <cellStyle name="20% - Accent5 2 2 3" xfId="3267"/>
    <cellStyle name="20% - Accent5 2 2 3 2" xfId="3268"/>
    <cellStyle name="20% - Accent5 2 2 3 2 2" xfId="14512"/>
    <cellStyle name="20% - Accent5 2 2 3 2 3" xfId="18463"/>
    <cellStyle name="20% - Accent5 2 2 3 3" xfId="3269"/>
    <cellStyle name="20% - Accent5 2 2 3 3 2" xfId="14513"/>
    <cellStyle name="20% - Accent5 2 2 3 3 3" xfId="18464"/>
    <cellStyle name="20% - Accent5 2 2 3 4" xfId="14511"/>
    <cellStyle name="20% - Accent5 2 2 3 5" xfId="18462"/>
    <cellStyle name="20% - Accent5 2 2 4" xfId="3270"/>
    <cellStyle name="20% - Accent5 2 2 4 2" xfId="3271"/>
    <cellStyle name="20% - Accent5 2 2 4 2 2" xfId="14515"/>
    <cellStyle name="20% - Accent5 2 2 4 2 3" xfId="18466"/>
    <cellStyle name="20% - Accent5 2 2 4 3" xfId="3272"/>
    <cellStyle name="20% - Accent5 2 2 4 3 2" xfId="14516"/>
    <cellStyle name="20% - Accent5 2 2 4 3 3" xfId="18467"/>
    <cellStyle name="20% - Accent5 2 2 4 4" xfId="14514"/>
    <cellStyle name="20% - Accent5 2 2 4 5" xfId="18465"/>
    <cellStyle name="20% - Accent5 2 2 5" xfId="3273"/>
    <cellStyle name="20% - Accent5 2 2 5 2" xfId="14517"/>
    <cellStyle name="20% - Accent5 2 2 5 3" xfId="18468"/>
    <cellStyle name="20% - Accent5 2 2 6" xfId="3274"/>
    <cellStyle name="20% - Accent5 2 2 6 2" xfId="14518"/>
    <cellStyle name="20% - Accent5 2 2 6 3" xfId="18469"/>
    <cellStyle name="20% - Accent5 2 2 7" xfId="14507"/>
    <cellStyle name="20% - Accent5 2 2 8" xfId="18458"/>
    <cellStyle name="20% - Accent5 2 2_Volatility" xfId="3275"/>
    <cellStyle name="20% - Accent5 2 3" xfId="3276"/>
    <cellStyle name="20% - Accent5 2 3 2" xfId="3277"/>
    <cellStyle name="20% - Accent5 2 3 2 2" xfId="3278"/>
    <cellStyle name="20% - Accent5 2 3 2 2 2" xfId="14521"/>
    <cellStyle name="20% - Accent5 2 3 2 2 3" xfId="18472"/>
    <cellStyle name="20% - Accent5 2 3 2 3" xfId="3279"/>
    <cellStyle name="20% - Accent5 2 3 2 3 2" xfId="14522"/>
    <cellStyle name="20% - Accent5 2 3 2 3 3" xfId="18473"/>
    <cellStyle name="20% - Accent5 2 3 2 4" xfId="14520"/>
    <cellStyle name="20% - Accent5 2 3 2 5" xfId="18471"/>
    <cellStyle name="20% - Accent5 2 3 3" xfId="3280"/>
    <cellStyle name="20% - Accent5 2 3 3 2" xfId="3281"/>
    <cellStyle name="20% - Accent5 2 3 3 2 2" xfId="14524"/>
    <cellStyle name="20% - Accent5 2 3 3 2 3" xfId="18475"/>
    <cellStyle name="20% - Accent5 2 3 3 3" xfId="3282"/>
    <cellStyle name="20% - Accent5 2 3 3 3 2" xfId="14525"/>
    <cellStyle name="20% - Accent5 2 3 3 3 3" xfId="18476"/>
    <cellStyle name="20% - Accent5 2 3 3 4" xfId="14523"/>
    <cellStyle name="20% - Accent5 2 3 3 5" xfId="18474"/>
    <cellStyle name="20% - Accent5 2 3 4" xfId="3283"/>
    <cellStyle name="20% - Accent5 2 3 4 2" xfId="14526"/>
    <cellStyle name="20% - Accent5 2 3 4 3" xfId="18477"/>
    <cellStyle name="20% - Accent5 2 3 5" xfId="3284"/>
    <cellStyle name="20% - Accent5 2 3 5 2" xfId="14527"/>
    <cellStyle name="20% - Accent5 2 3 5 3" xfId="18478"/>
    <cellStyle name="20% - Accent5 2 3 6" xfId="14519"/>
    <cellStyle name="20% - Accent5 2 3 7" xfId="18470"/>
    <cellStyle name="20% - Accent5 2 3_Volatility" xfId="3285"/>
    <cellStyle name="20% - Accent5 2 4" xfId="3286"/>
    <cellStyle name="20% - Accent5 2 4 2" xfId="3287"/>
    <cellStyle name="20% - Accent5 2 4 2 2" xfId="14529"/>
    <cellStyle name="20% - Accent5 2 4 2 3" xfId="18480"/>
    <cellStyle name="20% - Accent5 2 4 3" xfId="3288"/>
    <cellStyle name="20% - Accent5 2 4 3 2" xfId="14530"/>
    <cellStyle name="20% - Accent5 2 4 3 3" xfId="18481"/>
    <cellStyle name="20% - Accent5 2 4 4" xfId="14528"/>
    <cellStyle name="20% - Accent5 2 4 5" xfId="18479"/>
    <cellStyle name="20% - Accent5 2 5" xfId="3289"/>
    <cellStyle name="20% - Accent5 2 5 2" xfId="3290"/>
    <cellStyle name="20% - Accent5 2 5 2 2" xfId="14532"/>
    <cellStyle name="20% - Accent5 2 5 2 3" xfId="18483"/>
    <cellStyle name="20% - Accent5 2 5 3" xfId="3291"/>
    <cellStyle name="20% - Accent5 2 5 3 2" xfId="14533"/>
    <cellStyle name="20% - Accent5 2 5 3 3" xfId="18484"/>
    <cellStyle name="20% - Accent5 2 5 4" xfId="14531"/>
    <cellStyle name="20% - Accent5 2 5 5" xfId="18482"/>
    <cellStyle name="20% - Accent5 2 6" xfId="3292"/>
    <cellStyle name="20% - Accent5 2 6 2" xfId="3293"/>
    <cellStyle name="20% - Accent5 2 6 2 2" xfId="14535"/>
    <cellStyle name="20% - Accent5 2 6 2 3" xfId="18486"/>
    <cellStyle name="20% - Accent5 2 6 3" xfId="3294"/>
    <cellStyle name="20% - Accent5 2 6 3 2" xfId="14536"/>
    <cellStyle name="20% - Accent5 2 6 3 3" xfId="18487"/>
    <cellStyle name="20% - Accent5 2 6 4" xfId="14534"/>
    <cellStyle name="20% - Accent5 2 6 5" xfId="18485"/>
    <cellStyle name="20% - Accent5 2 7" xfId="3295"/>
    <cellStyle name="20% - Accent5 2 7 2" xfId="14537"/>
    <cellStyle name="20% - Accent5 2 7 3" xfId="18488"/>
    <cellStyle name="20% - Accent5 2 8" xfId="3296"/>
    <cellStyle name="20% - Accent5 2 8 2" xfId="14538"/>
    <cellStyle name="20% - Accent5 2 8 3" xfId="18489"/>
    <cellStyle name="20% - Accent5 2 9" xfId="14506"/>
    <cellStyle name="20% - Accent5 2_Volatility" xfId="3297"/>
    <cellStyle name="20% - Accent5 3" xfId="3298"/>
    <cellStyle name="20% - Accent5 3 10" xfId="18490"/>
    <cellStyle name="20% - Accent5 3 2" xfId="3299"/>
    <cellStyle name="20% - Accent5 3 2 2" xfId="3300"/>
    <cellStyle name="20% - Accent5 3 2 2 2" xfId="3301"/>
    <cellStyle name="20% - Accent5 3 2 2 2 2" xfId="14542"/>
    <cellStyle name="20% - Accent5 3 2 2 2 3" xfId="18493"/>
    <cellStyle name="20% - Accent5 3 2 2 3" xfId="3302"/>
    <cellStyle name="20% - Accent5 3 2 2 3 2" xfId="14543"/>
    <cellStyle name="20% - Accent5 3 2 2 3 3" xfId="18494"/>
    <cellStyle name="20% - Accent5 3 2 2 4" xfId="14541"/>
    <cellStyle name="20% - Accent5 3 2 2 5" xfId="18492"/>
    <cellStyle name="20% - Accent5 3 2 3" xfId="3303"/>
    <cellStyle name="20% - Accent5 3 2 3 2" xfId="3304"/>
    <cellStyle name="20% - Accent5 3 2 3 2 2" xfId="14545"/>
    <cellStyle name="20% - Accent5 3 2 3 2 3" xfId="18496"/>
    <cellStyle name="20% - Accent5 3 2 3 3" xfId="3305"/>
    <cellStyle name="20% - Accent5 3 2 3 3 2" xfId="14546"/>
    <cellStyle name="20% - Accent5 3 2 3 3 3" xfId="18497"/>
    <cellStyle name="20% - Accent5 3 2 3 4" xfId="14544"/>
    <cellStyle name="20% - Accent5 3 2 3 5" xfId="18495"/>
    <cellStyle name="20% - Accent5 3 2 4" xfId="3306"/>
    <cellStyle name="20% - Accent5 3 2 4 2" xfId="3307"/>
    <cellStyle name="20% - Accent5 3 2 4 2 2" xfId="14548"/>
    <cellStyle name="20% - Accent5 3 2 4 2 3" xfId="18499"/>
    <cellStyle name="20% - Accent5 3 2 4 3" xfId="3308"/>
    <cellStyle name="20% - Accent5 3 2 4 3 2" xfId="14549"/>
    <cellStyle name="20% - Accent5 3 2 4 3 3" xfId="18500"/>
    <cellStyle name="20% - Accent5 3 2 4 4" xfId="14547"/>
    <cellStyle name="20% - Accent5 3 2 4 5" xfId="18498"/>
    <cellStyle name="20% - Accent5 3 2 5" xfId="3309"/>
    <cellStyle name="20% - Accent5 3 2 5 2" xfId="14550"/>
    <cellStyle name="20% - Accent5 3 2 5 3" xfId="18501"/>
    <cellStyle name="20% - Accent5 3 2 6" xfId="3310"/>
    <cellStyle name="20% - Accent5 3 2 6 2" xfId="14551"/>
    <cellStyle name="20% - Accent5 3 2 6 3" xfId="18502"/>
    <cellStyle name="20% - Accent5 3 2 7" xfId="14540"/>
    <cellStyle name="20% - Accent5 3 2 8" xfId="18491"/>
    <cellStyle name="20% - Accent5 3 2_Volatility" xfId="3311"/>
    <cellStyle name="20% - Accent5 3 3" xfId="3312"/>
    <cellStyle name="20% - Accent5 3 3 2" xfId="3313"/>
    <cellStyle name="20% - Accent5 3 3 2 2" xfId="3314"/>
    <cellStyle name="20% - Accent5 3 3 2 2 2" xfId="14554"/>
    <cellStyle name="20% - Accent5 3 3 2 2 3" xfId="18505"/>
    <cellStyle name="20% - Accent5 3 3 2 3" xfId="3315"/>
    <cellStyle name="20% - Accent5 3 3 2 3 2" xfId="14555"/>
    <cellStyle name="20% - Accent5 3 3 2 3 3" xfId="18506"/>
    <cellStyle name="20% - Accent5 3 3 2 4" xfId="14553"/>
    <cellStyle name="20% - Accent5 3 3 2 5" xfId="18504"/>
    <cellStyle name="20% - Accent5 3 3 3" xfId="3316"/>
    <cellStyle name="20% - Accent5 3 3 3 2" xfId="3317"/>
    <cellStyle name="20% - Accent5 3 3 3 2 2" xfId="14557"/>
    <cellStyle name="20% - Accent5 3 3 3 2 3" xfId="18508"/>
    <cellStyle name="20% - Accent5 3 3 3 3" xfId="3318"/>
    <cellStyle name="20% - Accent5 3 3 3 3 2" xfId="14558"/>
    <cellStyle name="20% - Accent5 3 3 3 3 3" xfId="18509"/>
    <cellStyle name="20% - Accent5 3 3 3 4" xfId="14556"/>
    <cellStyle name="20% - Accent5 3 3 3 5" xfId="18507"/>
    <cellStyle name="20% - Accent5 3 3 4" xfId="3319"/>
    <cellStyle name="20% - Accent5 3 3 4 2" xfId="14559"/>
    <cellStyle name="20% - Accent5 3 3 4 3" xfId="18510"/>
    <cellStyle name="20% - Accent5 3 3 5" xfId="3320"/>
    <cellStyle name="20% - Accent5 3 3 5 2" xfId="14560"/>
    <cellStyle name="20% - Accent5 3 3 5 3" xfId="18511"/>
    <cellStyle name="20% - Accent5 3 3 6" xfId="14552"/>
    <cellStyle name="20% - Accent5 3 3 7" xfId="18503"/>
    <cellStyle name="20% - Accent5 3 3_Volatility" xfId="3321"/>
    <cellStyle name="20% - Accent5 3 4" xfId="3322"/>
    <cellStyle name="20% - Accent5 3 4 2" xfId="3323"/>
    <cellStyle name="20% - Accent5 3 4 2 2" xfId="14562"/>
    <cellStyle name="20% - Accent5 3 4 2 3" xfId="18513"/>
    <cellStyle name="20% - Accent5 3 4 3" xfId="3324"/>
    <cellStyle name="20% - Accent5 3 4 3 2" xfId="14563"/>
    <cellStyle name="20% - Accent5 3 4 3 3" xfId="18514"/>
    <cellStyle name="20% - Accent5 3 4 4" xfId="14561"/>
    <cellStyle name="20% - Accent5 3 4 5" xfId="18512"/>
    <cellStyle name="20% - Accent5 3 5" xfId="3325"/>
    <cellStyle name="20% - Accent5 3 5 2" xfId="3326"/>
    <cellStyle name="20% - Accent5 3 5 2 2" xfId="14565"/>
    <cellStyle name="20% - Accent5 3 5 2 3" xfId="18516"/>
    <cellStyle name="20% - Accent5 3 5 3" xfId="3327"/>
    <cellStyle name="20% - Accent5 3 5 3 2" xfId="14566"/>
    <cellStyle name="20% - Accent5 3 5 3 3" xfId="18517"/>
    <cellStyle name="20% - Accent5 3 5 4" xfId="14564"/>
    <cellStyle name="20% - Accent5 3 5 5" xfId="18515"/>
    <cellStyle name="20% - Accent5 3 6" xfId="3328"/>
    <cellStyle name="20% - Accent5 3 6 2" xfId="3329"/>
    <cellStyle name="20% - Accent5 3 6 2 2" xfId="14568"/>
    <cellStyle name="20% - Accent5 3 6 2 3" xfId="18519"/>
    <cellStyle name="20% - Accent5 3 6 3" xfId="3330"/>
    <cellStyle name="20% - Accent5 3 6 3 2" xfId="14569"/>
    <cellStyle name="20% - Accent5 3 6 3 3" xfId="18520"/>
    <cellStyle name="20% - Accent5 3 6 4" xfId="14567"/>
    <cellStyle name="20% - Accent5 3 6 5" xfId="18518"/>
    <cellStyle name="20% - Accent5 3 7" xfId="3331"/>
    <cellStyle name="20% - Accent5 3 7 2" xfId="14570"/>
    <cellStyle name="20% - Accent5 3 7 3" xfId="18521"/>
    <cellStyle name="20% - Accent5 3 8" xfId="3332"/>
    <cellStyle name="20% - Accent5 3 8 2" xfId="14571"/>
    <cellStyle name="20% - Accent5 3 8 3" xfId="18522"/>
    <cellStyle name="20% - Accent5 3 9" xfId="14539"/>
    <cellStyle name="20% - Accent5 3_Volatility" xfId="3333"/>
    <cellStyle name="20% - Accent5 4" xfId="3334"/>
    <cellStyle name="20% - Accent5 4 10" xfId="18523"/>
    <cellStyle name="20% - Accent5 4 2" xfId="3335"/>
    <cellStyle name="20% - Accent5 4 2 2" xfId="3336"/>
    <cellStyle name="20% - Accent5 4 2 2 2" xfId="3337"/>
    <cellStyle name="20% - Accent5 4 2 2 2 2" xfId="14575"/>
    <cellStyle name="20% - Accent5 4 2 2 2 3" xfId="18526"/>
    <cellStyle name="20% - Accent5 4 2 2 3" xfId="3338"/>
    <cellStyle name="20% - Accent5 4 2 2 3 2" xfId="14576"/>
    <cellStyle name="20% - Accent5 4 2 2 3 3" xfId="18527"/>
    <cellStyle name="20% - Accent5 4 2 2 4" xfId="14574"/>
    <cellStyle name="20% - Accent5 4 2 2 5" xfId="18525"/>
    <cellStyle name="20% - Accent5 4 2 3" xfId="3339"/>
    <cellStyle name="20% - Accent5 4 2 3 2" xfId="3340"/>
    <cellStyle name="20% - Accent5 4 2 3 2 2" xfId="14578"/>
    <cellStyle name="20% - Accent5 4 2 3 2 3" xfId="18529"/>
    <cellStyle name="20% - Accent5 4 2 3 3" xfId="3341"/>
    <cellStyle name="20% - Accent5 4 2 3 3 2" xfId="14579"/>
    <cellStyle name="20% - Accent5 4 2 3 3 3" xfId="18530"/>
    <cellStyle name="20% - Accent5 4 2 3 4" xfId="14577"/>
    <cellStyle name="20% - Accent5 4 2 3 5" xfId="18528"/>
    <cellStyle name="20% - Accent5 4 2 4" xfId="3342"/>
    <cellStyle name="20% - Accent5 4 2 4 2" xfId="3343"/>
    <cellStyle name="20% - Accent5 4 2 4 2 2" xfId="14581"/>
    <cellStyle name="20% - Accent5 4 2 4 2 3" xfId="18532"/>
    <cellStyle name="20% - Accent5 4 2 4 3" xfId="3344"/>
    <cellStyle name="20% - Accent5 4 2 4 3 2" xfId="14582"/>
    <cellStyle name="20% - Accent5 4 2 4 3 3" xfId="18533"/>
    <cellStyle name="20% - Accent5 4 2 4 4" xfId="14580"/>
    <cellStyle name="20% - Accent5 4 2 4 5" xfId="18531"/>
    <cellStyle name="20% - Accent5 4 2 5" xfId="3345"/>
    <cellStyle name="20% - Accent5 4 2 5 2" xfId="14583"/>
    <cellStyle name="20% - Accent5 4 2 5 3" xfId="18534"/>
    <cellStyle name="20% - Accent5 4 2 6" xfId="3346"/>
    <cellStyle name="20% - Accent5 4 2 6 2" xfId="14584"/>
    <cellStyle name="20% - Accent5 4 2 6 3" xfId="18535"/>
    <cellStyle name="20% - Accent5 4 2 7" xfId="14573"/>
    <cellStyle name="20% - Accent5 4 2 8" xfId="18524"/>
    <cellStyle name="20% - Accent5 4 2_Volatility" xfId="3347"/>
    <cellStyle name="20% - Accent5 4 3" xfId="3348"/>
    <cellStyle name="20% - Accent5 4 3 2" xfId="3349"/>
    <cellStyle name="20% - Accent5 4 3 2 2" xfId="3350"/>
    <cellStyle name="20% - Accent5 4 3 2 2 2" xfId="14587"/>
    <cellStyle name="20% - Accent5 4 3 2 2 3" xfId="18538"/>
    <cellStyle name="20% - Accent5 4 3 2 3" xfId="3351"/>
    <cellStyle name="20% - Accent5 4 3 2 3 2" xfId="14588"/>
    <cellStyle name="20% - Accent5 4 3 2 3 3" xfId="18539"/>
    <cellStyle name="20% - Accent5 4 3 2 4" xfId="14586"/>
    <cellStyle name="20% - Accent5 4 3 2 5" xfId="18537"/>
    <cellStyle name="20% - Accent5 4 3 3" xfId="3352"/>
    <cellStyle name="20% - Accent5 4 3 3 2" xfId="3353"/>
    <cellStyle name="20% - Accent5 4 3 3 2 2" xfId="14590"/>
    <cellStyle name="20% - Accent5 4 3 3 2 3" xfId="18541"/>
    <cellStyle name="20% - Accent5 4 3 3 3" xfId="3354"/>
    <cellStyle name="20% - Accent5 4 3 3 3 2" xfId="14591"/>
    <cellStyle name="20% - Accent5 4 3 3 3 3" xfId="18542"/>
    <cellStyle name="20% - Accent5 4 3 3 4" xfId="14589"/>
    <cellStyle name="20% - Accent5 4 3 3 5" xfId="18540"/>
    <cellStyle name="20% - Accent5 4 3 4" xfId="3355"/>
    <cellStyle name="20% - Accent5 4 3 4 2" xfId="14592"/>
    <cellStyle name="20% - Accent5 4 3 4 3" xfId="18543"/>
    <cellStyle name="20% - Accent5 4 3 5" xfId="3356"/>
    <cellStyle name="20% - Accent5 4 3 5 2" xfId="14593"/>
    <cellStyle name="20% - Accent5 4 3 5 3" xfId="18544"/>
    <cellStyle name="20% - Accent5 4 3 6" xfId="14585"/>
    <cellStyle name="20% - Accent5 4 3 7" xfId="18536"/>
    <cellStyle name="20% - Accent5 4 3_Volatility" xfId="3357"/>
    <cellStyle name="20% - Accent5 4 4" xfId="3358"/>
    <cellStyle name="20% - Accent5 4 4 2" xfId="3359"/>
    <cellStyle name="20% - Accent5 4 4 2 2" xfId="14595"/>
    <cellStyle name="20% - Accent5 4 4 2 3" xfId="18546"/>
    <cellStyle name="20% - Accent5 4 4 3" xfId="3360"/>
    <cellStyle name="20% - Accent5 4 4 3 2" xfId="14596"/>
    <cellStyle name="20% - Accent5 4 4 3 3" xfId="18547"/>
    <cellStyle name="20% - Accent5 4 4 4" xfId="14594"/>
    <cellStyle name="20% - Accent5 4 4 5" xfId="18545"/>
    <cellStyle name="20% - Accent5 4 5" xfId="3361"/>
    <cellStyle name="20% - Accent5 4 5 2" xfId="3362"/>
    <cellStyle name="20% - Accent5 4 5 2 2" xfId="14598"/>
    <cellStyle name="20% - Accent5 4 5 2 3" xfId="18549"/>
    <cellStyle name="20% - Accent5 4 5 3" xfId="3363"/>
    <cellStyle name="20% - Accent5 4 5 3 2" xfId="14599"/>
    <cellStyle name="20% - Accent5 4 5 3 3" xfId="18550"/>
    <cellStyle name="20% - Accent5 4 5 4" xfId="14597"/>
    <cellStyle name="20% - Accent5 4 5 5" xfId="18548"/>
    <cellStyle name="20% - Accent5 4 6" xfId="3364"/>
    <cellStyle name="20% - Accent5 4 6 2" xfId="3365"/>
    <cellStyle name="20% - Accent5 4 6 2 2" xfId="14601"/>
    <cellStyle name="20% - Accent5 4 6 2 3" xfId="18552"/>
    <cellStyle name="20% - Accent5 4 6 3" xfId="3366"/>
    <cellStyle name="20% - Accent5 4 6 3 2" xfId="14602"/>
    <cellStyle name="20% - Accent5 4 6 3 3" xfId="18553"/>
    <cellStyle name="20% - Accent5 4 6 4" xfId="14600"/>
    <cellStyle name="20% - Accent5 4 6 5" xfId="18551"/>
    <cellStyle name="20% - Accent5 4 7" xfId="3367"/>
    <cellStyle name="20% - Accent5 4 7 2" xfId="14603"/>
    <cellStyle name="20% - Accent5 4 7 3" xfId="18554"/>
    <cellStyle name="20% - Accent5 4 8" xfId="3368"/>
    <cellStyle name="20% - Accent5 4 8 2" xfId="14604"/>
    <cellStyle name="20% - Accent5 4 8 3" xfId="18555"/>
    <cellStyle name="20% - Accent5 4 9" xfId="14572"/>
    <cellStyle name="20% - Accent5 4_Volatility" xfId="3369"/>
    <cellStyle name="20% - Accent5 5" xfId="3370"/>
    <cellStyle name="20% - Accent5 5 10" xfId="18556"/>
    <cellStyle name="20% - Accent5 5 2" xfId="3371"/>
    <cellStyle name="20% - Accent5 5 2 2" xfId="3372"/>
    <cellStyle name="20% - Accent5 5 2 2 2" xfId="3373"/>
    <cellStyle name="20% - Accent5 5 2 2 2 2" xfId="14608"/>
    <cellStyle name="20% - Accent5 5 2 2 2 3" xfId="18559"/>
    <cellStyle name="20% - Accent5 5 2 2 3" xfId="3374"/>
    <cellStyle name="20% - Accent5 5 2 2 3 2" xfId="14609"/>
    <cellStyle name="20% - Accent5 5 2 2 3 3" xfId="18560"/>
    <cellStyle name="20% - Accent5 5 2 2 4" xfId="14607"/>
    <cellStyle name="20% - Accent5 5 2 2 5" xfId="18558"/>
    <cellStyle name="20% - Accent5 5 2 3" xfId="3375"/>
    <cellStyle name="20% - Accent5 5 2 3 2" xfId="3376"/>
    <cellStyle name="20% - Accent5 5 2 3 2 2" xfId="14611"/>
    <cellStyle name="20% - Accent5 5 2 3 2 3" xfId="18562"/>
    <cellStyle name="20% - Accent5 5 2 3 3" xfId="3377"/>
    <cellStyle name="20% - Accent5 5 2 3 3 2" xfId="14612"/>
    <cellStyle name="20% - Accent5 5 2 3 3 3" xfId="18563"/>
    <cellStyle name="20% - Accent5 5 2 3 4" xfId="14610"/>
    <cellStyle name="20% - Accent5 5 2 3 5" xfId="18561"/>
    <cellStyle name="20% - Accent5 5 2 4" xfId="3378"/>
    <cellStyle name="20% - Accent5 5 2 4 2" xfId="3379"/>
    <cellStyle name="20% - Accent5 5 2 4 2 2" xfId="14614"/>
    <cellStyle name="20% - Accent5 5 2 4 2 3" xfId="18565"/>
    <cellStyle name="20% - Accent5 5 2 4 3" xfId="3380"/>
    <cellStyle name="20% - Accent5 5 2 4 3 2" xfId="14615"/>
    <cellStyle name="20% - Accent5 5 2 4 3 3" xfId="18566"/>
    <cellStyle name="20% - Accent5 5 2 4 4" xfId="14613"/>
    <cellStyle name="20% - Accent5 5 2 4 5" xfId="18564"/>
    <cellStyle name="20% - Accent5 5 2 5" xfId="3381"/>
    <cellStyle name="20% - Accent5 5 2 5 2" xfId="14616"/>
    <cellStyle name="20% - Accent5 5 2 5 3" xfId="18567"/>
    <cellStyle name="20% - Accent5 5 2 6" xfId="3382"/>
    <cellStyle name="20% - Accent5 5 2 6 2" xfId="14617"/>
    <cellStyle name="20% - Accent5 5 2 6 3" xfId="18568"/>
    <cellStyle name="20% - Accent5 5 2 7" xfId="14606"/>
    <cellStyle name="20% - Accent5 5 2 8" xfId="18557"/>
    <cellStyle name="20% - Accent5 5 2_Volatility" xfId="3383"/>
    <cellStyle name="20% - Accent5 5 3" xfId="3384"/>
    <cellStyle name="20% - Accent5 5 3 2" xfId="3385"/>
    <cellStyle name="20% - Accent5 5 3 2 2" xfId="3386"/>
    <cellStyle name="20% - Accent5 5 3 2 2 2" xfId="14620"/>
    <cellStyle name="20% - Accent5 5 3 2 2 3" xfId="18571"/>
    <cellStyle name="20% - Accent5 5 3 2 3" xfId="3387"/>
    <cellStyle name="20% - Accent5 5 3 2 3 2" xfId="14621"/>
    <cellStyle name="20% - Accent5 5 3 2 3 3" xfId="18572"/>
    <cellStyle name="20% - Accent5 5 3 2 4" xfId="14619"/>
    <cellStyle name="20% - Accent5 5 3 2 5" xfId="18570"/>
    <cellStyle name="20% - Accent5 5 3 3" xfId="3388"/>
    <cellStyle name="20% - Accent5 5 3 3 2" xfId="3389"/>
    <cellStyle name="20% - Accent5 5 3 3 2 2" xfId="14623"/>
    <cellStyle name="20% - Accent5 5 3 3 2 3" xfId="18574"/>
    <cellStyle name="20% - Accent5 5 3 3 3" xfId="3390"/>
    <cellStyle name="20% - Accent5 5 3 3 3 2" xfId="14624"/>
    <cellStyle name="20% - Accent5 5 3 3 3 3" xfId="18575"/>
    <cellStyle name="20% - Accent5 5 3 3 4" xfId="14622"/>
    <cellStyle name="20% - Accent5 5 3 3 5" xfId="18573"/>
    <cellStyle name="20% - Accent5 5 3 4" xfId="3391"/>
    <cellStyle name="20% - Accent5 5 3 4 2" xfId="14625"/>
    <cellStyle name="20% - Accent5 5 3 4 3" xfId="18576"/>
    <cellStyle name="20% - Accent5 5 3 5" xfId="3392"/>
    <cellStyle name="20% - Accent5 5 3 5 2" xfId="14626"/>
    <cellStyle name="20% - Accent5 5 3 5 3" xfId="18577"/>
    <cellStyle name="20% - Accent5 5 3 6" xfId="14618"/>
    <cellStyle name="20% - Accent5 5 3 7" xfId="18569"/>
    <cellStyle name="20% - Accent5 5 3_Volatility" xfId="3393"/>
    <cellStyle name="20% - Accent5 5 4" xfId="3394"/>
    <cellStyle name="20% - Accent5 5 4 2" xfId="3395"/>
    <cellStyle name="20% - Accent5 5 4 2 2" xfId="14628"/>
    <cellStyle name="20% - Accent5 5 4 2 3" xfId="18579"/>
    <cellStyle name="20% - Accent5 5 4 3" xfId="3396"/>
    <cellStyle name="20% - Accent5 5 4 3 2" xfId="14629"/>
    <cellStyle name="20% - Accent5 5 4 3 3" xfId="18580"/>
    <cellStyle name="20% - Accent5 5 4 4" xfId="14627"/>
    <cellStyle name="20% - Accent5 5 4 5" xfId="18578"/>
    <cellStyle name="20% - Accent5 5 5" xfId="3397"/>
    <cellStyle name="20% - Accent5 5 5 2" xfId="3398"/>
    <cellStyle name="20% - Accent5 5 5 2 2" xfId="14631"/>
    <cellStyle name="20% - Accent5 5 5 2 3" xfId="18582"/>
    <cellStyle name="20% - Accent5 5 5 3" xfId="3399"/>
    <cellStyle name="20% - Accent5 5 5 3 2" xfId="14632"/>
    <cellStyle name="20% - Accent5 5 5 3 3" xfId="18583"/>
    <cellStyle name="20% - Accent5 5 5 4" xfId="14630"/>
    <cellStyle name="20% - Accent5 5 5 5" xfId="18581"/>
    <cellStyle name="20% - Accent5 5 6" xfId="3400"/>
    <cellStyle name="20% - Accent5 5 6 2" xfId="3401"/>
    <cellStyle name="20% - Accent5 5 6 2 2" xfId="14634"/>
    <cellStyle name="20% - Accent5 5 6 2 3" xfId="18585"/>
    <cellStyle name="20% - Accent5 5 6 3" xfId="3402"/>
    <cellStyle name="20% - Accent5 5 6 3 2" xfId="14635"/>
    <cellStyle name="20% - Accent5 5 6 3 3" xfId="18586"/>
    <cellStyle name="20% - Accent5 5 6 4" xfId="14633"/>
    <cellStyle name="20% - Accent5 5 6 5" xfId="18584"/>
    <cellStyle name="20% - Accent5 5 7" xfId="3403"/>
    <cellStyle name="20% - Accent5 5 7 2" xfId="14636"/>
    <cellStyle name="20% - Accent5 5 7 3" xfId="18587"/>
    <cellStyle name="20% - Accent5 5 8" xfId="3404"/>
    <cellStyle name="20% - Accent5 5 8 2" xfId="14637"/>
    <cellStyle name="20% - Accent5 5 8 3" xfId="18588"/>
    <cellStyle name="20% - Accent5 5 9" xfId="14605"/>
    <cellStyle name="20% - Accent5 5_Volatility" xfId="3405"/>
    <cellStyle name="20% - Accent5 6" xfId="3406"/>
    <cellStyle name="20% - Accent5 6 10" xfId="18589"/>
    <cellStyle name="20% - Accent5 6 2" xfId="3407"/>
    <cellStyle name="20% - Accent5 6 2 2" xfId="3408"/>
    <cellStyle name="20% - Accent5 6 2 2 2" xfId="3409"/>
    <cellStyle name="20% - Accent5 6 2 2 2 2" xfId="14641"/>
    <cellStyle name="20% - Accent5 6 2 2 2 3" xfId="18592"/>
    <cellStyle name="20% - Accent5 6 2 2 3" xfId="3410"/>
    <cellStyle name="20% - Accent5 6 2 2 3 2" xfId="14642"/>
    <cellStyle name="20% - Accent5 6 2 2 3 3" xfId="18593"/>
    <cellStyle name="20% - Accent5 6 2 2 4" xfId="14640"/>
    <cellStyle name="20% - Accent5 6 2 2 5" xfId="18591"/>
    <cellStyle name="20% - Accent5 6 2 3" xfId="3411"/>
    <cellStyle name="20% - Accent5 6 2 3 2" xfId="3412"/>
    <cellStyle name="20% - Accent5 6 2 3 2 2" xfId="14644"/>
    <cellStyle name="20% - Accent5 6 2 3 2 3" xfId="18595"/>
    <cellStyle name="20% - Accent5 6 2 3 3" xfId="3413"/>
    <cellStyle name="20% - Accent5 6 2 3 3 2" xfId="14645"/>
    <cellStyle name="20% - Accent5 6 2 3 3 3" xfId="18596"/>
    <cellStyle name="20% - Accent5 6 2 3 4" xfId="14643"/>
    <cellStyle name="20% - Accent5 6 2 3 5" xfId="18594"/>
    <cellStyle name="20% - Accent5 6 2 4" xfId="3414"/>
    <cellStyle name="20% - Accent5 6 2 4 2" xfId="3415"/>
    <cellStyle name="20% - Accent5 6 2 4 2 2" xfId="14647"/>
    <cellStyle name="20% - Accent5 6 2 4 2 3" xfId="18598"/>
    <cellStyle name="20% - Accent5 6 2 4 3" xfId="3416"/>
    <cellStyle name="20% - Accent5 6 2 4 3 2" xfId="14648"/>
    <cellStyle name="20% - Accent5 6 2 4 3 3" xfId="18599"/>
    <cellStyle name="20% - Accent5 6 2 4 4" xfId="14646"/>
    <cellStyle name="20% - Accent5 6 2 4 5" xfId="18597"/>
    <cellStyle name="20% - Accent5 6 2 5" xfId="3417"/>
    <cellStyle name="20% - Accent5 6 2 5 2" xfId="14649"/>
    <cellStyle name="20% - Accent5 6 2 5 3" xfId="18600"/>
    <cellStyle name="20% - Accent5 6 2 6" xfId="3418"/>
    <cellStyle name="20% - Accent5 6 2 6 2" xfId="14650"/>
    <cellStyle name="20% - Accent5 6 2 6 3" xfId="18601"/>
    <cellStyle name="20% - Accent5 6 2 7" xfId="14639"/>
    <cellStyle name="20% - Accent5 6 2 8" xfId="18590"/>
    <cellStyle name="20% - Accent5 6 2_Volatility" xfId="3419"/>
    <cellStyle name="20% - Accent5 6 3" xfId="3420"/>
    <cellStyle name="20% - Accent5 6 3 2" xfId="3421"/>
    <cellStyle name="20% - Accent5 6 3 2 2" xfId="3422"/>
    <cellStyle name="20% - Accent5 6 3 2 2 2" xfId="14653"/>
    <cellStyle name="20% - Accent5 6 3 2 2 3" xfId="18604"/>
    <cellStyle name="20% - Accent5 6 3 2 3" xfId="3423"/>
    <cellStyle name="20% - Accent5 6 3 2 3 2" xfId="14654"/>
    <cellStyle name="20% - Accent5 6 3 2 3 3" xfId="18605"/>
    <cellStyle name="20% - Accent5 6 3 2 4" xfId="14652"/>
    <cellStyle name="20% - Accent5 6 3 2 5" xfId="18603"/>
    <cellStyle name="20% - Accent5 6 3 3" xfId="3424"/>
    <cellStyle name="20% - Accent5 6 3 3 2" xfId="3425"/>
    <cellStyle name="20% - Accent5 6 3 3 2 2" xfId="14656"/>
    <cellStyle name="20% - Accent5 6 3 3 2 3" xfId="18607"/>
    <cellStyle name="20% - Accent5 6 3 3 3" xfId="3426"/>
    <cellStyle name="20% - Accent5 6 3 3 3 2" xfId="14657"/>
    <cellStyle name="20% - Accent5 6 3 3 3 3" xfId="18608"/>
    <cellStyle name="20% - Accent5 6 3 3 4" xfId="14655"/>
    <cellStyle name="20% - Accent5 6 3 3 5" xfId="18606"/>
    <cellStyle name="20% - Accent5 6 3 4" xfId="3427"/>
    <cellStyle name="20% - Accent5 6 3 4 2" xfId="14658"/>
    <cellStyle name="20% - Accent5 6 3 4 3" xfId="18609"/>
    <cellStyle name="20% - Accent5 6 3 5" xfId="3428"/>
    <cellStyle name="20% - Accent5 6 3 5 2" xfId="14659"/>
    <cellStyle name="20% - Accent5 6 3 5 3" xfId="18610"/>
    <cellStyle name="20% - Accent5 6 3 6" xfId="14651"/>
    <cellStyle name="20% - Accent5 6 3 7" xfId="18602"/>
    <cellStyle name="20% - Accent5 6 3_Volatility" xfId="3429"/>
    <cellStyle name="20% - Accent5 6 4" xfId="3430"/>
    <cellStyle name="20% - Accent5 6 4 2" xfId="3431"/>
    <cellStyle name="20% - Accent5 6 4 2 2" xfId="14661"/>
    <cellStyle name="20% - Accent5 6 4 2 3" xfId="18612"/>
    <cellStyle name="20% - Accent5 6 4 3" xfId="3432"/>
    <cellStyle name="20% - Accent5 6 4 3 2" xfId="14662"/>
    <cellStyle name="20% - Accent5 6 4 3 3" xfId="18613"/>
    <cellStyle name="20% - Accent5 6 4 4" xfId="14660"/>
    <cellStyle name="20% - Accent5 6 4 5" xfId="18611"/>
    <cellStyle name="20% - Accent5 6 5" xfId="3433"/>
    <cellStyle name="20% - Accent5 6 5 2" xfId="3434"/>
    <cellStyle name="20% - Accent5 6 5 2 2" xfId="14664"/>
    <cellStyle name="20% - Accent5 6 5 2 3" xfId="18615"/>
    <cellStyle name="20% - Accent5 6 5 3" xfId="3435"/>
    <cellStyle name="20% - Accent5 6 5 3 2" xfId="14665"/>
    <cellStyle name="20% - Accent5 6 5 3 3" xfId="18616"/>
    <cellStyle name="20% - Accent5 6 5 4" xfId="14663"/>
    <cellStyle name="20% - Accent5 6 5 5" xfId="18614"/>
    <cellStyle name="20% - Accent5 6 6" xfId="3436"/>
    <cellStyle name="20% - Accent5 6 6 2" xfId="3437"/>
    <cellStyle name="20% - Accent5 6 6 2 2" xfId="14667"/>
    <cellStyle name="20% - Accent5 6 6 2 3" xfId="18618"/>
    <cellStyle name="20% - Accent5 6 6 3" xfId="3438"/>
    <cellStyle name="20% - Accent5 6 6 3 2" xfId="14668"/>
    <cellStyle name="20% - Accent5 6 6 3 3" xfId="18619"/>
    <cellStyle name="20% - Accent5 6 6 4" xfId="14666"/>
    <cellStyle name="20% - Accent5 6 6 5" xfId="18617"/>
    <cellStyle name="20% - Accent5 6 7" xfId="3439"/>
    <cellStyle name="20% - Accent5 6 7 2" xfId="14669"/>
    <cellStyle name="20% - Accent5 6 7 3" xfId="18620"/>
    <cellStyle name="20% - Accent5 6 8" xfId="3440"/>
    <cellStyle name="20% - Accent5 6 8 2" xfId="14670"/>
    <cellStyle name="20% - Accent5 6 8 3" xfId="18621"/>
    <cellStyle name="20% - Accent5 6 9" xfId="14638"/>
    <cellStyle name="20% - Accent5 6_Volatility" xfId="3441"/>
    <cellStyle name="20% - Accent5 7" xfId="3442"/>
    <cellStyle name="20% - Accent5 7 10" xfId="18622"/>
    <cellStyle name="20% - Accent5 7 2" xfId="3443"/>
    <cellStyle name="20% - Accent5 7 2 2" xfId="3444"/>
    <cellStyle name="20% - Accent5 7 2 2 2" xfId="3445"/>
    <cellStyle name="20% - Accent5 7 2 2 2 2" xfId="14674"/>
    <cellStyle name="20% - Accent5 7 2 2 2 3" xfId="18625"/>
    <cellStyle name="20% - Accent5 7 2 2 3" xfId="3446"/>
    <cellStyle name="20% - Accent5 7 2 2 3 2" xfId="14675"/>
    <cellStyle name="20% - Accent5 7 2 2 3 3" xfId="18626"/>
    <cellStyle name="20% - Accent5 7 2 2 4" xfId="14673"/>
    <cellStyle name="20% - Accent5 7 2 2 5" xfId="18624"/>
    <cellStyle name="20% - Accent5 7 2 3" xfId="3447"/>
    <cellStyle name="20% - Accent5 7 2 3 2" xfId="3448"/>
    <cellStyle name="20% - Accent5 7 2 3 2 2" xfId="14677"/>
    <cellStyle name="20% - Accent5 7 2 3 2 3" xfId="18628"/>
    <cellStyle name="20% - Accent5 7 2 3 3" xfId="3449"/>
    <cellStyle name="20% - Accent5 7 2 3 3 2" xfId="14678"/>
    <cellStyle name="20% - Accent5 7 2 3 3 3" xfId="18629"/>
    <cellStyle name="20% - Accent5 7 2 3 4" xfId="14676"/>
    <cellStyle name="20% - Accent5 7 2 3 5" xfId="18627"/>
    <cellStyle name="20% - Accent5 7 2 4" xfId="3450"/>
    <cellStyle name="20% - Accent5 7 2 4 2" xfId="3451"/>
    <cellStyle name="20% - Accent5 7 2 4 2 2" xfId="14680"/>
    <cellStyle name="20% - Accent5 7 2 4 2 3" xfId="18631"/>
    <cellStyle name="20% - Accent5 7 2 4 3" xfId="3452"/>
    <cellStyle name="20% - Accent5 7 2 4 3 2" xfId="14681"/>
    <cellStyle name="20% - Accent5 7 2 4 3 3" xfId="18632"/>
    <cellStyle name="20% - Accent5 7 2 4 4" xfId="14679"/>
    <cellStyle name="20% - Accent5 7 2 4 5" xfId="18630"/>
    <cellStyle name="20% - Accent5 7 2 5" xfId="3453"/>
    <cellStyle name="20% - Accent5 7 2 5 2" xfId="14682"/>
    <cellStyle name="20% - Accent5 7 2 5 3" xfId="18633"/>
    <cellStyle name="20% - Accent5 7 2 6" xfId="3454"/>
    <cellStyle name="20% - Accent5 7 2 6 2" xfId="14683"/>
    <cellStyle name="20% - Accent5 7 2 6 3" xfId="18634"/>
    <cellStyle name="20% - Accent5 7 2 7" xfId="14672"/>
    <cellStyle name="20% - Accent5 7 2 8" xfId="18623"/>
    <cellStyle name="20% - Accent5 7 2_Volatility" xfId="3455"/>
    <cellStyle name="20% - Accent5 7 3" xfId="3456"/>
    <cellStyle name="20% - Accent5 7 3 2" xfId="3457"/>
    <cellStyle name="20% - Accent5 7 3 2 2" xfId="3458"/>
    <cellStyle name="20% - Accent5 7 3 2 2 2" xfId="14686"/>
    <cellStyle name="20% - Accent5 7 3 2 2 3" xfId="18637"/>
    <cellStyle name="20% - Accent5 7 3 2 3" xfId="3459"/>
    <cellStyle name="20% - Accent5 7 3 2 3 2" xfId="14687"/>
    <cellStyle name="20% - Accent5 7 3 2 3 3" xfId="18638"/>
    <cellStyle name="20% - Accent5 7 3 2 4" xfId="14685"/>
    <cellStyle name="20% - Accent5 7 3 2 5" xfId="18636"/>
    <cellStyle name="20% - Accent5 7 3 3" xfId="3460"/>
    <cellStyle name="20% - Accent5 7 3 3 2" xfId="3461"/>
    <cellStyle name="20% - Accent5 7 3 3 2 2" xfId="14689"/>
    <cellStyle name="20% - Accent5 7 3 3 2 3" xfId="18640"/>
    <cellStyle name="20% - Accent5 7 3 3 3" xfId="3462"/>
    <cellStyle name="20% - Accent5 7 3 3 3 2" xfId="14690"/>
    <cellStyle name="20% - Accent5 7 3 3 3 3" xfId="18641"/>
    <cellStyle name="20% - Accent5 7 3 3 4" xfId="14688"/>
    <cellStyle name="20% - Accent5 7 3 3 5" xfId="18639"/>
    <cellStyle name="20% - Accent5 7 3 4" xfId="3463"/>
    <cellStyle name="20% - Accent5 7 3 4 2" xfId="14691"/>
    <cellStyle name="20% - Accent5 7 3 4 3" xfId="18642"/>
    <cellStyle name="20% - Accent5 7 3 5" xfId="3464"/>
    <cellStyle name="20% - Accent5 7 3 5 2" xfId="14692"/>
    <cellStyle name="20% - Accent5 7 3 5 3" xfId="18643"/>
    <cellStyle name="20% - Accent5 7 3 6" xfId="14684"/>
    <cellStyle name="20% - Accent5 7 3 7" xfId="18635"/>
    <cellStyle name="20% - Accent5 7 3_Volatility" xfId="3465"/>
    <cellStyle name="20% - Accent5 7 4" xfId="3466"/>
    <cellStyle name="20% - Accent5 7 4 2" xfId="3467"/>
    <cellStyle name="20% - Accent5 7 4 2 2" xfId="14694"/>
    <cellStyle name="20% - Accent5 7 4 2 3" xfId="18645"/>
    <cellStyle name="20% - Accent5 7 4 3" xfId="3468"/>
    <cellStyle name="20% - Accent5 7 4 3 2" xfId="14695"/>
    <cellStyle name="20% - Accent5 7 4 3 3" xfId="18646"/>
    <cellStyle name="20% - Accent5 7 4 4" xfId="14693"/>
    <cellStyle name="20% - Accent5 7 4 5" xfId="18644"/>
    <cellStyle name="20% - Accent5 7 5" xfId="3469"/>
    <cellStyle name="20% - Accent5 7 5 2" xfId="3470"/>
    <cellStyle name="20% - Accent5 7 5 2 2" xfId="14697"/>
    <cellStyle name="20% - Accent5 7 5 2 3" xfId="18648"/>
    <cellStyle name="20% - Accent5 7 5 3" xfId="3471"/>
    <cellStyle name="20% - Accent5 7 5 3 2" xfId="14698"/>
    <cellStyle name="20% - Accent5 7 5 3 3" xfId="18649"/>
    <cellStyle name="20% - Accent5 7 5 4" xfId="14696"/>
    <cellStyle name="20% - Accent5 7 5 5" xfId="18647"/>
    <cellStyle name="20% - Accent5 7 6" xfId="3472"/>
    <cellStyle name="20% - Accent5 7 6 2" xfId="3473"/>
    <cellStyle name="20% - Accent5 7 6 2 2" xfId="14700"/>
    <cellStyle name="20% - Accent5 7 6 2 3" xfId="18651"/>
    <cellStyle name="20% - Accent5 7 6 3" xfId="3474"/>
    <cellStyle name="20% - Accent5 7 6 3 2" xfId="14701"/>
    <cellStyle name="20% - Accent5 7 6 3 3" xfId="18652"/>
    <cellStyle name="20% - Accent5 7 6 4" xfId="14699"/>
    <cellStyle name="20% - Accent5 7 6 5" xfId="18650"/>
    <cellStyle name="20% - Accent5 7 7" xfId="3475"/>
    <cellStyle name="20% - Accent5 7 7 2" xfId="14702"/>
    <cellStyle name="20% - Accent5 7 7 3" xfId="18653"/>
    <cellStyle name="20% - Accent5 7 8" xfId="3476"/>
    <cellStyle name="20% - Accent5 7 8 2" xfId="14703"/>
    <cellStyle name="20% - Accent5 7 8 3" xfId="18654"/>
    <cellStyle name="20% - Accent5 7 9" xfId="14671"/>
    <cellStyle name="20% - Accent5 7_Volatility" xfId="3477"/>
    <cellStyle name="20% - Accent5 8" xfId="3478"/>
    <cellStyle name="20% - Accent5 8 10" xfId="18655"/>
    <cellStyle name="20% - Accent5 8 2" xfId="3479"/>
    <cellStyle name="20% - Accent5 8 2 2" xfId="3480"/>
    <cellStyle name="20% - Accent5 8 2 2 2" xfId="3481"/>
    <cellStyle name="20% - Accent5 8 2 2 2 2" xfId="14707"/>
    <cellStyle name="20% - Accent5 8 2 2 2 3" xfId="18658"/>
    <cellStyle name="20% - Accent5 8 2 2 3" xfId="3482"/>
    <cellStyle name="20% - Accent5 8 2 2 3 2" xfId="14708"/>
    <cellStyle name="20% - Accent5 8 2 2 3 3" xfId="18659"/>
    <cellStyle name="20% - Accent5 8 2 2 4" xfId="14706"/>
    <cellStyle name="20% - Accent5 8 2 2 5" xfId="18657"/>
    <cellStyle name="20% - Accent5 8 2 3" xfId="3483"/>
    <cellStyle name="20% - Accent5 8 2 3 2" xfId="3484"/>
    <cellStyle name="20% - Accent5 8 2 3 2 2" xfId="14710"/>
    <cellStyle name="20% - Accent5 8 2 3 2 3" xfId="18661"/>
    <cellStyle name="20% - Accent5 8 2 3 3" xfId="3485"/>
    <cellStyle name="20% - Accent5 8 2 3 3 2" xfId="14711"/>
    <cellStyle name="20% - Accent5 8 2 3 3 3" xfId="18662"/>
    <cellStyle name="20% - Accent5 8 2 3 4" xfId="14709"/>
    <cellStyle name="20% - Accent5 8 2 3 5" xfId="18660"/>
    <cellStyle name="20% - Accent5 8 2 4" xfId="3486"/>
    <cellStyle name="20% - Accent5 8 2 4 2" xfId="3487"/>
    <cellStyle name="20% - Accent5 8 2 4 2 2" xfId="14713"/>
    <cellStyle name="20% - Accent5 8 2 4 2 3" xfId="18664"/>
    <cellStyle name="20% - Accent5 8 2 4 3" xfId="3488"/>
    <cellStyle name="20% - Accent5 8 2 4 3 2" xfId="14714"/>
    <cellStyle name="20% - Accent5 8 2 4 3 3" xfId="18665"/>
    <cellStyle name="20% - Accent5 8 2 4 4" xfId="14712"/>
    <cellStyle name="20% - Accent5 8 2 4 5" xfId="18663"/>
    <cellStyle name="20% - Accent5 8 2 5" xfId="3489"/>
    <cellStyle name="20% - Accent5 8 2 5 2" xfId="14715"/>
    <cellStyle name="20% - Accent5 8 2 5 3" xfId="18666"/>
    <cellStyle name="20% - Accent5 8 2 6" xfId="3490"/>
    <cellStyle name="20% - Accent5 8 2 6 2" xfId="14716"/>
    <cellStyle name="20% - Accent5 8 2 6 3" xfId="18667"/>
    <cellStyle name="20% - Accent5 8 2 7" xfId="14705"/>
    <cellStyle name="20% - Accent5 8 2 8" xfId="18656"/>
    <cellStyle name="20% - Accent5 8 2_Volatility" xfId="3491"/>
    <cellStyle name="20% - Accent5 8 3" xfId="3492"/>
    <cellStyle name="20% - Accent5 8 3 2" xfId="3493"/>
    <cellStyle name="20% - Accent5 8 3 2 2" xfId="3494"/>
    <cellStyle name="20% - Accent5 8 3 2 2 2" xfId="14719"/>
    <cellStyle name="20% - Accent5 8 3 2 2 3" xfId="18670"/>
    <cellStyle name="20% - Accent5 8 3 2 3" xfId="3495"/>
    <cellStyle name="20% - Accent5 8 3 2 3 2" xfId="14720"/>
    <cellStyle name="20% - Accent5 8 3 2 3 3" xfId="18671"/>
    <cellStyle name="20% - Accent5 8 3 2 4" xfId="14718"/>
    <cellStyle name="20% - Accent5 8 3 2 5" xfId="18669"/>
    <cellStyle name="20% - Accent5 8 3 3" xfId="3496"/>
    <cellStyle name="20% - Accent5 8 3 3 2" xfId="3497"/>
    <cellStyle name="20% - Accent5 8 3 3 2 2" xfId="14722"/>
    <cellStyle name="20% - Accent5 8 3 3 2 3" xfId="18673"/>
    <cellStyle name="20% - Accent5 8 3 3 3" xfId="3498"/>
    <cellStyle name="20% - Accent5 8 3 3 3 2" xfId="14723"/>
    <cellStyle name="20% - Accent5 8 3 3 3 3" xfId="18674"/>
    <cellStyle name="20% - Accent5 8 3 3 4" xfId="14721"/>
    <cellStyle name="20% - Accent5 8 3 3 5" xfId="18672"/>
    <cellStyle name="20% - Accent5 8 3 4" xfId="3499"/>
    <cellStyle name="20% - Accent5 8 3 4 2" xfId="14724"/>
    <cellStyle name="20% - Accent5 8 3 4 3" xfId="18675"/>
    <cellStyle name="20% - Accent5 8 3 5" xfId="3500"/>
    <cellStyle name="20% - Accent5 8 3 5 2" xfId="14725"/>
    <cellStyle name="20% - Accent5 8 3 5 3" xfId="18676"/>
    <cellStyle name="20% - Accent5 8 3 6" xfId="14717"/>
    <cellStyle name="20% - Accent5 8 3 7" xfId="18668"/>
    <cellStyle name="20% - Accent5 8 3_Volatility" xfId="3501"/>
    <cellStyle name="20% - Accent5 8 4" xfId="3502"/>
    <cellStyle name="20% - Accent5 8 4 2" xfId="3503"/>
    <cellStyle name="20% - Accent5 8 4 2 2" xfId="14727"/>
    <cellStyle name="20% - Accent5 8 4 2 3" xfId="18678"/>
    <cellStyle name="20% - Accent5 8 4 3" xfId="3504"/>
    <cellStyle name="20% - Accent5 8 4 3 2" xfId="14728"/>
    <cellStyle name="20% - Accent5 8 4 3 3" xfId="18679"/>
    <cellStyle name="20% - Accent5 8 4 4" xfId="14726"/>
    <cellStyle name="20% - Accent5 8 4 5" xfId="18677"/>
    <cellStyle name="20% - Accent5 8 5" xfId="3505"/>
    <cellStyle name="20% - Accent5 8 5 2" xfId="3506"/>
    <cellStyle name="20% - Accent5 8 5 2 2" xfId="14730"/>
    <cellStyle name="20% - Accent5 8 5 2 3" xfId="18681"/>
    <cellStyle name="20% - Accent5 8 5 3" xfId="3507"/>
    <cellStyle name="20% - Accent5 8 5 3 2" xfId="14731"/>
    <cellStyle name="20% - Accent5 8 5 3 3" xfId="18682"/>
    <cellStyle name="20% - Accent5 8 5 4" xfId="14729"/>
    <cellStyle name="20% - Accent5 8 5 5" xfId="18680"/>
    <cellStyle name="20% - Accent5 8 6" xfId="3508"/>
    <cellStyle name="20% - Accent5 8 6 2" xfId="3509"/>
    <cellStyle name="20% - Accent5 8 6 2 2" xfId="14733"/>
    <cellStyle name="20% - Accent5 8 6 2 3" xfId="18684"/>
    <cellStyle name="20% - Accent5 8 6 3" xfId="3510"/>
    <cellStyle name="20% - Accent5 8 6 3 2" xfId="14734"/>
    <cellStyle name="20% - Accent5 8 6 3 3" xfId="18685"/>
    <cellStyle name="20% - Accent5 8 6 4" xfId="14732"/>
    <cellStyle name="20% - Accent5 8 6 5" xfId="18683"/>
    <cellStyle name="20% - Accent5 8 7" xfId="3511"/>
    <cellStyle name="20% - Accent5 8 7 2" xfId="14735"/>
    <cellStyle name="20% - Accent5 8 7 3" xfId="18686"/>
    <cellStyle name="20% - Accent5 8 8" xfId="3512"/>
    <cellStyle name="20% - Accent5 8 8 2" xfId="14736"/>
    <cellStyle name="20% - Accent5 8 8 3" xfId="18687"/>
    <cellStyle name="20% - Accent5 8 9" xfId="14704"/>
    <cellStyle name="20% - Accent5 8_Volatility" xfId="3513"/>
    <cellStyle name="20% - Accent5 9" xfId="3514"/>
    <cellStyle name="20% - Accent5 9 10" xfId="18688"/>
    <cellStyle name="20% - Accent5 9 2" xfId="3515"/>
    <cellStyle name="20% - Accent5 9 2 2" xfId="3516"/>
    <cellStyle name="20% - Accent5 9 2 2 2" xfId="3517"/>
    <cellStyle name="20% - Accent5 9 2 2 2 2" xfId="14740"/>
    <cellStyle name="20% - Accent5 9 2 2 2 3" xfId="18691"/>
    <cellStyle name="20% - Accent5 9 2 2 3" xfId="3518"/>
    <cellStyle name="20% - Accent5 9 2 2 3 2" xfId="14741"/>
    <cellStyle name="20% - Accent5 9 2 2 3 3" xfId="18692"/>
    <cellStyle name="20% - Accent5 9 2 2 4" xfId="14739"/>
    <cellStyle name="20% - Accent5 9 2 2 5" xfId="18690"/>
    <cellStyle name="20% - Accent5 9 2 3" xfId="3519"/>
    <cellStyle name="20% - Accent5 9 2 3 2" xfId="3520"/>
    <cellStyle name="20% - Accent5 9 2 3 2 2" xfId="14743"/>
    <cellStyle name="20% - Accent5 9 2 3 2 3" xfId="18694"/>
    <cellStyle name="20% - Accent5 9 2 3 3" xfId="3521"/>
    <cellStyle name="20% - Accent5 9 2 3 3 2" xfId="14744"/>
    <cellStyle name="20% - Accent5 9 2 3 3 3" xfId="18695"/>
    <cellStyle name="20% - Accent5 9 2 3 4" xfId="14742"/>
    <cellStyle name="20% - Accent5 9 2 3 5" xfId="18693"/>
    <cellStyle name="20% - Accent5 9 2 4" xfId="3522"/>
    <cellStyle name="20% - Accent5 9 2 4 2" xfId="3523"/>
    <cellStyle name="20% - Accent5 9 2 4 2 2" xfId="14746"/>
    <cellStyle name="20% - Accent5 9 2 4 2 3" xfId="18697"/>
    <cellStyle name="20% - Accent5 9 2 4 3" xfId="3524"/>
    <cellStyle name="20% - Accent5 9 2 4 3 2" xfId="14747"/>
    <cellStyle name="20% - Accent5 9 2 4 3 3" xfId="18698"/>
    <cellStyle name="20% - Accent5 9 2 4 4" xfId="14745"/>
    <cellStyle name="20% - Accent5 9 2 4 5" xfId="18696"/>
    <cellStyle name="20% - Accent5 9 2 5" xfId="3525"/>
    <cellStyle name="20% - Accent5 9 2 5 2" xfId="14748"/>
    <cellStyle name="20% - Accent5 9 2 5 3" xfId="18699"/>
    <cellStyle name="20% - Accent5 9 2 6" xfId="3526"/>
    <cellStyle name="20% - Accent5 9 2 6 2" xfId="14749"/>
    <cellStyle name="20% - Accent5 9 2 6 3" xfId="18700"/>
    <cellStyle name="20% - Accent5 9 2 7" xfId="14738"/>
    <cellStyle name="20% - Accent5 9 2 8" xfId="18689"/>
    <cellStyle name="20% - Accent5 9 2_Volatility" xfId="3527"/>
    <cellStyle name="20% - Accent5 9 3" xfId="3528"/>
    <cellStyle name="20% - Accent5 9 3 2" xfId="3529"/>
    <cellStyle name="20% - Accent5 9 3 2 2" xfId="3530"/>
    <cellStyle name="20% - Accent5 9 3 2 2 2" xfId="14752"/>
    <cellStyle name="20% - Accent5 9 3 2 2 3" xfId="18703"/>
    <cellStyle name="20% - Accent5 9 3 2 3" xfId="3531"/>
    <cellStyle name="20% - Accent5 9 3 2 3 2" xfId="14753"/>
    <cellStyle name="20% - Accent5 9 3 2 3 3" xfId="18704"/>
    <cellStyle name="20% - Accent5 9 3 2 4" xfId="14751"/>
    <cellStyle name="20% - Accent5 9 3 2 5" xfId="18702"/>
    <cellStyle name="20% - Accent5 9 3 3" xfId="3532"/>
    <cellStyle name="20% - Accent5 9 3 3 2" xfId="3533"/>
    <cellStyle name="20% - Accent5 9 3 3 2 2" xfId="14755"/>
    <cellStyle name="20% - Accent5 9 3 3 2 3" xfId="18706"/>
    <cellStyle name="20% - Accent5 9 3 3 3" xfId="3534"/>
    <cellStyle name="20% - Accent5 9 3 3 3 2" xfId="14756"/>
    <cellStyle name="20% - Accent5 9 3 3 3 3" xfId="18707"/>
    <cellStyle name="20% - Accent5 9 3 3 4" xfId="14754"/>
    <cellStyle name="20% - Accent5 9 3 3 5" xfId="18705"/>
    <cellStyle name="20% - Accent5 9 3 4" xfId="3535"/>
    <cellStyle name="20% - Accent5 9 3 4 2" xfId="14757"/>
    <cellStyle name="20% - Accent5 9 3 4 3" xfId="18708"/>
    <cellStyle name="20% - Accent5 9 3 5" xfId="3536"/>
    <cellStyle name="20% - Accent5 9 3 5 2" xfId="14758"/>
    <cellStyle name="20% - Accent5 9 3 5 3" xfId="18709"/>
    <cellStyle name="20% - Accent5 9 3 6" xfId="14750"/>
    <cellStyle name="20% - Accent5 9 3 7" xfId="18701"/>
    <cellStyle name="20% - Accent5 9 3_Volatility" xfId="3537"/>
    <cellStyle name="20% - Accent5 9 4" xfId="3538"/>
    <cellStyle name="20% - Accent5 9 4 2" xfId="3539"/>
    <cellStyle name="20% - Accent5 9 4 2 2" xfId="14760"/>
    <cellStyle name="20% - Accent5 9 4 2 3" xfId="18711"/>
    <cellStyle name="20% - Accent5 9 4 3" xfId="3540"/>
    <cellStyle name="20% - Accent5 9 4 3 2" xfId="14761"/>
    <cellStyle name="20% - Accent5 9 4 3 3" xfId="18712"/>
    <cellStyle name="20% - Accent5 9 4 4" xfId="14759"/>
    <cellStyle name="20% - Accent5 9 4 5" xfId="18710"/>
    <cellStyle name="20% - Accent5 9 5" xfId="3541"/>
    <cellStyle name="20% - Accent5 9 5 2" xfId="3542"/>
    <cellStyle name="20% - Accent5 9 5 2 2" xfId="14763"/>
    <cellStyle name="20% - Accent5 9 5 2 3" xfId="18714"/>
    <cellStyle name="20% - Accent5 9 5 3" xfId="3543"/>
    <cellStyle name="20% - Accent5 9 5 3 2" xfId="14764"/>
    <cellStyle name="20% - Accent5 9 5 3 3" xfId="18715"/>
    <cellStyle name="20% - Accent5 9 5 4" xfId="14762"/>
    <cellStyle name="20% - Accent5 9 5 5" xfId="18713"/>
    <cellStyle name="20% - Accent5 9 6" xfId="3544"/>
    <cellStyle name="20% - Accent5 9 6 2" xfId="3545"/>
    <cellStyle name="20% - Accent5 9 6 2 2" xfId="14766"/>
    <cellStyle name="20% - Accent5 9 6 2 3" xfId="18717"/>
    <cellStyle name="20% - Accent5 9 6 3" xfId="3546"/>
    <cellStyle name="20% - Accent5 9 6 3 2" xfId="14767"/>
    <cellStyle name="20% - Accent5 9 6 3 3" xfId="18718"/>
    <cellStyle name="20% - Accent5 9 6 4" xfId="14765"/>
    <cellStyle name="20% - Accent5 9 6 5" xfId="18716"/>
    <cellStyle name="20% - Accent5 9 7" xfId="3547"/>
    <cellStyle name="20% - Accent5 9 7 2" xfId="14768"/>
    <cellStyle name="20% - Accent5 9 7 3" xfId="18719"/>
    <cellStyle name="20% - Accent5 9 8" xfId="3548"/>
    <cellStyle name="20% - Accent5 9 8 2" xfId="14769"/>
    <cellStyle name="20% - Accent5 9 8 3" xfId="18720"/>
    <cellStyle name="20% - Accent5 9 9" xfId="14737"/>
    <cellStyle name="20% - Accent5 9_Volatility" xfId="3549"/>
    <cellStyle name="20% - Accent6 10" xfId="3550"/>
    <cellStyle name="20% - Accent6 10 10" xfId="18721"/>
    <cellStyle name="20% - Accent6 10 2" xfId="3551"/>
    <cellStyle name="20% - Accent6 10 2 2" xfId="3552"/>
    <cellStyle name="20% - Accent6 10 2 2 2" xfId="3553"/>
    <cellStyle name="20% - Accent6 10 2 2 2 2" xfId="14773"/>
    <cellStyle name="20% - Accent6 10 2 2 2 3" xfId="18724"/>
    <cellStyle name="20% - Accent6 10 2 2 3" xfId="3554"/>
    <cellStyle name="20% - Accent6 10 2 2 3 2" xfId="14774"/>
    <cellStyle name="20% - Accent6 10 2 2 3 3" xfId="18725"/>
    <cellStyle name="20% - Accent6 10 2 2 4" xfId="14772"/>
    <cellStyle name="20% - Accent6 10 2 2 5" xfId="18723"/>
    <cellStyle name="20% - Accent6 10 2 3" xfId="3555"/>
    <cellStyle name="20% - Accent6 10 2 3 2" xfId="3556"/>
    <cellStyle name="20% - Accent6 10 2 3 2 2" xfId="14776"/>
    <cellStyle name="20% - Accent6 10 2 3 2 3" xfId="18727"/>
    <cellStyle name="20% - Accent6 10 2 3 3" xfId="3557"/>
    <cellStyle name="20% - Accent6 10 2 3 3 2" xfId="14777"/>
    <cellStyle name="20% - Accent6 10 2 3 3 3" xfId="18728"/>
    <cellStyle name="20% - Accent6 10 2 3 4" xfId="14775"/>
    <cellStyle name="20% - Accent6 10 2 3 5" xfId="18726"/>
    <cellStyle name="20% - Accent6 10 2 4" xfId="3558"/>
    <cellStyle name="20% - Accent6 10 2 4 2" xfId="3559"/>
    <cellStyle name="20% - Accent6 10 2 4 2 2" xfId="14779"/>
    <cellStyle name="20% - Accent6 10 2 4 2 3" xfId="18730"/>
    <cellStyle name="20% - Accent6 10 2 4 3" xfId="3560"/>
    <cellStyle name="20% - Accent6 10 2 4 3 2" xfId="14780"/>
    <cellStyle name="20% - Accent6 10 2 4 3 3" xfId="18731"/>
    <cellStyle name="20% - Accent6 10 2 4 4" xfId="14778"/>
    <cellStyle name="20% - Accent6 10 2 4 5" xfId="18729"/>
    <cellStyle name="20% - Accent6 10 2 5" xfId="3561"/>
    <cellStyle name="20% - Accent6 10 2 5 2" xfId="14781"/>
    <cellStyle name="20% - Accent6 10 2 5 3" xfId="18732"/>
    <cellStyle name="20% - Accent6 10 2 6" xfId="3562"/>
    <cellStyle name="20% - Accent6 10 2 6 2" xfId="14782"/>
    <cellStyle name="20% - Accent6 10 2 6 3" xfId="18733"/>
    <cellStyle name="20% - Accent6 10 2 7" xfId="14771"/>
    <cellStyle name="20% - Accent6 10 2 8" xfId="18722"/>
    <cellStyle name="20% - Accent6 10 2_Volatility" xfId="3563"/>
    <cellStyle name="20% - Accent6 10 3" xfId="3564"/>
    <cellStyle name="20% - Accent6 10 3 2" xfId="3565"/>
    <cellStyle name="20% - Accent6 10 3 2 2" xfId="3566"/>
    <cellStyle name="20% - Accent6 10 3 2 2 2" xfId="14785"/>
    <cellStyle name="20% - Accent6 10 3 2 2 3" xfId="18736"/>
    <cellStyle name="20% - Accent6 10 3 2 3" xfId="3567"/>
    <cellStyle name="20% - Accent6 10 3 2 3 2" xfId="14786"/>
    <cellStyle name="20% - Accent6 10 3 2 3 3" xfId="18737"/>
    <cellStyle name="20% - Accent6 10 3 2 4" xfId="14784"/>
    <cellStyle name="20% - Accent6 10 3 2 5" xfId="18735"/>
    <cellStyle name="20% - Accent6 10 3 3" xfId="3568"/>
    <cellStyle name="20% - Accent6 10 3 3 2" xfId="3569"/>
    <cellStyle name="20% - Accent6 10 3 3 2 2" xfId="14788"/>
    <cellStyle name="20% - Accent6 10 3 3 2 3" xfId="18739"/>
    <cellStyle name="20% - Accent6 10 3 3 3" xfId="3570"/>
    <cellStyle name="20% - Accent6 10 3 3 3 2" xfId="14789"/>
    <cellStyle name="20% - Accent6 10 3 3 3 3" xfId="18740"/>
    <cellStyle name="20% - Accent6 10 3 3 4" xfId="14787"/>
    <cellStyle name="20% - Accent6 10 3 3 5" xfId="18738"/>
    <cellStyle name="20% - Accent6 10 3 4" xfId="3571"/>
    <cellStyle name="20% - Accent6 10 3 4 2" xfId="14790"/>
    <cellStyle name="20% - Accent6 10 3 4 3" xfId="18741"/>
    <cellStyle name="20% - Accent6 10 3 5" xfId="3572"/>
    <cellStyle name="20% - Accent6 10 3 5 2" xfId="14791"/>
    <cellStyle name="20% - Accent6 10 3 5 3" xfId="18742"/>
    <cellStyle name="20% - Accent6 10 3 6" xfId="14783"/>
    <cellStyle name="20% - Accent6 10 3 7" xfId="18734"/>
    <cellStyle name="20% - Accent6 10 3_Volatility" xfId="3573"/>
    <cellStyle name="20% - Accent6 10 4" xfId="3574"/>
    <cellStyle name="20% - Accent6 10 4 2" xfId="3575"/>
    <cellStyle name="20% - Accent6 10 4 2 2" xfId="14793"/>
    <cellStyle name="20% - Accent6 10 4 2 3" xfId="18744"/>
    <cellStyle name="20% - Accent6 10 4 3" xfId="3576"/>
    <cellStyle name="20% - Accent6 10 4 3 2" xfId="14794"/>
    <cellStyle name="20% - Accent6 10 4 3 3" xfId="18745"/>
    <cellStyle name="20% - Accent6 10 4 4" xfId="14792"/>
    <cellStyle name="20% - Accent6 10 4 5" xfId="18743"/>
    <cellStyle name="20% - Accent6 10 5" xfId="3577"/>
    <cellStyle name="20% - Accent6 10 5 2" xfId="3578"/>
    <cellStyle name="20% - Accent6 10 5 2 2" xfId="14796"/>
    <cellStyle name="20% - Accent6 10 5 2 3" xfId="18747"/>
    <cellStyle name="20% - Accent6 10 5 3" xfId="3579"/>
    <cellStyle name="20% - Accent6 10 5 3 2" xfId="14797"/>
    <cellStyle name="20% - Accent6 10 5 3 3" xfId="18748"/>
    <cellStyle name="20% - Accent6 10 5 4" xfId="14795"/>
    <cellStyle name="20% - Accent6 10 5 5" xfId="18746"/>
    <cellStyle name="20% - Accent6 10 6" xfId="3580"/>
    <cellStyle name="20% - Accent6 10 6 2" xfId="3581"/>
    <cellStyle name="20% - Accent6 10 6 2 2" xfId="14799"/>
    <cellStyle name="20% - Accent6 10 6 2 3" xfId="18750"/>
    <cellStyle name="20% - Accent6 10 6 3" xfId="3582"/>
    <cellStyle name="20% - Accent6 10 6 3 2" xfId="14800"/>
    <cellStyle name="20% - Accent6 10 6 3 3" xfId="18751"/>
    <cellStyle name="20% - Accent6 10 6 4" xfId="14798"/>
    <cellStyle name="20% - Accent6 10 6 5" xfId="18749"/>
    <cellStyle name="20% - Accent6 10 7" xfId="3583"/>
    <cellStyle name="20% - Accent6 10 7 2" xfId="14801"/>
    <cellStyle name="20% - Accent6 10 7 3" xfId="18752"/>
    <cellStyle name="20% - Accent6 10 8" xfId="3584"/>
    <cellStyle name="20% - Accent6 10 8 2" xfId="14802"/>
    <cellStyle name="20% - Accent6 10 8 3" xfId="18753"/>
    <cellStyle name="20% - Accent6 10 9" xfId="14770"/>
    <cellStyle name="20% - Accent6 10_Volatility" xfId="3585"/>
    <cellStyle name="20% - Accent6 11" xfId="3586"/>
    <cellStyle name="20% - Accent6 11 10" xfId="18754"/>
    <cellStyle name="20% - Accent6 11 2" xfId="3587"/>
    <cellStyle name="20% - Accent6 11 2 2" xfId="3588"/>
    <cellStyle name="20% - Accent6 11 2 2 2" xfId="3589"/>
    <cellStyle name="20% - Accent6 11 2 2 2 2" xfId="14806"/>
    <cellStyle name="20% - Accent6 11 2 2 2 3" xfId="18757"/>
    <cellStyle name="20% - Accent6 11 2 2 3" xfId="3590"/>
    <cellStyle name="20% - Accent6 11 2 2 3 2" xfId="14807"/>
    <cellStyle name="20% - Accent6 11 2 2 3 3" xfId="18758"/>
    <cellStyle name="20% - Accent6 11 2 2 4" xfId="14805"/>
    <cellStyle name="20% - Accent6 11 2 2 5" xfId="18756"/>
    <cellStyle name="20% - Accent6 11 2 3" xfId="3591"/>
    <cellStyle name="20% - Accent6 11 2 3 2" xfId="3592"/>
    <cellStyle name="20% - Accent6 11 2 3 2 2" xfId="14809"/>
    <cellStyle name="20% - Accent6 11 2 3 2 3" xfId="18760"/>
    <cellStyle name="20% - Accent6 11 2 3 3" xfId="3593"/>
    <cellStyle name="20% - Accent6 11 2 3 3 2" xfId="14810"/>
    <cellStyle name="20% - Accent6 11 2 3 3 3" xfId="18761"/>
    <cellStyle name="20% - Accent6 11 2 3 4" xfId="14808"/>
    <cellStyle name="20% - Accent6 11 2 3 5" xfId="18759"/>
    <cellStyle name="20% - Accent6 11 2 4" xfId="3594"/>
    <cellStyle name="20% - Accent6 11 2 4 2" xfId="3595"/>
    <cellStyle name="20% - Accent6 11 2 4 2 2" xfId="14812"/>
    <cellStyle name="20% - Accent6 11 2 4 2 3" xfId="18763"/>
    <cellStyle name="20% - Accent6 11 2 4 3" xfId="3596"/>
    <cellStyle name="20% - Accent6 11 2 4 3 2" xfId="14813"/>
    <cellStyle name="20% - Accent6 11 2 4 3 3" xfId="18764"/>
    <cellStyle name="20% - Accent6 11 2 4 4" xfId="14811"/>
    <cellStyle name="20% - Accent6 11 2 4 5" xfId="18762"/>
    <cellStyle name="20% - Accent6 11 2 5" xfId="3597"/>
    <cellStyle name="20% - Accent6 11 2 5 2" xfId="14814"/>
    <cellStyle name="20% - Accent6 11 2 5 3" xfId="18765"/>
    <cellStyle name="20% - Accent6 11 2 6" xfId="3598"/>
    <cellStyle name="20% - Accent6 11 2 6 2" xfId="14815"/>
    <cellStyle name="20% - Accent6 11 2 6 3" xfId="18766"/>
    <cellStyle name="20% - Accent6 11 2 7" xfId="14804"/>
    <cellStyle name="20% - Accent6 11 2 8" xfId="18755"/>
    <cellStyle name="20% - Accent6 11 2_Volatility" xfId="3599"/>
    <cellStyle name="20% - Accent6 11 3" xfId="3600"/>
    <cellStyle name="20% - Accent6 11 3 2" xfId="3601"/>
    <cellStyle name="20% - Accent6 11 3 2 2" xfId="3602"/>
    <cellStyle name="20% - Accent6 11 3 2 2 2" xfId="14818"/>
    <cellStyle name="20% - Accent6 11 3 2 2 3" xfId="18769"/>
    <cellStyle name="20% - Accent6 11 3 2 3" xfId="3603"/>
    <cellStyle name="20% - Accent6 11 3 2 3 2" xfId="14819"/>
    <cellStyle name="20% - Accent6 11 3 2 3 3" xfId="18770"/>
    <cellStyle name="20% - Accent6 11 3 2 4" xfId="14817"/>
    <cellStyle name="20% - Accent6 11 3 2 5" xfId="18768"/>
    <cellStyle name="20% - Accent6 11 3 3" xfId="3604"/>
    <cellStyle name="20% - Accent6 11 3 3 2" xfId="3605"/>
    <cellStyle name="20% - Accent6 11 3 3 2 2" xfId="14821"/>
    <cellStyle name="20% - Accent6 11 3 3 2 3" xfId="18772"/>
    <cellStyle name="20% - Accent6 11 3 3 3" xfId="3606"/>
    <cellStyle name="20% - Accent6 11 3 3 3 2" xfId="14822"/>
    <cellStyle name="20% - Accent6 11 3 3 3 3" xfId="18773"/>
    <cellStyle name="20% - Accent6 11 3 3 4" xfId="14820"/>
    <cellStyle name="20% - Accent6 11 3 3 5" xfId="18771"/>
    <cellStyle name="20% - Accent6 11 3 4" xfId="3607"/>
    <cellStyle name="20% - Accent6 11 3 4 2" xfId="14823"/>
    <cellStyle name="20% - Accent6 11 3 4 3" xfId="18774"/>
    <cellStyle name="20% - Accent6 11 3 5" xfId="3608"/>
    <cellStyle name="20% - Accent6 11 3 5 2" xfId="14824"/>
    <cellStyle name="20% - Accent6 11 3 5 3" xfId="18775"/>
    <cellStyle name="20% - Accent6 11 3 6" xfId="14816"/>
    <cellStyle name="20% - Accent6 11 3 7" xfId="18767"/>
    <cellStyle name="20% - Accent6 11 3_Volatility" xfId="3609"/>
    <cellStyle name="20% - Accent6 11 4" xfId="3610"/>
    <cellStyle name="20% - Accent6 11 4 2" xfId="3611"/>
    <cellStyle name="20% - Accent6 11 4 2 2" xfId="14826"/>
    <cellStyle name="20% - Accent6 11 4 2 3" xfId="18777"/>
    <cellStyle name="20% - Accent6 11 4 3" xfId="3612"/>
    <cellStyle name="20% - Accent6 11 4 3 2" xfId="14827"/>
    <cellStyle name="20% - Accent6 11 4 3 3" xfId="18778"/>
    <cellStyle name="20% - Accent6 11 4 4" xfId="14825"/>
    <cellStyle name="20% - Accent6 11 4 5" xfId="18776"/>
    <cellStyle name="20% - Accent6 11 5" xfId="3613"/>
    <cellStyle name="20% - Accent6 11 5 2" xfId="3614"/>
    <cellStyle name="20% - Accent6 11 5 2 2" xfId="14829"/>
    <cellStyle name="20% - Accent6 11 5 2 3" xfId="18780"/>
    <cellStyle name="20% - Accent6 11 5 3" xfId="3615"/>
    <cellStyle name="20% - Accent6 11 5 3 2" xfId="14830"/>
    <cellStyle name="20% - Accent6 11 5 3 3" xfId="18781"/>
    <cellStyle name="20% - Accent6 11 5 4" xfId="14828"/>
    <cellStyle name="20% - Accent6 11 5 5" xfId="18779"/>
    <cellStyle name="20% - Accent6 11 6" xfId="3616"/>
    <cellStyle name="20% - Accent6 11 6 2" xfId="3617"/>
    <cellStyle name="20% - Accent6 11 6 2 2" xfId="14832"/>
    <cellStyle name="20% - Accent6 11 6 2 3" xfId="18783"/>
    <cellStyle name="20% - Accent6 11 6 3" xfId="3618"/>
    <cellStyle name="20% - Accent6 11 6 3 2" xfId="14833"/>
    <cellStyle name="20% - Accent6 11 6 3 3" xfId="18784"/>
    <cellStyle name="20% - Accent6 11 6 4" xfId="14831"/>
    <cellStyle name="20% - Accent6 11 6 5" xfId="18782"/>
    <cellStyle name="20% - Accent6 11 7" xfId="3619"/>
    <cellStyle name="20% - Accent6 11 7 2" xfId="14834"/>
    <cellStyle name="20% - Accent6 11 7 3" xfId="18785"/>
    <cellStyle name="20% - Accent6 11 8" xfId="3620"/>
    <cellStyle name="20% - Accent6 11 8 2" xfId="14835"/>
    <cellStyle name="20% - Accent6 11 8 3" xfId="18786"/>
    <cellStyle name="20% - Accent6 11 9" xfId="14803"/>
    <cellStyle name="20% - Accent6 11_Volatility" xfId="3621"/>
    <cellStyle name="20% - Accent6 12" xfId="3622"/>
    <cellStyle name="20% - Accent6 12 10" xfId="18787"/>
    <cellStyle name="20% - Accent6 12 2" xfId="3623"/>
    <cellStyle name="20% - Accent6 12 2 2" xfId="3624"/>
    <cellStyle name="20% - Accent6 12 2 2 2" xfId="3625"/>
    <cellStyle name="20% - Accent6 12 2 2 2 2" xfId="14839"/>
    <cellStyle name="20% - Accent6 12 2 2 2 3" xfId="18790"/>
    <cellStyle name="20% - Accent6 12 2 2 3" xfId="3626"/>
    <cellStyle name="20% - Accent6 12 2 2 3 2" xfId="14840"/>
    <cellStyle name="20% - Accent6 12 2 2 3 3" xfId="18791"/>
    <cellStyle name="20% - Accent6 12 2 2 4" xfId="14838"/>
    <cellStyle name="20% - Accent6 12 2 2 5" xfId="18789"/>
    <cellStyle name="20% - Accent6 12 2 3" xfId="3627"/>
    <cellStyle name="20% - Accent6 12 2 3 2" xfId="3628"/>
    <cellStyle name="20% - Accent6 12 2 3 2 2" xfId="14842"/>
    <cellStyle name="20% - Accent6 12 2 3 2 3" xfId="18793"/>
    <cellStyle name="20% - Accent6 12 2 3 3" xfId="3629"/>
    <cellStyle name="20% - Accent6 12 2 3 3 2" xfId="14843"/>
    <cellStyle name="20% - Accent6 12 2 3 3 3" xfId="18794"/>
    <cellStyle name="20% - Accent6 12 2 3 4" xfId="14841"/>
    <cellStyle name="20% - Accent6 12 2 3 5" xfId="18792"/>
    <cellStyle name="20% - Accent6 12 2 4" xfId="3630"/>
    <cellStyle name="20% - Accent6 12 2 4 2" xfId="3631"/>
    <cellStyle name="20% - Accent6 12 2 4 2 2" xfId="14845"/>
    <cellStyle name="20% - Accent6 12 2 4 2 3" xfId="18796"/>
    <cellStyle name="20% - Accent6 12 2 4 3" xfId="3632"/>
    <cellStyle name="20% - Accent6 12 2 4 3 2" xfId="14846"/>
    <cellStyle name="20% - Accent6 12 2 4 3 3" xfId="18797"/>
    <cellStyle name="20% - Accent6 12 2 4 4" xfId="14844"/>
    <cellStyle name="20% - Accent6 12 2 4 5" xfId="18795"/>
    <cellStyle name="20% - Accent6 12 2 5" xfId="3633"/>
    <cellStyle name="20% - Accent6 12 2 5 2" xfId="14847"/>
    <cellStyle name="20% - Accent6 12 2 5 3" xfId="18798"/>
    <cellStyle name="20% - Accent6 12 2 6" xfId="3634"/>
    <cellStyle name="20% - Accent6 12 2 6 2" xfId="14848"/>
    <cellStyle name="20% - Accent6 12 2 6 3" xfId="18799"/>
    <cellStyle name="20% - Accent6 12 2 7" xfId="14837"/>
    <cellStyle name="20% - Accent6 12 2 8" xfId="18788"/>
    <cellStyle name="20% - Accent6 12 2_Volatility" xfId="3635"/>
    <cellStyle name="20% - Accent6 12 3" xfId="3636"/>
    <cellStyle name="20% - Accent6 12 3 2" xfId="3637"/>
    <cellStyle name="20% - Accent6 12 3 2 2" xfId="3638"/>
    <cellStyle name="20% - Accent6 12 3 2 2 2" xfId="14851"/>
    <cellStyle name="20% - Accent6 12 3 2 2 3" xfId="18802"/>
    <cellStyle name="20% - Accent6 12 3 2 3" xfId="3639"/>
    <cellStyle name="20% - Accent6 12 3 2 3 2" xfId="14852"/>
    <cellStyle name="20% - Accent6 12 3 2 3 3" xfId="18803"/>
    <cellStyle name="20% - Accent6 12 3 2 4" xfId="14850"/>
    <cellStyle name="20% - Accent6 12 3 2 5" xfId="18801"/>
    <cellStyle name="20% - Accent6 12 3 3" xfId="3640"/>
    <cellStyle name="20% - Accent6 12 3 3 2" xfId="3641"/>
    <cellStyle name="20% - Accent6 12 3 3 2 2" xfId="14854"/>
    <cellStyle name="20% - Accent6 12 3 3 2 3" xfId="18805"/>
    <cellStyle name="20% - Accent6 12 3 3 3" xfId="3642"/>
    <cellStyle name="20% - Accent6 12 3 3 3 2" xfId="14855"/>
    <cellStyle name="20% - Accent6 12 3 3 3 3" xfId="18806"/>
    <cellStyle name="20% - Accent6 12 3 3 4" xfId="14853"/>
    <cellStyle name="20% - Accent6 12 3 3 5" xfId="18804"/>
    <cellStyle name="20% - Accent6 12 3 4" xfId="3643"/>
    <cellStyle name="20% - Accent6 12 3 4 2" xfId="14856"/>
    <cellStyle name="20% - Accent6 12 3 4 3" xfId="18807"/>
    <cellStyle name="20% - Accent6 12 3 5" xfId="3644"/>
    <cellStyle name="20% - Accent6 12 3 5 2" xfId="14857"/>
    <cellStyle name="20% - Accent6 12 3 5 3" xfId="18808"/>
    <cellStyle name="20% - Accent6 12 3 6" xfId="14849"/>
    <cellStyle name="20% - Accent6 12 3 7" xfId="18800"/>
    <cellStyle name="20% - Accent6 12 3_Volatility" xfId="3645"/>
    <cellStyle name="20% - Accent6 12 4" xfId="3646"/>
    <cellStyle name="20% - Accent6 12 4 2" xfId="3647"/>
    <cellStyle name="20% - Accent6 12 4 2 2" xfId="14859"/>
    <cellStyle name="20% - Accent6 12 4 2 3" xfId="18810"/>
    <cellStyle name="20% - Accent6 12 4 3" xfId="3648"/>
    <cellStyle name="20% - Accent6 12 4 3 2" xfId="14860"/>
    <cellStyle name="20% - Accent6 12 4 3 3" xfId="18811"/>
    <cellStyle name="20% - Accent6 12 4 4" xfId="14858"/>
    <cellStyle name="20% - Accent6 12 4 5" xfId="18809"/>
    <cellStyle name="20% - Accent6 12 5" xfId="3649"/>
    <cellStyle name="20% - Accent6 12 5 2" xfId="3650"/>
    <cellStyle name="20% - Accent6 12 5 2 2" xfId="14862"/>
    <cellStyle name="20% - Accent6 12 5 2 3" xfId="18813"/>
    <cellStyle name="20% - Accent6 12 5 3" xfId="3651"/>
    <cellStyle name="20% - Accent6 12 5 3 2" xfId="14863"/>
    <cellStyle name="20% - Accent6 12 5 3 3" xfId="18814"/>
    <cellStyle name="20% - Accent6 12 5 4" xfId="14861"/>
    <cellStyle name="20% - Accent6 12 5 5" xfId="18812"/>
    <cellStyle name="20% - Accent6 12 6" xfId="3652"/>
    <cellStyle name="20% - Accent6 12 6 2" xfId="3653"/>
    <cellStyle name="20% - Accent6 12 6 2 2" xfId="14865"/>
    <cellStyle name="20% - Accent6 12 6 2 3" xfId="18816"/>
    <cellStyle name="20% - Accent6 12 6 3" xfId="3654"/>
    <cellStyle name="20% - Accent6 12 6 3 2" xfId="14866"/>
    <cellStyle name="20% - Accent6 12 6 3 3" xfId="18817"/>
    <cellStyle name="20% - Accent6 12 6 4" xfId="14864"/>
    <cellStyle name="20% - Accent6 12 6 5" xfId="18815"/>
    <cellStyle name="20% - Accent6 12 7" xfId="3655"/>
    <cellStyle name="20% - Accent6 12 7 2" xfId="14867"/>
    <cellStyle name="20% - Accent6 12 7 3" xfId="18818"/>
    <cellStyle name="20% - Accent6 12 8" xfId="3656"/>
    <cellStyle name="20% - Accent6 12 8 2" xfId="14868"/>
    <cellStyle name="20% - Accent6 12 8 3" xfId="18819"/>
    <cellStyle name="20% - Accent6 12 9" xfId="14836"/>
    <cellStyle name="20% - Accent6 12_Volatility" xfId="3657"/>
    <cellStyle name="20% - Accent6 13" xfId="3658"/>
    <cellStyle name="20% - Accent6 13 10" xfId="18820"/>
    <cellStyle name="20% - Accent6 13 2" xfId="3659"/>
    <cellStyle name="20% - Accent6 13 2 2" xfId="3660"/>
    <cellStyle name="20% - Accent6 13 2 2 2" xfId="3661"/>
    <cellStyle name="20% - Accent6 13 2 2 2 2" xfId="14872"/>
    <cellStyle name="20% - Accent6 13 2 2 2 3" xfId="18823"/>
    <cellStyle name="20% - Accent6 13 2 2 3" xfId="3662"/>
    <cellStyle name="20% - Accent6 13 2 2 3 2" xfId="14873"/>
    <cellStyle name="20% - Accent6 13 2 2 3 3" xfId="18824"/>
    <cellStyle name="20% - Accent6 13 2 2 4" xfId="14871"/>
    <cellStyle name="20% - Accent6 13 2 2 5" xfId="18822"/>
    <cellStyle name="20% - Accent6 13 2 3" xfId="3663"/>
    <cellStyle name="20% - Accent6 13 2 3 2" xfId="3664"/>
    <cellStyle name="20% - Accent6 13 2 3 2 2" xfId="14875"/>
    <cellStyle name="20% - Accent6 13 2 3 2 3" xfId="18826"/>
    <cellStyle name="20% - Accent6 13 2 3 3" xfId="3665"/>
    <cellStyle name="20% - Accent6 13 2 3 3 2" xfId="14876"/>
    <cellStyle name="20% - Accent6 13 2 3 3 3" xfId="18827"/>
    <cellStyle name="20% - Accent6 13 2 3 4" xfId="14874"/>
    <cellStyle name="20% - Accent6 13 2 3 5" xfId="18825"/>
    <cellStyle name="20% - Accent6 13 2 4" xfId="3666"/>
    <cellStyle name="20% - Accent6 13 2 4 2" xfId="3667"/>
    <cellStyle name="20% - Accent6 13 2 4 2 2" xfId="14878"/>
    <cellStyle name="20% - Accent6 13 2 4 2 3" xfId="18829"/>
    <cellStyle name="20% - Accent6 13 2 4 3" xfId="3668"/>
    <cellStyle name="20% - Accent6 13 2 4 3 2" xfId="14879"/>
    <cellStyle name="20% - Accent6 13 2 4 3 3" xfId="18830"/>
    <cellStyle name="20% - Accent6 13 2 4 4" xfId="14877"/>
    <cellStyle name="20% - Accent6 13 2 4 5" xfId="18828"/>
    <cellStyle name="20% - Accent6 13 2 5" xfId="3669"/>
    <cellStyle name="20% - Accent6 13 2 5 2" xfId="14880"/>
    <cellStyle name="20% - Accent6 13 2 5 3" xfId="18831"/>
    <cellStyle name="20% - Accent6 13 2 6" xfId="3670"/>
    <cellStyle name="20% - Accent6 13 2 6 2" xfId="14881"/>
    <cellStyle name="20% - Accent6 13 2 6 3" xfId="18832"/>
    <cellStyle name="20% - Accent6 13 2 7" xfId="14870"/>
    <cellStyle name="20% - Accent6 13 2 8" xfId="18821"/>
    <cellStyle name="20% - Accent6 13 2_Volatility" xfId="3671"/>
    <cellStyle name="20% - Accent6 13 3" xfId="3672"/>
    <cellStyle name="20% - Accent6 13 3 2" xfId="3673"/>
    <cellStyle name="20% - Accent6 13 3 2 2" xfId="3674"/>
    <cellStyle name="20% - Accent6 13 3 2 2 2" xfId="14884"/>
    <cellStyle name="20% - Accent6 13 3 2 2 3" xfId="18835"/>
    <cellStyle name="20% - Accent6 13 3 2 3" xfId="3675"/>
    <cellStyle name="20% - Accent6 13 3 2 3 2" xfId="14885"/>
    <cellStyle name="20% - Accent6 13 3 2 3 3" xfId="18836"/>
    <cellStyle name="20% - Accent6 13 3 2 4" xfId="14883"/>
    <cellStyle name="20% - Accent6 13 3 2 5" xfId="18834"/>
    <cellStyle name="20% - Accent6 13 3 3" xfId="3676"/>
    <cellStyle name="20% - Accent6 13 3 3 2" xfId="3677"/>
    <cellStyle name="20% - Accent6 13 3 3 2 2" xfId="14887"/>
    <cellStyle name="20% - Accent6 13 3 3 2 3" xfId="18838"/>
    <cellStyle name="20% - Accent6 13 3 3 3" xfId="3678"/>
    <cellStyle name="20% - Accent6 13 3 3 3 2" xfId="14888"/>
    <cellStyle name="20% - Accent6 13 3 3 3 3" xfId="18839"/>
    <cellStyle name="20% - Accent6 13 3 3 4" xfId="14886"/>
    <cellStyle name="20% - Accent6 13 3 3 5" xfId="18837"/>
    <cellStyle name="20% - Accent6 13 3 4" xfId="3679"/>
    <cellStyle name="20% - Accent6 13 3 4 2" xfId="14889"/>
    <cellStyle name="20% - Accent6 13 3 4 3" xfId="18840"/>
    <cellStyle name="20% - Accent6 13 3 5" xfId="3680"/>
    <cellStyle name="20% - Accent6 13 3 5 2" xfId="14890"/>
    <cellStyle name="20% - Accent6 13 3 5 3" xfId="18841"/>
    <cellStyle name="20% - Accent6 13 3 6" xfId="14882"/>
    <cellStyle name="20% - Accent6 13 3 7" xfId="18833"/>
    <cellStyle name="20% - Accent6 13 3_Volatility" xfId="3681"/>
    <cellStyle name="20% - Accent6 13 4" xfId="3682"/>
    <cellStyle name="20% - Accent6 13 4 2" xfId="3683"/>
    <cellStyle name="20% - Accent6 13 4 2 2" xfId="14892"/>
    <cellStyle name="20% - Accent6 13 4 2 3" xfId="18843"/>
    <cellStyle name="20% - Accent6 13 4 3" xfId="3684"/>
    <cellStyle name="20% - Accent6 13 4 3 2" xfId="14893"/>
    <cellStyle name="20% - Accent6 13 4 3 3" xfId="18844"/>
    <cellStyle name="20% - Accent6 13 4 4" xfId="14891"/>
    <cellStyle name="20% - Accent6 13 4 5" xfId="18842"/>
    <cellStyle name="20% - Accent6 13 5" xfId="3685"/>
    <cellStyle name="20% - Accent6 13 5 2" xfId="3686"/>
    <cellStyle name="20% - Accent6 13 5 2 2" xfId="14895"/>
    <cellStyle name="20% - Accent6 13 5 2 3" xfId="18846"/>
    <cellStyle name="20% - Accent6 13 5 3" xfId="3687"/>
    <cellStyle name="20% - Accent6 13 5 3 2" xfId="14896"/>
    <cellStyle name="20% - Accent6 13 5 3 3" xfId="18847"/>
    <cellStyle name="20% - Accent6 13 5 4" xfId="14894"/>
    <cellStyle name="20% - Accent6 13 5 5" xfId="18845"/>
    <cellStyle name="20% - Accent6 13 6" xfId="3688"/>
    <cellStyle name="20% - Accent6 13 6 2" xfId="3689"/>
    <cellStyle name="20% - Accent6 13 6 2 2" xfId="14898"/>
    <cellStyle name="20% - Accent6 13 6 2 3" xfId="18849"/>
    <cellStyle name="20% - Accent6 13 6 3" xfId="3690"/>
    <cellStyle name="20% - Accent6 13 6 3 2" xfId="14899"/>
    <cellStyle name="20% - Accent6 13 6 3 3" xfId="18850"/>
    <cellStyle name="20% - Accent6 13 6 4" xfId="14897"/>
    <cellStyle name="20% - Accent6 13 6 5" xfId="18848"/>
    <cellStyle name="20% - Accent6 13 7" xfId="3691"/>
    <cellStyle name="20% - Accent6 13 7 2" xfId="14900"/>
    <cellStyle name="20% - Accent6 13 7 3" xfId="18851"/>
    <cellStyle name="20% - Accent6 13 8" xfId="3692"/>
    <cellStyle name="20% - Accent6 13 8 2" xfId="14901"/>
    <cellStyle name="20% - Accent6 13 8 3" xfId="18852"/>
    <cellStyle name="20% - Accent6 13 9" xfId="14869"/>
    <cellStyle name="20% - Accent6 13_Volatility" xfId="3693"/>
    <cellStyle name="20% - Accent6 14" xfId="3694"/>
    <cellStyle name="20% - Accent6 14 10" xfId="18853"/>
    <cellStyle name="20% - Accent6 14 2" xfId="3695"/>
    <cellStyle name="20% - Accent6 14 2 2" xfId="3696"/>
    <cellStyle name="20% - Accent6 14 2 2 2" xfId="3697"/>
    <cellStyle name="20% - Accent6 14 2 2 2 2" xfId="14905"/>
    <cellStyle name="20% - Accent6 14 2 2 2 3" xfId="18856"/>
    <cellStyle name="20% - Accent6 14 2 2 3" xfId="3698"/>
    <cellStyle name="20% - Accent6 14 2 2 3 2" xfId="14906"/>
    <cellStyle name="20% - Accent6 14 2 2 3 3" xfId="18857"/>
    <cellStyle name="20% - Accent6 14 2 2 4" xfId="14904"/>
    <cellStyle name="20% - Accent6 14 2 2 5" xfId="18855"/>
    <cellStyle name="20% - Accent6 14 2 3" xfId="3699"/>
    <cellStyle name="20% - Accent6 14 2 3 2" xfId="3700"/>
    <cellStyle name="20% - Accent6 14 2 3 2 2" xfId="14908"/>
    <cellStyle name="20% - Accent6 14 2 3 2 3" xfId="18859"/>
    <cellStyle name="20% - Accent6 14 2 3 3" xfId="3701"/>
    <cellStyle name="20% - Accent6 14 2 3 3 2" xfId="14909"/>
    <cellStyle name="20% - Accent6 14 2 3 3 3" xfId="18860"/>
    <cellStyle name="20% - Accent6 14 2 3 4" xfId="14907"/>
    <cellStyle name="20% - Accent6 14 2 3 5" xfId="18858"/>
    <cellStyle name="20% - Accent6 14 2 4" xfId="3702"/>
    <cellStyle name="20% - Accent6 14 2 4 2" xfId="3703"/>
    <cellStyle name="20% - Accent6 14 2 4 2 2" xfId="14911"/>
    <cellStyle name="20% - Accent6 14 2 4 2 3" xfId="18862"/>
    <cellStyle name="20% - Accent6 14 2 4 3" xfId="3704"/>
    <cellStyle name="20% - Accent6 14 2 4 3 2" xfId="14912"/>
    <cellStyle name="20% - Accent6 14 2 4 3 3" xfId="18863"/>
    <cellStyle name="20% - Accent6 14 2 4 4" xfId="14910"/>
    <cellStyle name="20% - Accent6 14 2 4 5" xfId="18861"/>
    <cellStyle name="20% - Accent6 14 2 5" xfId="3705"/>
    <cellStyle name="20% - Accent6 14 2 5 2" xfId="14913"/>
    <cellStyle name="20% - Accent6 14 2 5 3" xfId="18864"/>
    <cellStyle name="20% - Accent6 14 2 6" xfId="3706"/>
    <cellStyle name="20% - Accent6 14 2 6 2" xfId="14914"/>
    <cellStyle name="20% - Accent6 14 2 6 3" xfId="18865"/>
    <cellStyle name="20% - Accent6 14 2 7" xfId="14903"/>
    <cellStyle name="20% - Accent6 14 2 8" xfId="18854"/>
    <cellStyle name="20% - Accent6 14 2_Volatility" xfId="3707"/>
    <cellStyle name="20% - Accent6 14 3" xfId="3708"/>
    <cellStyle name="20% - Accent6 14 3 2" xfId="3709"/>
    <cellStyle name="20% - Accent6 14 3 2 2" xfId="3710"/>
    <cellStyle name="20% - Accent6 14 3 2 2 2" xfId="14917"/>
    <cellStyle name="20% - Accent6 14 3 2 2 3" xfId="18868"/>
    <cellStyle name="20% - Accent6 14 3 2 3" xfId="3711"/>
    <cellStyle name="20% - Accent6 14 3 2 3 2" xfId="14918"/>
    <cellStyle name="20% - Accent6 14 3 2 3 3" xfId="18869"/>
    <cellStyle name="20% - Accent6 14 3 2 4" xfId="14916"/>
    <cellStyle name="20% - Accent6 14 3 2 5" xfId="18867"/>
    <cellStyle name="20% - Accent6 14 3 3" xfId="3712"/>
    <cellStyle name="20% - Accent6 14 3 3 2" xfId="3713"/>
    <cellStyle name="20% - Accent6 14 3 3 2 2" xfId="14920"/>
    <cellStyle name="20% - Accent6 14 3 3 2 3" xfId="18871"/>
    <cellStyle name="20% - Accent6 14 3 3 3" xfId="3714"/>
    <cellStyle name="20% - Accent6 14 3 3 3 2" xfId="14921"/>
    <cellStyle name="20% - Accent6 14 3 3 3 3" xfId="18872"/>
    <cellStyle name="20% - Accent6 14 3 3 4" xfId="14919"/>
    <cellStyle name="20% - Accent6 14 3 3 5" xfId="18870"/>
    <cellStyle name="20% - Accent6 14 3 4" xfId="3715"/>
    <cellStyle name="20% - Accent6 14 3 4 2" xfId="14922"/>
    <cellStyle name="20% - Accent6 14 3 4 3" xfId="18873"/>
    <cellStyle name="20% - Accent6 14 3 5" xfId="3716"/>
    <cellStyle name="20% - Accent6 14 3 5 2" xfId="14923"/>
    <cellStyle name="20% - Accent6 14 3 5 3" xfId="18874"/>
    <cellStyle name="20% - Accent6 14 3 6" xfId="14915"/>
    <cellStyle name="20% - Accent6 14 3 7" xfId="18866"/>
    <cellStyle name="20% - Accent6 14 3_Volatility" xfId="3717"/>
    <cellStyle name="20% - Accent6 14 4" xfId="3718"/>
    <cellStyle name="20% - Accent6 14 4 2" xfId="3719"/>
    <cellStyle name="20% - Accent6 14 4 2 2" xfId="14925"/>
    <cellStyle name="20% - Accent6 14 4 2 3" xfId="18876"/>
    <cellStyle name="20% - Accent6 14 4 3" xfId="3720"/>
    <cellStyle name="20% - Accent6 14 4 3 2" xfId="14926"/>
    <cellStyle name="20% - Accent6 14 4 3 3" xfId="18877"/>
    <cellStyle name="20% - Accent6 14 4 4" xfId="14924"/>
    <cellStyle name="20% - Accent6 14 4 5" xfId="18875"/>
    <cellStyle name="20% - Accent6 14 5" xfId="3721"/>
    <cellStyle name="20% - Accent6 14 5 2" xfId="3722"/>
    <cellStyle name="20% - Accent6 14 5 2 2" xfId="14928"/>
    <cellStyle name="20% - Accent6 14 5 2 3" xfId="18879"/>
    <cellStyle name="20% - Accent6 14 5 3" xfId="3723"/>
    <cellStyle name="20% - Accent6 14 5 3 2" xfId="14929"/>
    <cellStyle name="20% - Accent6 14 5 3 3" xfId="18880"/>
    <cellStyle name="20% - Accent6 14 5 4" xfId="14927"/>
    <cellStyle name="20% - Accent6 14 5 5" xfId="18878"/>
    <cellStyle name="20% - Accent6 14 6" xfId="3724"/>
    <cellStyle name="20% - Accent6 14 6 2" xfId="3725"/>
    <cellStyle name="20% - Accent6 14 6 2 2" xfId="14931"/>
    <cellStyle name="20% - Accent6 14 6 2 3" xfId="18882"/>
    <cellStyle name="20% - Accent6 14 6 3" xfId="3726"/>
    <cellStyle name="20% - Accent6 14 6 3 2" xfId="14932"/>
    <cellStyle name="20% - Accent6 14 6 3 3" xfId="18883"/>
    <cellStyle name="20% - Accent6 14 6 4" xfId="14930"/>
    <cellStyle name="20% - Accent6 14 6 5" xfId="18881"/>
    <cellStyle name="20% - Accent6 14 7" xfId="3727"/>
    <cellStyle name="20% - Accent6 14 7 2" xfId="14933"/>
    <cellStyle name="20% - Accent6 14 7 3" xfId="18884"/>
    <cellStyle name="20% - Accent6 14 8" xfId="3728"/>
    <cellStyle name="20% - Accent6 14 8 2" xfId="14934"/>
    <cellStyle name="20% - Accent6 14 8 3" xfId="18885"/>
    <cellStyle name="20% - Accent6 14 9" xfId="14902"/>
    <cellStyle name="20% - Accent6 14_Volatility" xfId="3729"/>
    <cellStyle name="20% - Accent6 15" xfId="3730"/>
    <cellStyle name="20% - Accent6 15 10" xfId="18886"/>
    <cellStyle name="20% - Accent6 15 2" xfId="3731"/>
    <cellStyle name="20% - Accent6 15 2 2" xfId="3732"/>
    <cellStyle name="20% - Accent6 15 2 2 2" xfId="3733"/>
    <cellStyle name="20% - Accent6 15 2 2 2 2" xfId="14938"/>
    <cellStyle name="20% - Accent6 15 2 2 2 3" xfId="18889"/>
    <cellStyle name="20% - Accent6 15 2 2 3" xfId="3734"/>
    <cellStyle name="20% - Accent6 15 2 2 3 2" xfId="14939"/>
    <cellStyle name="20% - Accent6 15 2 2 3 3" xfId="18890"/>
    <cellStyle name="20% - Accent6 15 2 2 4" xfId="14937"/>
    <cellStyle name="20% - Accent6 15 2 2 5" xfId="18888"/>
    <cellStyle name="20% - Accent6 15 2 3" xfId="3735"/>
    <cellStyle name="20% - Accent6 15 2 3 2" xfId="3736"/>
    <cellStyle name="20% - Accent6 15 2 3 2 2" xfId="14941"/>
    <cellStyle name="20% - Accent6 15 2 3 2 3" xfId="18892"/>
    <cellStyle name="20% - Accent6 15 2 3 3" xfId="3737"/>
    <cellStyle name="20% - Accent6 15 2 3 3 2" xfId="14942"/>
    <cellStyle name="20% - Accent6 15 2 3 3 3" xfId="18893"/>
    <cellStyle name="20% - Accent6 15 2 3 4" xfId="14940"/>
    <cellStyle name="20% - Accent6 15 2 3 5" xfId="18891"/>
    <cellStyle name="20% - Accent6 15 2 4" xfId="3738"/>
    <cellStyle name="20% - Accent6 15 2 4 2" xfId="3739"/>
    <cellStyle name="20% - Accent6 15 2 4 2 2" xfId="14944"/>
    <cellStyle name="20% - Accent6 15 2 4 2 3" xfId="18895"/>
    <cellStyle name="20% - Accent6 15 2 4 3" xfId="3740"/>
    <cellStyle name="20% - Accent6 15 2 4 3 2" xfId="14945"/>
    <cellStyle name="20% - Accent6 15 2 4 3 3" xfId="18896"/>
    <cellStyle name="20% - Accent6 15 2 4 4" xfId="14943"/>
    <cellStyle name="20% - Accent6 15 2 4 5" xfId="18894"/>
    <cellStyle name="20% - Accent6 15 2 5" xfId="3741"/>
    <cellStyle name="20% - Accent6 15 2 5 2" xfId="14946"/>
    <cellStyle name="20% - Accent6 15 2 5 3" xfId="18897"/>
    <cellStyle name="20% - Accent6 15 2 6" xfId="3742"/>
    <cellStyle name="20% - Accent6 15 2 6 2" xfId="14947"/>
    <cellStyle name="20% - Accent6 15 2 6 3" xfId="18898"/>
    <cellStyle name="20% - Accent6 15 2 7" xfId="14936"/>
    <cellStyle name="20% - Accent6 15 2 8" xfId="18887"/>
    <cellStyle name="20% - Accent6 15 2_Volatility" xfId="3743"/>
    <cellStyle name="20% - Accent6 15 3" xfId="3744"/>
    <cellStyle name="20% - Accent6 15 3 2" xfId="3745"/>
    <cellStyle name="20% - Accent6 15 3 2 2" xfId="3746"/>
    <cellStyle name="20% - Accent6 15 3 2 2 2" xfId="14950"/>
    <cellStyle name="20% - Accent6 15 3 2 2 3" xfId="18901"/>
    <cellStyle name="20% - Accent6 15 3 2 3" xfId="3747"/>
    <cellStyle name="20% - Accent6 15 3 2 3 2" xfId="14951"/>
    <cellStyle name="20% - Accent6 15 3 2 3 3" xfId="18902"/>
    <cellStyle name="20% - Accent6 15 3 2 4" xfId="14949"/>
    <cellStyle name="20% - Accent6 15 3 2 5" xfId="18900"/>
    <cellStyle name="20% - Accent6 15 3 3" xfId="3748"/>
    <cellStyle name="20% - Accent6 15 3 3 2" xfId="3749"/>
    <cellStyle name="20% - Accent6 15 3 3 2 2" xfId="14953"/>
    <cellStyle name="20% - Accent6 15 3 3 2 3" xfId="18904"/>
    <cellStyle name="20% - Accent6 15 3 3 3" xfId="3750"/>
    <cellStyle name="20% - Accent6 15 3 3 3 2" xfId="14954"/>
    <cellStyle name="20% - Accent6 15 3 3 3 3" xfId="18905"/>
    <cellStyle name="20% - Accent6 15 3 3 4" xfId="14952"/>
    <cellStyle name="20% - Accent6 15 3 3 5" xfId="18903"/>
    <cellStyle name="20% - Accent6 15 3 4" xfId="3751"/>
    <cellStyle name="20% - Accent6 15 3 4 2" xfId="14955"/>
    <cellStyle name="20% - Accent6 15 3 4 3" xfId="18906"/>
    <cellStyle name="20% - Accent6 15 3 5" xfId="3752"/>
    <cellStyle name="20% - Accent6 15 3 5 2" xfId="14956"/>
    <cellStyle name="20% - Accent6 15 3 5 3" xfId="18907"/>
    <cellStyle name="20% - Accent6 15 3 6" xfId="14948"/>
    <cellStyle name="20% - Accent6 15 3 7" xfId="18899"/>
    <cellStyle name="20% - Accent6 15 3_Volatility" xfId="3753"/>
    <cellStyle name="20% - Accent6 15 4" xfId="3754"/>
    <cellStyle name="20% - Accent6 15 4 2" xfId="3755"/>
    <cellStyle name="20% - Accent6 15 4 2 2" xfId="14958"/>
    <cellStyle name="20% - Accent6 15 4 2 3" xfId="18909"/>
    <cellStyle name="20% - Accent6 15 4 3" xfId="3756"/>
    <cellStyle name="20% - Accent6 15 4 3 2" xfId="14959"/>
    <cellStyle name="20% - Accent6 15 4 3 3" xfId="18910"/>
    <cellStyle name="20% - Accent6 15 4 4" xfId="14957"/>
    <cellStyle name="20% - Accent6 15 4 5" xfId="18908"/>
    <cellStyle name="20% - Accent6 15 5" xfId="3757"/>
    <cellStyle name="20% - Accent6 15 5 2" xfId="3758"/>
    <cellStyle name="20% - Accent6 15 5 2 2" xfId="14961"/>
    <cellStyle name="20% - Accent6 15 5 2 3" xfId="18912"/>
    <cellStyle name="20% - Accent6 15 5 3" xfId="3759"/>
    <cellStyle name="20% - Accent6 15 5 3 2" xfId="14962"/>
    <cellStyle name="20% - Accent6 15 5 3 3" xfId="18913"/>
    <cellStyle name="20% - Accent6 15 5 4" xfId="14960"/>
    <cellStyle name="20% - Accent6 15 5 5" xfId="18911"/>
    <cellStyle name="20% - Accent6 15 6" xfId="3760"/>
    <cellStyle name="20% - Accent6 15 6 2" xfId="3761"/>
    <cellStyle name="20% - Accent6 15 6 2 2" xfId="14964"/>
    <cellStyle name="20% - Accent6 15 6 2 3" xfId="18915"/>
    <cellStyle name="20% - Accent6 15 6 3" xfId="3762"/>
    <cellStyle name="20% - Accent6 15 6 3 2" xfId="14965"/>
    <cellStyle name="20% - Accent6 15 6 3 3" xfId="18916"/>
    <cellStyle name="20% - Accent6 15 6 4" xfId="14963"/>
    <cellStyle name="20% - Accent6 15 6 5" xfId="18914"/>
    <cellStyle name="20% - Accent6 15 7" xfId="3763"/>
    <cellStyle name="20% - Accent6 15 7 2" xfId="14966"/>
    <cellStyle name="20% - Accent6 15 7 3" xfId="18917"/>
    <cellStyle name="20% - Accent6 15 8" xfId="3764"/>
    <cellStyle name="20% - Accent6 15 8 2" xfId="14967"/>
    <cellStyle name="20% - Accent6 15 8 3" xfId="18918"/>
    <cellStyle name="20% - Accent6 15 9" xfId="14935"/>
    <cellStyle name="20% - Accent6 15_Volatility" xfId="3765"/>
    <cellStyle name="20% - Accent6 16" xfId="3766"/>
    <cellStyle name="20% - Accent6 16 2" xfId="14968"/>
    <cellStyle name="20% - Accent6 16 3" xfId="18919"/>
    <cellStyle name="20% - Accent6 17" xfId="3767"/>
    <cellStyle name="20% - Accent6 17 2" xfId="14969"/>
    <cellStyle name="20% - Accent6 17 3" xfId="18920"/>
    <cellStyle name="20% - Accent6 18" xfId="3768"/>
    <cellStyle name="20% - Accent6 18 2" xfId="14970"/>
    <cellStyle name="20% - Accent6 18 3" xfId="18921"/>
    <cellStyle name="20% - Accent6 19" xfId="3769"/>
    <cellStyle name="20% - Accent6 19 2" xfId="14971"/>
    <cellStyle name="20% - Accent6 19 3" xfId="18922"/>
    <cellStyle name="20% - Accent6 2" xfId="3770"/>
    <cellStyle name="20% - Accent6 2 10" xfId="18923"/>
    <cellStyle name="20% - Accent6 2 2" xfId="3771"/>
    <cellStyle name="20% - Accent6 2 2 2" xfId="3772"/>
    <cellStyle name="20% - Accent6 2 2 2 2" xfId="3773"/>
    <cellStyle name="20% - Accent6 2 2 2 2 2" xfId="14975"/>
    <cellStyle name="20% - Accent6 2 2 2 2 3" xfId="18926"/>
    <cellStyle name="20% - Accent6 2 2 2 3" xfId="3774"/>
    <cellStyle name="20% - Accent6 2 2 2 3 2" xfId="14976"/>
    <cellStyle name="20% - Accent6 2 2 2 3 3" xfId="18927"/>
    <cellStyle name="20% - Accent6 2 2 2 4" xfId="14974"/>
    <cellStyle name="20% - Accent6 2 2 2 5" xfId="18925"/>
    <cellStyle name="20% - Accent6 2 2 3" xfId="3775"/>
    <cellStyle name="20% - Accent6 2 2 3 2" xfId="3776"/>
    <cellStyle name="20% - Accent6 2 2 3 2 2" xfId="14978"/>
    <cellStyle name="20% - Accent6 2 2 3 2 3" xfId="18929"/>
    <cellStyle name="20% - Accent6 2 2 3 3" xfId="3777"/>
    <cellStyle name="20% - Accent6 2 2 3 3 2" xfId="14979"/>
    <cellStyle name="20% - Accent6 2 2 3 3 3" xfId="18930"/>
    <cellStyle name="20% - Accent6 2 2 3 4" xfId="14977"/>
    <cellStyle name="20% - Accent6 2 2 3 5" xfId="18928"/>
    <cellStyle name="20% - Accent6 2 2 4" xfId="3778"/>
    <cellStyle name="20% - Accent6 2 2 4 2" xfId="3779"/>
    <cellStyle name="20% - Accent6 2 2 4 2 2" xfId="14981"/>
    <cellStyle name="20% - Accent6 2 2 4 2 3" xfId="18932"/>
    <cellStyle name="20% - Accent6 2 2 4 3" xfId="3780"/>
    <cellStyle name="20% - Accent6 2 2 4 3 2" xfId="14982"/>
    <cellStyle name="20% - Accent6 2 2 4 3 3" xfId="18933"/>
    <cellStyle name="20% - Accent6 2 2 4 4" xfId="14980"/>
    <cellStyle name="20% - Accent6 2 2 4 5" xfId="18931"/>
    <cellStyle name="20% - Accent6 2 2 5" xfId="3781"/>
    <cellStyle name="20% - Accent6 2 2 5 2" xfId="14983"/>
    <cellStyle name="20% - Accent6 2 2 5 3" xfId="18934"/>
    <cellStyle name="20% - Accent6 2 2 6" xfId="3782"/>
    <cellStyle name="20% - Accent6 2 2 6 2" xfId="14984"/>
    <cellStyle name="20% - Accent6 2 2 6 3" xfId="18935"/>
    <cellStyle name="20% - Accent6 2 2 7" xfId="14973"/>
    <cellStyle name="20% - Accent6 2 2 8" xfId="18924"/>
    <cellStyle name="20% - Accent6 2 2_Volatility" xfId="3783"/>
    <cellStyle name="20% - Accent6 2 3" xfId="3784"/>
    <cellStyle name="20% - Accent6 2 3 2" xfId="3785"/>
    <cellStyle name="20% - Accent6 2 3 2 2" xfId="3786"/>
    <cellStyle name="20% - Accent6 2 3 2 2 2" xfId="14987"/>
    <cellStyle name="20% - Accent6 2 3 2 2 3" xfId="18938"/>
    <cellStyle name="20% - Accent6 2 3 2 3" xfId="3787"/>
    <cellStyle name="20% - Accent6 2 3 2 3 2" xfId="14988"/>
    <cellStyle name="20% - Accent6 2 3 2 3 3" xfId="18939"/>
    <cellStyle name="20% - Accent6 2 3 2 4" xfId="14986"/>
    <cellStyle name="20% - Accent6 2 3 2 5" xfId="18937"/>
    <cellStyle name="20% - Accent6 2 3 3" xfId="3788"/>
    <cellStyle name="20% - Accent6 2 3 3 2" xfId="3789"/>
    <cellStyle name="20% - Accent6 2 3 3 2 2" xfId="14990"/>
    <cellStyle name="20% - Accent6 2 3 3 2 3" xfId="18941"/>
    <cellStyle name="20% - Accent6 2 3 3 3" xfId="3790"/>
    <cellStyle name="20% - Accent6 2 3 3 3 2" xfId="14991"/>
    <cellStyle name="20% - Accent6 2 3 3 3 3" xfId="18942"/>
    <cellStyle name="20% - Accent6 2 3 3 4" xfId="14989"/>
    <cellStyle name="20% - Accent6 2 3 3 5" xfId="18940"/>
    <cellStyle name="20% - Accent6 2 3 4" xfId="3791"/>
    <cellStyle name="20% - Accent6 2 3 4 2" xfId="14992"/>
    <cellStyle name="20% - Accent6 2 3 4 3" xfId="18943"/>
    <cellStyle name="20% - Accent6 2 3 5" xfId="3792"/>
    <cellStyle name="20% - Accent6 2 3 5 2" xfId="14993"/>
    <cellStyle name="20% - Accent6 2 3 5 3" xfId="18944"/>
    <cellStyle name="20% - Accent6 2 3 6" xfId="14985"/>
    <cellStyle name="20% - Accent6 2 3 7" xfId="18936"/>
    <cellStyle name="20% - Accent6 2 3_Volatility" xfId="3793"/>
    <cellStyle name="20% - Accent6 2 4" xfId="3794"/>
    <cellStyle name="20% - Accent6 2 4 2" xfId="3795"/>
    <cellStyle name="20% - Accent6 2 4 2 2" xfId="14995"/>
    <cellStyle name="20% - Accent6 2 4 2 3" xfId="18946"/>
    <cellStyle name="20% - Accent6 2 4 3" xfId="3796"/>
    <cellStyle name="20% - Accent6 2 4 3 2" xfId="14996"/>
    <cellStyle name="20% - Accent6 2 4 3 3" xfId="18947"/>
    <cellStyle name="20% - Accent6 2 4 4" xfId="14994"/>
    <cellStyle name="20% - Accent6 2 4 5" xfId="18945"/>
    <cellStyle name="20% - Accent6 2 5" xfId="3797"/>
    <cellStyle name="20% - Accent6 2 5 2" xfId="3798"/>
    <cellStyle name="20% - Accent6 2 5 2 2" xfId="14998"/>
    <cellStyle name="20% - Accent6 2 5 2 3" xfId="18949"/>
    <cellStyle name="20% - Accent6 2 5 3" xfId="3799"/>
    <cellStyle name="20% - Accent6 2 5 3 2" xfId="14999"/>
    <cellStyle name="20% - Accent6 2 5 3 3" xfId="18950"/>
    <cellStyle name="20% - Accent6 2 5 4" xfId="14997"/>
    <cellStyle name="20% - Accent6 2 5 5" xfId="18948"/>
    <cellStyle name="20% - Accent6 2 6" xfId="3800"/>
    <cellStyle name="20% - Accent6 2 6 2" xfId="3801"/>
    <cellStyle name="20% - Accent6 2 6 2 2" xfId="15001"/>
    <cellStyle name="20% - Accent6 2 6 2 3" xfId="18952"/>
    <cellStyle name="20% - Accent6 2 6 3" xfId="3802"/>
    <cellStyle name="20% - Accent6 2 6 3 2" xfId="15002"/>
    <cellStyle name="20% - Accent6 2 6 3 3" xfId="18953"/>
    <cellStyle name="20% - Accent6 2 6 4" xfId="15000"/>
    <cellStyle name="20% - Accent6 2 6 5" xfId="18951"/>
    <cellStyle name="20% - Accent6 2 7" xfId="3803"/>
    <cellStyle name="20% - Accent6 2 7 2" xfId="15003"/>
    <cellStyle name="20% - Accent6 2 7 3" xfId="18954"/>
    <cellStyle name="20% - Accent6 2 8" xfId="3804"/>
    <cellStyle name="20% - Accent6 2 8 2" xfId="15004"/>
    <cellStyle name="20% - Accent6 2 8 3" xfId="18955"/>
    <cellStyle name="20% - Accent6 2 9" xfId="14972"/>
    <cellStyle name="20% - Accent6 2_Volatility" xfId="3805"/>
    <cellStyle name="20% - Accent6 3" xfId="3806"/>
    <cellStyle name="20% - Accent6 3 10" xfId="18956"/>
    <cellStyle name="20% - Accent6 3 2" xfId="3807"/>
    <cellStyle name="20% - Accent6 3 2 2" xfId="3808"/>
    <cellStyle name="20% - Accent6 3 2 2 2" xfId="3809"/>
    <cellStyle name="20% - Accent6 3 2 2 2 2" xfId="15008"/>
    <cellStyle name="20% - Accent6 3 2 2 2 3" xfId="18959"/>
    <cellStyle name="20% - Accent6 3 2 2 3" xfId="3810"/>
    <cellStyle name="20% - Accent6 3 2 2 3 2" xfId="15009"/>
    <cellStyle name="20% - Accent6 3 2 2 3 3" xfId="18960"/>
    <cellStyle name="20% - Accent6 3 2 2 4" xfId="15007"/>
    <cellStyle name="20% - Accent6 3 2 2 5" xfId="18958"/>
    <cellStyle name="20% - Accent6 3 2 3" xfId="3811"/>
    <cellStyle name="20% - Accent6 3 2 3 2" xfId="3812"/>
    <cellStyle name="20% - Accent6 3 2 3 2 2" xfId="15011"/>
    <cellStyle name="20% - Accent6 3 2 3 2 3" xfId="18962"/>
    <cellStyle name="20% - Accent6 3 2 3 3" xfId="3813"/>
    <cellStyle name="20% - Accent6 3 2 3 3 2" xfId="15012"/>
    <cellStyle name="20% - Accent6 3 2 3 3 3" xfId="18963"/>
    <cellStyle name="20% - Accent6 3 2 3 4" xfId="15010"/>
    <cellStyle name="20% - Accent6 3 2 3 5" xfId="18961"/>
    <cellStyle name="20% - Accent6 3 2 4" xfId="3814"/>
    <cellStyle name="20% - Accent6 3 2 4 2" xfId="3815"/>
    <cellStyle name="20% - Accent6 3 2 4 2 2" xfId="15014"/>
    <cellStyle name="20% - Accent6 3 2 4 2 3" xfId="18965"/>
    <cellStyle name="20% - Accent6 3 2 4 3" xfId="3816"/>
    <cellStyle name="20% - Accent6 3 2 4 3 2" xfId="15015"/>
    <cellStyle name="20% - Accent6 3 2 4 3 3" xfId="18966"/>
    <cellStyle name="20% - Accent6 3 2 4 4" xfId="15013"/>
    <cellStyle name="20% - Accent6 3 2 4 5" xfId="18964"/>
    <cellStyle name="20% - Accent6 3 2 5" xfId="3817"/>
    <cellStyle name="20% - Accent6 3 2 5 2" xfId="15016"/>
    <cellStyle name="20% - Accent6 3 2 5 3" xfId="18967"/>
    <cellStyle name="20% - Accent6 3 2 6" xfId="3818"/>
    <cellStyle name="20% - Accent6 3 2 6 2" xfId="15017"/>
    <cellStyle name="20% - Accent6 3 2 6 3" xfId="18968"/>
    <cellStyle name="20% - Accent6 3 2 7" xfId="15006"/>
    <cellStyle name="20% - Accent6 3 2 8" xfId="18957"/>
    <cellStyle name="20% - Accent6 3 2_Volatility" xfId="3819"/>
    <cellStyle name="20% - Accent6 3 3" xfId="3820"/>
    <cellStyle name="20% - Accent6 3 3 2" xfId="3821"/>
    <cellStyle name="20% - Accent6 3 3 2 2" xfId="3822"/>
    <cellStyle name="20% - Accent6 3 3 2 2 2" xfId="15020"/>
    <cellStyle name="20% - Accent6 3 3 2 2 3" xfId="18971"/>
    <cellStyle name="20% - Accent6 3 3 2 3" xfId="3823"/>
    <cellStyle name="20% - Accent6 3 3 2 3 2" xfId="15021"/>
    <cellStyle name="20% - Accent6 3 3 2 3 3" xfId="18972"/>
    <cellStyle name="20% - Accent6 3 3 2 4" xfId="15019"/>
    <cellStyle name="20% - Accent6 3 3 2 5" xfId="18970"/>
    <cellStyle name="20% - Accent6 3 3 3" xfId="3824"/>
    <cellStyle name="20% - Accent6 3 3 3 2" xfId="3825"/>
    <cellStyle name="20% - Accent6 3 3 3 2 2" xfId="15023"/>
    <cellStyle name="20% - Accent6 3 3 3 2 3" xfId="18974"/>
    <cellStyle name="20% - Accent6 3 3 3 3" xfId="3826"/>
    <cellStyle name="20% - Accent6 3 3 3 3 2" xfId="15024"/>
    <cellStyle name="20% - Accent6 3 3 3 3 3" xfId="18975"/>
    <cellStyle name="20% - Accent6 3 3 3 4" xfId="15022"/>
    <cellStyle name="20% - Accent6 3 3 3 5" xfId="18973"/>
    <cellStyle name="20% - Accent6 3 3 4" xfId="3827"/>
    <cellStyle name="20% - Accent6 3 3 4 2" xfId="15025"/>
    <cellStyle name="20% - Accent6 3 3 4 3" xfId="18976"/>
    <cellStyle name="20% - Accent6 3 3 5" xfId="3828"/>
    <cellStyle name="20% - Accent6 3 3 5 2" xfId="15026"/>
    <cellStyle name="20% - Accent6 3 3 5 3" xfId="18977"/>
    <cellStyle name="20% - Accent6 3 3 6" xfId="15018"/>
    <cellStyle name="20% - Accent6 3 3 7" xfId="18969"/>
    <cellStyle name="20% - Accent6 3 3_Volatility" xfId="3829"/>
    <cellStyle name="20% - Accent6 3 4" xfId="3830"/>
    <cellStyle name="20% - Accent6 3 4 2" xfId="3831"/>
    <cellStyle name="20% - Accent6 3 4 2 2" xfId="15028"/>
    <cellStyle name="20% - Accent6 3 4 2 3" xfId="18979"/>
    <cellStyle name="20% - Accent6 3 4 3" xfId="3832"/>
    <cellStyle name="20% - Accent6 3 4 3 2" xfId="15029"/>
    <cellStyle name="20% - Accent6 3 4 3 3" xfId="18980"/>
    <cellStyle name="20% - Accent6 3 4 4" xfId="15027"/>
    <cellStyle name="20% - Accent6 3 4 5" xfId="18978"/>
    <cellStyle name="20% - Accent6 3 5" xfId="3833"/>
    <cellStyle name="20% - Accent6 3 5 2" xfId="3834"/>
    <cellStyle name="20% - Accent6 3 5 2 2" xfId="15031"/>
    <cellStyle name="20% - Accent6 3 5 2 3" xfId="18982"/>
    <cellStyle name="20% - Accent6 3 5 3" xfId="3835"/>
    <cellStyle name="20% - Accent6 3 5 3 2" xfId="15032"/>
    <cellStyle name="20% - Accent6 3 5 3 3" xfId="18983"/>
    <cellStyle name="20% - Accent6 3 5 4" xfId="15030"/>
    <cellStyle name="20% - Accent6 3 5 5" xfId="18981"/>
    <cellStyle name="20% - Accent6 3 6" xfId="3836"/>
    <cellStyle name="20% - Accent6 3 6 2" xfId="3837"/>
    <cellStyle name="20% - Accent6 3 6 2 2" xfId="15034"/>
    <cellStyle name="20% - Accent6 3 6 2 3" xfId="18985"/>
    <cellStyle name="20% - Accent6 3 6 3" xfId="3838"/>
    <cellStyle name="20% - Accent6 3 6 3 2" xfId="15035"/>
    <cellStyle name="20% - Accent6 3 6 3 3" xfId="18986"/>
    <cellStyle name="20% - Accent6 3 6 4" xfId="15033"/>
    <cellStyle name="20% - Accent6 3 6 5" xfId="18984"/>
    <cellStyle name="20% - Accent6 3 7" xfId="3839"/>
    <cellStyle name="20% - Accent6 3 7 2" xfId="15036"/>
    <cellStyle name="20% - Accent6 3 7 3" xfId="18987"/>
    <cellStyle name="20% - Accent6 3 8" xfId="3840"/>
    <cellStyle name="20% - Accent6 3 8 2" xfId="15037"/>
    <cellStyle name="20% - Accent6 3 8 3" xfId="18988"/>
    <cellStyle name="20% - Accent6 3 9" xfId="15005"/>
    <cellStyle name="20% - Accent6 3_Volatility" xfId="3841"/>
    <cellStyle name="20% - Accent6 4" xfId="3842"/>
    <cellStyle name="20% - Accent6 4 10" xfId="18989"/>
    <cellStyle name="20% - Accent6 4 2" xfId="3843"/>
    <cellStyle name="20% - Accent6 4 2 2" xfId="3844"/>
    <cellStyle name="20% - Accent6 4 2 2 2" xfId="3845"/>
    <cellStyle name="20% - Accent6 4 2 2 2 2" xfId="15041"/>
    <cellStyle name="20% - Accent6 4 2 2 2 3" xfId="18992"/>
    <cellStyle name="20% - Accent6 4 2 2 3" xfId="3846"/>
    <cellStyle name="20% - Accent6 4 2 2 3 2" xfId="15042"/>
    <cellStyle name="20% - Accent6 4 2 2 3 3" xfId="18993"/>
    <cellStyle name="20% - Accent6 4 2 2 4" xfId="15040"/>
    <cellStyle name="20% - Accent6 4 2 2 5" xfId="18991"/>
    <cellStyle name="20% - Accent6 4 2 3" xfId="3847"/>
    <cellStyle name="20% - Accent6 4 2 3 2" xfId="3848"/>
    <cellStyle name="20% - Accent6 4 2 3 2 2" xfId="15044"/>
    <cellStyle name="20% - Accent6 4 2 3 2 3" xfId="18995"/>
    <cellStyle name="20% - Accent6 4 2 3 3" xfId="3849"/>
    <cellStyle name="20% - Accent6 4 2 3 3 2" xfId="15045"/>
    <cellStyle name="20% - Accent6 4 2 3 3 3" xfId="18996"/>
    <cellStyle name="20% - Accent6 4 2 3 4" xfId="15043"/>
    <cellStyle name="20% - Accent6 4 2 3 5" xfId="18994"/>
    <cellStyle name="20% - Accent6 4 2 4" xfId="3850"/>
    <cellStyle name="20% - Accent6 4 2 4 2" xfId="3851"/>
    <cellStyle name="20% - Accent6 4 2 4 2 2" xfId="15047"/>
    <cellStyle name="20% - Accent6 4 2 4 2 3" xfId="18998"/>
    <cellStyle name="20% - Accent6 4 2 4 3" xfId="3852"/>
    <cellStyle name="20% - Accent6 4 2 4 3 2" xfId="15048"/>
    <cellStyle name="20% - Accent6 4 2 4 3 3" xfId="18999"/>
    <cellStyle name="20% - Accent6 4 2 4 4" xfId="15046"/>
    <cellStyle name="20% - Accent6 4 2 4 5" xfId="18997"/>
    <cellStyle name="20% - Accent6 4 2 5" xfId="3853"/>
    <cellStyle name="20% - Accent6 4 2 5 2" xfId="15049"/>
    <cellStyle name="20% - Accent6 4 2 5 3" xfId="19000"/>
    <cellStyle name="20% - Accent6 4 2 6" xfId="3854"/>
    <cellStyle name="20% - Accent6 4 2 6 2" xfId="15050"/>
    <cellStyle name="20% - Accent6 4 2 6 3" xfId="19001"/>
    <cellStyle name="20% - Accent6 4 2 7" xfId="15039"/>
    <cellStyle name="20% - Accent6 4 2 8" xfId="18990"/>
    <cellStyle name="20% - Accent6 4 2_Volatility" xfId="3855"/>
    <cellStyle name="20% - Accent6 4 3" xfId="3856"/>
    <cellStyle name="20% - Accent6 4 3 2" xfId="3857"/>
    <cellStyle name="20% - Accent6 4 3 2 2" xfId="3858"/>
    <cellStyle name="20% - Accent6 4 3 2 2 2" xfId="15053"/>
    <cellStyle name="20% - Accent6 4 3 2 2 3" xfId="19004"/>
    <cellStyle name="20% - Accent6 4 3 2 3" xfId="3859"/>
    <cellStyle name="20% - Accent6 4 3 2 3 2" xfId="15054"/>
    <cellStyle name="20% - Accent6 4 3 2 3 3" xfId="19005"/>
    <cellStyle name="20% - Accent6 4 3 2 4" xfId="15052"/>
    <cellStyle name="20% - Accent6 4 3 2 5" xfId="19003"/>
    <cellStyle name="20% - Accent6 4 3 3" xfId="3860"/>
    <cellStyle name="20% - Accent6 4 3 3 2" xfId="3861"/>
    <cellStyle name="20% - Accent6 4 3 3 2 2" xfId="15056"/>
    <cellStyle name="20% - Accent6 4 3 3 2 3" xfId="19007"/>
    <cellStyle name="20% - Accent6 4 3 3 3" xfId="3862"/>
    <cellStyle name="20% - Accent6 4 3 3 3 2" xfId="15057"/>
    <cellStyle name="20% - Accent6 4 3 3 3 3" xfId="19008"/>
    <cellStyle name="20% - Accent6 4 3 3 4" xfId="15055"/>
    <cellStyle name="20% - Accent6 4 3 3 5" xfId="19006"/>
    <cellStyle name="20% - Accent6 4 3 4" xfId="3863"/>
    <cellStyle name="20% - Accent6 4 3 4 2" xfId="15058"/>
    <cellStyle name="20% - Accent6 4 3 4 3" xfId="19009"/>
    <cellStyle name="20% - Accent6 4 3 5" xfId="3864"/>
    <cellStyle name="20% - Accent6 4 3 5 2" xfId="15059"/>
    <cellStyle name="20% - Accent6 4 3 5 3" xfId="19010"/>
    <cellStyle name="20% - Accent6 4 3 6" xfId="15051"/>
    <cellStyle name="20% - Accent6 4 3 7" xfId="19002"/>
    <cellStyle name="20% - Accent6 4 3_Volatility" xfId="3865"/>
    <cellStyle name="20% - Accent6 4 4" xfId="3866"/>
    <cellStyle name="20% - Accent6 4 4 2" xfId="3867"/>
    <cellStyle name="20% - Accent6 4 4 2 2" xfId="15061"/>
    <cellStyle name="20% - Accent6 4 4 2 3" xfId="19012"/>
    <cellStyle name="20% - Accent6 4 4 3" xfId="3868"/>
    <cellStyle name="20% - Accent6 4 4 3 2" xfId="15062"/>
    <cellStyle name="20% - Accent6 4 4 3 3" xfId="19013"/>
    <cellStyle name="20% - Accent6 4 4 4" xfId="15060"/>
    <cellStyle name="20% - Accent6 4 4 5" xfId="19011"/>
    <cellStyle name="20% - Accent6 4 5" xfId="3869"/>
    <cellStyle name="20% - Accent6 4 5 2" xfId="3870"/>
    <cellStyle name="20% - Accent6 4 5 2 2" xfId="15064"/>
    <cellStyle name="20% - Accent6 4 5 2 3" xfId="19015"/>
    <cellStyle name="20% - Accent6 4 5 3" xfId="3871"/>
    <cellStyle name="20% - Accent6 4 5 3 2" xfId="15065"/>
    <cellStyle name="20% - Accent6 4 5 3 3" xfId="19016"/>
    <cellStyle name="20% - Accent6 4 5 4" xfId="15063"/>
    <cellStyle name="20% - Accent6 4 5 5" xfId="19014"/>
    <cellStyle name="20% - Accent6 4 6" xfId="3872"/>
    <cellStyle name="20% - Accent6 4 6 2" xfId="3873"/>
    <cellStyle name="20% - Accent6 4 6 2 2" xfId="15067"/>
    <cellStyle name="20% - Accent6 4 6 2 3" xfId="19018"/>
    <cellStyle name="20% - Accent6 4 6 3" xfId="3874"/>
    <cellStyle name="20% - Accent6 4 6 3 2" xfId="15068"/>
    <cellStyle name="20% - Accent6 4 6 3 3" xfId="19019"/>
    <cellStyle name="20% - Accent6 4 6 4" xfId="15066"/>
    <cellStyle name="20% - Accent6 4 6 5" xfId="19017"/>
    <cellStyle name="20% - Accent6 4 7" xfId="3875"/>
    <cellStyle name="20% - Accent6 4 7 2" xfId="15069"/>
    <cellStyle name="20% - Accent6 4 7 3" xfId="19020"/>
    <cellStyle name="20% - Accent6 4 8" xfId="3876"/>
    <cellStyle name="20% - Accent6 4 8 2" xfId="15070"/>
    <cellStyle name="20% - Accent6 4 8 3" xfId="19021"/>
    <cellStyle name="20% - Accent6 4 9" xfId="15038"/>
    <cellStyle name="20% - Accent6 4_Volatility" xfId="3877"/>
    <cellStyle name="20% - Accent6 5" xfId="3878"/>
    <cellStyle name="20% - Accent6 5 10" xfId="19022"/>
    <cellStyle name="20% - Accent6 5 2" xfId="3879"/>
    <cellStyle name="20% - Accent6 5 2 2" xfId="3880"/>
    <cellStyle name="20% - Accent6 5 2 2 2" xfId="3881"/>
    <cellStyle name="20% - Accent6 5 2 2 2 2" xfId="15074"/>
    <cellStyle name="20% - Accent6 5 2 2 2 3" xfId="19025"/>
    <cellStyle name="20% - Accent6 5 2 2 3" xfId="3882"/>
    <cellStyle name="20% - Accent6 5 2 2 3 2" xfId="15075"/>
    <cellStyle name="20% - Accent6 5 2 2 3 3" xfId="19026"/>
    <cellStyle name="20% - Accent6 5 2 2 4" xfId="15073"/>
    <cellStyle name="20% - Accent6 5 2 2 5" xfId="19024"/>
    <cellStyle name="20% - Accent6 5 2 3" xfId="3883"/>
    <cellStyle name="20% - Accent6 5 2 3 2" xfId="3884"/>
    <cellStyle name="20% - Accent6 5 2 3 2 2" xfId="15077"/>
    <cellStyle name="20% - Accent6 5 2 3 2 3" xfId="19028"/>
    <cellStyle name="20% - Accent6 5 2 3 3" xfId="3885"/>
    <cellStyle name="20% - Accent6 5 2 3 3 2" xfId="15078"/>
    <cellStyle name="20% - Accent6 5 2 3 3 3" xfId="19029"/>
    <cellStyle name="20% - Accent6 5 2 3 4" xfId="15076"/>
    <cellStyle name="20% - Accent6 5 2 3 5" xfId="19027"/>
    <cellStyle name="20% - Accent6 5 2 4" xfId="3886"/>
    <cellStyle name="20% - Accent6 5 2 4 2" xfId="3887"/>
    <cellStyle name="20% - Accent6 5 2 4 2 2" xfId="15080"/>
    <cellStyle name="20% - Accent6 5 2 4 2 3" xfId="19031"/>
    <cellStyle name="20% - Accent6 5 2 4 3" xfId="3888"/>
    <cellStyle name="20% - Accent6 5 2 4 3 2" xfId="15081"/>
    <cellStyle name="20% - Accent6 5 2 4 3 3" xfId="19032"/>
    <cellStyle name="20% - Accent6 5 2 4 4" xfId="15079"/>
    <cellStyle name="20% - Accent6 5 2 4 5" xfId="19030"/>
    <cellStyle name="20% - Accent6 5 2 5" xfId="3889"/>
    <cellStyle name="20% - Accent6 5 2 5 2" xfId="15082"/>
    <cellStyle name="20% - Accent6 5 2 5 3" xfId="19033"/>
    <cellStyle name="20% - Accent6 5 2 6" xfId="3890"/>
    <cellStyle name="20% - Accent6 5 2 6 2" xfId="15083"/>
    <cellStyle name="20% - Accent6 5 2 6 3" xfId="19034"/>
    <cellStyle name="20% - Accent6 5 2 7" xfId="15072"/>
    <cellStyle name="20% - Accent6 5 2 8" xfId="19023"/>
    <cellStyle name="20% - Accent6 5 2_Volatility" xfId="3891"/>
    <cellStyle name="20% - Accent6 5 3" xfId="3892"/>
    <cellStyle name="20% - Accent6 5 3 2" xfId="3893"/>
    <cellStyle name="20% - Accent6 5 3 2 2" xfId="3894"/>
    <cellStyle name="20% - Accent6 5 3 2 2 2" xfId="15086"/>
    <cellStyle name="20% - Accent6 5 3 2 2 3" xfId="19037"/>
    <cellStyle name="20% - Accent6 5 3 2 3" xfId="3895"/>
    <cellStyle name="20% - Accent6 5 3 2 3 2" xfId="15087"/>
    <cellStyle name="20% - Accent6 5 3 2 3 3" xfId="19038"/>
    <cellStyle name="20% - Accent6 5 3 2 4" xfId="15085"/>
    <cellStyle name="20% - Accent6 5 3 2 5" xfId="19036"/>
    <cellStyle name="20% - Accent6 5 3 3" xfId="3896"/>
    <cellStyle name="20% - Accent6 5 3 3 2" xfId="3897"/>
    <cellStyle name="20% - Accent6 5 3 3 2 2" xfId="15089"/>
    <cellStyle name="20% - Accent6 5 3 3 2 3" xfId="19040"/>
    <cellStyle name="20% - Accent6 5 3 3 3" xfId="3898"/>
    <cellStyle name="20% - Accent6 5 3 3 3 2" xfId="15090"/>
    <cellStyle name="20% - Accent6 5 3 3 3 3" xfId="19041"/>
    <cellStyle name="20% - Accent6 5 3 3 4" xfId="15088"/>
    <cellStyle name="20% - Accent6 5 3 3 5" xfId="19039"/>
    <cellStyle name="20% - Accent6 5 3 4" xfId="3899"/>
    <cellStyle name="20% - Accent6 5 3 4 2" xfId="15091"/>
    <cellStyle name="20% - Accent6 5 3 4 3" xfId="19042"/>
    <cellStyle name="20% - Accent6 5 3 5" xfId="3900"/>
    <cellStyle name="20% - Accent6 5 3 5 2" xfId="15092"/>
    <cellStyle name="20% - Accent6 5 3 5 3" xfId="19043"/>
    <cellStyle name="20% - Accent6 5 3 6" xfId="15084"/>
    <cellStyle name="20% - Accent6 5 3 7" xfId="19035"/>
    <cellStyle name="20% - Accent6 5 3_Volatility" xfId="3901"/>
    <cellStyle name="20% - Accent6 5 4" xfId="3902"/>
    <cellStyle name="20% - Accent6 5 4 2" xfId="3903"/>
    <cellStyle name="20% - Accent6 5 4 2 2" xfId="15094"/>
    <cellStyle name="20% - Accent6 5 4 2 3" xfId="19045"/>
    <cellStyle name="20% - Accent6 5 4 3" xfId="3904"/>
    <cellStyle name="20% - Accent6 5 4 3 2" xfId="15095"/>
    <cellStyle name="20% - Accent6 5 4 3 3" xfId="19046"/>
    <cellStyle name="20% - Accent6 5 4 4" xfId="15093"/>
    <cellStyle name="20% - Accent6 5 4 5" xfId="19044"/>
    <cellStyle name="20% - Accent6 5 5" xfId="3905"/>
    <cellStyle name="20% - Accent6 5 5 2" xfId="3906"/>
    <cellStyle name="20% - Accent6 5 5 2 2" xfId="15097"/>
    <cellStyle name="20% - Accent6 5 5 2 3" xfId="19048"/>
    <cellStyle name="20% - Accent6 5 5 3" xfId="3907"/>
    <cellStyle name="20% - Accent6 5 5 3 2" xfId="15098"/>
    <cellStyle name="20% - Accent6 5 5 3 3" xfId="19049"/>
    <cellStyle name="20% - Accent6 5 5 4" xfId="15096"/>
    <cellStyle name="20% - Accent6 5 5 5" xfId="19047"/>
    <cellStyle name="20% - Accent6 5 6" xfId="3908"/>
    <cellStyle name="20% - Accent6 5 6 2" xfId="3909"/>
    <cellStyle name="20% - Accent6 5 6 2 2" xfId="15100"/>
    <cellStyle name="20% - Accent6 5 6 2 3" xfId="19051"/>
    <cellStyle name="20% - Accent6 5 6 3" xfId="3910"/>
    <cellStyle name="20% - Accent6 5 6 3 2" xfId="15101"/>
    <cellStyle name="20% - Accent6 5 6 3 3" xfId="19052"/>
    <cellStyle name="20% - Accent6 5 6 4" xfId="15099"/>
    <cellStyle name="20% - Accent6 5 6 5" xfId="19050"/>
    <cellStyle name="20% - Accent6 5 7" xfId="3911"/>
    <cellStyle name="20% - Accent6 5 7 2" xfId="15102"/>
    <cellStyle name="20% - Accent6 5 7 3" xfId="19053"/>
    <cellStyle name="20% - Accent6 5 8" xfId="3912"/>
    <cellStyle name="20% - Accent6 5 8 2" xfId="15103"/>
    <cellStyle name="20% - Accent6 5 8 3" xfId="19054"/>
    <cellStyle name="20% - Accent6 5 9" xfId="15071"/>
    <cellStyle name="20% - Accent6 5_Volatility" xfId="3913"/>
    <cellStyle name="20% - Accent6 6" xfId="3914"/>
    <cellStyle name="20% - Accent6 6 10" xfId="19055"/>
    <cellStyle name="20% - Accent6 6 2" xfId="3915"/>
    <cellStyle name="20% - Accent6 6 2 2" xfId="3916"/>
    <cellStyle name="20% - Accent6 6 2 2 2" xfId="3917"/>
    <cellStyle name="20% - Accent6 6 2 2 2 2" xfId="15107"/>
    <cellStyle name="20% - Accent6 6 2 2 2 3" xfId="19058"/>
    <cellStyle name="20% - Accent6 6 2 2 3" xfId="3918"/>
    <cellStyle name="20% - Accent6 6 2 2 3 2" xfId="15108"/>
    <cellStyle name="20% - Accent6 6 2 2 3 3" xfId="19059"/>
    <cellStyle name="20% - Accent6 6 2 2 4" xfId="15106"/>
    <cellStyle name="20% - Accent6 6 2 2 5" xfId="19057"/>
    <cellStyle name="20% - Accent6 6 2 3" xfId="3919"/>
    <cellStyle name="20% - Accent6 6 2 3 2" xfId="3920"/>
    <cellStyle name="20% - Accent6 6 2 3 2 2" xfId="15110"/>
    <cellStyle name="20% - Accent6 6 2 3 2 3" xfId="19061"/>
    <cellStyle name="20% - Accent6 6 2 3 3" xfId="3921"/>
    <cellStyle name="20% - Accent6 6 2 3 3 2" xfId="15111"/>
    <cellStyle name="20% - Accent6 6 2 3 3 3" xfId="19062"/>
    <cellStyle name="20% - Accent6 6 2 3 4" xfId="15109"/>
    <cellStyle name="20% - Accent6 6 2 3 5" xfId="19060"/>
    <cellStyle name="20% - Accent6 6 2 4" xfId="3922"/>
    <cellStyle name="20% - Accent6 6 2 4 2" xfId="3923"/>
    <cellStyle name="20% - Accent6 6 2 4 2 2" xfId="15113"/>
    <cellStyle name="20% - Accent6 6 2 4 2 3" xfId="19064"/>
    <cellStyle name="20% - Accent6 6 2 4 3" xfId="3924"/>
    <cellStyle name="20% - Accent6 6 2 4 3 2" xfId="15114"/>
    <cellStyle name="20% - Accent6 6 2 4 3 3" xfId="19065"/>
    <cellStyle name="20% - Accent6 6 2 4 4" xfId="15112"/>
    <cellStyle name="20% - Accent6 6 2 4 5" xfId="19063"/>
    <cellStyle name="20% - Accent6 6 2 5" xfId="3925"/>
    <cellStyle name="20% - Accent6 6 2 5 2" xfId="15115"/>
    <cellStyle name="20% - Accent6 6 2 5 3" xfId="19066"/>
    <cellStyle name="20% - Accent6 6 2 6" xfId="3926"/>
    <cellStyle name="20% - Accent6 6 2 6 2" xfId="15116"/>
    <cellStyle name="20% - Accent6 6 2 6 3" xfId="19067"/>
    <cellStyle name="20% - Accent6 6 2 7" xfId="15105"/>
    <cellStyle name="20% - Accent6 6 2 8" xfId="19056"/>
    <cellStyle name="20% - Accent6 6 2_Volatility" xfId="3927"/>
    <cellStyle name="20% - Accent6 6 3" xfId="3928"/>
    <cellStyle name="20% - Accent6 6 3 2" xfId="3929"/>
    <cellStyle name="20% - Accent6 6 3 2 2" xfId="3930"/>
    <cellStyle name="20% - Accent6 6 3 2 2 2" xfId="15119"/>
    <cellStyle name="20% - Accent6 6 3 2 2 3" xfId="19070"/>
    <cellStyle name="20% - Accent6 6 3 2 3" xfId="3931"/>
    <cellStyle name="20% - Accent6 6 3 2 3 2" xfId="15120"/>
    <cellStyle name="20% - Accent6 6 3 2 3 3" xfId="19071"/>
    <cellStyle name="20% - Accent6 6 3 2 4" xfId="15118"/>
    <cellStyle name="20% - Accent6 6 3 2 5" xfId="19069"/>
    <cellStyle name="20% - Accent6 6 3 3" xfId="3932"/>
    <cellStyle name="20% - Accent6 6 3 3 2" xfId="3933"/>
    <cellStyle name="20% - Accent6 6 3 3 2 2" xfId="15122"/>
    <cellStyle name="20% - Accent6 6 3 3 2 3" xfId="19073"/>
    <cellStyle name="20% - Accent6 6 3 3 3" xfId="3934"/>
    <cellStyle name="20% - Accent6 6 3 3 3 2" xfId="15123"/>
    <cellStyle name="20% - Accent6 6 3 3 3 3" xfId="19074"/>
    <cellStyle name="20% - Accent6 6 3 3 4" xfId="15121"/>
    <cellStyle name="20% - Accent6 6 3 3 5" xfId="19072"/>
    <cellStyle name="20% - Accent6 6 3 4" xfId="3935"/>
    <cellStyle name="20% - Accent6 6 3 4 2" xfId="15124"/>
    <cellStyle name="20% - Accent6 6 3 4 3" xfId="19075"/>
    <cellStyle name="20% - Accent6 6 3 5" xfId="3936"/>
    <cellStyle name="20% - Accent6 6 3 5 2" xfId="15125"/>
    <cellStyle name="20% - Accent6 6 3 5 3" xfId="19076"/>
    <cellStyle name="20% - Accent6 6 3 6" xfId="15117"/>
    <cellStyle name="20% - Accent6 6 3 7" xfId="19068"/>
    <cellStyle name="20% - Accent6 6 3_Volatility" xfId="3937"/>
    <cellStyle name="20% - Accent6 6 4" xfId="3938"/>
    <cellStyle name="20% - Accent6 6 4 2" xfId="3939"/>
    <cellStyle name="20% - Accent6 6 4 2 2" xfId="15127"/>
    <cellStyle name="20% - Accent6 6 4 2 3" xfId="19078"/>
    <cellStyle name="20% - Accent6 6 4 3" xfId="3940"/>
    <cellStyle name="20% - Accent6 6 4 3 2" xfId="15128"/>
    <cellStyle name="20% - Accent6 6 4 3 3" xfId="19079"/>
    <cellStyle name="20% - Accent6 6 4 4" xfId="15126"/>
    <cellStyle name="20% - Accent6 6 4 5" xfId="19077"/>
    <cellStyle name="20% - Accent6 6 5" xfId="3941"/>
    <cellStyle name="20% - Accent6 6 5 2" xfId="3942"/>
    <cellStyle name="20% - Accent6 6 5 2 2" xfId="15130"/>
    <cellStyle name="20% - Accent6 6 5 2 3" xfId="19081"/>
    <cellStyle name="20% - Accent6 6 5 3" xfId="3943"/>
    <cellStyle name="20% - Accent6 6 5 3 2" xfId="15131"/>
    <cellStyle name="20% - Accent6 6 5 3 3" xfId="19082"/>
    <cellStyle name="20% - Accent6 6 5 4" xfId="15129"/>
    <cellStyle name="20% - Accent6 6 5 5" xfId="19080"/>
    <cellStyle name="20% - Accent6 6 6" xfId="3944"/>
    <cellStyle name="20% - Accent6 6 6 2" xfId="3945"/>
    <cellStyle name="20% - Accent6 6 6 2 2" xfId="15133"/>
    <cellStyle name="20% - Accent6 6 6 2 3" xfId="19084"/>
    <cellStyle name="20% - Accent6 6 6 3" xfId="3946"/>
    <cellStyle name="20% - Accent6 6 6 3 2" xfId="15134"/>
    <cellStyle name="20% - Accent6 6 6 3 3" xfId="19085"/>
    <cellStyle name="20% - Accent6 6 6 4" xfId="15132"/>
    <cellStyle name="20% - Accent6 6 6 5" xfId="19083"/>
    <cellStyle name="20% - Accent6 6 7" xfId="3947"/>
    <cellStyle name="20% - Accent6 6 7 2" xfId="15135"/>
    <cellStyle name="20% - Accent6 6 7 3" xfId="19086"/>
    <cellStyle name="20% - Accent6 6 8" xfId="3948"/>
    <cellStyle name="20% - Accent6 6 8 2" xfId="15136"/>
    <cellStyle name="20% - Accent6 6 8 3" xfId="19087"/>
    <cellStyle name="20% - Accent6 6 9" xfId="15104"/>
    <cellStyle name="20% - Accent6 6_Volatility" xfId="3949"/>
    <cellStyle name="20% - Accent6 7" xfId="3950"/>
    <cellStyle name="20% - Accent6 7 10" xfId="19088"/>
    <cellStyle name="20% - Accent6 7 2" xfId="3951"/>
    <cellStyle name="20% - Accent6 7 2 2" xfId="3952"/>
    <cellStyle name="20% - Accent6 7 2 2 2" xfId="3953"/>
    <cellStyle name="20% - Accent6 7 2 2 2 2" xfId="15140"/>
    <cellStyle name="20% - Accent6 7 2 2 2 3" xfId="19091"/>
    <cellStyle name="20% - Accent6 7 2 2 3" xfId="3954"/>
    <cellStyle name="20% - Accent6 7 2 2 3 2" xfId="15141"/>
    <cellStyle name="20% - Accent6 7 2 2 3 3" xfId="19092"/>
    <cellStyle name="20% - Accent6 7 2 2 4" xfId="15139"/>
    <cellStyle name="20% - Accent6 7 2 2 5" xfId="19090"/>
    <cellStyle name="20% - Accent6 7 2 3" xfId="3955"/>
    <cellStyle name="20% - Accent6 7 2 3 2" xfId="3956"/>
    <cellStyle name="20% - Accent6 7 2 3 2 2" xfId="15143"/>
    <cellStyle name="20% - Accent6 7 2 3 2 3" xfId="19094"/>
    <cellStyle name="20% - Accent6 7 2 3 3" xfId="3957"/>
    <cellStyle name="20% - Accent6 7 2 3 3 2" xfId="15144"/>
    <cellStyle name="20% - Accent6 7 2 3 3 3" xfId="19095"/>
    <cellStyle name="20% - Accent6 7 2 3 4" xfId="15142"/>
    <cellStyle name="20% - Accent6 7 2 3 5" xfId="19093"/>
    <cellStyle name="20% - Accent6 7 2 4" xfId="3958"/>
    <cellStyle name="20% - Accent6 7 2 4 2" xfId="3959"/>
    <cellStyle name="20% - Accent6 7 2 4 2 2" xfId="15146"/>
    <cellStyle name="20% - Accent6 7 2 4 2 3" xfId="19097"/>
    <cellStyle name="20% - Accent6 7 2 4 3" xfId="3960"/>
    <cellStyle name="20% - Accent6 7 2 4 3 2" xfId="15147"/>
    <cellStyle name="20% - Accent6 7 2 4 3 3" xfId="19098"/>
    <cellStyle name="20% - Accent6 7 2 4 4" xfId="15145"/>
    <cellStyle name="20% - Accent6 7 2 4 5" xfId="19096"/>
    <cellStyle name="20% - Accent6 7 2 5" xfId="3961"/>
    <cellStyle name="20% - Accent6 7 2 5 2" xfId="15148"/>
    <cellStyle name="20% - Accent6 7 2 5 3" xfId="19099"/>
    <cellStyle name="20% - Accent6 7 2 6" xfId="3962"/>
    <cellStyle name="20% - Accent6 7 2 6 2" xfId="15149"/>
    <cellStyle name="20% - Accent6 7 2 6 3" xfId="19100"/>
    <cellStyle name="20% - Accent6 7 2 7" xfId="15138"/>
    <cellStyle name="20% - Accent6 7 2 8" xfId="19089"/>
    <cellStyle name="20% - Accent6 7 2_Volatility" xfId="3963"/>
    <cellStyle name="20% - Accent6 7 3" xfId="3964"/>
    <cellStyle name="20% - Accent6 7 3 2" xfId="3965"/>
    <cellStyle name="20% - Accent6 7 3 2 2" xfId="3966"/>
    <cellStyle name="20% - Accent6 7 3 2 2 2" xfId="15152"/>
    <cellStyle name="20% - Accent6 7 3 2 2 3" xfId="19103"/>
    <cellStyle name="20% - Accent6 7 3 2 3" xfId="3967"/>
    <cellStyle name="20% - Accent6 7 3 2 3 2" xfId="15153"/>
    <cellStyle name="20% - Accent6 7 3 2 3 3" xfId="19104"/>
    <cellStyle name="20% - Accent6 7 3 2 4" xfId="15151"/>
    <cellStyle name="20% - Accent6 7 3 2 5" xfId="19102"/>
    <cellStyle name="20% - Accent6 7 3 3" xfId="3968"/>
    <cellStyle name="20% - Accent6 7 3 3 2" xfId="3969"/>
    <cellStyle name="20% - Accent6 7 3 3 2 2" xfId="15155"/>
    <cellStyle name="20% - Accent6 7 3 3 2 3" xfId="19106"/>
    <cellStyle name="20% - Accent6 7 3 3 3" xfId="3970"/>
    <cellStyle name="20% - Accent6 7 3 3 3 2" xfId="15156"/>
    <cellStyle name="20% - Accent6 7 3 3 3 3" xfId="19107"/>
    <cellStyle name="20% - Accent6 7 3 3 4" xfId="15154"/>
    <cellStyle name="20% - Accent6 7 3 3 5" xfId="19105"/>
    <cellStyle name="20% - Accent6 7 3 4" xfId="3971"/>
    <cellStyle name="20% - Accent6 7 3 4 2" xfId="15157"/>
    <cellStyle name="20% - Accent6 7 3 4 3" xfId="19108"/>
    <cellStyle name="20% - Accent6 7 3 5" xfId="3972"/>
    <cellStyle name="20% - Accent6 7 3 5 2" xfId="15158"/>
    <cellStyle name="20% - Accent6 7 3 5 3" xfId="19109"/>
    <cellStyle name="20% - Accent6 7 3 6" xfId="15150"/>
    <cellStyle name="20% - Accent6 7 3 7" xfId="19101"/>
    <cellStyle name="20% - Accent6 7 3_Volatility" xfId="3973"/>
    <cellStyle name="20% - Accent6 7 4" xfId="3974"/>
    <cellStyle name="20% - Accent6 7 4 2" xfId="3975"/>
    <cellStyle name="20% - Accent6 7 4 2 2" xfId="15160"/>
    <cellStyle name="20% - Accent6 7 4 2 3" xfId="19111"/>
    <cellStyle name="20% - Accent6 7 4 3" xfId="3976"/>
    <cellStyle name="20% - Accent6 7 4 3 2" xfId="15161"/>
    <cellStyle name="20% - Accent6 7 4 3 3" xfId="19112"/>
    <cellStyle name="20% - Accent6 7 4 4" xfId="15159"/>
    <cellStyle name="20% - Accent6 7 4 5" xfId="19110"/>
    <cellStyle name="20% - Accent6 7 5" xfId="3977"/>
    <cellStyle name="20% - Accent6 7 5 2" xfId="3978"/>
    <cellStyle name="20% - Accent6 7 5 2 2" xfId="15163"/>
    <cellStyle name="20% - Accent6 7 5 2 3" xfId="19114"/>
    <cellStyle name="20% - Accent6 7 5 3" xfId="3979"/>
    <cellStyle name="20% - Accent6 7 5 3 2" xfId="15164"/>
    <cellStyle name="20% - Accent6 7 5 3 3" xfId="19115"/>
    <cellStyle name="20% - Accent6 7 5 4" xfId="15162"/>
    <cellStyle name="20% - Accent6 7 5 5" xfId="19113"/>
    <cellStyle name="20% - Accent6 7 6" xfId="3980"/>
    <cellStyle name="20% - Accent6 7 6 2" xfId="3981"/>
    <cellStyle name="20% - Accent6 7 6 2 2" xfId="15166"/>
    <cellStyle name="20% - Accent6 7 6 2 3" xfId="19117"/>
    <cellStyle name="20% - Accent6 7 6 3" xfId="3982"/>
    <cellStyle name="20% - Accent6 7 6 3 2" xfId="15167"/>
    <cellStyle name="20% - Accent6 7 6 3 3" xfId="19118"/>
    <cellStyle name="20% - Accent6 7 6 4" xfId="15165"/>
    <cellStyle name="20% - Accent6 7 6 5" xfId="19116"/>
    <cellStyle name="20% - Accent6 7 7" xfId="3983"/>
    <cellStyle name="20% - Accent6 7 7 2" xfId="15168"/>
    <cellStyle name="20% - Accent6 7 7 3" xfId="19119"/>
    <cellStyle name="20% - Accent6 7 8" xfId="3984"/>
    <cellStyle name="20% - Accent6 7 8 2" xfId="15169"/>
    <cellStyle name="20% - Accent6 7 8 3" xfId="19120"/>
    <cellStyle name="20% - Accent6 7 9" xfId="15137"/>
    <cellStyle name="20% - Accent6 7_Volatility" xfId="3985"/>
    <cellStyle name="20% - Accent6 8" xfId="3986"/>
    <cellStyle name="20% - Accent6 8 10" xfId="19121"/>
    <cellStyle name="20% - Accent6 8 2" xfId="3987"/>
    <cellStyle name="20% - Accent6 8 2 2" xfId="3988"/>
    <cellStyle name="20% - Accent6 8 2 2 2" xfId="3989"/>
    <cellStyle name="20% - Accent6 8 2 2 2 2" xfId="15173"/>
    <cellStyle name="20% - Accent6 8 2 2 2 3" xfId="19124"/>
    <cellStyle name="20% - Accent6 8 2 2 3" xfId="3990"/>
    <cellStyle name="20% - Accent6 8 2 2 3 2" xfId="15174"/>
    <cellStyle name="20% - Accent6 8 2 2 3 3" xfId="19125"/>
    <cellStyle name="20% - Accent6 8 2 2 4" xfId="15172"/>
    <cellStyle name="20% - Accent6 8 2 2 5" xfId="19123"/>
    <cellStyle name="20% - Accent6 8 2 3" xfId="3991"/>
    <cellStyle name="20% - Accent6 8 2 3 2" xfId="3992"/>
    <cellStyle name="20% - Accent6 8 2 3 2 2" xfId="15176"/>
    <cellStyle name="20% - Accent6 8 2 3 2 3" xfId="19127"/>
    <cellStyle name="20% - Accent6 8 2 3 3" xfId="3993"/>
    <cellStyle name="20% - Accent6 8 2 3 3 2" xfId="15177"/>
    <cellStyle name="20% - Accent6 8 2 3 3 3" xfId="19128"/>
    <cellStyle name="20% - Accent6 8 2 3 4" xfId="15175"/>
    <cellStyle name="20% - Accent6 8 2 3 5" xfId="19126"/>
    <cellStyle name="20% - Accent6 8 2 4" xfId="3994"/>
    <cellStyle name="20% - Accent6 8 2 4 2" xfId="3995"/>
    <cellStyle name="20% - Accent6 8 2 4 2 2" xfId="15179"/>
    <cellStyle name="20% - Accent6 8 2 4 2 3" xfId="19130"/>
    <cellStyle name="20% - Accent6 8 2 4 3" xfId="3996"/>
    <cellStyle name="20% - Accent6 8 2 4 3 2" xfId="15180"/>
    <cellStyle name="20% - Accent6 8 2 4 3 3" xfId="19131"/>
    <cellStyle name="20% - Accent6 8 2 4 4" xfId="15178"/>
    <cellStyle name="20% - Accent6 8 2 4 5" xfId="19129"/>
    <cellStyle name="20% - Accent6 8 2 5" xfId="3997"/>
    <cellStyle name="20% - Accent6 8 2 5 2" xfId="15181"/>
    <cellStyle name="20% - Accent6 8 2 5 3" xfId="19132"/>
    <cellStyle name="20% - Accent6 8 2 6" xfId="3998"/>
    <cellStyle name="20% - Accent6 8 2 6 2" xfId="15182"/>
    <cellStyle name="20% - Accent6 8 2 6 3" xfId="19133"/>
    <cellStyle name="20% - Accent6 8 2 7" xfId="15171"/>
    <cellStyle name="20% - Accent6 8 2 8" xfId="19122"/>
    <cellStyle name="20% - Accent6 8 2_Volatility" xfId="3999"/>
    <cellStyle name="20% - Accent6 8 3" xfId="4000"/>
    <cellStyle name="20% - Accent6 8 3 2" xfId="4001"/>
    <cellStyle name="20% - Accent6 8 3 2 2" xfId="4002"/>
    <cellStyle name="20% - Accent6 8 3 2 2 2" xfId="15185"/>
    <cellStyle name="20% - Accent6 8 3 2 2 3" xfId="19136"/>
    <cellStyle name="20% - Accent6 8 3 2 3" xfId="4003"/>
    <cellStyle name="20% - Accent6 8 3 2 3 2" xfId="15186"/>
    <cellStyle name="20% - Accent6 8 3 2 3 3" xfId="19137"/>
    <cellStyle name="20% - Accent6 8 3 2 4" xfId="15184"/>
    <cellStyle name="20% - Accent6 8 3 2 5" xfId="19135"/>
    <cellStyle name="20% - Accent6 8 3 3" xfId="4004"/>
    <cellStyle name="20% - Accent6 8 3 3 2" xfId="4005"/>
    <cellStyle name="20% - Accent6 8 3 3 2 2" xfId="15188"/>
    <cellStyle name="20% - Accent6 8 3 3 2 3" xfId="19139"/>
    <cellStyle name="20% - Accent6 8 3 3 3" xfId="4006"/>
    <cellStyle name="20% - Accent6 8 3 3 3 2" xfId="15189"/>
    <cellStyle name="20% - Accent6 8 3 3 3 3" xfId="19140"/>
    <cellStyle name="20% - Accent6 8 3 3 4" xfId="15187"/>
    <cellStyle name="20% - Accent6 8 3 3 5" xfId="19138"/>
    <cellStyle name="20% - Accent6 8 3 4" xfId="4007"/>
    <cellStyle name="20% - Accent6 8 3 4 2" xfId="15190"/>
    <cellStyle name="20% - Accent6 8 3 4 3" xfId="19141"/>
    <cellStyle name="20% - Accent6 8 3 5" xfId="4008"/>
    <cellStyle name="20% - Accent6 8 3 5 2" xfId="15191"/>
    <cellStyle name="20% - Accent6 8 3 5 3" xfId="19142"/>
    <cellStyle name="20% - Accent6 8 3 6" xfId="15183"/>
    <cellStyle name="20% - Accent6 8 3 7" xfId="19134"/>
    <cellStyle name="20% - Accent6 8 3_Volatility" xfId="4009"/>
    <cellStyle name="20% - Accent6 8 4" xfId="4010"/>
    <cellStyle name="20% - Accent6 8 4 2" xfId="4011"/>
    <cellStyle name="20% - Accent6 8 4 2 2" xfId="15193"/>
    <cellStyle name="20% - Accent6 8 4 2 3" xfId="19144"/>
    <cellStyle name="20% - Accent6 8 4 3" xfId="4012"/>
    <cellStyle name="20% - Accent6 8 4 3 2" xfId="15194"/>
    <cellStyle name="20% - Accent6 8 4 3 3" xfId="19145"/>
    <cellStyle name="20% - Accent6 8 4 4" xfId="15192"/>
    <cellStyle name="20% - Accent6 8 4 5" xfId="19143"/>
    <cellStyle name="20% - Accent6 8 5" xfId="4013"/>
    <cellStyle name="20% - Accent6 8 5 2" xfId="4014"/>
    <cellStyle name="20% - Accent6 8 5 2 2" xfId="15196"/>
    <cellStyle name="20% - Accent6 8 5 2 3" xfId="19147"/>
    <cellStyle name="20% - Accent6 8 5 3" xfId="4015"/>
    <cellStyle name="20% - Accent6 8 5 3 2" xfId="15197"/>
    <cellStyle name="20% - Accent6 8 5 3 3" xfId="19148"/>
    <cellStyle name="20% - Accent6 8 5 4" xfId="15195"/>
    <cellStyle name="20% - Accent6 8 5 5" xfId="19146"/>
    <cellStyle name="20% - Accent6 8 6" xfId="4016"/>
    <cellStyle name="20% - Accent6 8 6 2" xfId="4017"/>
    <cellStyle name="20% - Accent6 8 6 2 2" xfId="15199"/>
    <cellStyle name="20% - Accent6 8 6 2 3" xfId="19150"/>
    <cellStyle name="20% - Accent6 8 6 3" xfId="4018"/>
    <cellStyle name="20% - Accent6 8 6 3 2" xfId="15200"/>
    <cellStyle name="20% - Accent6 8 6 3 3" xfId="19151"/>
    <cellStyle name="20% - Accent6 8 6 4" xfId="15198"/>
    <cellStyle name="20% - Accent6 8 6 5" xfId="19149"/>
    <cellStyle name="20% - Accent6 8 7" xfId="4019"/>
    <cellStyle name="20% - Accent6 8 7 2" xfId="15201"/>
    <cellStyle name="20% - Accent6 8 7 3" xfId="19152"/>
    <cellStyle name="20% - Accent6 8 8" xfId="4020"/>
    <cellStyle name="20% - Accent6 8 8 2" xfId="15202"/>
    <cellStyle name="20% - Accent6 8 8 3" xfId="19153"/>
    <cellStyle name="20% - Accent6 8 9" xfId="15170"/>
    <cellStyle name="20% - Accent6 8_Volatility" xfId="4021"/>
    <cellStyle name="20% - Accent6 9" xfId="4022"/>
    <cellStyle name="20% - Accent6 9 10" xfId="19154"/>
    <cellStyle name="20% - Accent6 9 2" xfId="4023"/>
    <cellStyle name="20% - Accent6 9 2 2" xfId="4024"/>
    <cellStyle name="20% - Accent6 9 2 2 2" xfId="4025"/>
    <cellStyle name="20% - Accent6 9 2 2 2 2" xfId="15206"/>
    <cellStyle name="20% - Accent6 9 2 2 2 3" xfId="19157"/>
    <cellStyle name="20% - Accent6 9 2 2 3" xfId="4026"/>
    <cellStyle name="20% - Accent6 9 2 2 3 2" xfId="15207"/>
    <cellStyle name="20% - Accent6 9 2 2 3 3" xfId="19158"/>
    <cellStyle name="20% - Accent6 9 2 2 4" xfId="15205"/>
    <cellStyle name="20% - Accent6 9 2 2 5" xfId="19156"/>
    <cellStyle name="20% - Accent6 9 2 3" xfId="4027"/>
    <cellStyle name="20% - Accent6 9 2 3 2" xfId="4028"/>
    <cellStyle name="20% - Accent6 9 2 3 2 2" xfId="15209"/>
    <cellStyle name="20% - Accent6 9 2 3 2 3" xfId="19160"/>
    <cellStyle name="20% - Accent6 9 2 3 3" xfId="4029"/>
    <cellStyle name="20% - Accent6 9 2 3 3 2" xfId="15210"/>
    <cellStyle name="20% - Accent6 9 2 3 3 3" xfId="19161"/>
    <cellStyle name="20% - Accent6 9 2 3 4" xfId="15208"/>
    <cellStyle name="20% - Accent6 9 2 3 5" xfId="19159"/>
    <cellStyle name="20% - Accent6 9 2 4" xfId="4030"/>
    <cellStyle name="20% - Accent6 9 2 4 2" xfId="4031"/>
    <cellStyle name="20% - Accent6 9 2 4 2 2" xfId="15212"/>
    <cellStyle name="20% - Accent6 9 2 4 2 3" xfId="19163"/>
    <cellStyle name="20% - Accent6 9 2 4 3" xfId="4032"/>
    <cellStyle name="20% - Accent6 9 2 4 3 2" xfId="15213"/>
    <cellStyle name="20% - Accent6 9 2 4 3 3" xfId="19164"/>
    <cellStyle name="20% - Accent6 9 2 4 4" xfId="15211"/>
    <cellStyle name="20% - Accent6 9 2 4 5" xfId="19162"/>
    <cellStyle name="20% - Accent6 9 2 5" xfId="4033"/>
    <cellStyle name="20% - Accent6 9 2 5 2" xfId="15214"/>
    <cellStyle name="20% - Accent6 9 2 5 3" xfId="19165"/>
    <cellStyle name="20% - Accent6 9 2 6" xfId="4034"/>
    <cellStyle name="20% - Accent6 9 2 6 2" xfId="15215"/>
    <cellStyle name="20% - Accent6 9 2 6 3" xfId="19166"/>
    <cellStyle name="20% - Accent6 9 2 7" xfId="15204"/>
    <cellStyle name="20% - Accent6 9 2 8" xfId="19155"/>
    <cellStyle name="20% - Accent6 9 2_Volatility" xfId="4035"/>
    <cellStyle name="20% - Accent6 9 3" xfId="4036"/>
    <cellStyle name="20% - Accent6 9 3 2" xfId="4037"/>
    <cellStyle name="20% - Accent6 9 3 2 2" xfId="4038"/>
    <cellStyle name="20% - Accent6 9 3 2 2 2" xfId="15218"/>
    <cellStyle name="20% - Accent6 9 3 2 2 3" xfId="19169"/>
    <cellStyle name="20% - Accent6 9 3 2 3" xfId="4039"/>
    <cellStyle name="20% - Accent6 9 3 2 3 2" xfId="15219"/>
    <cellStyle name="20% - Accent6 9 3 2 3 3" xfId="19170"/>
    <cellStyle name="20% - Accent6 9 3 2 4" xfId="15217"/>
    <cellStyle name="20% - Accent6 9 3 2 5" xfId="19168"/>
    <cellStyle name="20% - Accent6 9 3 3" xfId="4040"/>
    <cellStyle name="20% - Accent6 9 3 3 2" xfId="4041"/>
    <cellStyle name="20% - Accent6 9 3 3 2 2" xfId="15221"/>
    <cellStyle name="20% - Accent6 9 3 3 2 3" xfId="19172"/>
    <cellStyle name="20% - Accent6 9 3 3 3" xfId="4042"/>
    <cellStyle name="20% - Accent6 9 3 3 3 2" xfId="15222"/>
    <cellStyle name="20% - Accent6 9 3 3 3 3" xfId="19173"/>
    <cellStyle name="20% - Accent6 9 3 3 4" xfId="15220"/>
    <cellStyle name="20% - Accent6 9 3 3 5" xfId="19171"/>
    <cellStyle name="20% - Accent6 9 3 4" xfId="4043"/>
    <cellStyle name="20% - Accent6 9 3 4 2" xfId="15223"/>
    <cellStyle name="20% - Accent6 9 3 4 3" xfId="19174"/>
    <cellStyle name="20% - Accent6 9 3 5" xfId="4044"/>
    <cellStyle name="20% - Accent6 9 3 5 2" xfId="15224"/>
    <cellStyle name="20% - Accent6 9 3 5 3" xfId="19175"/>
    <cellStyle name="20% - Accent6 9 3 6" xfId="15216"/>
    <cellStyle name="20% - Accent6 9 3 7" xfId="19167"/>
    <cellStyle name="20% - Accent6 9 3_Volatility" xfId="4045"/>
    <cellStyle name="20% - Accent6 9 4" xfId="4046"/>
    <cellStyle name="20% - Accent6 9 4 2" xfId="4047"/>
    <cellStyle name="20% - Accent6 9 4 2 2" xfId="15226"/>
    <cellStyle name="20% - Accent6 9 4 2 3" xfId="19177"/>
    <cellStyle name="20% - Accent6 9 4 3" xfId="4048"/>
    <cellStyle name="20% - Accent6 9 4 3 2" xfId="15227"/>
    <cellStyle name="20% - Accent6 9 4 3 3" xfId="19178"/>
    <cellStyle name="20% - Accent6 9 4 4" xfId="15225"/>
    <cellStyle name="20% - Accent6 9 4 5" xfId="19176"/>
    <cellStyle name="20% - Accent6 9 5" xfId="4049"/>
    <cellStyle name="20% - Accent6 9 5 2" xfId="4050"/>
    <cellStyle name="20% - Accent6 9 5 2 2" xfId="15229"/>
    <cellStyle name="20% - Accent6 9 5 2 3" xfId="19180"/>
    <cellStyle name="20% - Accent6 9 5 3" xfId="4051"/>
    <cellStyle name="20% - Accent6 9 5 3 2" xfId="15230"/>
    <cellStyle name="20% - Accent6 9 5 3 3" xfId="19181"/>
    <cellStyle name="20% - Accent6 9 5 4" xfId="15228"/>
    <cellStyle name="20% - Accent6 9 5 5" xfId="19179"/>
    <cellStyle name="20% - Accent6 9 6" xfId="4052"/>
    <cellStyle name="20% - Accent6 9 6 2" xfId="4053"/>
    <cellStyle name="20% - Accent6 9 6 2 2" xfId="15232"/>
    <cellStyle name="20% - Accent6 9 6 2 3" xfId="19183"/>
    <cellStyle name="20% - Accent6 9 6 3" xfId="4054"/>
    <cellStyle name="20% - Accent6 9 6 3 2" xfId="15233"/>
    <cellStyle name="20% - Accent6 9 6 3 3" xfId="19184"/>
    <cellStyle name="20% - Accent6 9 6 4" xfId="15231"/>
    <cellStyle name="20% - Accent6 9 6 5" xfId="19182"/>
    <cellStyle name="20% - Accent6 9 7" xfId="4055"/>
    <cellStyle name="20% - Accent6 9 7 2" xfId="15234"/>
    <cellStyle name="20% - Accent6 9 7 3" xfId="19185"/>
    <cellStyle name="20% - Accent6 9 8" xfId="4056"/>
    <cellStyle name="20% - Accent6 9 8 2" xfId="15235"/>
    <cellStyle name="20% - Accent6 9 8 3" xfId="19186"/>
    <cellStyle name="20% - Accent6 9 9" xfId="15203"/>
    <cellStyle name="20% - Accent6 9_Volatility" xfId="4057"/>
    <cellStyle name="20% - Ênfase1" xfId="4058"/>
    <cellStyle name="20% - Ênfase2" xfId="4059"/>
    <cellStyle name="20% - Ênfase3" xfId="4060"/>
    <cellStyle name="20% - Ênfase4" xfId="4061"/>
    <cellStyle name="20% - Ênfase5" xfId="4062"/>
    <cellStyle name="20% - Ênfase6" xfId="4063"/>
    <cellStyle name="20% - Énfasis1" xfId="4064"/>
    <cellStyle name="20% - Énfasis2" xfId="4065"/>
    <cellStyle name="20% - Énfasis3" xfId="4066"/>
    <cellStyle name="20% - Énfasis4" xfId="4067"/>
    <cellStyle name="20% - Énfasis5" xfId="4068"/>
    <cellStyle name="20% - Énfasis6" xfId="4069"/>
    <cellStyle name="20% - 강조색1" xfId="4070"/>
    <cellStyle name="20% - 강조색1 2" xfId="4071"/>
    <cellStyle name="20% - 강조색2" xfId="4072"/>
    <cellStyle name="20% - 강조색2 2" xfId="4073"/>
    <cellStyle name="20% - 강조색3" xfId="4074"/>
    <cellStyle name="20% - 강조색3 2" xfId="4075"/>
    <cellStyle name="20% - 강조색4" xfId="4076"/>
    <cellStyle name="20% - 강조색4 2" xfId="4077"/>
    <cellStyle name="20% - 강조색5" xfId="4078"/>
    <cellStyle name="20% - 강조색5 2" xfId="4079"/>
    <cellStyle name="20% - 강조색6" xfId="4080"/>
    <cellStyle name="20% - 강조색6 2" xfId="4081"/>
    <cellStyle name="2DecimalPercent" xfId="4082"/>
    <cellStyle name="2DecimalPercent 2" xfId="4083"/>
    <cellStyle name="2DecimalPercent 2 2" xfId="4084"/>
    <cellStyle name="2DecimalPercent 3" xfId="4085"/>
    <cellStyle name="2DecimalPercent 4" xfId="4086"/>
    <cellStyle name="2DecimalPercent 5" xfId="4087"/>
    <cellStyle name="2Decimals" xfId="4088"/>
    <cellStyle name="2Decimals 2" xfId="4089"/>
    <cellStyle name="2Decimals 2 2" xfId="4090"/>
    <cellStyle name="2Decimals 3" xfId="4091"/>
    <cellStyle name="2Decimals 4" xfId="4092"/>
    <cellStyle name="2Decimals 5" xfId="4093"/>
    <cellStyle name="2places" xfId="4094"/>
    <cellStyle name="³f¹ô[0]_P721-Spd" xfId="4095"/>
    <cellStyle name="³f¹ô_P721-Spd" xfId="4096"/>
    <cellStyle name="4 spaces" xfId="16346"/>
    <cellStyle name="40% - Accent1 10" xfId="4097"/>
    <cellStyle name="40% - Accent1 10 10" xfId="19187"/>
    <cellStyle name="40% - Accent1 10 2" xfId="4098"/>
    <cellStyle name="40% - Accent1 10 2 2" xfId="4099"/>
    <cellStyle name="40% - Accent1 10 2 2 2" xfId="4100"/>
    <cellStyle name="40% - Accent1 10 2 2 2 2" xfId="15239"/>
    <cellStyle name="40% - Accent1 10 2 2 2 3" xfId="19190"/>
    <cellStyle name="40% - Accent1 10 2 2 3" xfId="4101"/>
    <cellStyle name="40% - Accent1 10 2 2 3 2" xfId="15240"/>
    <cellStyle name="40% - Accent1 10 2 2 3 3" xfId="19191"/>
    <cellStyle name="40% - Accent1 10 2 2 4" xfId="15238"/>
    <cellStyle name="40% - Accent1 10 2 2 5" xfId="19189"/>
    <cellStyle name="40% - Accent1 10 2 3" xfId="4102"/>
    <cellStyle name="40% - Accent1 10 2 3 2" xfId="4103"/>
    <cellStyle name="40% - Accent1 10 2 3 2 2" xfId="15242"/>
    <cellStyle name="40% - Accent1 10 2 3 2 3" xfId="19193"/>
    <cellStyle name="40% - Accent1 10 2 3 3" xfId="4104"/>
    <cellStyle name="40% - Accent1 10 2 3 3 2" xfId="15243"/>
    <cellStyle name="40% - Accent1 10 2 3 3 3" xfId="19194"/>
    <cellStyle name="40% - Accent1 10 2 3 4" xfId="15241"/>
    <cellStyle name="40% - Accent1 10 2 3 5" xfId="19192"/>
    <cellStyle name="40% - Accent1 10 2 4" xfId="4105"/>
    <cellStyle name="40% - Accent1 10 2 4 2" xfId="4106"/>
    <cellStyle name="40% - Accent1 10 2 4 2 2" xfId="15245"/>
    <cellStyle name="40% - Accent1 10 2 4 2 3" xfId="19196"/>
    <cellStyle name="40% - Accent1 10 2 4 3" xfId="4107"/>
    <cellStyle name="40% - Accent1 10 2 4 3 2" xfId="15246"/>
    <cellStyle name="40% - Accent1 10 2 4 3 3" xfId="19197"/>
    <cellStyle name="40% - Accent1 10 2 4 4" xfId="15244"/>
    <cellStyle name="40% - Accent1 10 2 4 5" xfId="19195"/>
    <cellStyle name="40% - Accent1 10 2 5" xfId="4108"/>
    <cellStyle name="40% - Accent1 10 2 5 2" xfId="15247"/>
    <cellStyle name="40% - Accent1 10 2 5 3" xfId="19198"/>
    <cellStyle name="40% - Accent1 10 2 6" xfId="4109"/>
    <cellStyle name="40% - Accent1 10 2 6 2" xfId="15248"/>
    <cellStyle name="40% - Accent1 10 2 6 3" xfId="19199"/>
    <cellStyle name="40% - Accent1 10 2 7" xfId="15237"/>
    <cellStyle name="40% - Accent1 10 2 8" xfId="19188"/>
    <cellStyle name="40% - Accent1 10 2_Volatility" xfId="4110"/>
    <cellStyle name="40% - Accent1 10 3" xfId="4111"/>
    <cellStyle name="40% - Accent1 10 3 2" xfId="4112"/>
    <cellStyle name="40% - Accent1 10 3 2 2" xfId="4113"/>
    <cellStyle name="40% - Accent1 10 3 2 2 2" xfId="15251"/>
    <cellStyle name="40% - Accent1 10 3 2 2 3" xfId="19202"/>
    <cellStyle name="40% - Accent1 10 3 2 3" xfId="4114"/>
    <cellStyle name="40% - Accent1 10 3 2 3 2" xfId="15252"/>
    <cellStyle name="40% - Accent1 10 3 2 3 3" xfId="19203"/>
    <cellStyle name="40% - Accent1 10 3 2 4" xfId="15250"/>
    <cellStyle name="40% - Accent1 10 3 2 5" xfId="19201"/>
    <cellStyle name="40% - Accent1 10 3 3" xfId="4115"/>
    <cellStyle name="40% - Accent1 10 3 3 2" xfId="4116"/>
    <cellStyle name="40% - Accent1 10 3 3 2 2" xfId="15254"/>
    <cellStyle name="40% - Accent1 10 3 3 2 3" xfId="19205"/>
    <cellStyle name="40% - Accent1 10 3 3 3" xfId="4117"/>
    <cellStyle name="40% - Accent1 10 3 3 3 2" xfId="15255"/>
    <cellStyle name="40% - Accent1 10 3 3 3 3" xfId="19206"/>
    <cellStyle name="40% - Accent1 10 3 3 4" xfId="15253"/>
    <cellStyle name="40% - Accent1 10 3 3 5" xfId="19204"/>
    <cellStyle name="40% - Accent1 10 3 4" xfId="4118"/>
    <cellStyle name="40% - Accent1 10 3 4 2" xfId="15256"/>
    <cellStyle name="40% - Accent1 10 3 4 3" xfId="19207"/>
    <cellStyle name="40% - Accent1 10 3 5" xfId="4119"/>
    <cellStyle name="40% - Accent1 10 3 5 2" xfId="15257"/>
    <cellStyle name="40% - Accent1 10 3 5 3" xfId="19208"/>
    <cellStyle name="40% - Accent1 10 3 6" xfId="15249"/>
    <cellStyle name="40% - Accent1 10 3 7" xfId="19200"/>
    <cellStyle name="40% - Accent1 10 3_Volatility" xfId="4120"/>
    <cellStyle name="40% - Accent1 10 4" xfId="4121"/>
    <cellStyle name="40% - Accent1 10 4 2" xfId="4122"/>
    <cellStyle name="40% - Accent1 10 4 2 2" xfId="15259"/>
    <cellStyle name="40% - Accent1 10 4 2 3" xfId="19210"/>
    <cellStyle name="40% - Accent1 10 4 3" xfId="4123"/>
    <cellStyle name="40% - Accent1 10 4 3 2" xfId="15260"/>
    <cellStyle name="40% - Accent1 10 4 3 3" xfId="19211"/>
    <cellStyle name="40% - Accent1 10 4 4" xfId="15258"/>
    <cellStyle name="40% - Accent1 10 4 5" xfId="19209"/>
    <cellStyle name="40% - Accent1 10 5" xfId="4124"/>
    <cellStyle name="40% - Accent1 10 5 2" xfId="4125"/>
    <cellStyle name="40% - Accent1 10 5 2 2" xfId="15262"/>
    <cellStyle name="40% - Accent1 10 5 2 3" xfId="19213"/>
    <cellStyle name="40% - Accent1 10 5 3" xfId="4126"/>
    <cellStyle name="40% - Accent1 10 5 3 2" xfId="15263"/>
    <cellStyle name="40% - Accent1 10 5 3 3" xfId="19214"/>
    <cellStyle name="40% - Accent1 10 5 4" xfId="15261"/>
    <cellStyle name="40% - Accent1 10 5 5" xfId="19212"/>
    <cellStyle name="40% - Accent1 10 6" xfId="4127"/>
    <cellStyle name="40% - Accent1 10 6 2" xfId="4128"/>
    <cellStyle name="40% - Accent1 10 6 2 2" xfId="15265"/>
    <cellStyle name="40% - Accent1 10 6 2 3" xfId="19216"/>
    <cellStyle name="40% - Accent1 10 6 3" xfId="4129"/>
    <cellStyle name="40% - Accent1 10 6 3 2" xfId="15266"/>
    <cellStyle name="40% - Accent1 10 6 3 3" xfId="19217"/>
    <cellStyle name="40% - Accent1 10 6 4" xfId="15264"/>
    <cellStyle name="40% - Accent1 10 6 5" xfId="19215"/>
    <cellStyle name="40% - Accent1 10 7" xfId="4130"/>
    <cellStyle name="40% - Accent1 10 7 2" xfId="15267"/>
    <cellStyle name="40% - Accent1 10 7 3" xfId="19218"/>
    <cellStyle name="40% - Accent1 10 8" xfId="4131"/>
    <cellStyle name="40% - Accent1 10 8 2" xfId="15268"/>
    <cellStyle name="40% - Accent1 10 8 3" xfId="19219"/>
    <cellStyle name="40% - Accent1 10 9" xfId="15236"/>
    <cellStyle name="40% - Accent1 10_Volatility" xfId="4132"/>
    <cellStyle name="40% - Accent1 11" xfId="4133"/>
    <cellStyle name="40% - Accent1 11 10" xfId="19220"/>
    <cellStyle name="40% - Accent1 11 2" xfId="4134"/>
    <cellStyle name="40% - Accent1 11 2 2" xfId="4135"/>
    <cellStyle name="40% - Accent1 11 2 2 2" xfId="4136"/>
    <cellStyle name="40% - Accent1 11 2 2 2 2" xfId="15272"/>
    <cellStyle name="40% - Accent1 11 2 2 2 3" xfId="19223"/>
    <cellStyle name="40% - Accent1 11 2 2 3" xfId="4137"/>
    <cellStyle name="40% - Accent1 11 2 2 3 2" xfId="15273"/>
    <cellStyle name="40% - Accent1 11 2 2 3 3" xfId="19224"/>
    <cellStyle name="40% - Accent1 11 2 2 4" xfId="15271"/>
    <cellStyle name="40% - Accent1 11 2 2 5" xfId="19222"/>
    <cellStyle name="40% - Accent1 11 2 3" xfId="4138"/>
    <cellStyle name="40% - Accent1 11 2 3 2" xfId="4139"/>
    <cellStyle name="40% - Accent1 11 2 3 2 2" xfId="15275"/>
    <cellStyle name="40% - Accent1 11 2 3 2 3" xfId="19226"/>
    <cellStyle name="40% - Accent1 11 2 3 3" xfId="4140"/>
    <cellStyle name="40% - Accent1 11 2 3 3 2" xfId="15276"/>
    <cellStyle name="40% - Accent1 11 2 3 3 3" xfId="19227"/>
    <cellStyle name="40% - Accent1 11 2 3 4" xfId="15274"/>
    <cellStyle name="40% - Accent1 11 2 3 5" xfId="19225"/>
    <cellStyle name="40% - Accent1 11 2 4" xfId="4141"/>
    <cellStyle name="40% - Accent1 11 2 4 2" xfId="4142"/>
    <cellStyle name="40% - Accent1 11 2 4 2 2" xfId="15278"/>
    <cellStyle name="40% - Accent1 11 2 4 2 3" xfId="19229"/>
    <cellStyle name="40% - Accent1 11 2 4 3" xfId="4143"/>
    <cellStyle name="40% - Accent1 11 2 4 3 2" xfId="15279"/>
    <cellStyle name="40% - Accent1 11 2 4 3 3" xfId="19230"/>
    <cellStyle name="40% - Accent1 11 2 4 4" xfId="15277"/>
    <cellStyle name="40% - Accent1 11 2 4 5" xfId="19228"/>
    <cellStyle name="40% - Accent1 11 2 5" xfId="4144"/>
    <cellStyle name="40% - Accent1 11 2 5 2" xfId="15280"/>
    <cellStyle name="40% - Accent1 11 2 5 3" xfId="19231"/>
    <cellStyle name="40% - Accent1 11 2 6" xfId="4145"/>
    <cellStyle name="40% - Accent1 11 2 6 2" xfId="15281"/>
    <cellStyle name="40% - Accent1 11 2 6 3" xfId="19232"/>
    <cellStyle name="40% - Accent1 11 2 7" xfId="15270"/>
    <cellStyle name="40% - Accent1 11 2 8" xfId="19221"/>
    <cellStyle name="40% - Accent1 11 2_Volatility" xfId="4146"/>
    <cellStyle name="40% - Accent1 11 3" xfId="4147"/>
    <cellStyle name="40% - Accent1 11 3 2" xfId="4148"/>
    <cellStyle name="40% - Accent1 11 3 2 2" xfId="4149"/>
    <cellStyle name="40% - Accent1 11 3 2 2 2" xfId="15284"/>
    <cellStyle name="40% - Accent1 11 3 2 2 3" xfId="19235"/>
    <cellStyle name="40% - Accent1 11 3 2 3" xfId="4150"/>
    <cellStyle name="40% - Accent1 11 3 2 3 2" xfId="15285"/>
    <cellStyle name="40% - Accent1 11 3 2 3 3" xfId="19236"/>
    <cellStyle name="40% - Accent1 11 3 2 4" xfId="15283"/>
    <cellStyle name="40% - Accent1 11 3 2 5" xfId="19234"/>
    <cellStyle name="40% - Accent1 11 3 3" xfId="4151"/>
    <cellStyle name="40% - Accent1 11 3 3 2" xfId="4152"/>
    <cellStyle name="40% - Accent1 11 3 3 2 2" xfId="15287"/>
    <cellStyle name="40% - Accent1 11 3 3 2 3" xfId="19238"/>
    <cellStyle name="40% - Accent1 11 3 3 3" xfId="4153"/>
    <cellStyle name="40% - Accent1 11 3 3 3 2" xfId="15288"/>
    <cellStyle name="40% - Accent1 11 3 3 3 3" xfId="19239"/>
    <cellStyle name="40% - Accent1 11 3 3 4" xfId="15286"/>
    <cellStyle name="40% - Accent1 11 3 3 5" xfId="19237"/>
    <cellStyle name="40% - Accent1 11 3 4" xfId="4154"/>
    <cellStyle name="40% - Accent1 11 3 4 2" xfId="15289"/>
    <cellStyle name="40% - Accent1 11 3 4 3" xfId="19240"/>
    <cellStyle name="40% - Accent1 11 3 5" xfId="4155"/>
    <cellStyle name="40% - Accent1 11 3 5 2" xfId="15290"/>
    <cellStyle name="40% - Accent1 11 3 5 3" xfId="19241"/>
    <cellStyle name="40% - Accent1 11 3 6" xfId="15282"/>
    <cellStyle name="40% - Accent1 11 3 7" xfId="19233"/>
    <cellStyle name="40% - Accent1 11 3_Volatility" xfId="4156"/>
    <cellStyle name="40% - Accent1 11 4" xfId="4157"/>
    <cellStyle name="40% - Accent1 11 4 2" xfId="4158"/>
    <cellStyle name="40% - Accent1 11 4 2 2" xfId="15292"/>
    <cellStyle name="40% - Accent1 11 4 2 3" xfId="19243"/>
    <cellStyle name="40% - Accent1 11 4 3" xfId="4159"/>
    <cellStyle name="40% - Accent1 11 4 3 2" xfId="15293"/>
    <cellStyle name="40% - Accent1 11 4 3 3" xfId="19244"/>
    <cellStyle name="40% - Accent1 11 4 4" xfId="15291"/>
    <cellStyle name="40% - Accent1 11 4 5" xfId="19242"/>
    <cellStyle name="40% - Accent1 11 5" xfId="4160"/>
    <cellStyle name="40% - Accent1 11 5 2" xfId="4161"/>
    <cellStyle name="40% - Accent1 11 5 2 2" xfId="15295"/>
    <cellStyle name="40% - Accent1 11 5 2 3" xfId="19246"/>
    <cellStyle name="40% - Accent1 11 5 3" xfId="4162"/>
    <cellStyle name="40% - Accent1 11 5 3 2" xfId="15296"/>
    <cellStyle name="40% - Accent1 11 5 3 3" xfId="19247"/>
    <cellStyle name="40% - Accent1 11 5 4" xfId="15294"/>
    <cellStyle name="40% - Accent1 11 5 5" xfId="19245"/>
    <cellStyle name="40% - Accent1 11 6" xfId="4163"/>
    <cellStyle name="40% - Accent1 11 6 2" xfId="4164"/>
    <cellStyle name="40% - Accent1 11 6 2 2" xfId="15298"/>
    <cellStyle name="40% - Accent1 11 6 2 3" xfId="19249"/>
    <cellStyle name="40% - Accent1 11 6 3" xfId="4165"/>
    <cellStyle name="40% - Accent1 11 6 3 2" xfId="15299"/>
    <cellStyle name="40% - Accent1 11 6 3 3" xfId="19250"/>
    <cellStyle name="40% - Accent1 11 6 4" xfId="15297"/>
    <cellStyle name="40% - Accent1 11 6 5" xfId="19248"/>
    <cellStyle name="40% - Accent1 11 7" xfId="4166"/>
    <cellStyle name="40% - Accent1 11 7 2" xfId="15300"/>
    <cellStyle name="40% - Accent1 11 7 3" xfId="19251"/>
    <cellStyle name="40% - Accent1 11 8" xfId="4167"/>
    <cellStyle name="40% - Accent1 11 8 2" xfId="15301"/>
    <cellStyle name="40% - Accent1 11 8 3" xfId="19252"/>
    <cellStyle name="40% - Accent1 11 9" xfId="15269"/>
    <cellStyle name="40% - Accent1 11_Volatility" xfId="4168"/>
    <cellStyle name="40% - Accent1 12" xfId="4169"/>
    <cellStyle name="40% - Accent1 12 10" xfId="19253"/>
    <cellStyle name="40% - Accent1 12 2" xfId="4170"/>
    <cellStyle name="40% - Accent1 12 2 2" xfId="4171"/>
    <cellStyle name="40% - Accent1 12 2 2 2" xfId="4172"/>
    <cellStyle name="40% - Accent1 12 2 2 2 2" xfId="15305"/>
    <cellStyle name="40% - Accent1 12 2 2 2 3" xfId="19256"/>
    <cellStyle name="40% - Accent1 12 2 2 3" xfId="4173"/>
    <cellStyle name="40% - Accent1 12 2 2 3 2" xfId="15306"/>
    <cellStyle name="40% - Accent1 12 2 2 3 3" xfId="19257"/>
    <cellStyle name="40% - Accent1 12 2 2 4" xfId="15304"/>
    <cellStyle name="40% - Accent1 12 2 2 5" xfId="19255"/>
    <cellStyle name="40% - Accent1 12 2 3" xfId="4174"/>
    <cellStyle name="40% - Accent1 12 2 3 2" xfId="4175"/>
    <cellStyle name="40% - Accent1 12 2 3 2 2" xfId="15308"/>
    <cellStyle name="40% - Accent1 12 2 3 2 3" xfId="19259"/>
    <cellStyle name="40% - Accent1 12 2 3 3" xfId="4176"/>
    <cellStyle name="40% - Accent1 12 2 3 3 2" xfId="15309"/>
    <cellStyle name="40% - Accent1 12 2 3 3 3" xfId="19260"/>
    <cellStyle name="40% - Accent1 12 2 3 4" xfId="15307"/>
    <cellStyle name="40% - Accent1 12 2 3 5" xfId="19258"/>
    <cellStyle name="40% - Accent1 12 2 4" xfId="4177"/>
    <cellStyle name="40% - Accent1 12 2 4 2" xfId="4178"/>
    <cellStyle name="40% - Accent1 12 2 4 2 2" xfId="15311"/>
    <cellStyle name="40% - Accent1 12 2 4 2 3" xfId="19262"/>
    <cellStyle name="40% - Accent1 12 2 4 3" xfId="4179"/>
    <cellStyle name="40% - Accent1 12 2 4 3 2" xfId="15312"/>
    <cellStyle name="40% - Accent1 12 2 4 3 3" xfId="19263"/>
    <cellStyle name="40% - Accent1 12 2 4 4" xfId="15310"/>
    <cellStyle name="40% - Accent1 12 2 4 5" xfId="19261"/>
    <cellStyle name="40% - Accent1 12 2 5" xfId="4180"/>
    <cellStyle name="40% - Accent1 12 2 5 2" xfId="15313"/>
    <cellStyle name="40% - Accent1 12 2 5 3" xfId="19264"/>
    <cellStyle name="40% - Accent1 12 2 6" xfId="4181"/>
    <cellStyle name="40% - Accent1 12 2 6 2" xfId="15314"/>
    <cellStyle name="40% - Accent1 12 2 6 3" xfId="19265"/>
    <cellStyle name="40% - Accent1 12 2 7" xfId="15303"/>
    <cellStyle name="40% - Accent1 12 2 8" xfId="19254"/>
    <cellStyle name="40% - Accent1 12 2_Volatility" xfId="4182"/>
    <cellStyle name="40% - Accent1 12 3" xfId="4183"/>
    <cellStyle name="40% - Accent1 12 3 2" xfId="4184"/>
    <cellStyle name="40% - Accent1 12 3 2 2" xfId="4185"/>
    <cellStyle name="40% - Accent1 12 3 2 2 2" xfId="15317"/>
    <cellStyle name="40% - Accent1 12 3 2 2 3" xfId="19268"/>
    <cellStyle name="40% - Accent1 12 3 2 3" xfId="4186"/>
    <cellStyle name="40% - Accent1 12 3 2 3 2" xfId="15318"/>
    <cellStyle name="40% - Accent1 12 3 2 3 3" xfId="19269"/>
    <cellStyle name="40% - Accent1 12 3 2 4" xfId="15316"/>
    <cellStyle name="40% - Accent1 12 3 2 5" xfId="19267"/>
    <cellStyle name="40% - Accent1 12 3 3" xfId="4187"/>
    <cellStyle name="40% - Accent1 12 3 3 2" xfId="4188"/>
    <cellStyle name="40% - Accent1 12 3 3 2 2" xfId="15320"/>
    <cellStyle name="40% - Accent1 12 3 3 2 3" xfId="19271"/>
    <cellStyle name="40% - Accent1 12 3 3 3" xfId="4189"/>
    <cellStyle name="40% - Accent1 12 3 3 3 2" xfId="15321"/>
    <cellStyle name="40% - Accent1 12 3 3 3 3" xfId="19272"/>
    <cellStyle name="40% - Accent1 12 3 3 4" xfId="15319"/>
    <cellStyle name="40% - Accent1 12 3 3 5" xfId="19270"/>
    <cellStyle name="40% - Accent1 12 3 4" xfId="4190"/>
    <cellStyle name="40% - Accent1 12 3 4 2" xfId="15322"/>
    <cellStyle name="40% - Accent1 12 3 4 3" xfId="19273"/>
    <cellStyle name="40% - Accent1 12 3 5" xfId="4191"/>
    <cellStyle name="40% - Accent1 12 3 5 2" xfId="15323"/>
    <cellStyle name="40% - Accent1 12 3 5 3" xfId="19274"/>
    <cellStyle name="40% - Accent1 12 3 6" xfId="15315"/>
    <cellStyle name="40% - Accent1 12 3 7" xfId="19266"/>
    <cellStyle name="40% - Accent1 12 3_Volatility" xfId="4192"/>
    <cellStyle name="40% - Accent1 12 4" xfId="4193"/>
    <cellStyle name="40% - Accent1 12 4 2" xfId="4194"/>
    <cellStyle name="40% - Accent1 12 4 2 2" xfId="15325"/>
    <cellStyle name="40% - Accent1 12 4 2 3" xfId="19276"/>
    <cellStyle name="40% - Accent1 12 4 3" xfId="4195"/>
    <cellStyle name="40% - Accent1 12 4 3 2" xfId="15326"/>
    <cellStyle name="40% - Accent1 12 4 3 3" xfId="19277"/>
    <cellStyle name="40% - Accent1 12 4 4" xfId="15324"/>
    <cellStyle name="40% - Accent1 12 4 5" xfId="19275"/>
    <cellStyle name="40% - Accent1 12 5" xfId="4196"/>
    <cellStyle name="40% - Accent1 12 5 2" xfId="4197"/>
    <cellStyle name="40% - Accent1 12 5 2 2" xfId="15328"/>
    <cellStyle name="40% - Accent1 12 5 2 3" xfId="19279"/>
    <cellStyle name="40% - Accent1 12 5 3" xfId="4198"/>
    <cellStyle name="40% - Accent1 12 5 3 2" xfId="15329"/>
    <cellStyle name="40% - Accent1 12 5 3 3" xfId="19280"/>
    <cellStyle name="40% - Accent1 12 5 4" xfId="15327"/>
    <cellStyle name="40% - Accent1 12 5 5" xfId="19278"/>
    <cellStyle name="40% - Accent1 12 6" xfId="4199"/>
    <cellStyle name="40% - Accent1 12 6 2" xfId="4200"/>
    <cellStyle name="40% - Accent1 12 6 2 2" xfId="15331"/>
    <cellStyle name="40% - Accent1 12 6 2 3" xfId="19282"/>
    <cellStyle name="40% - Accent1 12 6 3" xfId="4201"/>
    <cellStyle name="40% - Accent1 12 6 3 2" xfId="15332"/>
    <cellStyle name="40% - Accent1 12 6 3 3" xfId="19283"/>
    <cellStyle name="40% - Accent1 12 6 4" xfId="15330"/>
    <cellStyle name="40% - Accent1 12 6 5" xfId="19281"/>
    <cellStyle name="40% - Accent1 12 7" xfId="4202"/>
    <cellStyle name="40% - Accent1 12 7 2" xfId="15333"/>
    <cellStyle name="40% - Accent1 12 7 3" xfId="19284"/>
    <cellStyle name="40% - Accent1 12 8" xfId="4203"/>
    <cellStyle name="40% - Accent1 12 8 2" xfId="15334"/>
    <cellStyle name="40% - Accent1 12 8 3" xfId="19285"/>
    <cellStyle name="40% - Accent1 12 9" xfId="15302"/>
    <cellStyle name="40% - Accent1 12_Volatility" xfId="4204"/>
    <cellStyle name="40% - Accent1 13" xfId="4205"/>
    <cellStyle name="40% - Accent1 13 10" xfId="19286"/>
    <cellStyle name="40% - Accent1 13 2" xfId="4206"/>
    <cellStyle name="40% - Accent1 13 2 2" xfId="4207"/>
    <cellStyle name="40% - Accent1 13 2 2 2" xfId="4208"/>
    <cellStyle name="40% - Accent1 13 2 2 2 2" xfId="15338"/>
    <cellStyle name="40% - Accent1 13 2 2 2 3" xfId="19289"/>
    <cellStyle name="40% - Accent1 13 2 2 3" xfId="4209"/>
    <cellStyle name="40% - Accent1 13 2 2 3 2" xfId="15339"/>
    <cellStyle name="40% - Accent1 13 2 2 3 3" xfId="19290"/>
    <cellStyle name="40% - Accent1 13 2 2 4" xfId="15337"/>
    <cellStyle name="40% - Accent1 13 2 2 5" xfId="19288"/>
    <cellStyle name="40% - Accent1 13 2 3" xfId="4210"/>
    <cellStyle name="40% - Accent1 13 2 3 2" xfId="4211"/>
    <cellStyle name="40% - Accent1 13 2 3 2 2" xfId="15341"/>
    <cellStyle name="40% - Accent1 13 2 3 2 3" xfId="19292"/>
    <cellStyle name="40% - Accent1 13 2 3 3" xfId="4212"/>
    <cellStyle name="40% - Accent1 13 2 3 3 2" xfId="15342"/>
    <cellStyle name="40% - Accent1 13 2 3 3 3" xfId="19293"/>
    <cellStyle name="40% - Accent1 13 2 3 4" xfId="15340"/>
    <cellStyle name="40% - Accent1 13 2 3 5" xfId="19291"/>
    <cellStyle name="40% - Accent1 13 2 4" xfId="4213"/>
    <cellStyle name="40% - Accent1 13 2 4 2" xfId="4214"/>
    <cellStyle name="40% - Accent1 13 2 4 2 2" xfId="15344"/>
    <cellStyle name="40% - Accent1 13 2 4 2 3" xfId="19295"/>
    <cellStyle name="40% - Accent1 13 2 4 3" xfId="4215"/>
    <cellStyle name="40% - Accent1 13 2 4 3 2" xfId="15345"/>
    <cellStyle name="40% - Accent1 13 2 4 3 3" xfId="19296"/>
    <cellStyle name="40% - Accent1 13 2 4 4" xfId="15343"/>
    <cellStyle name="40% - Accent1 13 2 4 5" xfId="19294"/>
    <cellStyle name="40% - Accent1 13 2 5" xfId="4216"/>
    <cellStyle name="40% - Accent1 13 2 5 2" xfId="15346"/>
    <cellStyle name="40% - Accent1 13 2 5 3" xfId="19297"/>
    <cellStyle name="40% - Accent1 13 2 6" xfId="4217"/>
    <cellStyle name="40% - Accent1 13 2 6 2" xfId="15347"/>
    <cellStyle name="40% - Accent1 13 2 6 3" xfId="19298"/>
    <cellStyle name="40% - Accent1 13 2 7" xfId="15336"/>
    <cellStyle name="40% - Accent1 13 2 8" xfId="19287"/>
    <cellStyle name="40% - Accent1 13 2_Volatility" xfId="4218"/>
    <cellStyle name="40% - Accent1 13 3" xfId="4219"/>
    <cellStyle name="40% - Accent1 13 3 2" xfId="4220"/>
    <cellStyle name="40% - Accent1 13 3 2 2" xfId="4221"/>
    <cellStyle name="40% - Accent1 13 3 2 2 2" xfId="15350"/>
    <cellStyle name="40% - Accent1 13 3 2 2 3" xfId="19301"/>
    <cellStyle name="40% - Accent1 13 3 2 3" xfId="4222"/>
    <cellStyle name="40% - Accent1 13 3 2 3 2" xfId="15351"/>
    <cellStyle name="40% - Accent1 13 3 2 3 3" xfId="19302"/>
    <cellStyle name="40% - Accent1 13 3 2 4" xfId="15349"/>
    <cellStyle name="40% - Accent1 13 3 2 5" xfId="19300"/>
    <cellStyle name="40% - Accent1 13 3 3" xfId="4223"/>
    <cellStyle name="40% - Accent1 13 3 3 2" xfId="4224"/>
    <cellStyle name="40% - Accent1 13 3 3 2 2" xfId="15353"/>
    <cellStyle name="40% - Accent1 13 3 3 2 3" xfId="19304"/>
    <cellStyle name="40% - Accent1 13 3 3 3" xfId="4225"/>
    <cellStyle name="40% - Accent1 13 3 3 3 2" xfId="15354"/>
    <cellStyle name="40% - Accent1 13 3 3 3 3" xfId="19305"/>
    <cellStyle name="40% - Accent1 13 3 3 4" xfId="15352"/>
    <cellStyle name="40% - Accent1 13 3 3 5" xfId="19303"/>
    <cellStyle name="40% - Accent1 13 3 4" xfId="4226"/>
    <cellStyle name="40% - Accent1 13 3 4 2" xfId="15355"/>
    <cellStyle name="40% - Accent1 13 3 4 3" xfId="19306"/>
    <cellStyle name="40% - Accent1 13 3 5" xfId="4227"/>
    <cellStyle name="40% - Accent1 13 3 5 2" xfId="15356"/>
    <cellStyle name="40% - Accent1 13 3 5 3" xfId="19307"/>
    <cellStyle name="40% - Accent1 13 3 6" xfId="15348"/>
    <cellStyle name="40% - Accent1 13 3 7" xfId="19299"/>
    <cellStyle name="40% - Accent1 13 3_Volatility" xfId="4228"/>
    <cellStyle name="40% - Accent1 13 4" xfId="4229"/>
    <cellStyle name="40% - Accent1 13 4 2" xfId="4230"/>
    <cellStyle name="40% - Accent1 13 4 2 2" xfId="15358"/>
    <cellStyle name="40% - Accent1 13 4 2 3" xfId="19309"/>
    <cellStyle name="40% - Accent1 13 4 3" xfId="4231"/>
    <cellStyle name="40% - Accent1 13 4 3 2" xfId="15359"/>
    <cellStyle name="40% - Accent1 13 4 3 3" xfId="19310"/>
    <cellStyle name="40% - Accent1 13 4 4" xfId="15357"/>
    <cellStyle name="40% - Accent1 13 4 5" xfId="19308"/>
    <cellStyle name="40% - Accent1 13 5" xfId="4232"/>
    <cellStyle name="40% - Accent1 13 5 2" xfId="4233"/>
    <cellStyle name="40% - Accent1 13 5 2 2" xfId="15361"/>
    <cellStyle name="40% - Accent1 13 5 2 3" xfId="19312"/>
    <cellStyle name="40% - Accent1 13 5 3" xfId="4234"/>
    <cellStyle name="40% - Accent1 13 5 3 2" xfId="15362"/>
    <cellStyle name="40% - Accent1 13 5 3 3" xfId="19313"/>
    <cellStyle name="40% - Accent1 13 5 4" xfId="15360"/>
    <cellStyle name="40% - Accent1 13 5 5" xfId="19311"/>
    <cellStyle name="40% - Accent1 13 6" xfId="4235"/>
    <cellStyle name="40% - Accent1 13 6 2" xfId="4236"/>
    <cellStyle name="40% - Accent1 13 6 2 2" xfId="15364"/>
    <cellStyle name="40% - Accent1 13 6 2 3" xfId="19315"/>
    <cellStyle name="40% - Accent1 13 6 3" xfId="4237"/>
    <cellStyle name="40% - Accent1 13 6 3 2" xfId="15365"/>
    <cellStyle name="40% - Accent1 13 6 3 3" xfId="19316"/>
    <cellStyle name="40% - Accent1 13 6 4" xfId="15363"/>
    <cellStyle name="40% - Accent1 13 6 5" xfId="19314"/>
    <cellStyle name="40% - Accent1 13 7" xfId="4238"/>
    <cellStyle name="40% - Accent1 13 7 2" xfId="15366"/>
    <cellStyle name="40% - Accent1 13 7 3" xfId="19317"/>
    <cellStyle name="40% - Accent1 13 8" xfId="4239"/>
    <cellStyle name="40% - Accent1 13 8 2" xfId="15367"/>
    <cellStyle name="40% - Accent1 13 8 3" xfId="19318"/>
    <cellStyle name="40% - Accent1 13 9" xfId="15335"/>
    <cellStyle name="40% - Accent1 13_Volatility" xfId="4240"/>
    <cellStyle name="40% - Accent1 14" xfId="4241"/>
    <cellStyle name="40% - Accent1 14 10" xfId="19319"/>
    <cellStyle name="40% - Accent1 14 2" xfId="4242"/>
    <cellStyle name="40% - Accent1 14 2 2" xfId="4243"/>
    <cellStyle name="40% - Accent1 14 2 2 2" xfId="4244"/>
    <cellStyle name="40% - Accent1 14 2 2 2 2" xfId="15371"/>
    <cellStyle name="40% - Accent1 14 2 2 2 3" xfId="19322"/>
    <cellStyle name="40% - Accent1 14 2 2 3" xfId="4245"/>
    <cellStyle name="40% - Accent1 14 2 2 3 2" xfId="15372"/>
    <cellStyle name="40% - Accent1 14 2 2 3 3" xfId="19323"/>
    <cellStyle name="40% - Accent1 14 2 2 4" xfId="15370"/>
    <cellStyle name="40% - Accent1 14 2 2 5" xfId="19321"/>
    <cellStyle name="40% - Accent1 14 2 3" xfId="4246"/>
    <cellStyle name="40% - Accent1 14 2 3 2" xfId="4247"/>
    <cellStyle name="40% - Accent1 14 2 3 2 2" xfId="15374"/>
    <cellStyle name="40% - Accent1 14 2 3 2 3" xfId="19325"/>
    <cellStyle name="40% - Accent1 14 2 3 3" xfId="4248"/>
    <cellStyle name="40% - Accent1 14 2 3 3 2" xfId="15375"/>
    <cellStyle name="40% - Accent1 14 2 3 3 3" xfId="19326"/>
    <cellStyle name="40% - Accent1 14 2 3 4" xfId="15373"/>
    <cellStyle name="40% - Accent1 14 2 3 5" xfId="19324"/>
    <cellStyle name="40% - Accent1 14 2 4" xfId="4249"/>
    <cellStyle name="40% - Accent1 14 2 4 2" xfId="4250"/>
    <cellStyle name="40% - Accent1 14 2 4 2 2" xfId="15377"/>
    <cellStyle name="40% - Accent1 14 2 4 2 3" xfId="19328"/>
    <cellStyle name="40% - Accent1 14 2 4 3" xfId="4251"/>
    <cellStyle name="40% - Accent1 14 2 4 3 2" xfId="15378"/>
    <cellStyle name="40% - Accent1 14 2 4 3 3" xfId="19329"/>
    <cellStyle name="40% - Accent1 14 2 4 4" xfId="15376"/>
    <cellStyle name="40% - Accent1 14 2 4 5" xfId="19327"/>
    <cellStyle name="40% - Accent1 14 2 5" xfId="4252"/>
    <cellStyle name="40% - Accent1 14 2 5 2" xfId="15379"/>
    <cellStyle name="40% - Accent1 14 2 5 3" xfId="19330"/>
    <cellStyle name="40% - Accent1 14 2 6" xfId="4253"/>
    <cellStyle name="40% - Accent1 14 2 6 2" xfId="15380"/>
    <cellStyle name="40% - Accent1 14 2 6 3" xfId="19331"/>
    <cellStyle name="40% - Accent1 14 2 7" xfId="15369"/>
    <cellStyle name="40% - Accent1 14 2 8" xfId="19320"/>
    <cellStyle name="40% - Accent1 14 2_Volatility" xfId="4254"/>
    <cellStyle name="40% - Accent1 14 3" xfId="4255"/>
    <cellStyle name="40% - Accent1 14 3 2" xfId="4256"/>
    <cellStyle name="40% - Accent1 14 3 2 2" xfId="4257"/>
    <cellStyle name="40% - Accent1 14 3 2 2 2" xfId="15383"/>
    <cellStyle name="40% - Accent1 14 3 2 2 3" xfId="19334"/>
    <cellStyle name="40% - Accent1 14 3 2 3" xfId="4258"/>
    <cellStyle name="40% - Accent1 14 3 2 3 2" xfId="15384"/>
    <cellStyle name="40% - Accent1 14 3 2 3 3" xfId="19335"/>
    <cellStyle name="40% - Accent1 14 3 2 4" xfId="15382"/>
    <cellStyle name="40% - Accent1 14 3 2 5" xfId="19333"/>
    <cellStyle name="40% - Accent1 14 3 3" xfId="4259"/>
    <cellStyle name="40% - Accent1 14 3 3 2" xfId="4260"/>
    <cellStyle name="40% - Accent1 14 3 3 2 2" xfId="15386"/>
    <cellStyle name="40% - Accent1 14 3 3 2 3" xfId="19337"/>
    <cellStyle name="40% - Accent1 14 3 3 3" xfId="4261"/>
    <cellStyle name="40% - Accent1 14 3 3 3 2" xfId="15387"/>
    <cellStyle name="40% - Accent1 14 3 3 3 3" xfId="19338"/>
    <cellStyle name="40% - Accent1 14 3 3 4" xfId="15385"/>
    <cellStyle name="40% - Accent1 14 3 3 5" xfId="19336"/>
    <cellStyle name="40% - Accent1 14 3 4" xfId="4262"/>
    <cellStyle name="40% - Accent1 14 3 4 2" xfId="15388"/>
    <cellStyle name="40% - Accent1 14 3 4 3" xfId="19339"/>
    <cellStyle name="40% - Accent1 14 3 5" xfId="4263"/>
    <cellStyle name="40% - Accent1 14 3 5 2" xfId="15389"/>
    <cellStyle name="40% - Accent1 14 3 5 3" xfId="19340"/>
    <cellStyle name="40% - Accent1 14 3 6" xfId="15381"/>
    <cellStyle name="40% - Accent1 14 3 7" xfId="19332"/>
    <cellStyle name="40% - Accent1 14 3_Volatility" xfId="4264"/>
    <cellStyle name="40% - Accent1 14 4" xfId="4265"/>
    <cellStyle name="40% - Accent1 14 4 2" xfId="4266"/>
    <cellStyle name="40% - Accent1 14 4 2 2" xfId="15391"/>
    <cellStyle name="40% - Accent1 14 4 2 3" xfId="19342"/>
    <cellStyle name="40% - Accent1 14 4 3" xfId="4267"/>
    <cellStyle name="40% - Accent1 14 4 3 2" xfId="15392"/>
    <cellStyle name="40% - Accent1 14 4 3 3" xfId="19343"/>
    <cellStyle name="40% - Accent1 14 4 4" xfId="15390"/>
    <cellStyle name="40% - Accent1 14 4 5" xfId="19341"/>
    <cellStyle name="40% - Accent1 14 5" xfId="4268"/>
    <cellStyle name="40% - Accent1 14 5 2" xfId="4269"/>
    <cellStyle name="40% - Accent1 14 5 2 2" xfId="15394"/>
    <cellStyle name="40% - Accent1 14 5 2 3" xfId="19345"/>
    <cellStyle name="40% - Accent1 14 5 3" xfId="4270"/>
    <cellStyle name="40% - Accent1 14 5 3 2" xfId="15395"/>
    <cellStyle name="40% - Accent1 14 5 3 3" xfId="19346"/>
    <cellStyle name="40% - Accent1 14 5 4" xfId="15393"/>
    <cellStyle name="40% - Accent1 14 5 5" xfId="19344"/>
    <cellStyle name="40% - Accent1 14 6" xfId="4271"/>
    <cellStyle name="40% - Accent1 14 6 2" xfId="4272"/>
    <cellStyle name="40% - Accent1 14 6 2 2" xfId="15397"/>
    <cellStyle name="40% - Accent1 14 6 2 3" xfId="19348"/>
    <cellStyle name="40% - Accent1 14 6 3" xfId="4273"/>
    <cellStyle name="40% - Accent1 14 6 3 2" xfId="15398"/>
    <cellStyle name="40% - Accent1 14 6 3 3" xfId="19349"/>
    <cellStyle name="40% - Accent1 14 6 4" xfId="15396"/>
    <cellStyle name="40% - Accent1 14 6 5" xfId="19347"/>
    <cellStyle name="40% - Accent1 14 7" xfId="4274"/>
    <cellStyle name="40% - Accent1 14 7 2" xfId="15399"/>
    <cellStyle name="40% - Accent1 14 7 3" xfId="19350"/>
    <cellStyle name="40% - Accent1 14 8" xfId="4275"/>
    <cellStyle name="40% - Accent1 14 8 2" xfId="15400"/>
    <cellStyle name="40% - Accent1 14 8 3" xfId="19351"/>
    <cellStyle name="40% - Accent1 14 9" xfId="15368"/>
    <cellStyle name="40% - Accent1 14_Volatility" xfId="4276"/>
    <cellStyle name="40% - Accent1 15" xfId="4277"/>
    <cellStyle name="40% - Accent1 15 10" xfId="19352"/>
    <cellStyle name="40% - Accent1 15 2" xfId="4278"/>
    <cellStyle name="40% - Accent1 15 2 2" xfId="4279"/>
    <cellStyle name="40% - Accent1 15 2 2 2" xfId="4280"/>
    <cellStyle name="40% - Accent1 15 2 2 2 2" xfId="15404"/>
    <cellStyle name="40% - Accent1 15 2 2 2 3" xfId="19355"/>
    <cellStyle name="40% - Accent1 15 2 2 3" xfId="4281"/>
    <cellStyle name="40% - Accent1 15 2 2 3 2" xfId="15405"/>
    <cellStyle name="40% - Accent1 15 2 2 3 3" xfId="19356"/>
    <cellStyle name="40% - Accent1 15 2 2 4" xfId="15403"/>
    <cellStyle name="40% - Accent1 15 2 2 5" xfId="19354"/>
    <cellStyle name="40% - Accent1 15 2 3" xfId="4282"/>
    <cellStyle name="40% - Accent1 15 2 3 2" xfId="4283"/>
    <cellStyle name="40% - Accent1 15 2 3 2 2" xfId="15407"/>
    <cellStyle name="40% - Accent1 15 2 3 2 3" xfId="19358"/>
    <cellStyle name="40% - Accent1 15 2 3 3" xfId="4284"/>
    <cellStyle name="40% - Accent1 15 2 3 3 2" xfId="15408"/>
    <cellStyle name="40% - Accent1 15 2 3 3 3" xfId="19359"/>
    <cellStyle name="40% - Accent1 15 2 3 4" xfId="15406"/>
    <cellStyle name="40% - Accent1 15 2 3 5" xfId="19357"/>
    <cellStyle name="40% - Accent1 15 2 4" xfId="4285"/>
    <cellStyle name="40% - Accent1 15 2 4 2" xfId="4286"/>
    <cellStyle name="40% - Accent1 15 2 4 2 2" xfId="15410"/>
    <cellStyle name="40% - Accent1 15 2 4 2 3" xfId="19361"/>
    <cellStyle name="40% - Accent1 15 2 4 3" xfId="4287"/>
    <cellStyle name="40% - Accent1 15 2 4 3 2" xfId="15411"/>
    <cellStyle name="40% - Accent1 15 2 4 3 3" xfId="19362"/>
    <cellStyle name="40% - Accent1 15 2 4 4" xfId="15409"/>
    <cellStyle name="40% - Accent1 15 2 4 5" xfId="19360"/>
    <cellStyle name="40% - Accent1 15 2 5" xfId="4288"/>
    <cellStyle name="40% - Accent1 15 2 5 2" xfId="15412"/>
    <cellStyle name="40% - Accent1 15 2 5 3" xfId="19363"/>
    <cellStyle name="40% - Accent1 15 2 6" xfId="4289"/>
    <cellStyle name="40% - Accent1 15 2 6 2" xfId="15413"/>
    <cellStyle name="40% - Accent1 15 2 6 3" xfId="19364"/>
    <cellStyle name="40% - Accent1 15 2 7" xfId="15402"/>
    <cellStyle name="40% - Accent1 15 2 8" xfId="19353"/>
    <cellStyle name="40% - Accent1 15 2_Volatility" xfId="4290"/>
    <cellStyle name="40% - Accent1 15 3" xfId="4291"/>
    <cellStyle name="40% - Accent1 15 3 2" xfId="4292"/>
    <cellStyle name="40% - Accent1 15 3 2 2" xfId="4293"/>
    <cellStyle name="40% - Accent1 15 3 2 2 2" xfId="15416"/>
    <cellStyle name="40% - Accent1 15 3 2 2 3" xfId="19367"/>
    <cellStyle name="40% - Accent1 15 3 2 3" xfId="4294"/>
    <cellStyle name="40% - Accent1 15 3 2 3 2" xfId="15417"/>
    <cellStyle name="40% - Accent1 15 3 2 3 3" xfId="19368"/>
    <cellStyle name="40% - Accent1 15 3 2 4" xfId="15415"/>
    <cellStyle name="40% - Accent1 15 3 2 5" xfId="19366"/>
    <cellStyle name="40% - Accent1 15 3 3" xfId="4295"/>
    <cellStyle name="40% - Accent1 15 3 3 2" xfId="4296"/>
    <cellStyle name="40% - Accent1 15 3 3 2 2" xfId="15419"/>
    <cellStyle name="40% - Accent1 15 3 3 2 3" xfId="19370"/>
    <cellStyle name="40% - Accent1 15 3 3 3" xfId="4297"/>
    <cellStyle name="40% - Accent1 15 3 3 3 2" xfId="15420"/>
    <cellStyle name="40% - Accent1 15 3 3 3 3" xfId="19371"/>
    <cellStyle name="40% - Accent1 15 3 3 4" xfId="15418"/>
    <cellStyle name="40% - Accent1 15 3 3 5" xfId="19369"/>
    <cellStyle name="40% - Accent1 15 3 4" xfId="4298"/>
    <cellStyle name="40% - Accent1 15 3 4 2" xfId="15421"/>
    <cellStyle name="40% - Accent1 15 3 4 3" xfId="19372"/>
    <cellStyle name="40% - Accent1 15 3 5" xfId="4299"/>
    <cellStyle name="40% - Accent1 15 3 5 2" xfId="15422"/>
    <cellStyle name="40% - Accent1 15 3 5 3" xfId="19373"/>
    <cellStyle name="40% - Accent1 15 3 6" xfId="15414"/>
    <cellStyle name="40% - Accent1 15 3 7" xfId="19365"/>
    <cellStyle name="40% - Accent1 15 3_Volatility" xfId="4300"/>
    <cellStyle name="40% - Accent1 15 4" xfId="4301"/>
    <cellStyle name="40% - Accent1 15 4 2" xfId="4302"/>
    <cellStyle name="40% - Accent1 15 4 2 2" xfId="15424"/>
    <cellStyle name="40% - Accent1 15 4 2 3" xfId="19375"/>
    <cellStyle name="40% - Accent1 15 4 3" xfId="4303"/>
    <cellStyle name="40% - Accent1 15 4 3 2" xfId="15425"/>
    <cellStyle name="40% - Accent1 15 4 3 3" xfId="19376"/>
    <cellStyle name="40% - Accent1 15 4 4" xfId="15423"/>
    <cellStyle name="40% - Accent1 15 4 5" xfId="19374"/>
    <cellStyle name="40% - Accent1 15 5" xfId="4304"/>
    <cellStyle name="40% - Accent1 15 5 2" xfId="4305"/>
    <cellStyle name="40% - Accent1 15 5 2 2" xfId="15427"/>
    <cellStyle name="40% - Accent1 15 5 2 3" xfId="19378"/>
    <cellStyle name="40% - Accent1 15 5 3" xfId="4306"/>
    <cellStyle name="40% - Accent1 15 5 3 2" xfId="15428"/>
    <cellStyle name="40% - Accent1 15 5 3 3" xfId="19379"/>
    <cellStyle name="40% - Accent1 15 5 4" xfId="15426"/>
    <cellStyle name="40% - Accent1 15 5 5" xfId="19377"/>
    <cellStyle name="40% - Accent1 15 6" xfId="4307"/>
    <cellStyle name="40% - Accent1 15 6 2" xfId="4308"/>
    <cellStyle name="40% - Accent1 15 6 2 2" xfId="15430"/>
    <cellStyle name="40% - Accent1 15 6 2 3" xfId="19381"/>
    <cellStyle name="40% - Accent1 15 6 3" xfId="4309"/>
    <cellStyle name="40% - Accent1 15 6 3 2" xfId="15431"/>
    <cellStyle name="40% - Accent1 15 6 3 3" xfId="19382"/>
    <cellStyle name="40% - Accent1 15 6 4" xfId="15429"/>
    <cellStyle name="40% - Accent1 15 6 5" xfId="19380"/>
    <cellStyle name="40% - Accent1 15 7" xfId="4310"/>
    <cellStyle name="40% - Accent1 15 7 2" xfId="15432"/>
    <cellStyle name="40% - Accent1 15 7 3" xfId="19383"/>
    <cellStyle name="40% - Accent1 15 8" xfId="4311"/>
    <cellStyle name="40% - Accent1 15 8 2" xfId="15433"/>
    <cellStyle name="40% - Accent1 15 8 3" xfId="19384"/>
    <cellStyle name="40% - Accent1 15 9" xfId="15401"/>
    <cellStyle name="40% - Accent1 15_Volatility" xfId="4312"/>
    <cellStyle name="40% - Accent1 16" xfId="4313"/>
    <cellStyle name="40% - Accent1 16 2" xfId="15434"/>
    <cellStyle name="40% - Accent1 16 3" xfId="19385"/>
    <cellStyle name="40% - Accent1 17" xfId="4314"/>
    <cellStyle name="40% - Accent1 17 2" xfId="15435"/>
    <cellStyle name="40% - Accent1 17 3" xfId="19386"/>
    <cellStyle name="40% - Accent1 18" xfId="4315"/>
    <cellStyle name="40% - Accent1 18 2" xfId="15436"/>
    <cellStyle name="40% - Accent1 18 3" xfId="19387"/>
    <cellStyle name="40% - Accent1 19" xfId="4316"/>
    <cellStyle name="40% - Accent1 19 2" xfId="15437"/>
    <cellStyle name="40% - Accent1 19 3" xfId="19388"/>
    <cellStyle name="40% - Accent1 2" xfId="4317"/>
    <cellStyle name="40% - Accent1 2 10" xfId="19389"/>
    <cellStyle name="40% - Accent1 2 2" xfId="4318"/>
    <cellStyle name="40% - Accent1 2 2 2" xfId="4319"/>
    <cellStyle name="40% - Accent1 2 2 2 2" xfId="4320"/>
    <cellStyle name="40% - Accent1 2 2 2 2 2" xfId="15441"/>
    <cellStyle name="40% - Accent1 2 2 2 2 3" xfId="19392"/>
    <cellStyle name="40% - Accent1 2 2 2 3" xfId="4321"/>
    <cellStyle name="40% - Accent1 2 2 2 3 2" xfId="15442"/>
    <cellStyle name="40% - Accent1 2 2 2 3 3" xfId="19393"/>
    <cellStyle name="40% - Accent1 2 2 2 4" xfId="15440"/>
    <cellStyle name="40% - Accent1 2 2 2 5" xfId="19391"/>
    <cellStyle name="40% - Accent1 2 2 3" xfId="4322"/>
    <cellStyle name="40% - Accent1 2 2 3 2" xfId="4323"/>
    <cellStyle name="40% - Accent1 2 2 3 2 2" xfId="15444"/>
    <cellStyle name="40% - Accent1 2 2 3 2 3" xfId="19395"/>
    <cellStyle name="40% - Accent1 2 2 3 3" xfId="4324"/>
    <cellStyle name="40% - Accent1 2 2 3 3 2" xfId="15445"/>
    <cellStyle name="40% - Accent1 2 2 3 3 3" xfId="19396"/>
    <cellStyle name="40% - Accent1 2 2 3 4" xfId="15443"/>
    <cellStyle name="40% - Accent1 2 2 3 5" xfId="19394"/>
    <cellStyle name="40% - Accent1 2 2 4" xfId="4325"/>
    <cellStyle name="40% - Accent1 2 2 4 2" xfId="4326"/>
    <cellStyle name="40% - Accent1 2 2 4 2 2" xfId="15447"/>
    <cellStyle name="40% - Accent1 2 2 4 2 3" xfId="19398"/>
    <cellStyle name="40% - Accent1 2 2 4 3" xfId="4327"/>
    <cellStyle name="40% - Accent1 2 2 4 3 2" xfId="15448"/>
    <cellStyle name="40% - Accent1 2 2 4 3 3" xfId="19399"/>
    <cellStyle name="40% - Accent1 2 2 4 4" xfId="15446"/>
    <cellStyle name="40% - Accent1 2 2 4 5" xfId="19397"/>
    <cellStyle name="40% - Accent1 2 2 5" xfId="4328"/>
    <cellStyle name="40% - Accent1 2 2 5 2" xfId="15449"/>
    <cellStyle name="40% - Accent1 2 2 5 3" xfId="19400"/>
    <cellStyle name="40% - Accent1 2 2 6" xfId="4329"/>
    <cellStyle name="40% - Accent1 2 2 6 2" xfId="15450"/>
    <cellStyle name="40% - Accent1 2 2 6 3" xfId="19401"/>
    <cellStyle name="40% - Accent1 2 2 7" xfId="15439"/>
    <cellStyle name="40% - Accent1 2 2 8" xfId="19390"/>
    <cellStyle name="40% - Accent1 2 2_Volatility" xfId="4330"/>
    <cellStyle name="40% - Accent1 2 3" xfId="4331"/>
    <cellStyle name="40% - Accent1 2 3 2" xfId="4332"/>
    <cellStyle name="40% - Accent1 2 3 2 2" xfId="4333"/>
    <cellStyle name="40% - Accent1 2 3 2 2 2" xfId="15453"/>
    <cellStyle name="40% - Accent1 2 3 2 2 3" xfId="19404"/>
    <cellStyle name="40% - Accent1 2 3 2 3" xfId="4334"/>
    <cellStyle name="40% - Accent1 2 3 2 3 2" xfId="15454"/>
    <cellStyle name="40% - Accent1 2 3 2 3 3" xfId="19405"/>
    <cellStyle name="40% - Accent1 2 3 2 4" xfId="15452"/>
    <cellStyle name="40% - Accent1 2 3 2 5" xfId="19403"/>
    <cellStyle name="40% - Accent1 2 3 3" xfId="4335"/>
    <cellStyle name="40% - Accent1 2 3 3 2" xfId="4336"/>
    <cellStyle name="40% - Accent1 2 3 3 2 2" xfId="15456"/>
    <cellStyle name="40% - Accent1 2 3 3 2 3" xfId="19407"/>
    <cellStyle name="40% - Accent1 2 3 3 3" xfId="4337"/>
    <cellStyle name="40% - Accent1 2 3 3 3 2" xfId="15457"/>
    <cellStyle name="40% - Accent1 2 3 3 3 3" xfId="19408"/>
    <cellStyle name="40% - Accent1 2 3 3 4" xfId="15455"/>
    <cellStyle name="40% - Accent1 2 3 3 5" xfId="19406"/>
    <cellStyle name="40% - Accent1 2 3 4" xfId="4338"/>
    <cellStyle name="40% - Accent1 2 3 4 2" xfId="15458"/>
    <cellStyle name="40% - Accent1 2 3 4 3" xfId="19409"/>
    <cellStyle name="40% - Accent1 2 3 5" xfId="4339"/>
    <cellStyle name="40% - Accent1 2 3 5 2" xfId="15459"/>
    <cellStyle name="40% - Accent1 2 3 5 3" xfId="19410"/>
    <cellStyle name="40% - Accent1 2 3 6" xfId="15451"/>
    <cellStyle name="40% - Accent1 2 3 7" xfId="19402"/>
    <cellStyle name="40% - Accent1 2 3_Volatility" xfId="4340"/>
    <cellStyle name="40% - Accent1 2 4" xfId="4341"/>
    <cellStyle name="40% - Accent1 2 4 2" xfId="4342"/>
    <cellStyle name="40% - Accent1 2 4 2 2" xfId="15461"/>
    <cellStyle name="40% - Accent1 2 4 2 3" xfId="19412"/>
    <cellStyle name="40% - Accent1 2 4 3" xfId="4343"/>
    <cellStyle name="40% - Accent1 2 4 3 2" xfId="15462"/>
    <cellStyle name="40% - Accent1 2 4 3 3" xfId="19413"/>
    <cellStyle name="40% - Accent1 2 4 4" xfId="15460"/>
    <cellStyle name="40% - Accent1 2 4 5" xfId="19411"/>
    <cellStyle name="40% - Accent1 2 5" xfId="4344"/>
    <cellStyle name="40% - Accent1 2 5 2" xfId="4345"/>
    <cellStyle name="40% - Accent1 2 5 2 2" xfId="15464"/>
    <cellStyle name="40% - Accent1 2 5 2 3" xfId="19415"/>
    <cellStyle name="40% - Accent1 2 5 3" xfId="4346"/>
    <cellStyle name="40% - Accent1 2 5 3 2" xfId="15465"/>
    <cellStyle name="40% - Accent1 2 5 3 3" xfId="19416"/>
    <cellStyle name="40% - Accent1 2 5 4" xfId="15463"/>
    <cellStyle name="40% - Accent1 2 5 5" xfId="19414"/>
    <cellStyle name="40% - Accent1 2 6" xfId="4347"/>
    <cellStyle name="40% - Accent1 2 6 2" xfId="4348"/>
    <cellStyle name="40% - Accent1 2 6 2 2" xfId="15467"/>
    <cellStyle name="40% - Accent1 2 6 2 3" xfId="19418"/>
    <cellStyle name="40% - Accent1 2 6 3" xfId="4349"/>
    <cellStyle name="40% - Accent1 2 6 3 2" xfId="15468"/>
    <cellStyle name="40% - Accent1 2 6 3 3" xfId="19419"/>
    <cellStyle name="40% - Accent1 2 6 4" xfId="15466"/>
    <cellStyle name="40% - Accent1 2 6 5" xfId="19417"/>
    <cellStyle name="40% - Accent1 2 7" xfId="4350"/>
    <cellStyle name="40% - Accent1 2 7 2" xfId="15469"/>
    <cellStyle name="40% - Accent1 2 7 3" xfId="19420"/>
    <cellStyle name="40% - Accent1 2 8" xfId="4351"/>
    <cellStyle name="40% - Accent1 2 8 2" xfId="15470"/>
    <cellStyle name="40% - Accent1 2 8 3" xfId="19421"/>
    <cellStyle name="40% - Accent1 2 9" xfId="15438"/>
    <cellStyle name="40% - Accent1 2_Volatility" xfId="4352"/>
    <cellStyle name="40% - Accent1 3" xfId="4353"/>
    <cellStyle name="40% - Accent1 3 10" xfId="19422"/>
    <cellStyle name="40% - Accent1 3 2" xfId="4354"/>
    <cellStyle name="40% - Accent1 3 2 2" xfId="4355"/>
    <cellStyle name="40% - Accent1 3 2 2 2" xfId="4356"/>
    <cellStyle name="40% - Accent1 3 2 2 2 2" xfId="15474"/>
    <cellStyle name="40% - Accent1 3 2 2 2 3" xfId="19425"/>
    <cellStyle name="40% - Accent1 3 2 2 3" xfId="4357"/>
    <cellStyle name="40% - Accent1 3 2 2 3 2" xfId="15475"/>
    <cellStyle name="40% - Accent1 3 2 2 3 3" xfId="19426"/>
    <cellStyle name="40% - Accent1 3 2 2 4" xfId="15473"/>
    <cellStyle name="40% - Accent1 3 2 2 5" xfId="19424"/>
    <cellStyle name="40% - Accent1 3 2 3" xfId="4358"/>
    <cellStyle name="40% - Accent1 3 2 3 2" xfId="4359"/>
    <cellStyle name="40% - Accent1 3 2 3 2 2" xfId="15477"/>
    <cellStyle name="40% - Accent1 3 2 3 2 3" xfId="19428"/>
    <cellStyle name="40% - Accent1 3 2 3 3" xfId="4360"/>
    <cellStyle name="40% - Accent1 3 2 3 3 2" xfId="15478"/>
    <cellStyle name="40% - Accent1 3 2 3 3 3" xfId="19429"/>
    <cellStyle name="40% - Accent1 3 2 3 4" xfId="15476"/>
    <cellStyle name="40% - Accent1 3 2 3 5" xfId="19427"/>
    <cellStyle name="40% - Accent1 3 2 4" xfId="4361"/>
    <cellStyle name="40% - Accent1 3 2 4 2" xfId="4362"/>
    <cellStyle name="40% - Accent1 3 2 4 2 2" xfId="15480"/>
    <cellStyle name="40% - Accent1 3 2 4 2 3" xfId="19431"/>
    <cellStyle name="40% - Accent1 3 2 4 3" xfId="4363"/>
    <cellStyle name="40% - Accent1 3 2 4 3 2" xfId="15481"/>
    <cellStyle name="40% - Accent1 3 2 4 3 3" xfId="19432"/>
    <cellStyle name="40% - Accent1 3 2 4 4" xfId="15479"/>
    <cellStyle name="40% - Accent1 3 2 4 5" xfId="19430"/>
    <cellStyle name="40% - Accent1 3 2 5" xfId="4364"/>
    <cellStyle name="40% - Accent1 3 2 5 2" xfId="15482"/>
    <cellStyle name="40% - Accent1 3 2 5 3" xfId="19433"/>
    <cellStyle name="40% - Accent1 3 2 6" xfId="4365"/>
    <cellStyle name="40% - Accent1 3 2 6 2" xfId="15483"/>
    <cellStyle name="40% - Accent1 3 2 6 3" xfId="19434"/>
    <cellStyle name="40% - Accent1 3 2 7" xfId="15472"/>
    <cellStyle name="40% - Accent1 3 2 8" xfId="19423"/>
    <cellStyle name="40% - Accent1 3 2_Volatility" xfId="4366"/>
    <cellStyle name="40% - Accent1 3 3" xfId="4367"/>
    <cellStyle name="40% - Accent1 3 3 2" xfId="4368"/>
    <cellStyle name="40% - Accent1 3 3 2 2" xfId="4369"/>
    <cellStyle name="40% - Accent1 3 3 2 2 2" xfId="15486"/>
    <cellStyle name="40% - Accent1 3 3 2 2 3" xfId="19437"/>
    <cellStyle name="40% - Accent1 3 3 2 3" xfId="4370"/>
    <cellStyle name="40% - Accent1 3 3 2 3 2" xfId="15487"/>
    <cellStyle name="40% - Accent1 3 3 2 3 3" xfId="19438"/>
    <cellStyle name="40% - Accent1 3 3 2 4" xfId="15485"/>
    <cellStyle name="40% - Accent1 3 3 2 5" xfId="19436"/>
    <cellStyle name="40% - Accent1 3 3 3" xfId="4371"/>
    <cellStyle name="40% - Accent1 3 3 3 2" xfId="4372"/>
    <cellStyle name="40% - Accent1 3 3 3 2 2" xfId="15489"/>
    <cellStyle name="40% - Accent1 3 3 3 2 3" xfId="19440"/>
    <cellStyle name="40% - Accent1 3 3 3 3" xfId="4373"/>
    <cellStyle name="40% - Accent1 3 3 3 3 2" xfId="15490"/>
    <cellStyle name="40% - Accent1 3 3 3 3 3" xfId="19441"/>
    <cellStyle name="40% - Accent1 3 3 3 4" xfId="15488"/>
    <cellStyle name="40% - Accent1 3 3 3 5" xfId="19439"/>
    <cellStyle name="40% - Accent1 3 3 4" xfId="4374"/>
    <cellStyle name="40% - Accent1 3 3 4 2" xfId="15491"/>
    <cellStyle name="40% - Accent1 3 3 4 3" xfId="19442"/>
    <cellStyle name="40% - Accent1 3 3 5" xfId="4375"/>
    <cellStyle name="40% - Accent1 3 3 5 2" xfId="15492"/>
    <cellStyle name="40% - Accent1 3 3 5 3" xfId="19443"/>
    <cellStyle name="40% - Accent1 3 3 6" xfId="15484"/>
    <cellStyle name="40% - Accent1 3 3 7" xfId="19435"/>
    <cellStyle name="40% - Accent1 3 3_Volatility" xfId="4376"/>
    <cellStyle name="40% - Accent1 3 4" xfId="4377"/>
    <cellStyle name="40% - Accent1 3 4 2" xfId="4378"/>
    <cellStyle name="40% - Accent1 3 4 2 2" xfId="15494"/>
    <cellStyle name="40% - Accent1 3 4 2 3" xfId="19445"/>
    <cellStyle name="40% - Accent1 3 4 3" xfId="4379"/>
    <cellStyle name="40% - Accent1 3 4 3 2" xfId="15495"/>
    <cellStyle name="40% - Accent1 3 4 3 3" xfId="19446"/>
    <cellStyle name="40% - Accent1 3 4 4" xfId="15493"/>
    <cellStyle name="40% - Accent1 3 4 5" xfId="19444"/>
    <cellStyle name="40% - Accent1 3 5" xfId="4380"/>
    <cellStyle name="40% - Accent1 3 5 2" xfId="4381"/>
    <cellStyle name="40% - Accent1 3 5 2 2" xfId="15497"/>
    <cellStyle name="40% - Accent1 3 5 2 3" xfId="19448"/>
    <cellStyle name="40% - Accent1 3 5 3" xfId="4382"/>
    <cellStyle name="40% - Accent1 3 5 3 2" xfId="15498"/>
    <cellStyle name="40% - Accent1 3 5 3 3" xfId="19449"/>
    <cellStyle name="40% - Accent1 3 5 4" xfId="15496"/>
    <cellStyle name="40% - Accent1 3 5 5" xfId="19447"/>
    <cellStyle name="40% - Accent1 3 6" xfId="4383"/>
    <cellStyle name="40% - Accent1 3 6 2" xfId="4384"/>
    <cellStyle name="40% - Accent1 3 6 2 2" xfId="15500"/>
    <cellStyle name="40% - Accent1 3 6 2 3" xfId="19451"/>
    <cellStyle name="40% - Accent1 3 6 3" xfId="4385"/>
    <cellStyle name="40% - Accent1 3 6 3 2" xfId="15501"/>
    <cellStyle name="40% - Accent1 3 6 3 3" xfId="19452"/>
    <cellStyle name="40% - Accent1 3 6 4" xfId="15499"/>
    <cellStyle name="40% - Accent1 3 6 5" xfId="19450"/>
    <cellStyle name="40% - Accent1 3 7" xfId="4386"/>
    <cellStyle name="40% - Accent1 3 7 2" xfId="15502"/>
    <cellStyle name="40% - Accent1 3 7 3" xfId="19453"/>
    <cellStyle name="40% - Accent1 3 8" xfId="4387"/>
    <cellStyle name="40% - Accent1 3 8 2" xfId="15503"/>
    <cellStyle name="40% - Accent1 3 8 3" xfId="19454"/>
    <cellStyle name="40% - Accent1 3 9" xfId="15471"/>
    <cellStyle name="40% - Accent1 3_Volatility" xfId="4388"/>
    <cellStyle name="40% - Accent1 4" xfId="4389"/>
    <cellStyle name="40% - Accent1 4 10" xfId="19455"/>
    <cellStyle name="40% - Accent1 4 2" xfId="4390"/>
    <cellStyle name="40% - Accent1 4 2 2" xfId="4391"/>
    <cellStyle name="40% - Accent1 4 2 2 2" xfId="4392"/>
    <cellStyle name="40% - Accent1 4 2 2 2 2" xfId="15507"/>
    <cellStyle name="40% - Accent1 4 2 2 2 3" xfId="19458"/>
    <cellStyle name="40% - Accent1 4 2 2 3" xfId="4393"/>
    <cellStyle name="40% - Accent1 4 2 2 3 2" xfId="15508"/>
    <cellStyle name="40% - Accent1 4 2 2 3 3" xfId="19459"/>
    <cellStyle name="40% - Accent1 4 2 2 4" xfId="15506"/>
    <cellStyle name="40% - Accent1 4 2 2 5" xfId="19457"/>
    <cellStyle name="40% - Accent1 4 2 3" xfId="4394"/>
    <cellStyle name="40% - Accent1 4 2 3 2" xfId="4395"/>
    <cellStyle name="40% - Accent1 4 2 3 2 2" xfId="15510"/>
    <cellStyle name="40% - Accent1 4 2 3 2 3" xfId="19461"/>
    <cellStyle name="40% - Accent1 4 2 3 3" xfId="4396"/>
    <cellStyle name="40% - Accent1 4 2 3 3 2" xfId="15511"/>
    <cellStyle name="40% - Accent1 4 2 3 3 3" xfId="19462"/>
    <cellStyle name="40% - Accent1 4 2 3 4" xfId="15509"/>
    <cellStyle name="40% - Accent1 4 2 3 5" xfId="19460"/>
    <cellStyle name="40% - Accent1 4 2 4" xfId="4397"/>
    <cellStyle name="40% - Accent1 4 2 4 2" xfId="4398"/>
    <cellStyle name="40% - Accent1 4 2 4 2 2" xfId="15513"/>
    <cellStyle name="40% - Accent1 4 2 4 2 3" xfId="19464"/>
    <cellStyle name="40% - Accent1 4 2 4 3" xfId="4399"/>
    <cellStyle name="40% - Accent1 4 2 4 3 2" xfId="15514"/>
    <cellStyle name="40% - Accent1 4 2 4 3 3" xfId="19465"/>
    <cellStyle name="40% - Accent1 4 2 4 4" xfId="15512"/>
    <cellStyle name="40% - Accent1 4 2 4 5" xfId="19463"/>
    <cellStyle name="40% - Accent1 4 2 5" xfId="4400"/>
    <cellStyle name="40% - Accent1 4 2 5 2" xfId="15515"/>
    <cellStyle name="40% - Accent1 4 2 5 3" xfId="19466"/>
    <cellStyle name="40% - Accent1 4 2 6" xfId="4401"/>
    <cellStyle name="40% - Accent1 4 2 6 2" xfId="15516"/>
    <cellStyle name="40% - Accent1 4 2 6 3" xfId="19467"/>
    <cellStyle name="40% - Accent1 4 2 7" xfId="15505"/>
    <cellStyle name="40% - Accent1 4 2 8" xfId="19456"/>
    <cellStyle name="40% - Accent1 4 2_Volatility" xfId="4402"/>
    <cellStyle name="40% - Accent1 4 3" xfId="4403"/>
    <cellStyle name="40% - Accent1 4 3 2" xfId="4404"/>
    <cellStyle name="40% - Accent1 4 3 2 2" xfId="4405"/>
    <cellStyle name="40% - Accent1 4 3 2 2 2" xfId="15519"/>
    <cellStyle name="40% - Accent1 4 3 2 2 3" xfId="19470"/>
    <cellStyle name="40% - Accent1 4 3 2 3" xfId="4406"/>
    <cellStyle name="40% - Accent1 4 3 2 3 2" xfId="15520"/>
    <cellStyle name="40% - Accent1 4 3 2 3 3" xfId="19471"/>
    <cellStyle name="40% - Accent1 4 3 2 4" xfId="15518"/>
    <cellStyle name="40% - Accent1 4 3 2 5" xfId="19469"/>
    <cellStyle name="40% - Accent1 4 3 3" xfId="4407"/>
    <cellStyle name="40% - Accent1 4 3 3 2" xfId="4408"/>
    <cellStyle name="40% - Accent1 4 3 3 2 2" xfId="15522"/>
    <cellStyle name="40% - Accent1 4 3 3 2 3" xfId="19473"/>
    <cellStyle name="40% - Accent1 4 3 3 3" xfId="4409"/>
    <cellStyle name="40% - Accent1 4 3 3 3 2" xfId="15523"/>
    <cellStyle name="40% - Accent1 4 3 3 3 3" xfId="19474"/>
    <cellStyle name="40% - Accent1 4 3 3 4" xfId="15521"/>
    <cellStyle name="40% - Accent1 4 3 3 5" xfId="19472"/>
    <cellStyle name="40% - Accent1 4 3 4" xfId="4410"/>
    <cellStyle name="40% - Accent1 4 3 4 2" xfId="15524"/>
    <cellStyle name="40% - Accent1 4 3 4 3" xfId="19475"/>
    <cellStyle name="40% - Accent1 4 3 5" xfId="4411"/>
    <cellStyle name="40% - Accent1 4 3 5 2" xfId="15525"/>
    <cellStyle name="40% - Accent1 4 3 5 3" xfId="19476"/>
    <cellStyle name="40% - Accent1 4 3 6" xfId="15517"/>
    <cellStyle name="40% - Accent1 4 3 7" xfId="19468"/>
    <cellStyle name="40% - Accent1 4 3_Volatility" xfId="4412"/>
    <cellStyle name="40% - Accent1 4 4" xfId="4413"/>
    <cellStyle name="40% - Accent1 4 4 2" xfId="4414"/>
    <cellStyle name="40% - Accent1 4 4 2 2" xfId="15527"/>
    <cellStyle name="40% - Accent1 4 4 2 3" xfId="19478"/>
    <cellStyle name="40% - Accent1 4 4 3" xfId="4415"/>
    <cellStyle name="40% - Accent1 4 4 3 2" xfId="15528"/>
    <cellStyle name="40% - Accent1 4 4 3 3" xfId="19479"/>
    <cellStyle name="40% - Accent1 4 4 4" xfId="15526"/>
    <cellStyle name="40% - Accent1 4 4 5" xfId="19477"/>
    <cellStyle name="40% - Accent1 4 5" xfId="4416"/>
    <cellStyle name="40% - Accent1 4 5 2" xfId="4417"/>
    <cellStyle name="40% - Accent1 4 5 2 2" xfId="15530"/>
    <cellStyle name="40% - Accent1 4 5 2 3" xfId="19481"/>
    <cellStyle name="40% - Accent1 4 5 3" xfId="4418"/>
    <cellStyle name="40% - Accent1 4 5 3 2" xfId="15531"/>
    <cellStyle name="40% - Accent1 4 5 3 3" xfId="19482"/>
    <cellStyle name="40% - Accent1 4 5 4" xfId="15529"/>
    <cellStyle name="40% - Accent1 4 5 5" xfId="19480"/>
    <cellStyle name="40% - Accent1 4 6" xfId="4419"/>
    <cellStyle name="40% - Accent1 4 6 2" xfId="4420"/>
    <cellStyle name="40% - Accent1 4 6 2 2" xfId="15533"/>
    <cellStyle name="40% - Accent1 4 6 2 3" xfId="19484"/>
    <cellStyle name="40% - Accent1 4 6 3" xfId="4421"/>
    <cellStyle name="40% - Accent1 4 6 3 2" xfId="15534"/>
    <cellStyle name="40% - Accent1 4 6 3 3" xfId="19485"/>
    <cellStyle name="40% - Accent1 4 6 4" xfId="15532"/>
    <cellStyle name="40% - Accent1 4 6 5" xfId="19483"/>
    <cellStyle name="40% - Accent1 4 7" xfId="4422"/>
    <cellStyle name="40% - Accent1 4 7 2" xfId="15535"/>
    <cellStyle name="40% - Accent1 4 7 3" xfId="19486"/>
    <cellStyle name="40% - Accent1 4 8" xfId="4423"/>
    <cellStyle name="40% - Accent1 4 8 2" xfId="15536"/>
    <cellStyle name="40% - Accent1 4 8 3" xfId="19487"/>
    <cellStyle name="40% - Accent1 4 9" xfId="15504"/>
    <cellStyle name="40% - Accent1 4_Volatility" xfId="4424"/>
    <cellStyle name="40% - Accent1 5" xfId="4425"/>
    <cellStyle name="40% - Accent1 5 10" xfId="19488"/>
    <cellStyle name="40% - Accent1 5 2" xfId="4426"/>
    <cellStyle name="40% - Accent1 5 2 2" xfId="4427"/>
    <cellStyle name="40% - Accent1 5 2 2 2" xfId="4428"/>
    <cellStyle name="40% - Accent1 5 2 2 2 2" xfId="15540"/>
    <cellStyle name="40% - Accent1 5 2 2 2 3" xfId="19491"/>
    <cellStyle name="40% - Accent1 5 2 2 3" xfId="4429"/>
    <cellStyle name="40% - Accent1 5 2 2 3 2" xfId="15541"/>
    <cellStyle name="40% - Accent1 5 2 2 3 3" xfId="19492"/>
    <cellStyle name="40% - Accent1 5 2 2 4" xfId="15539"/>
    <cellStyle name="40% - Accent1 5 2 2 5" xfId="19490"/>
    <cellStyle name="40% - Accent1 5 2 3" xfId="4430"/>
    <cellStyle name="40% - Accent1 5 2 3 2" xfId="4431"/>
    <cellStyle name="40% - Accent1 5 2 3 2 2" xfId="15543"/>
    <cellStyle name="40% - Accent1 5 2 3 2 3" xfId="19494"/>
    <cellStyle name="40% - Accent1 5 2 3 3" xfId="4432"/>
    <cellStyle name="40% - Accent1 5 2 3 3 2" xfId="15544"/>
    <cellStyle name="40% - Accent1 5 2 3 3 3" xfId="19495"/>
    <cellStyle name="40% - Accent1 5 2 3 4" xfId="15542"/>
    <cellStyle name="40% - Accent1 5 2 3 5" xfId="19493"/>
    <cellStyle name="40% - Accent1 5 2 4" xfId="4433"/>
    <cellStyle name="40% - Accent1 5 2 4 2" xfId="4434"/>
    <cellStyle name="40% - Accent1 5 2 4 2 2" xfId="15546"/>
    <cellStyle name="40% - Accent1 5 2 4 2 3" xfId="19497"/>
    <cellStyle name="40% - Accent1 5 2 4 3" xfId="4435"/>
    <cellStyle name="40% - Accent1 5 2 4 3 2" xfId="15547"/>
    <cellStyle name="40% - Accent1 5 2 4 3 3" xfId="19498"/>
    <cellStyle name="40% - Accent1 5 2 4 4" xfId="15545"/>
    <cellStyle name="40% - Accent1 5 2 4 5" xfId="19496"/>
    <cellStyle name="40% - Accent1 5 2 5" xfId="4436"/>
    <cellStyle name="40% - Accent1 5 2 5 2" xfId="15548"/>
    <cellStyle name="40% - Accent1 5 2 5 3" xfId="19499"/>
    <cellStyle name="40% - Accent1 5 2 6" xfId="4437"/>
    <cellStyle name="40% - Accent1 5 2 6 2" xfId="15549"/>
    <cellStyle name="40% - Accent1 5 2 6 3" xfId="19500"/>
    <cellStyle name="40% - Accent1 5 2 7" xfId="15538"/>
    <cellStyle name="40% - Accent1 5 2 8" xfId="19489"/>
    <cellStyle name="40% - Accent1 5 2_Volatility" xfId="4438"/>
    <cellStyle name="40% - Accent1 5 3" xfId="4439"/>
    <cellStyle name="40% - Accent1 5 3 2" xfId="4440"/>
    <cellStyle name="40% - Accent1 5 3 2 2" xfId="4441"/>
    <cellStyle name="40% - Accent1 5 3 2 2 2" xfId="15552"/>
    <cellStyle name="40% - Accent1 5 3 2 2 3" xfId="19503"/>
    <cellStyle name="40% - Accent1 5 3 2 3" xfId="4442"/>
    <cellStyle name="40% - Accent1 5 3 2 3 2" xfId="15553"/>
    <cellStyle name="40% - Accent1 5 3 2 3 3" xfId="19504"/>
    <cellStyle name="40% - Accent1 5 3 2 4" xfId="15551"/>
    <cellStyle name="40% - Accent1 5 3 2 5" xfId="19502"/>
    <cellStyle name="40% - Accent1 5 3 3" xfId="4443"/>
    <cellStyle name="40% - Accent1 5 3 3 2" xfId="4444"/>
    <cellStyle name="40% - Accent1 5 3 3 2 2" xfId="15555"/>
    <cellStyle name="40% - Accent1 5 3 3 2 3" xfId="19506"/>
    <cellStyle name="40% - Accent1 5 3 3 3" xfId="4445"/>
    <cellStyle name="40% - Accent1 5 3 3 3 2" xfId="15556"/>
    <cellStyle name="40% - Accent1 5 3 3 3 3" xfId="19507"/>
    <cellStyle name="40% - Accent1 5 3 3 4" xfId="15554"/>
    <cellStyle name="40% - Accent1 5 3 3 5" xfId="19505"/>
    <cellStyle name="40% - Accent1 5 3 4" xfId="4446"/>
    <cellStyle name="40% - Accent1 5 3 4 2" xfId="15557"/>
    <cellStyle name="40% - Accent1 5 3 4 3" xfId="19508"/>
    <cellStyle name="40% - Accent1 5 3 5" xfId="4447"/>
    <cellStyle name="40% - Accent1 5 3 5 2" xfId="15558"/>
    <cellStyle name="40% - Accent1 5 3 5 3" xfId="19509"/>
    <cellStyle name="40% - Accent1 5 3 6" xfId="15550"/>
    <cellStyle name="40% - Accent1 5 3 7" xfId="19501"/>
    <cellStyle name="40% - Accent1 5 3_Volatility" xfId="4448"/>
    <cellStyle name="40% - Accent1 5 4" xfId="4449"/>
    <cellStyle name="40% - Accent1 5 4 2" xfId="4450"/>
    <cellStyle name="40% - Accent1 5 4 2 2" xfId="15560"/>
    <cellStyle name="40% - Accent1 5 4 2 3" xfId="19511"/>
    <cellStyle name="40% - Accent1 5 4 3" xfId="4451"/>
    <cellStyle name="40% - Accent1 5 4 3 2" xfId="15561"/>
    <cellStyle name="40% - Accent1 5 4 3 3" xfId="19512"/>
    <cellStyle name="40% - Accent1 5 4 4" xfId="15559"/>
    <cellStyle name="40% - Accent1 5 4 5" xfId="19510"/>
    <cellStyle name="40% - Accent1 5 5" xfId="4452"/>
    <cellStyle name="40% - Accent1 5 5 2" xfId="4453"/>
    <cellStyle name="40% - Accent1 5 5 2 2" xfId="15563"/>
    <cellStyle name="40% - Accent1 5 5 2 3" xfId="19514"/>
    <cellStyle name="40% - Accent1 5 5 3" xfId="4454"/>
    <cellStyle name="40% - Accent1 5 5 3 2" xfId="15564"/>
    <cellStyle name="40% - Accent1 5 5 3 3" xfId="19515"/>
    <cellStyle name="40% - Accent1 5 5 4" xfId="15562"/>
    <cellStyle name="40% - Accent1 5 5 5" xfId="19513"/>
    <cellStyle name="40% - Accent1 5 6" xfId="4455"/>
    <cellStyle name="40% - Accent1 5 6 2" xfId="4456"/>
    <cellStyle name="40% - Accent1 5 6 2 2" xfId="15566"/>
    <cellStyle name="40% - Accent1 5 6 2 3" xfId="19517"/>
    <cellStyle name="40% - Accent1 5 6 3" xfId="4457"/>
    <cellStyle name="40% - Accent1 5 6 3 2" xfId="15567"/>
    <cellStyle name="40% - Accent1 5 6 3 3" xfId="19518"/>
    <cellStyle name="40% - Accent1 5 6 4" xfId="15565"/>
    <cellStyle name="40% - Accent1 5 6 5" xfId="19516"/>
    <cellStyle name="40% - Accent1 5 7" xfId="4458"/>
    <cellStyle name="40% - Accent1 5 7 2" xfId="15568"/>
    <cellStyle name="40% - Accent1 5 7 3" xfId="19519"/>
    <cellStyle name="40% - Accent1 5 8" xfId="4459"/>
    <cellStyle name="40% - Accent1 5 8 2" xfId="15569"/>
    <cellStyle name="40% - Accent1 5 8 3" xfId="19520"/>
    <cellStyle name="40% - Accent1 5 9" xfId="15537"/>
    <cellStyle name="40% - Accent1 5_Volatility" xfId="4460"/>
    <cellStyle name="40% - Accent1 6" xfId="4461"/>
    <cellStyle name="40% - Accent1 6 10" xfId="19521"/>
    <cellStyle name="40% - Accent1 6 2" xfId="4462"/>
    <cellStyle name="40% - Accent1 6 2 2" xfId="4463"/>
    <cellStyle name="40% - Accent1 6 2 2 2" xfId="4464"/>
    <cellStyle name="40% - Accent1 6 2 2 2 2" xfId="15573"/>
    <cellStyle name="40% - Accent1 6 2 2 2 3" xfId="19524"/>
    <cellStyle name="40% - Accent1 6 2 2 3" xfId="4465"/>
    <cellStyle name="40% - Accent1 6 2 2 3 2" xfId="15574"/>
    <cellStyle name="40% - Accent1 6 2 2 3 3" xfId="19525"/>
    <cellStyle name="40% - Accent1 6 2 2 4" xfId="15572"/>
    <cellStyle name="40% - Accent1 6 2 2 5" xfId="19523"/>
    <cellStyle name="40% - Accent1 6 2 3" xfId="4466"/>
    <cellStyle name="40% - Accent1 6 2 3 2" xfId="4467"/>
    <cellStyle name="40% - Accent1 6 2 3 2 2" xfId="15576"/>
    <cellStyle name="40% - Accent1 6 2 3 2 3" xfId="19527"/>
    <cellStyle name="40% - Accent1 6 2 3 3" xfId="4468"/>
    <cellStyle name="40% - Accent1 6 2 3 3 2" xfId="15577"/>
    <cellStyle name="40% - Accent1 6 2 3 3 3" xfId="19528"/>
    <cellStyle name="40% - Accent1 6 2 3 4" xfId="15575"/>
    <cellStyle name="40% - Accent1 6 2 3 5" xfId="19526"/>
    <cellStyle name="40% - Accent1 6 2 4" xfId="4469"/>
    <cellStyle name="40% - Accent1 6 2 4 2" xfId="4470"/>
    <cellStyle name="40% - Accent1 6 2 4 2 2" xfId="15579"/>
    <cellStyle name="40% - Accent1 6 2 4 2 3" xfId="19530"/>
    <cellStyle name="40% - Accent1 6 2 4 3" xfId="4471"/>
    <cellStyle name="40% - Accent1 6 2 4 3 2" xfId="15580"/>
    <cellStyle name="40% - Accent1 6 2 4 3 3" xfId="19531"/>
    <cellStyle name="40% - Accent1 6 2 4 4" xfId="15578"/>
    <cellStyle name="40% - Accent1 6 2 4 5" xfId="19529"/>
    <cellStyle name="40% - Accent1 6 2 5" xfId="4472"/>
    <cellStyle name="40% - Accent1 6 2 5 2" xfId="15581"/>
    <cellStyle name="40% - Accent1 6 2 5 3" xfId="19532"/>
    <cellStyle name="40% - Accent1 6 2 6" xfId="4473"/>
    <cellStyle name="40% - Accent1 6 2 6 2" xfId="15582"/>
    <cellStyle name="40% - Accent1 6 2 6 3" xfId="19533"/>
    <cellStyle name="40% - Accent1 6 2 7" xfId="15571"/>
    <cellStyle name="40% - Accent1 6 2 8" xfId="19522"/>
    <cellStyle name="40% - Accent1 6 2_Volatility" xfId="4474"/>
    <cellStyle name="40% - Accent1 6 3" xfId="4475"/>
    <cellStyle name="40% - Accent1 6 3 2" xfId="4476"/>
    <cellStyle name="40% - Accent1 6 3 2 2" xfId="4477"/>
    <cellStyle name="40% - Accent1 6 3 2 2 2" xfId="15585"/>
    <cellStyle name="40% - Accent1 6 3 2 2 3" xfId="19536"/>
    <cellStyle name="40% - Accent1 6 3 2 3" xfId="4478"/>
    <cellStyle name="40% - Accent1 6 3 2 3 2" xfId="15586"/>
    <cellStyle name="40% - Accent1 6 3 2 3 3" xfId="19537"/>
    <cellStyle name="40% - Accent1 6 3 2 4" xfId="15584"/>
    <cellStyle name="40% - Accent1 6 3 2 5" xfId="19535"/>
    <cellStyle name="40% - Accent1 6 3 3" xfId="4479"/>
    <cellStyle name="40% - Accent1 6 3 3 2" xfId="4480"/>
    <cellStyle name="40% - Accent1 6 3 3 2 2" xfId="15588"/>
    <cellStyle name="40% - Accent1 6 3 3 2 3" xfId="19539"/>
    <cellStyle name="40% - Accent1 6 3 3 3" xfId="4481"/>
    <cellStyle name="40% - Accent1 6 3 3 3 2" xfId="15589"/>
    <cellStyle name="40% - Accent1 6 3 3 3 3" xfId="19540"/>
    <cellStyle name="40% - Accent1 6 3 3 4" xfId="15587"/>
    <cellStyle name="40% - Accent1 6 3 3 5" xfId="19538"/>
    <cellStyle name="40% - Accent1 6 3 4" xfId="4482"/>
    <cellStyle name="40% - Accent1 6 3 4 2" xfId="15590"/>
    <cellStyle name="40% - Accent1 6 3 4 3" xfId="19541"/>
    <cellStyle name="40% - Accent1 6 3 5" xfId="4483"/>
    <cellStyle name="40% - Accent1 6 3 5 2" xfId="15591"/>
    <cellStyle name="40% - Accent1 6 3 5 3" xfId="19542"/>
    <cellStyle name="40% - Accent1 6 3 6" xfId="15583"/>
    <cellStyle name="40% - Accent1 6 3 7" xfId="19534"/>
    <cellStyle name="40% - Accent1 6 3_Volatility" xfId="4484"/>
    <cellStyle name="40% - Accent1 6 4" xfId="4485"/>
    <cellStyle name="40% - Accent1 6 4 2" xfId="4486"/>
    <cellStyle name="40% - Accent1 6 4 2 2" xfId="15593"/>
    <cellStyle name="40% - Accent1 6 4 2 3" xfId="19544"/>
    <cellStyle name="40% - Accent1 6 4 3" xfId="4487"/>
    <cellStyle name="40% - Accent1 6 4 3 2" xfId="15594"/>
    <cellStyle name="40% - Accent1 6 4 3 3" xfId="19545"/>
    <cellStyle name="40% - Accent1 6 4 4" xfId="15592"/>
    <cellStyle name="40% - Accent1 6 4 5" xfId="19543"/>
    <cellStyle name="40% - Accent1 6 5" xfId="4488"/>
    <cellStyle name="40% - Accent1 6 5 2" xfId="4489"/>
    <cellStyle name="40% - Accent1 6 5 2 2" xfId="15596"/>
    <cellStyle name="40% - Accent1 6 5 2 3" xfId="19547"/>
    <cellStyle name="40% - Accent1 6 5 3" xfId="4490"/>
    <cellStyle name="40% - Accent1 6 5 3 2" xfId="15597"/>
    <cellStyle name="40% - Accent1 6 5 3 3" xfId="19548"/>
    <cellStyle name="40% - Accent1 6 5 4" xfId="15595"/>
    <cellStyle name="40% - Accent1 6 5 5" xfId="19546"/>
    <cellStyle name="40% - Accent1 6 6" xfId="4491"/>
    <cellStyle name="40% - Accent1 6 6 2" xfId="4492"/>
    <cellStyle name="40% - Accent1 6 6 2 2" xfId="15599"/>
    <cellStyle name="40% - Accent1 6 6 2 3" xfId="19550"/>
    <cellStyle name="40% - Accent1 6 6 3" xfId="4493"/>
    <cellStyle name="40% - Accent1 6 6 3 2" xfId="15600"/>
    <cellStyle name="40% - Accent1 6 6 3 3" xfId="19551"/>
    <cellStyle name="40% - Accent1 6 6 4" xfId="15598"/>
    <cellStyle name="40% - Accent1 6 6 5" xfId="19549"/>
    <cellStyle name="40% - Accent1 6 7" xfId="4494"/>
    <cellStyle name="40% - Accent1 6 7 2" xfId="15601"/>
    <cellStyle name="40% - Accent1 6 7 3" xfId="19552"/>
    <cellStyle name="40% - Accent1 6 8" xfId="4495"/>
    <cellStyle name="40% - Accent1 6 8 2" xfId="15602"/>
    <cellStyle name="40% - Accent1 6 8 3" xfId="19553"/>
    <cellStyle name="40% - Accent1 6 9" xfId="15570"/>
    <cellStyle name="40% - Accent1 6_Volatility" xfId="4496"/>
    <cellStyle name="40% - Accent1 7" xfId="4497"/>
    <cellStyle name="40% - Accent1 7 10" xfId="19554"/>
    <cellStyle name="40% - Accent1 7 2" xfId="4498"/>
    <cellStyle name="40% - Accent1 7 2 2" xfId="4499"/>
    <cellStyle name="40% - Accent1 7 2 2 2" xfId="4500"/>
    <cellStyle name="40% - Accent1 7 2 2 2 2" xfId="15606"/>
    <cellStyle name="40% - Accent1 7 2 2 2 3" xfId="19557"/>
    <cellStyle name="40% - Accent1 7 2 2 3" xfId="4501"/>
    <cellStyle name="40% - Accent1 7 2 2 3 2" xfId="15607"/>
    <cellStyle name="40% - Accent1 7 2 2 3 3" xfId="19558"/>
    <cellStyle name="40% - Accent1 7 2 2 4" xfId="15605"/>
    <cellStyle name="40% - Accent1 7 2 2 5" xfId="19556"/>
    <cellStyle name="40% - Accent1 7 2 3" xfId="4502"/>
    <cellStyle name="40% - Accent1 7 2 3 2" xfId="4503"/>
    <cellStyle name="40% - Accent1 7 2 3 2 2" xfId="15609"/>
    <cellStyle name="40% - Accent1 7 2 3 2 3" xfId="19560"/>
    <cellStyle name="40% - Accent1 7 2 3 3" xfId="4504"/>
    <cellStyle name="40% - Accent1 7 2 3 3 2" xfId="15610"/>
    <cellStyle name="40% - Accent1 7 2 3 3 3" xfId="19561"/>
    <cellStyle name="40% - Accent1 7 2 3 4" xfId="15608"/>
    <cellStyle name="40% - Accent1 7 2 3 5" xfId="19559"/>
    <cellStyle name="40% - Accent1 7 2 4" xfId="4505"/>
    <cellStyle name="40% - Accent1 7 2 4 2" xfId="4506"/>
    <cellStyle name="40% - Accent1 7 2 4 2 2" xfId="15612"/>
    <cellStyle name="40% - Accent1 7 2 4 2 3" xfId="19563"/>
    <cellStyle name="40% - Accent1 7 2 4 3" xfId="4507"/>
    <cellStyle name="40% - Accent1 7 2 4 3 2" xfId="15613"/>
    <cellStyle name="40% - Accent1 7 2 4 3 3" xfId="19564"/>
    <cellStyle name="40% - Accent1 7 2 4 4" xfId="15611"/>
    <cellStyle name="40% - Accent1 7 2 4 5" xfId="19562"/>
    <cellStyle name="40% - Accent1 7 2 5" xfId="4508"/>
    <cellStyle name="40% - Accent1 7 2 5 2" xfId="15614"/>
    <cellStyle name="40% - Accent1 7 2 5 3" xfId="19565"/>
    <cellStyle name="40% - Accent1 7 2 6" xfId="4509"/>
    <cellStyle name="40% - Accent1 7 2 6 2" xfId="15615"/>
    <cellStyle name="40% - Accent1 7 2 6 3" xfId="19566"/>
    <cellStyle name="40% - Accent1 7 2 7" xfId="15604"/>
    <cellStyle name="40% - Accent1 7 2 8" xfId="19555"/>
    <cellStyle name="40% - Accent1 7 2_Volatility" xfId="4510"/>
    <cellStyle name="40% - Accent1 7 3" xfId="4511"/>
    <cellStyle name="40% - Accent1 7 3 2" xfId="4512"/>
    <cellStyle name="40% - Accent1 7 3 2 2" xfId="4513"/>
    <cellStyle name="40% - Accent1 7 3 2 2 2" xfId="15618"/>
    <cellStyle name="40% - Accent1 7 3 2 2 3" xfId="19569"/>
    <cellStyle name="40% - Accent1 7 3 2 3" xfId="4514"/>
    <cellStyle name="40% - Accent1 7 3 2 3 2" xfId="15619"/>
    <cellStyle name="40% - Accent1 7 3 2 3 3" xfId="19570"/>
    <cellStyle name="40% - Accent1 7 3 2 4" xfId="15617"/>
    <cellStyle name="40% - Accent1 7 3 2 5" xfId="19568"/>
    <cellStyle name="40% - Accent1 7 3 3" xfId="4515"/>
    <cellStyle name="40% - Accent1 7 3 3 2" xfId="4516"/>
    <cellStyle name="40% - Accent1 7 3 3 2 2" xfId="15621"/>
    <cellStyle name="40% - Accent1 7 3 3 2 3" xfId="19572"/>
    <cellStyle name="40% - Accent1 7 3 3 3" xfId="4517"/>
    <cellStyle name="40% - Accent1 7 3 3 3 2" xfId="15622"/>
    <cellStyle name="40% - Accent1 7 3 3 3 3" xfId="19573"/>
    <cellStyle name="40% - Accent1 7 3 3 4" xfId="15620"/>
    <cellStyle name="40% - Accent1 7 3 3 5" xfId="19571"/>
    <cellStyle name="40% - Accent1 7 3 4" xfId="4518"/>
    <cellStyle name="40% - Accent1 7 3 4 2" xfId="15623"/>
    <cellStyle name="40% - Accent1 7 3 4 3" xfId="19574"/>
    <cellStyle name="40% - Accent1 7 3 5" xfId="4519"/>
    <cellStyle name="40% - Accent1 7 3 5 2" xfId="15624"/>
    <cellStyle name="40% - Accent1 7 3 5 3" xfId="19575"/>
    <cellStyle name="40% - Accent1 7 3 6" xfId="15616"/>
    <cellStyle name="40% - Accent1 7 3 7" xfId="19567"/>
    <cellStyle name="40% - Accent1 7 3_Volatility" xfId="4520"/>
    <cellStyle name="40% - Accent1 7 4" xfId="4521"/>
    <cellStyle name="40% - Accent1 7 4 2" xfId="4522"/>
    <cellStyle name="40% - Accent1 7 4 2 2" xfId="15626"/>
    <cellStyle name="40% - Accent1 7 4 2 3" xfId="19577"/>
    <cellStyle name="40% - Accent1 7 4 3" xfId="4523"/>
    <cellStyle name="40% - Accent1 7 4 3 2" xfId="15627"/>
    <cellStyle name="40% - Accent1 7 4 3 3" xfId="19578"/>
    <cellStyle name="40% - Accent1 7 4 4" xfId="15625"/>
    <cellStyle name="40% - Accent1 7 4 5" xfId="19576"/>
    <cellStyle name="40% - Accent1 7 5" xfId="4524"/>
    <cellStyle name="40% - Accent1 7 5 2" xfId="4525"/>
    <cellStyle name="40% - Accent1 7 5 2 2" xfId="15629"/>
    <cellStyle name="40% - Accent1 7 5 2 3" xfId="19580"/>
    <cellStyle name="40% - Accent1 7 5 3" xfId="4526"/>
    <cellStyle name="40% - Accent1 7 5 3 2" xfId="15630"/>
    <cellStyle name="40% - Accent1 7 5 3 3" xfId="19581"/>
    <cellStyle name="40% - Accent1 7 5 4" xfId="15628"/>
    <cellStyle name="40% - Accent1 7 5 5" xfId="19579"/>
    <cellStyle name="40% - Accent1 7 6" xfId="4527"/>
    <cellStyle name="40% - Accent1 7 6 2" xfId="4528"/>
    <cellStyle name="40% - Accent1 7 6 2 2" xfId="15632"/>
    <cellStyle name="40% - Accent1 7 6 2 3" xfId="19583"/>
    <cellStyle name="40% - Accent1 7 6 3" xfId="4529"/>
    <cellStyle name="40% - Accent1 7 6 3 2" xfId="15633"/>
    <cellStyle name="40% - Accent1 7 6 3 3" xfId="19584"/>
    <cellStyle name="40% - Accent1 7 6 4" xfId="15631"/>
    <cellStyle name="40% - Accent1 7 6 5" xfId="19582"/>
    <cellStyle name="40% - Accent1 7 7" xfId="4530"/>
    <cellStyle name="40% - Accent1 7 7 2" xfId="15634"/>
    <cellStyle name="40% - Accent1 7 7 3" xfId="19585"/>
    <cellStyle name="40% - Accent1 7 8" xfId="4531"/>
    <cellStyle name="40% - Accent1 7 8 2" xfId="15635"/>
    <cellStyle name="40% - Accent1 7 8 3" xfId="19586"/>
    <cellStyle name="40% - Accent1 7 9" xfId="15603"/>
    <cellStyle name="40% - Accent1 7_Volatility" xfId="4532"/>
    <cellStyle name="40% - Accent1 8" xfId="4533"/>
    <cellStyle name="40% - Accent1 8 10" xfId="19587"/>
    <cellStyle name="40% - Accent1 8 2" xfId="4534"/>
    <cellStyle name="40% - Accent1 8 2 2" xfId="4535"/>
    <cellStyle name="40% - Accent1 8 2 2 2" xfId="4536"/>
    <cellStyle name="40% - Accent1 8 2 2 2 2" xfId="15639"/>
    <cellStyle name="40% - Accent1 8 2 2 2 3" xfId="19590"/>
    <cellStyle name="40% - Accent1 8 2 2 3" xfId="4537"/>
    <cellStyle name="40% - Accent1 8 2 2 3 2" xfId="15640"/>
    <cellStyle name="40% - Accent1 8 2 2 3 3" xfId="19591"/>
    <cellStyle name="40% - Accent1 8 2 2 4" xfId="15638"/>
    <cellStyle name="40% - Accent1 8 2 2 5" xfId="19589"/>
    <cellStyle name="40% - Accent1 8 2 3" xfId="4538"/>
    <cellStyle name="40% - Accent1 8 2 3 2" xfId="4539"/>
    <cellStyle name="40% - Accent1 8 2 3 2 2" xfId="15642"/>
    <cellStyle name="40% - Accent1 8 2 3 2 3" xfId="19593"/>
    <cellStyle name="40% - Accent1 8 2 3 3" xfId="4540"/>
    <cellStyle name="40% - Accent1 8 2 3 3 2" xfId="15643"/>
    <cellStyle name="40% - Accent1 8 2 3 3 3" xfId="19594"/>
    <cellStyle name="40% - Accent1 8 2 3 4" xfId="15641"/>
    <cellStyle name="40% - Accent1 8 2 3 5" xfId="19592"/>
    <cellStyle name="40% - Accent1 8 2 4" xfId="4541"/>
    <cellStyle name="40% - Accent1 8 2 4 2" xfId="4542"/>
    <cellStyle name="40% - Accent1 8 2 4 2 2" xfId="15645"/>
    <cellStyle name="40% - Accent1 8 2 4 2 3" xfId="19596"/>
    <cellStyle name="40% - Accent1 8 2 4 3" xfId="4543"/>
    <cellStyle name="40% - Accent1 8 2 4 3 2" xfId="15646"/>
    <cellStyle name="40% - Accent1 8 2 4 3 3" xfId="19597"/>
    <cellStyle name="40% - Accent1 8 2 4 4" xfId="15644"/>
    <cellStyle name="40% - Accent1 8 2 4 5" xfId="19595"/>
    <cellStyle name="40% - Accent1 8 2 5" xfId="4544"/>
    <cellStyle name="40% - Accent1 8 2 5 2" xfId="15647"/>
    <cellStyle name="40% - Accent1 8 2 5 3" xfId="19598"/>
    <cellStyle name="40% - Accent1 8 2 6" xfId="4545"/>
    <cellStyle name="40% - Accent1 8 2 6 2" xfId="15648"/>
    <cellStyle name="40% - Accent1 8 2 6 3" xfId="19599"/>
    <cellStyle name="40% - Accent1 8 2 7" xfId="15637"/>
    <cellStyle name="40% - Accent1 8 2 8" xfId="19588"/>
    <cellStyle name="40% - Accent1 8 2_Volatility" xfId="4546"/>
    <cellStyle name="40% - Accent1 8 3" xfId="4547"/>
    <cellStyle name="40% - Accent1 8 3 2" xfId="4548"/>
    <cellStyle name="40% - Accent1 8 3 2 2" xfId="4549"/>
    <cellStyle name="40% - Accent1 8 3 2 2 2" xfId="15651"/>
    <cellStyle name="40% - Accent1 8 3 2 2 3" xfId="19602"/>
    <cellStyle name="40% - Accent1 8 3 2 3" xfId="4550"/>
    <cellStyle name="40% - Accent1 8 3 2 3 2" xfId="15652"/>
    <cellStyle name="40% - Accent1 8 3 2 3 3" xfId="19603"/>
    <cellStyle name="40% - Accent1 8 3 2 4" xfId="15650"/>
    <cellStyle name="40% - Accent1 8 3 2 5" xfId="19601"/>
    <cellStyle name="40% - Accent1 8 3 3" xfId="4551"/>
    <cellStyle name="40% - Accent1 8 3 3 2" xfId="4552"/>
    <cellStyle name="40% - Accent1 8 3 3 2 2" xfId="15654"/>
    <cellStyle name="40% - Accent1 8 3 3 2 3" xfId="19605"/>
    <cellStyle name="40% - Accent1 8 3 3 3" xfId="4553"/>
    <cellStyle name="40% - Accent1 8 3 3 3 2" xfId="15655"/>
    <cellStyle name="40% - Accent1 8 3 3 3 3" xfId="19606"/>
    <cellStyle name="40% - Accent1 8 3 3 4" xfId="15653"/>
    <cellStyle name="40% - Accent1 8 3 3 5" xfId="19604"/>
    <cellStyle name="40% - Accent1 8 3 4" xfId="4554"/>
    <cellStyle name="40% - Accent1 8 3 4 2" xfId="15656"/>
    <cellStyle name="40% - Accent1 8 3 4 3" xfId="19607"/>
    <cellStyle name="40% - Accent1 8 3 5" xfId="4555"/>
    <cellStyle name="40% - Accent1 8 3 5 2" xfId="15657"/>
    <cellStyle name="40% - Accent1 8 3 5 3" xfId="19608"/>
    <cellStyle name="40% - Accent1 8 3 6" xfId="15649"/>
    <cellStyle name="40% - Accent1 8 3 7" xfId="19600"/>
    <cellStyle name="40% - Accent1 8 3_Volatility" xfId="4556"/>
    <cellStyle name="40% - Accent1 8 4" xfId="4557"/>
    <cellStyle name="40% - Accent1 8 4 2" xfId="4558"/>
    <cellStyle name="40% - Accent1 8 4 2 2" xfId="15659"/>
    <cellStyle name="40% - Accent1 8 4 2 3" xfId="19610"/>
    <cellStyle name="40% - Accent1 8 4 3" xfId="4559"/>
    <cellStyle name="40% - Accent1 8 4 3 2" xfId="15660"/>
    <cellStyle name="40% - Accent1 8 4 3 3" xfId="19611"/>
    <cellStyle name="40% - Accent1 8 4 4" xfId="15658"/>
    <cellStyle name="40% - Accent1 8 4 5" xfId="19609"/>
    <cellStyle name="40% - Accent1 8 5" xfId="4560"/>
    <cellStyle name="40% - Accent1 8 5 2" xfId="4561"/>
    <cellStyle name="40% - Accent1 8 5 2 2" xfId="15662"/>
    <cellStyle name="40% - Accent1 8 5 2 3" xfId="19613"/>
    <cellStyle name="40% - Accent1 8 5 3" xfId="4562"/>
    <cellStyle name="40% - Accent1 8 5 3 2" xfId="15663"/>
    <cellStyle name="40% - Accent1 8 5 3 3" xfId="19614"/>
    <cellStyle name="40% - Accent1 8 5 4" xfId="15661"/>
    <cellStyle name="40% - Accent1 8 5 5" xfId="19612"/>
    <cellStyle name="40% - Accent1 8 6" xfId="4563"/>
    <cellStyle name="40% - Accent1 8 6 2" xfId="4564"/>
    <cellStyle name="40% - Accent1 8 6 2 2" xfId="15665"/>
    <cellStyle name="40% - Accent1 8 6 2 3" xfId="19616"/>
    <cellStyle name="40% - Accent1 8 6 3" xfId="4565"/>
    <cellStyle name="40% - Accent1 8 6 3 2" xfId="15666"/>
    <cellStyle name="40% - Accent1 8 6 3 3" xfId="19617"/>
    <cellStyle name="40% - Accent1 8 6 4" xfId="15664"/>
    <cellStyle name="40% - Accent1 8 6 5" xfId="19615"/>
    <cellStyle name="40% - Accent1 8 7" xfId="4566"/>
    <cellStyle name="40% - Accent1 8 7 2" xfId="15667"/>
    <cellStyle name="40% - Accent1 8 7 3" xfId="19618"/>
    <cellStyle name="40% - Accent1 8 8" xfId="4567"/>
    <cellStyle name="40% - Accent1 8 8 2" xfId="15668"/>
    <cellStyle name="40% - Accent1 8 8 3" xfId="19619"/>
    <cellStyle name="40% - Accent1 8 9" xfId="15636"/>
    <cellStyle name="40% - Accent1 8_Volatility" xfId="4568"/>
    <cellStyle name="40% - Accent1 9" xfId="4569"/>
    <cellStyle name="40% - Accent1 9 10" xfId="19620"/>
    <cellStyle name="40% - Accent1 9 2" xfId="4570"/>
    <cellStyle name="40% - Accent1 9 2 2" xfId="4571"/>
    <cellStyle name="40% - Accent1 9 2 2 2" xfId="4572"/>
    <cellStyle name="40% - Accent1 9 2 2 2 2" xfId="15672"/>
    <cellStyle name="40% - Accent1 9 2 2 2 3" xfId="19623"/>
    <cellStyle name="40% - Accent1 9 2 2 3" xfId="4573"/>
    <cellStyle name="40% - Accent1 9 2 2 3 2" xfId="15673"/>
    <cellStyle name="40% - Accent1 9 2 2 3 3" xfId="19624"/>
    <cellStyle name="40% - Accent1 9 2 2 4" xfId="15671"/>
    <cellStyle name="40% - Accent1 9 2 2 5" xfId="19622"/>
    <cellStyle name="40% - Accent1 9 2 3" xfId="4574"/>
    <cellStyle name="40% - Accent1 9 2 3 2" xfId="4575"/>
    <cellStyle name="40% - Accent1 9 2 3 2 2" xfId="15675"/>
    <cellStyle name="40% - Accent1 9 2 3 2 3" xfId="19626"/>
    <cellStyle name="40% - Accent1 9 2 3 3" xfId="4576"/>
    <cellStyle name="40% - Accent1 9 2 3 3 2" xfId="15676"/>
    <cellStyle name="40% - Accent1 9 2 3 3 3" xfId="19627"/>
    <cellStyle name="40% - Accent1 9 2 3 4" xfId="15674"/>
    <cellStyle name="40% - Accent1 9 2 3 5" xfId="19625"/>
    <cellStyle name="40% - Accent1 9 2 4" xfId="4577"/>
    <cellStyle name="40% - Accent1 9 2 4 2" xfId="4578"/>
    <cellStyle name="40% - Accent1 9 2 4 2 2" xfId="15678"/>
    <cellStyle name="40% - Accent1 9 2 4 2 3" xfId="19629"/>
    <cellStyle name="40% - Accent1 9 2 4 3" xfId="4579"/>
    <cellStyle name="40% - Accent1 9 2 4 3 2" xfId="15679"/>
    <cellStyle name="40% - Accent1 9 2 4 3 3" xfId="19630"/>
    <cellStyle name="40% - Accent1 9 2 4 4" xfId="15677"/>
    <cellStyle name="40% - Accent1 9 2 4 5" xfId="19628"/>
    <cellStyle name="40% - Accent1 9 2 5" xfId="4580"/>
    <cellStyle name="40% - Accent1 9 2 5 2" xfId="15680"/>
    <cellStyle name="40% - Accent1 9 2 5 3" xfId="19631"/>
    <cellStyle name="40% - Accent1 9 2 6" xfId="4581"/>
    <cellStyle name="40% - Accent1 9 2 6 2" xfId="15681"/>
    <cellStyle name="40% - Accent1 9 2 6 3" xfId="19632"/>
    <cellStyle name="40% - Accent1 9 2 7" xfId="15670"/>
    <cellStyle name="40% - Accent1 9 2 8" xfId="19621"/>
    <cellStyle name="40% - Accent1 9 2_Volatility" xfId="4582"/>
    <cellStyle name="40% - Accent1 9 3" xfId="4583"/>
    <cellStyle name="40% - Accent1 9 3 2" xfId="4584"/>
    <cellStyle name="40% - Accent1 9 3 2 2" xfId="4585"/>
    <cellStyle name="40% - Accent1 9 3 2 2 2" xfId="15684"/>
    <cellStyle name="40% - Accent1 9 3 2 2 3" xfId="19635"/>
    <cellStyle name="40% - Accent1 9 3 2 3" xfId="4586"/>
    <cellStyle name="40% - Accent1 9 3 2 3 2" xfId="15685"/>
    <cellStyle name="40% - Accent1 9 3 2 3 3" xfId="19636"/>
    <cellStyle name="40% - Accent1 9 3 2 4" xfId="15683"/>
    <cellStyle name="40% - Accent1 9 3 2 5" xfId="19634"/>
    <cellStyle name="40% - Accent1 9 3 3" xfId="4587"/>
    <cellStyle name="40% - Accent1 9 3 3 2" xfId="4588"/>
    <cellStyle name="40% - Accent1 9 3 3 2 2" xfId="15687"/>
    <cellStyle name="40% - Accent1 9 3 3 2 3" xfId="19638"/>
    <cellStyle name="40% - Accent1 9 3 3 3" xfId="4589"/>
    <cellStyle name="40% - Accent1 9 3 3 3 2" xfId="15688"/>
    <cellStyle name="40% - Accent1 9 3 3 3 3" xfId="19639"/>
    <cellStyle name="40% - Accent1 9 3 3 4" xfId="15686"/>
    <cellStyle name="40% - Accent1 9 3 3 5" xfId="19637"/>
    <cellStyle name="40% - Accent1 9 3 4" xfId="4590"/>
    <cellStyle name="40% - Accent1 9 3 4 2" xfId="15689"/>
    <cellStyle name="40% - Accent1 9 3 4 3" xfId="19640"/>
    <cellStyle name="40% - Accent1 9 3 5" xfId="4591"/>
    <cellStyle name="40% - Accent1 9 3 5 2" xfId="15690"/>
    <cellStyle name="40% - Accent1 9 3 5 3" xfId="19641"/>
    <cellStyle name="40% - Accent1 9 3 6" xfId="15682"/>
    <cellStyle name="40% - Accent1 9 3 7" xfId="19633"/>
    <cellStyle name="40% - Accent1 9 3_Volatility" xfId="4592"/>
    <cellStyle name="40% - Accent1 9 4" xfId="4593"/>
    <cellStyle name="40% - Accent1 9 4 2" xfId="4594"/>
    <cellStyle name="40% - Accent1 9 4 2 2" xfId="15692"/>
    <cellStyle name="40% - Accent1 9 4 2 3" xfId="19643"/>
    <cellStyle name="40% - Accent1 9 4 3" xfId="4595"/>
    <cellStyle name="40% - Accent1 9 4 3 2" xfId="15693"/>
    <cellStyle name="40% - Accent1 9 4 3 3" xfId="19644"/>
    <cellStyle name="40% - Accent1 9 4 4" xfId="15691"/>
    <cellStyle name="40% - Accent1 9 4 5" xfId="19642"/>
    <cellStyle name="40% - Accent1 9 5" xfId="4596"/>
    <cellStyle name="40% - Accent1 9 5 2" xfId="4597"/>
    <cellStyle name="40% - Accent1 9 5 2 2" xfId="15695"/>
    <cellStyle name="40% - Accent1 9 5 2 3" xfId="19646"/>
    <cellStyle name="40% - Accent1 9 5 3" xfId="4598"/>
    <cellStyle name="40% - Accent1 9 5 3 2" xfId="15696"/>
    <cellStyle name="40% - Accent1 9 5 3 3" xfId="19647"/>
    <cellStyle name="40% - Accent1 9 5 4" xfId="15694"/>
    <cellStyle name="40% - Accent1 9 5 5" xfId="19645"/>
    <cellStyle name="40% - Accent1 9 6" xfId="4599"/>
    <cellStyle name="40% - Accent1 9 6 2" xfId="4600"/>
    <cellStyle name="40% - Accent1 9 6 2 2" xfId="15698"/>
    <cellStyle name="40% - Accent1 9 6 2 3" xfId="19649"/>
    <cellStyle name="40% - Accent1 9 6 3" xfId="4601"/>
    <cellStyle name="40% - Accent1 9 6 3 2" xfId="15699"/>
    <cellStyle name="40% - Accent1 9 6 3 3" xfId="19650"/>
    <cellStyle name="40% - Accent1 9 6 4" xfId="15697"/>
    <cellStyle name="40% - Accent1 9 6 5" xfId="19648"/>
    <cellStyle name="40% - Accent1 9 7" xfId="4602"/>
    <cellStyle name="40% - Accent1 9 7 2" xfId="15700"/>
    <cellStyle name="40% - Accent1 9 7 3" xfId="19651"/>
    <cellStyle name="40% - Accent1 9 8" xfId="4603"/>
    <cellStyle name="40% - Accent1 9 8 2" xfId="15701"/>
    <cellStyle name="40% - Accent1 9 8 3" xfId="19652"/>
    <cellStyle name="40% - Accent1 9 9" xfId="15669"/>
    <cellStyle name="40% - Accent1 9_Volatility" xfId="4604"/>
    <cellStyle name="40% - Accent2 10" xfId="4605"/>
    <cellStyle name="40% - Accent2 10 10" xfId="19653"/>
    <cellStyle name="40% - Accent2 10 2" xfId="4606"/>
    <cellStyle name="40% - Accent2 10 2 2" xfId="4607"/>
    <cellStyle name="40% - Accent2 10 2 2 2" xfId="4608"/>
    <cellStyle name="40% - Accent2 10 2 2 2 2" xfId="15705"/>
    <cellStyle name="40% - Accent2 10 2 2 2 3" xfId="19656"/>
    <cellStyle name="40% - Accent2 10 2 2 3" xfId="4609"/>
    <cellStyle name="40% - Accent2 10 2 2 3 2" xfId="15706"/>
    <cellStyle name="40% - Accent2 10 2 2 3 3" xfId="19657"/>
    <cellStyle name="40% - Accent2 10 2 2 4" xfId="15704"/>
    <cellStyle name="40% - Accent2 10 2 2 5" xfId="19655"/>
    <cellStyle name="40% - Accent2 10 2 3" xfId="4610"/>
    <cellStyle name="40% - Accent2 10 2 3 2" xfId="4611"/>
    <cellStyle name="40% - Accent2 10 2 3 2 2" xfId="15708"/>
    <cellStyle name="40% - Accent2 10 2 3 2 3" xfId="19659"/>
    <cellStyle name="40% - Accent2 10 2 3 3" xfId="4612"/>
    <cellStyle name="40% - Accent2 10 2 3 3 2" xfId="15709"/>
    <cellStyle name="40% - Accent2 10 2 3 3 3" xfId="19660"/>
    <cellStyle name="40% - Accent2 10 2 3 4" xfId="15707"/>
    <cellStyle name="40% - Accent2 10 2 3 5" xfId="19658"/>
    <cellStyle name="40% - Accent2 10 2 4" xfId="4613"/>
    <cellStyle name="40% - Accent2 10 2 4 2" xfId="4614"/>
    <cellStyle name="40% - Accent2 10 2 4 2 2" xfId="15711"/>
    <cellStyle name="40% - Accent2 10 2 4 2 3" xfId="19662"/>
    <cellStyle name="40% - Accent2 10 2 4 3" xfId="4615"/>
    <cellStyle name="40% - Accent2 10 2 4 3 2" xfId="15712"/>
    <cellStyle name="40% - Accent2 10 2 4 3 3" xfId="19663"/>
    <cellStyle name="40% - Accent2 10 2 4 4" xfId="15710"/>
    <cellStyle name="40% - Accent2 10 2 4 5" xfId="19661"/>
    <cellStyle name="40% - Accent2 10 2 5" xfId="4616"/>
    <cellStyle name="40% - Accent2 10 2 5 2" xfId="15713"/>
    <cellStyle name="40% - Accent2 10 2 5 3" xfId="19664"/>
    <cellStyle name="40% - Accent2 10 2 6" xfId="4617"/>
    <cellStyle name="40% - Accent2 10 2 6 2" xfId="15714"/>
    <cellStyle name="40% - Accent2 10 2 6 3" xfId="19665"/>
    <cellStyle name="40% - Accent2 10 2 7" xfId="15703"/>
    <cellStyle name="40% - Accent2 10 2 8" xfId="19654"/>
    <cellStyle name="40% - Accent2 10 2_Volatility" xfId="4618"/>
    <cellStyle name="40% - Accent2 10 3" xfId="4619"/>
    <cellStyle name="40% - Accent2 10 3 2" xfId="4620"/>
    <cellStyle name="40% - Accent2 10 3 2 2" xfId="4621"/>
    <cellStyle name="40% - Accent2 10 3 2 2 2" xfId="15717"/>
    <cellStyle name="40% - Accent2 10 3 2 2 3" xfId="19668"/>
    <cellStyle name="40% - Accent2 10 3 2 3" xfId="4622"/>
    <cellStyle name="40% - Accent2 10 3 2 3 2" xfId="15718"/>
    <cellStyle name="40% - Accent2 10 3 2 3 3" xfId="19669"/>
    <cellStyle name="40% - Accent2 10 3 2 4" xfId="15716"/>
    <cellStyle name="40% - Accent2 10 3 2 5" xfId="19667"/>
    <cellStyle name="40% - Accent2 10 3 3" xfId="4623"/>
    <cellStyle name="40% - Accent2 10 3 3 2" xfId="4624"/>
    <cellStyle name="40% - Accent2 10 3 3 2 2" xfId="15720"/>
    <cellStyle name="40% - Accent2 10 3 3 2 3" xfId="19671"/>
    <cellStyle name="40% - Accent2 10 3 3 3" xfId="4625"/>
    <cellStyle name="40% - Accent2 10 3 3 3 2" xfId="15721"/>
    <cellStyle name="40% - Accent2 10 3 3 3 3" xfId="19672"/>
    <cellStyle name="40% - Accent2 10 3 3 4" xfId="15719"/>
    <cellStyle name="40% - Accent2 10 3 3 5" xfId="19670"/>
    <cellStyle name="40% - Accent2 10 3 4" xfId="4626"/>
    <cellStyle name="40% - Accent2 10 3 4 2" xfId="15722"/>
    <cellStyle name="40% - Accent2 10 3 4 3" xfId="19673"/>
    <cellStyle name="40% - Accent2 10 3 5" xfId="4627"/>
    <cellStyle name="40% - Accent2 10 3 5 2" xfId="15723"/>
    <cellStyle name="40% - Accent2 10 3 5 3" xfId="19674"/>
    <cellStyle name="40% - Accent2 10 3 6" xfId="15715"/>
    <cellStyle name="40% - Accent2 10 3 7" xfId="19666"/>
    <cellStyle name="40% - Accent2 10 3_Volatility" xfId="4628"/>
    <cellStyle name="40% - Accent2 10 4" xfId="4629"/>
    <cellStyle name="40% - Accent2 10 4 2" xfId="4630"/>
    <cellStyle name="40% - Accent2 10 4 2 2" xfId="15725"/>
    <cellStyle name="40% - Accent2 10 4 2 3" xfId="19676"/>
    <cellStyle name="40% - Accent2 10 4 3" xfId="4631"/>
    <cellStyle name="40% - Accent2 10 4 3 2" xfId="15726"/>
    <cellStyle name="40% - Accent2 10 4 3 3" xfId="19677"/>
    <cellStyle name="40% - Accent2 10 4 4" xfId="15724"/>
    <cellStyle name="40% - Accent2 10 4 5" xfId="19675"/>
    <cellStyle name="40% - Accent2 10 5" xfId="4632"/>
    <cellStyle name="40% - Accent2 10 5 2" xfId="4633"/>
    <cellStyle name="40% - Accent2 10 5 2 2" xfId="15728"/>
    <cellStyle name="40% - Accent2 10 5 2 3" xfId="19679"/>
    <cellStyle name="40% - Accent2 10 5 3" xfId="4634"/>
    <cellStyle name="40% - Accent2 10 5 3 2" xfId="15729"/>
    <cellStyle name="40% - Accent2 10 5 3 3" xfId="19680"/>
    <cellStyle name="40% - Accent2 10 5 4" xfId="15727"/>
    <cellStyle name="40% - Accent2 10 5 5" xfId="19678"/>
    <cellStyle name="40% - Accent2 10 6" xfId="4635"/>
    <cellStyle name="40% - Accent2 10 6 2" xfId="4636"/>
    <cellStyle name="40% - Accent2 10 6 2 2" xfId="15731"/>
    <cellStyle name="40% - Accent2 10 6 2 3" xfId="19682"/>
    <cellStyle name="40% - Accent2 10 6 3" xfId="4637"/>
    <cellStyle name="40% - Accent2 10 6 3 2" xfId="15732"/>
    <cellStyle name="40% - Accent2 10 6 3 3" xfId="19683"/>
    <cellStyle name="40% - Accent2 10 6 4" xfId="15730"/>
    <cellStyle name="40% - Accent2 10 6 5" xfId="19681"/>
    <cellStyle name="40% - Accent2 10 7" xfId="4638"/>
    <cellStyle name="40% - Accent2 10 7 2" xfId="15733"/>
    <cellStyle name="40% - Accent2 10 7 3" xfId="19684"/>
    <cellStyle name="40% - Accent2 10 8" xfId="4639"/>
    <cellStyle name="40% - Accent2 10 8 2" xfId="15734"/>
    <cellStyle name="40% - Accent2 10 8 3" xfId="19685"/>
    <cellStyle name="40% - Accent2 10 9" xfId="15702"/>
    <cellStyle name="40% - Accent2 10_Volatility" xfId="4640"/>
    <cellStyle name="40% - Accent2 11" xfId="4641"/>
    <cellStyle name="40% - Accent2 11 10" xfId="19686"/>
    <cellStyle name="40% - Accent2 11 2" xfId="4642"/>
    <cellStyle name="40% - Accent2 11 2 2" xfId="4643"/>
    <cellStyle name="40% - Accent2 11 2 2 2" xfId="4644"/>
    <cellStyle name="40% - Accent2 11 2 2 2 2" xfId="15738"/>
    <cellStyle name="40% - Accent2 11 2 2 2 3" xfId="19689"/>
    <cellStyle name="40% - Accent2 11 2 2 3" xfId="4645"/>
    <cellStyle name="40% - Accent2 11 2 2 3 2" xfId="15739"/>
    <cellStyle name="40% - Accent2 11 2 2 3 3" xfId="19690"/>
    <cellStyle name="40% - Accent2 11 2 2 4" xfId="15737"/>
    <cellStyle name="40% - Accent2 11 2 2 5" xfId="19688"/>
    <cellStyle name="40% - Accent2 11 2 3" xfId="4646"/>
    <cellStyle name="40% - Accent2 11 2 3 2" xfId="4647"/>
    <cellStyle name="40% - Accent2 11 2 3 2 2" xfId="15741"/>
    <cellStyle name="40% - Accent2 11 2 3 2 3" xfId="19692"/>
    <cellStyle name="40% - Accent2 11 2 3 3" xfId="4648"/>
    <cellStyle name="40% - Accent2 11 2 3 3 2" xfId="15742"/>
    <cellStyle name="40% - Accent2 11 2 3 3 3" xfId="19693"/>
    <cellStyle name="40% - Accent2 11 2 3 4" xfId="15740"/>
    <cellStyle name="40% - Accent2 11 2 3 5" xfId="19691"/>
    <cellStyle name="40% - Accent2 11 2 4" xfId="4649"/>
    <cellStyle name="40% - Accent2 11 2 4 2" xfId="4650"/>
    <cellStyle name="40% - Accent2 11 2 4 2 2" xfId="15744"/>
    <cellStyle name="40% - Accent2 11 2 4 2 3" xfId="19695"/>
    <cellStyle name="40% - Accent2 11 2 4 3" xfId="4651"/>
    <cellStyle name="40% - Accent2 11 2 4 3 2" xfId="15745"/>
    <cellStyle name="40% - Accent2 11 2 4 3 3" xfId="19696"/>
    <cellStyle name="40% - Accent2 11 2 4 4" xfId="15743"/>
    <cellStyle name="40% - Accent2 11 2 4 5" xfId="19694"/>
    <cellStyle name="40% - Accent2 11 2 5" xfId="4652"/>
    <cellStyle name="40% - Accent2 11 2 5 2" xfId="15746"/>
    <cellStyle name="40% - Accent2 11 2 5 3" xfId="19697"/>
    <cellStyle name="40% - Accent2 11 2 6" xfId="4653"/>
    <cellStyle name="40% - Accent2 11 2 6 2" xfId="15747"/>
    <cellStyle name="40% - Accent2 11 2 6 3" xfId="19698"/>
    <cellStyle name="40% - Accent2 11 2 7" xfId="15736"/>
    <cellStyle name="40% - Accent2 11 2 8" xfId="19687"/>
    <cellStyle name="40% - Accent2 11 2_Volatility" xfId="4654"/>
    <cellStyle name="40% - Accent2 11 3" xfId="4655"/>
    <cellStyle name="40% - Accent2 11 3 2" xfId="4656"/>
    <cellStyle name="40% - Accent2 11 3 2 2" xfId="4657"/>
    <cellStyle name="40% - Accent2 11 3 2 2 2" xfId="15750"/>
    <cellStyle name="40% - Accent2 11 3 2 2 3" xfId="19701"/>
    <cellStyle name="40% - Accent2 11 3 2 3" xfId="4658"/>
    <cellStyle name="40% - Accent2 11 3 2 3 2" xfId="15751"/>
    <cellStyle name="40% - Accent2 11 3 2 3 3" xfId="19702"/>
    <cellStyle name="40% - Accent2 11 3 2 4" xfId="15749"/>
    <cellStyle name="40% - Accent2 11 3 2 5" xfId="19700"/>
    <cellStyle name="40% - Accent2 11 3 3" xfId="4659"/>
    <cellStyle name="40% - Accent2 11 3 3 2" xfId="4660"/>
    <cellStyle name="40% - Accent2 11 3 3 2 2" xfId="15753"/>
    <cellStyle name="40% - Accent2 11 3 3 2 3" xfId="19704"/>
    <cellStyle name="40% - Accent2 11 3 3 3" xfId="4661"/>
    <cellStyle name="40% - Accent2 11 3 3 3 2" xfId="15754"/>
    <cellStyle name="40% - Accent2 11 3 3 3 3" xfId="19705"/>
    <cellStyle name="40% - Accent2 11 3 3 4" xfId="15752"/>
    <cellStyle name="40% - Accent2 11 3 3 5" xfId="19703"/>
    <cellStyle name="40% - Accent2 11 3 4" xfId="4662"/>
    <cellStyle name="40% - Accent2 11 3 4 2" xfId="15755"/>
    <cellStyle name="40% - Accent2 11 3 4 3" xfId="19706"/>
    <cellStyle name="40% - Accent2 11 3 5" xfId="4663"/>
    <cellStyle name="40% - Accent2 11 3 5 2" xfId="15756"/>
    <cellStyle name="40% - Accent2 11 3 5 3" xfId="19707"/>
    <cellStyle name="40% - Accent2 11 3 6" xfId="15748"/>
    <cellStyle name="40% - Accent2 11 3 7" xfId="19699"/>
    <cellStyle name="40% - Accent2 11 3_Volatility" xfId="4664"/>
    <cellStyle name="40% - Accent2 11 4" xfId="4665"/>
    <cellStyle name="40% - Accent2 11 4 2" xfId="4666"/>
    <cellStyle name="40% - Accent2 11 4 2 2" xfId="15758"/>
    <cellStyle name="40% - Accent2 11 4 2 3" xfId="19709"/>
    <cellStyle name="40% - Accent2 11 4 3" xfId="4667"/>
    <cellStyle name="40% - Accent2 11 4 3 2" xfId="15759"/>
    <cellStyle name="40% - Accent2 11 4 3 3" xfId="19710"/>
    <cellStyle name="40% - Accent2 11 4 4" xfId="15757"/>
    <cellStyle name="40% - Accent2 11 4 5" xfId="19708"/>
    <cellStyle name="40% - Accent2 11 5" xfId="4668"/>
    <cellStyle name="40% - Accent2 11 5 2" xfId="4669"/>
    <cellStyle name="40% - Accent2 11 5 2 2" xfId="15761"/>
    <cellStyle name="40% - Accent2 11 5 2 3" xfId="19712"/>
    <cellStyle name="40% - Accent2 11 5 3" xfId="4670"/>
    <cellStyle name="40% - Accent2 11 5 3 2" xfId="15762"/>
    <cellStyle name="40% - Accent2 11 5 3 3" xfId="19713"/>
    <cellStyle name="40% - Accent2 11 5 4" xfId="15760"/>
    <cellStyle name="40% - Accent2 11 5 5" xfId="19711"/>
    <cellStyle name="40% - Accent2 11 6" xfId="4671"/>
    <cellStyle name="40% - Accent2 11 6 2" xfId="4672"/>
    <cellStyle name="40% - Accent2 11 6 2 2" xfId="15764"/>
    <cellStyle name="40% - Accent2 11 6 2 3" xfId="19715"/>
    <cellStyle name="40% - Accent2 11 6 3" xfId="4673"/>
    <cellStyle name="40% - Accent2 11 6 3 2" xfId="15765"/>
    <cellStyle name="40% - Accent2 11 6 3 3" xfId="19716"/>
    <cellStyle name="40% - Accent2 11 6 4" xfId="15763"/>
    <cellStyle name="40% - Accent2 11 6 5" xfId="19714"/>
    <cellStyle name="40% - Accent2 11 7" xfId="4674"/>
    <cellStyle name="40% - Accent2 11 7 2" xfId="15766"/>
    <cellStyle name="40% - Accent2 11 7 3" xfId="19717"/>
    <cellStyle name="40% - Accent2 11 8" xfId="4675"/>
    <cellStyle name="40% - Accent2 11 8 2" xfId="15767"/>
    <cellStyle name="40% - Accent2 11 8 3" xfId="19718"/>
    <cellStyle name="40% - Accent2 11 9" xfId="15735"/>
    <cellStyle name="40% - Accent2 11_Volatility" xfId="4676"/>
    <cellStyle name="40% - Accent2 12" xfId="4677"/>
    <cellStyle name="40% - Accent2 12 10" xfId="19719"/>
    <cellStyle name="40% - Accent2 12 2" xfId="4678"/>
    <cellStyle name="40% - Accent2 12 2 2" xfId="4679"/>
    <cellStyle name="40% - Accent2 12 2 2 2" xfId="4680"/>
    <cellStyle name="40% - Accent2 12 2 2 2 2" xfId="15771"/>
    <cellStyle name="40% - Accent2 12 2 2 2 3" xfId="19722"/>
    <cellStyle name="40% - Accent2 12 2 2 3" xfId="4681"/>
    <cellStyle name="40% - Accent2 12 2 2 3 2" xfId="15772"/>
    <cellStyle name="40% - Accent2 12 2 2 3 3" xfId="19723"/>
    <cellStyle name="40% - Accent2 12 2 2 4" xfId="15770"/>
    <cellStyle name="40% - Accent2 12 2 2 5" xfId="19721"/>
    <cellStyle name="40% - Accent2 12 2 3" xfId="4682"/>
    <cellStyle name="40% - Accent2 12 2 3 2" xfId="4683"/>
    <cellStyle name="40% - Accent2 12 2 3 2 2" xfId="15774"/>
    <cellStyle name="40% - Accent2 12 2 3 2 3" xfId="19725"/>
    <cellStyle name="40% - Accent2 12 2 3 3" xfId="4684"/>
    <cellStyle name="40% - Accent2 12 2 3 3 2" xfId="15775"/>
    <cellStyle name="40% - Accent2 12 2 3 3 3" xfId="19726"/>
    <cellStyle name="40% - Accent2 12 2 3 4" xfId="15773"/>
    <cellStyle name="40% - Accent2 12 2 3 5" xfId="19724"/>
    <cellStyle name="40% - Accent2 12 2 4" xfId="4685"/>
    <cellStyle name="40% - Accent2 12 2 4 2" xfId="4686"/>
    <cellStyle name="40% - Accent2 12 2 4 2 2" xfId="15777"/>
    <cellStyle name="40% - Accent2 12 2 4 2 3" xfId="19728"/>
    <cellStyle name="40% - Accent2 12 2 4 3" xfId="4687"/>
    <cellStyle name="40% - Accent2 12 2 4 3 2" xfId="15778"/>
    <cellStyle name="40% - Accent2 12 2 4 3 3" xfId="19729"/>
    <cellStyle name="40% - Accent2 12 2 4 4" xfId="15776"/>
    <cellStyle name="40% - Accent2 12 2 4 5" xfId="19727"/>
    <cellStyle name="40% - Accent2 12 2 5" xfId="4688"/>
    <cellStyle name="40% - Accent2 12 2 5 2" xfId="15779"/>
    <cellStyle name="40% - Accent2 12 2 5 3" xfId="19730"/>
    <cellStyle name="40% - Accent2 12 2 6" xfId="4689"/>
    <cellStyle name="40% - Accent2 12 2 6 2" xfId="15780"/>
    <cellStyle name="40% - Accent2 12 2 6 3" xfId="19731"/>
    <cellStyle name="40% - Accent2 12 2 7" xfId="15769"/>
    <cellStyle name="40% - Accent2 12 2 8" xfId="19720"/>
    <cellStyle name="40% - Accent2 12 2_Volatility" xfId="4690"/>
    <cellStyle name="40% - Accent2 12 3" xfId="4691"/>
    <cellStyle name="40% - Accent2 12 3 2" xfId="4692"/>
    <cellStyle name="40% - Accent2 12 3 2 2" xfId="4693"/>
    <cellStyle name="40% - Accent2 12 3 2 2 2" xfId="15783"/>
    <cellStyle name="40% - Accent2 12 3 2 2 3" xfId="19734"/>
    <cellStyle name="40% - Accent2 12 3 2 3" xfId="4694"/>
    <cellStyle name="40% - Accent2 12 3 2 3 2" xfId="15784"/>
    <cellStyle name="40% - Accent2 12 3 2 3 3" xfId="19735"/>
    <cellStyle name="40% - Accent2 12 3 2 4" xfId="15782"/>
    <cellStyle name="40% - Accent2 12 3 2 5" xfId="19733"/>
    <cellStyle name="40% - Accent2 12 3 3" xfId="4695"/>
    <cellStyle name="40% - Accent2 12 3 3 2" xfId="4696"/>
    <cellStyle name="40% - Accent2 12 3 3 2 2" xfId="15786"/>
    <cellStyle name="40% - Accent2 12 3 3 2 3" xfId="19737"/>
    <cellStyle name="40% - Accent2 12 3 3 3" xfId="4697"/>
    <cellStyle name="40% - Accent2 12 3 3 3 2" xfId="15787"/>
    <cellStyle name="40% - Accent2 12 3 3 3 3" xfId="19738"/>
    <cellStyle name="40% - Accent2 12 3 3 4" xfId="15785"/>
    <cellStyle name="40% - Accent2 12 3 3 5" xfId="19736"/>
    <cellStyle name="40% - Accent2 12 3 4" xfId="4698"/>
    <cellStyle name="40% - Accent2 12 3 4 2" xfId="15788"/>
    <cellStyle name="40% - Accent2 12 3 4 3" xfId="19739"/>
    <cellStyle name="40% - Accent2 12 3 5" xfId="4699"/>
    <cellStyle name="40% - Accent2 12 3 5 2" xfId="15789"/>
    <cellStyle name="40% - Accent2 12 3 5 3" xfId="19740"/>
    <cellStyle name="40% - Accent2 12 3 6" xfId="15781"/>
    <cellStyle name="40% - Accent2 12 3 7" xfId="19732"/>
    <cellStyle name="40% - Accent2 12 3_Volatility" xfId="4700"/>
    <cellStyle name="40% - Accent2 12 4" xfId="4701"/>
    <cellStyle name="40% - Accent2 12 4 2" xfId="4702"/>
    <cellStyle name="40% - Accent2 12 4 2 2" xfId="15791"/>
    <cellStyle name="40% - Accent2 12 4 2 3" xfId="19742"/>
    <cellStyle name="40% - Accent2 12 4 3" xfId="4703"/>
    <cellStyle name="40% - Accent2 12 4 3 2" xfId="15792"/>
    <cellStyle name="40% - Accent2 12 4 3 3" xfId="19743"/>
    <cellStyle name="40% - Accent2 12 4 4" xfId="15790"/>
    <cellStyle name="40% - Accent2 12 4 5" xfId="19741"/>
    <cellStyle name="40% - Accent2 12 5" xfId="4704"/>
    <cellStyle name="40% - Accent2 12 5 2" xfId="4705"/>
    <cellStyle name="40% - Accent2 12 5 2 2" xfId="15794"/>
    <cellStyle name="40% - Accent2 12 5 2 3" xfId="19745"/>
    <cellStyle name="40% - Accent2 12 5 3" xfId="4706"/>
    <cellStyle name="40% - Accent2 12 5 3 2" xfId="15795"/>
    <cellStyle name="40% - Accent2 12 5 3 3" xfId="19746"/>
    <cellStyle name="40% - Accent2 12 5 4" xfId="15793"/>
    <cellStyle name="40% - Accent2 12 5 5" xfId="19744"/>
    <cellStyle name="40% - Accent2 12 6" xfId="4707"/>
    <cellStyle name="40% - Accent2 12 6 2" xfId="4708"/>
    <cellStyle name="40% - Accent2 12 6 2 2" xfId="15797"/>
    <cellStyle name="40% - Accent2 12 6 2 3" xfId="19748"/>
    <cellStyle name="40% - Accent2 12 6 3" xfId="4709"/>
    <cellStyle name="40% - Accent2 12 6 3 2" xfId="15798"/>
    <cellStyle name="40% - Accent2 12 6 3 3" xfId="19749"/>
    <cellStyle name="40% - Accent2 12 6 4" xfId="15796"/>
    <cellStyle name="40% - Accent2 12 6 5" xfId="19747"/>
    <cellStyle name="40% - Accent2 12 7" xfId="4710"/>
    <cellStyle name="40% - Accent2 12 7 2" xfId="15799"/>
    <cellStyle name="40% - Accent2 12 7 3" xfId="19750"/>
    <cellStyle name="40% - Accent2 12 8" xfId="4711"/>
    <cellStyle name="40% - Accent2 12 8 2" xfId="15800"/>
    <cellStyle name="40% - Accent2 12 8 3" xfId="19751"/>
    <cellStyle name="40% - Accent2 12 9" xfId="15768"/>
    <cellStyle name="40% - Accent2 12_Volatility" xfId="4712"/>
    <cellStyle name="40% - Accent2 13" xfId="4713"/>
    <cellStyle name="40% - Accent2 13 10" xfId="19752"/>
    <cellStyle name="40% - Accent2 13 2" xfId="4714"/>
    <cellStyle name="40% - Accent2 13 2 2" xfId="4715"/>
    <cellStyle name="40% - Accent2 13 2 2 2" xfId="4716"/>
    <cellStyle name="40% - Accent2 13 2 2 2 2" xfId="15804"/>
    <cellStyle name="40% - Accent2 13 2 2 2 3" xfId="19755"/>
    <cellStyle name="40% - Accent2 13 2 2 3" xfId="4717"/>
    <cellStyle name="40% - Accent2 13 2 2 3 2" xfId="15805"/>
    <cellStyle name="40% - Accent2 13 2 2 3 3" xfId="19756"/>
    <cellStyle name="40% - Accent2 13 2 2 4" xfId="15803"/>
    <cellStyle name="40% - Accent2 13 2 2 5" xfId="19754"/>
    <cellStyle name="40% - Accent2 13 2 3" xfId="4718"/>
    <cellStyle name="40% - Accent2 13 2 3 2" xfId="4719"/>
    <cellStyle name="40% - Accent2 13 2 3 2 2" xfId="15807"/>
    <cellStyle name="40% - Accent2 13 2 3 2 3" xfId="19758"/>
    <cellStyle name="40% - Accent2 13 2 3 3" xfId="4720"/>
    <cellStyle name="40% - Accent2 13 2 3 3 2" xfId="15808"/>
    <cellStyle name="40% - Accent2 13 2 3 3 3" xfId="19759"/>
    <cellStyle name="40% - Accent2 13 2 3 4" xfId="15806"/>
    <cellStyle name="40% - Accent2 13 2 3 5" xfId="19757"/>
    <cellStyle name="40% - Accent2 13 2 4" xfId="4721"/>
    <cellStyle name="40% - Accent2 13 2 4 2" xfId="4722"/>
    <cellStyle name="40% - Accent2 13 2 4 2 2" xfId="15810"/>
    <cellStyle name="40% - Accent2 13 2 4 2 3" xfId="19761"/>
    <cellStyle name="40% - Accent2 13 2 4 3" xfId="4723"/>
    <cellStyle name="40% - Accent2 13 2 4 3 2" xfId="15811"/>
    <cellStyle name="40% - Accent2 13 2 4 3 3" xfId="19762"/>
    <cellStyle name="40% - Accent2 13 2 4 4" xfId="15809"/>
    <cellStyle name="40% - Accent2 13 2 4 5" xfId="19760"/>
    <cellStyle name="40% - Accent2 13 2 5" xfId="4724"/>
    <cellStyle name="40% - Accent2 13 2 5 2" xfId="15812"/>
    <cellStyle name="40% - Accent2 13 2 5 3" xfId="19763"/>
    <cellStyle name="40% - Accent2 13 2 6" xfId="4725"/>
    <cellStyle name="40% - Accent2 13 2 6 2" xfId="15813"/>
    <cellStyle name="40% - Accent2 13 2 6 3" xfId="19764"/>
    <cellStyle name="40% - Accent2 13 2 7" xfId="15802"/>
    <cellStyle name="40% - Accent2 13 2 8" xfId="19753"/>
    <cellStyle name="40% - Accent2 13 2_Volatility" xfId="4726"/>
    <cellStyle name="40% - Accent2 13 3" xfId="4727"/>
    <cellStyle name="40% - Accent2 13 3 2" xfId="4728"/>
    <cellStyle name="40% - Accent2 13 3 2 2" xfId="4729"/>
    <cellStyle name="40% - Accent2 13 3 2 2 2" xfId="15816"/>
    <cellStyle name="40% - Accent2 13 3 2 2 3" xfId="19767"/>
    <cellStyle name="40% - Accent2 13 3 2 3" xfId="4730"/>
    <cellStyle name="40% - Accent2 13 3 2 3 2" xfId="15817"/>
    <cellStyle name="40% - Accent2 13 3 2 3 3" xfId="19768"/>
    <cellStyle name="40% - Accent2 13 3 2 4" xfId="15815"/>
    <cellStyle name="40% - Accent2 13 3 2 5" xfId="19766"/>
    <cellStyle name="40% - Accent2 13 3 3" xfId="4731"/>
    <cellStyle name="40% - Accent2 13 3 3 2" xfId="4732"/>
    <cellStyle name="40% - Accent2 13 3 3 2 2" xfId="15819"/>
    <cellStyle name="40% - Accent2 13 3 3 2 3" xfId="19770"/>
    <cellStyle name="40% - Accent2 13 3 3 3" xfId="4733"/>
    <cellStyle name="40% - Accent2 13 3 3 3 2" xfId="15820"/>
    <cellStyle name="40% - Accent2 13 3 3 3 3" xfId="19771"/>
    <cellStyle name="40% - Accent2 13 3 3 4" xfId="15818"/>
    <cellStyle name="40% - Accent2 13 3 3 5" xfId="19769"/>
    <cellStyle name="40% - Accent2 13 3 4" xfId="4734"/>
    <cellStyle name="40% - Accent2 13 3 4 2" xfId="15821"/>
    <cellStyle name="40% - Accent2 13 3 4 3" xfId="19772"/>
    <cellStyle name="40% - Accent2 13 3 5" xfId="4735"/>
    <cellStyle name="40% - Accent2 13 3 5 2" xfId="15822"/>
    <cellStyle name="40% - Accent2 13 3 5 3" xfId="19773"/>
    <cellStyle name="40% - Accent2 13 3 6" xfId="15814"/>
    <cellStyle name="40% - Accent2 13 3 7" xfId="19765"/>
    <cellStyle name="40% - Accent2 13 3_Volatility" xfId="4736"/>
    <cellStyle name="40% - Accent2 13 4" xfId="4737"/>
    <cellStyle name="40% - Accent2 13 4 2" xfId="4738"/>
    <cellStyle name="40% - Accent2 13 4 2 2" xfId="15824"/>
    <cellStyle name="40% - Accent2 13 4 2 3" xfId="19775"/>
    <cellStyle name="40% - Accent2 13 4 3" xfId="4739"/>
    <cellStyle name="40% - Accent2 13 4 3 2" xfId="15825"/>
    <cellStyle name="40% - Accent2 13 4 3 3" xfId="19776"/>
    <cellStyle name="40% - Accent2 13 4 4" xfId="15823"/>
    <cellStyle name="40% - Accent2 13 4 5" xfId="19774"/>
    <cellStyle name="40% - Accent2 13 5" xfId="4740"/>
    <cellStyle name="40% - Accent2 13 5 2" xfId="4741"/>
    <cellStyle name="40% - Accent2 13 5 2 2" xfId="15827"/>
    <cellStyle name="40% - Accent2 13 5 2 3" xfId="19778"/>
    <cellStyle name="40% - Accent2 13 5 3" xfId="4742"/>
    <cellStyle name="40% - Accent2 13 5 3 2" xfId="15828"/>
    <cellStyle name="40% - Accent2 13 5 3 3" xfId="19779"/>
    <cellStyle name="40% - Accent2 13 5 4" xfId="15826"/>
    <cellStyle name="40% - Accent2 13 5 5" xfId="19777"/>
    <cellStyle name="40% - Accent2 13 6" xfId="4743"/>
    <cellStyle name="40% - Accent2 13 6 2" xfId="4744"/>
    <cellStyle name="40% - Accent2 13 6 2 2" xfId="15830"/>
    <cellStyle name="40% - Accent2 13 6 2 3" xfId="19781"/>
    <cellStyle name="40% - Accent2 13 6 3" xfId="4745"/>
    <cellStyle name="40% - Accent2 13 6 3 2" xfId="15831"/>
    <cellStyle name="40% - Accent2 13 6 3 3" xfId="19782"/>
    <cellStyle name="40% - Accent2 13 6 4" xfId="15829"/>
    <cellStyle name="40% - Accent2 13 6 5" xfId="19780"/>
    <cellStyle name="40% - Accent2 13 7" xfId="4746"/>
    <cellStyle name="40% - Accent2 13 7 2" xfId="15832"/>
    <cellStyle name="40% - Accent2 13 7 3" xfId="19783"/>
    <cellStyle name="40% - Accent2 13 8" xfId="4747"/>
    <cellStyle name="40% - Accent2 13 8 2" xfId="15833"/>
    <cellStyle name="40% - Accent2 13 8 3" xfId="19784"/>
    <cellStyle name="40% - Accent2 13 9" xfId="15801"/>
    <cellStyle name="40% - Accent2 13_Volatility" xfId="4748"/>
    <cellStyle name="40% - Accent2 14" xfId="4749"/>
    <cellStyle name="40% - Accent2 14 10" xfId="19785"/>
    <cellStyle name="40% - Accent2 14 2" xfId="4750"/>
    <cellStyle name="40% - Accent2 14 2 2" xfId="4751"/>
    <cellStyle name="40% - Accent2 14 2 2 2" xfId="4752"/>
    <cellStyle name="40% - Accent2 14 2 2 2 2" xfId="15837"/>
    <cellStyle name="40% - Accent2 14 2 2 2 3" xfId="19788"/>
    <cellStyle name="40% - Accent2 14 2 2 3" xfId="4753"/>
    <cellStyle name="40% - Accent2 14 2 2 3 2" xfId="15838"/>
    <cellStyle name="40% - Accent2 14 2 2 3 3" xfId="19789"/>
    <cellStyle name="40% - Accent2 14 2 2 4" xfId="15836"/>
    <cellStyle name="40% - Accent2 14 2 2 5" xfId="19787"/>
    <cellStyle name="40% - Accent2 14 2 3" xfId="4754"/>
    <cellStyle name="40% - Accent2 14 2 3 2" xfId="4755"/>
    <cellStyle name="40% - Accent2 14 2 3 2 2" xfId="15840"/>
    <cellStyle name="40% - Accent2 14 2 3 2 3" xfId="19791"/>
    <cellStyle name="40% - Accent2 14 2 3 3" xfId="4756"/>
    <cellStyle name="40% - Accent2 14 2 3 3 2" xfId="15841"/>
    <cellStyle name="40% - Accent2 14 2 3 3 3" xfId="19792"/>
    <cellStyle name="40% - Accent2 14 2 3 4" xfId="15839"/>
    <cellStyle name="40% - Accent2 14 2 3 5" xfId="19790"/>
    <cellStyle name="40% - Accent2 14 2 4" xfId="4757"/>
    <cellStyle name="40% - Accent2 14 2 4 2" xfId="4758"/>
    <cellStyle name="40% - Accent2 14 2 4 2 2" xfId="15843"/>
    <cellStyle name="40% - Accent2 14 2 4 2 3" xfId="19794"/>
    <cellStyle name="40% - Accent2 14 2 4 3" xfId="4759"/>
    <cellStyle name="40% - Accent2 14 2 4 3 2" xfId="15844"/>
    <cellStyle name="40% - Accent2 14 2 4 3 3" xfId="19795"/>
    <cellStyle name="40% - Accent2 14 2 4 4" xfId="15842"/>
    <cellStyle name="40% - Accent2 14 2 4 5" xfId="19793"/>
    <cellStyle name="40% - Accent2 14 2 5" xfId="4760"/>
    <cellStyle name="40% - Accent2 14 2 5 2" xfId="15845"/>
    <cellStyle name="40% - Accent2 14 2 5 3" xfId="19796"/>
    <cellStyle name="40% - Accent2 14 2 6" xfId="4761"/>
    <cellStyle name="40% - Accent2 14 2 6 2" xfId="15846"/>
    <cellStyle name="40% - Accent2 14 2 6 3" xfId="19797"/>
    <cellStyle name="40% - Accent2 14 2 7" xfId="15835"/>
    <cellStyle name="40% - Accent2 14 2 8" xfId="19786"/>
    <cellStyle name="40% - Accent2 14 2_Volatility" xfId="4762"/>
    <cellStyle name="40% - Accent2 14 3" xfId="4763"/>
    <cellStyle name="40% - Accent2 14 3 2" xfId="4764"/>
    <cellStyle name="40% - Accent2 14 3 2 2" xfId="4765"/>
    <cellStyle name="40% - Accent2 14 3 2 2 2" xfId="15849"/>
    <cellStyle name="40% - Accent2 14 3 2 2 3" xfId="19800"/>
    <cellStyle name="40% - Accent2 14 3 2 3" xfId="4766"/>
    <cellStyle name="40% - Accent2 14 3 2 3 2" xfId="15850"/>
    <cellStyle name="40% - Accent2 14 3 2 3 3" xfId="19801"/>
    <cellStyle name="40% - Accent2 14 3 2 4" xfId="15848"/>
    <cellStyle name="40% - Accent2 14 3 2 5" xfId="19799"/>
    <cellStyle name="40% - Accent2 14 3 3" xfId="4767"/>
    <cellStyle name="40% - Accent2 14 3 3 2" xfId="4768"/>
    <cellStyle name="40% - Accent2 14 3 3 2 2" xfId="15852"/>
    <cellStyle name="40% - Accent2 14 3 3 2 3" xfId="19803"/>
    <cellStyle name="40% - Accent2 14 3 3 3" xfId="4769"/>
    <cellStyle name="40% - Accent2 14 3 3 3 2" xfId="15853"/>
    <cellStyle name="40% - Accent2 14 3 3 3 3" xfId="19804"/>
    <cellStyle name="40% - Accent2 14 3 3 4" xfId="15851"/>
    <cellStyle name="40% - Accent2 14 3 3 5" xfId="19802"/>
    <cellStyle name="40% - Accent2 14 3 4" xfId="4770"/>
    <cellStyle name="40% - Accent2 14 3 4 2" xfId="15854"/>
    <cellStyle name="40% - Accent2 14 3 4 3" xfId="19805"/>
    <cellStyle name="40% - Accent2 14 3 5" xfId="4771"/>
    <cellStyle name="40% - Accent2 14 3 5 2" xfId="15855"/>
    <cellStyle name="40% - Accent2 14 3 5 3" xfId="19806"/>
    <cellStyle name="40% - Accent2 14 3 6" xfId="15847"/>
    <cellStyle name="40% - Accent2 14 3 7" xfId="19798"/>
    <cellStyle name="40% - Accent2 14 3_Volatility" xfId="4772"/>
    <cellStyle name="40% - Accent2 14 4" xfId="4773"/>
    <cellStyle name="40% - Accent2 14 4 2" xfId="4774"/>
    <cellStyle name="40% - Accent2 14 4 2 2" xfId="15857"/>
    <cellStyle name="40% - Accent2 14 4 2 3" xfId="19808"/>
    <cellStyle name="40% - Accent2 14 4 3" xfId="4775"/>
    <cellStyle name="40% - Accent2 14 4 3 2" xfId="15858"/>
    <cellStyle name="40% - Accent2 14 4 3 3" xfId="19809"/>
    <cellStyle name="40% - Accent2 14 4 4" xfId="15856"/>
    <cellStyle name="40% - Accent2 14 4 5" xfId="19807"/>
    <cellStyle name="40% - Accent2 14 5" xfId="4776"/>
    <cellStyle name="40% - Accent2 14 5 2" xfId="4777"/>
    <cellStyle name="40% - Accent2 14 5 2 2" xfId="15860"/>
    <cellStyle name="40% - Accent2 14 5 2 3" xfId="19811"/>
    <cellStyle name="40% - Accent2 14 5 3" xfId="4778"/>
    <cellStyle name="40% - Accent2 14 5 3 2" xfId="15861"/>
    <cellStyle name="40% - Accent2 14 5 3 3" xfId="19812"/>
    <cellStyle name="40% - Accent2 14 5 4" xfId="15859"/>
    <cellStyle name="40% - Accent2 14 5 5" xfId="19810"/>
    <cellStyle name="40% - Accent2 14 6" xfId="4779"/>
    <cellStyle name="40% - Accent2 14 6 2" xfId="4780"/>
    <cellStyle name="40% - Accent2 14 6 2 2" xfId="15863"/>
    <cellStyle name="40% - Accent2 14 6 2 3" xfId="19814"/>
    <cellStyle name="40% - Accent2 14 6 3" xfId="4781"/>
    <cellStyle name="40% - Accent2 14 6 3 2" xfId="15864"/>
    <cellStyle name="40% - Accent2 14 6 3 3" xfId="19815"/>
    <cellStyle name="40% - Accent2 14 6 4" xfId="15862"/>
    <cellStyle name="40% - Accent2 14 6 5" xfId="19813"/>
    <cellStyle name="40% - Accent2 14 7" xfId="4782"/>
    <cellStyle name="40% - Accent2 14 7 2" xfId="15865"/>
    <cellStyle name="40% - Accent2 14 7 3" xfId="19816"/>
    <cellStyle name="40% - Accent2 14 8" xfId="4783"/>
    <cellStyle name="40% - Accent2 14 8 2" xfId="15866"/>
    <cellStyle name="40% - Accent2 14 8 3" xfId="19817"/>
    <cellStyle name="40% - Accent2 14 9" xfId="15834"/>
    <cellStyle name="40% - Accent2 14_Volatility" xfId="4784"/>
    <cellStyle name="40% - Accent2 15" xfId="4785"/>
    <cellStyle name="40% - Accent2 15 10" xfId="19818"/>
    <cellStyle name="40% - Accent2 15 2" xfId="4786"/>
    <cellStyle name="40% - Accent2 15 2 2" xfId="4787"/>
    <cellStyle name="40% - Accent2 15 2 2 2" xfId="4788"/>
    <cellStyle name="40% - Accent2 15 2 2 2 2" xfId="15870"/>
    <cellStyle name="40% - Accent2 15 2 2 2 3" xfId="19821"/>
    <cellStyle name="40% - Accent2 15 2 2 3" xfId="4789"/>
    <cellStyle name="40% - Accent2 15 2 2 3 2" xfId="15871"/>
    <cellStyle name="40% - Accent2 15 2 2 3 3" xfId="19822"/>
    <cellStyle name="40% - Accent2 15 2 2 4" xfId="15869"/>
    <cellStyle name="40% - Accent2 15 2 2 5" xfId="19820"/>
    <cellStyle name="40% - Accent2 15 2 3" xfId="4790"/>
    <cellStyle name="40% - Accent2 15 2 3 2" xfId="4791"/>
    <cellStyle name="40% - Accent2 15 2 3 2 2" xfId="15873"/>
    <cellStyle name="40% - Accent2 15 2 3 2 3" xfId="19824"/>
    <cellStyle name="40% - Accent2 15 2 3 3" xfId="4792"/>
    <cellStyle name="40% - Accent2 15 2 3 3 2" xfId="15874"/>
    <cellStyle name="40% - Accent2 15 2 3 3 3" xfId="19825"/>
    <cellStyle name="40% - Accent2 15 2 3 4" xfId="15872"/>
    <cellStyle name="40% - Accent2 15 2 3 5" xfId="19823"/>
    <cellStyle name="40% - Accent2 15 2 4" xfId="4793"/>
    <cellStyle name="40% - Accent2 15 2 4 2" xfId="4794"/>
    <cellStyle name="40% - Accent2 15 2 4 2 2" xfId="15876"/>
    <cellStyle name="40% - Accent2 15 2 4 2 3" xfId="19827"/>
    <cellStyle name="40% - Accent2 15 2 4 3" xfId="4795"/>
    <cellStyle name="40% - Accent2 15 2 4 3 2" xfId="15877"/>
    <cellStyle name="40% - Accent2 15 2 4 3 3" xfId="19828"/>
    <cellStyle name="40% - Accent2 15 2 4 4" xfId="15875"/>
    <cellStyle name="40% - Accent2 15 2 4 5" xfId="19826"/>
    <cellStyle name="40% - Accent2 15 2 5" xfId="4796"/>
    <cellStyle name="40% - Accent2 15 2 5 2" xfId="15878"/>
    <cellStyle name="40% - Accent2 15 2 5 3" xfId="19829"/>
    <cellStyle name="40% - Accent2 15 2 6" xfId="4797"/>
    <cellStyle name="40% - Accent2 15 2 6 2" xfId="15879"/>
    <cellStyle name="40% - Accent2 15 2 6 3" xfId="19830"/>
    <cellStyle name="40% - Accent2 15 2 7" xfId="15868"/>
    <cellStyle name="40% - Accent2 15 2 8" xfId="19819"/>
    <cellStyle name="40% - Accent2 15 2_Volatility" xfId="4798"/>
    <cellStyle name="40% - Accent2 15 3" xfId="4799"/>
    <cellStyle name="40% - Accent2 15 3 2" xfId="4800"/>
    <cellStyle name="40% - Accent2 15 3 2 2" xfId="4801"/>
    <cellStyle name="40% - Accent2 15 3 2 2 2" xfId="15882"/>
    <cellStyle name="40% - Accent2 15 3 2 2 3" xfId="19833"/>
    <cellStyle name="40% - Accent2 15 3 2 3" xfId="4802"/>
    <cellStyle name="40% - Accent2 15 3 2 3 2" xfId="15883"/>
    <cellStyle name="40% - Accent2 15 3 2 3 3" xfId="19834"/>
    <cellStyle name="40% - Accent2 15 3 2 4" xfId="15881"/>
    <cellStyle name="40% - Accent2 15 3 2 5" xfId="19832"/>
    <cellStyle name="40% - Accent2 15 3 3" xfId="4803"/>
    <cellStyle name="40% - Accent2 15 3 3 2" xfId="4804"/>
    <cellStyle name="40% - Accent2 15 3 3 2 2" xfId="15885"/>
    <cellStyle name="40% - Accent2 15 3 3 2 3" xfId="19836"/>
    <cellStyle name="40% - Accent2 15 3 3 3" xfId="4805"/>
    <cellStyle name="40% - Accent2 15 3 3 3 2" xfId="15886"/>
    <cellStyle name="40% - Accent2 15 3 3 3 3" xfId="19837"/>
    <cellStyle name="40% - Accent2 15 3 3 4" xfId="15884"/>
    <cellStyle name="40% - Accent2 15 3 3 5" xfId="19835"/>
    <cellStyle name="40% - Accent2 15 3 4" xfId="4806"/>
    <cellStyle name="40% - Accent2 15 3 4 2" xfId="15887"/>
    <cellStyle name="40% - Accent2 15 3 4 3" xfId="19838"/>
    <cellStyle name="40% - Accent2 15 3 5" xfId="4807"/>
    <cellStyle name="40% - Accent2 15 3 5 2" xfId="15888"/>
    <cellStyle name="40% - Accent2 15 3 5 3" xfId="19839"/>
    <cellStyle name="40% - Accent2 15 3 6" xfId="15880"/>
    <cellStyle name="40% - Accent2 15 3 7" xfId="19831"/>
    <cellStyle name="40% - Accent2 15 3_Volatility" xfId="4808"/>
    <cellStyle name="40% - Accent2 15 4" xfId="4809"/>
    <cellStyle name="40% - Accent2 15 4 2" xfId="4810"/>
    <cellStyle name="40% - Accent2 15 4 2 2" xfId="15890"/>
    <cellStyle name="40% - Accent2 15 4 2 3" xfId="19841"/>
    <cellStyle name="40% - Accent2 15 4 3" xfId="4811"/>
    <cellStyle name="40% - Accent2 15 4 3 2" xfId="15891"/>
    <cellStyle name="40% - Accent2 15 4 3 3" xfId="19842"/>
    <cellStyle name="40% - Accent2 15 4 4" xfId="15889"/>
    <cellStyle name="40% - Accent2 15 4 5" xfId="19840"/>
    <cellStyle name="40% - Accent2 15 5" xfId="4812"/>
    <cellStyle name="40% - Accent2 15 5 2" xfId="4813"/>
    <cellStyle name="40% - Accent2 15 5 2 2" xfId="15893"/>
    <cellStyle name="40% - Accent2 15 5 2 3" xfId="19844"/>
    <cellStyle name="40% - Accent2 15 5 3" xfId="4814"/>
    <cellStyle name="40% - Accent2 15 5 3 2" xfId="15894"/>
    <cellStyle name="40% - Accent2 15 5 3 3" xfId="19845"/>
    <cellStyle name="40% - Accent2 15 5 4" xfId="15892"/>
    <cellStyle name="40% - Accent2 15 5 5" xfId="19843"/>
    <cellStyle name="40% - Accent2 15 6" xfId="4815"/>
    <cellStyle name="40% - Accent2 15 6 2" xfId="4816"/>
    <cellStyle name="40% - Accent2 15 6 2 2" xfId="15896"/>
    <cellStyle name="40% - Accent2 15 6 2 3" xfId="19847"/>
    <cellStyle name="40% - Accent2 15 6 3" xfId="4817"/>
    <cellStyle name="40% - Accent2 15 6 3 2" xfId="15897"/>
    <cellStyle name="40% - Accent2 15 6 3 3" xfId="19848"/>
    <cellStyle name="40% - Accent2 15 6 4" xfId="15895"/>
    <cellStyle name="40% - Accent2 15 6 5" xfId="19846"/>
    <cellStyle name="40% - Accent2 15 7" xfId="4818"/>
    <cellStyle name="40% - Accent2 15 7 2" xfId="15898"/>
    <cellStyle name="40% - Accent2 15 7 3" xfId="19849"/>
    <cellStyle name="40% - Accent2 15 8" xfId="4819"/>
    <cellStyle name="40% - Accent2 15 8 2" xfId="15899"/>
    <cellStyle name="40% - Accent2 15 8 3" xfId="19850"/>
    <cellStyle name="40% - Accent2 15 9" xfId="15867"/>
    <cellStyle name="40% - Accent2 15_Volatility" xfId="4820"/>
    <cellStyle name="40% - Accent2 16" xfId="4821"/>
    <cellStyle name="40% - Accent2 16 2" xfId="15900"/>
    <cellStyle name="40% - Accent2 16 3" xfId="19851"/>
    <cellStyle name="40% - Accent2 17" xfId="4822"/>
    <cellStyle name="40% - Accent2 17 2" xfId="15901"/>
    <cellStyle name="40% - Accent2 17 3" xfId="19852"/>
    <cellStyle name="40% - Accent2 18" xfId="4823"/>
    <cellStyle name="40% - Accent2 18 2" xfId="15902"/>
    <cellStyle name="40% - Accent2 18 3" xfId="19853"/>
    <cellStyle name="40% - Accent2 19" xfId="4824"/>
    <cellStyle name="40% - Accent2 19 2" xfId="15903"/>
    <cellStyle name="40% - Accent2 19 3" xfId="19854"/>
    <cellStyle name="40% - Accent2 2" xfId="4825"/>
    <cellStyle name="40% - Accent2 2 10" xfId="19855"/>
    <cellStyle name="40% - Accent2 2 2" xfId="4826"/>
    <cellStyle name="40% - Accent2 2 2 2" xfId="4827"/>
    <cellStyle name="40% - Accent2 2 2 2 2" xfId="4828"/>
    <cellStyle name="40% - Accent2 2 2 2 2 2" xfId="15907"/>
    <cellStyle name="40% - Accent2 2 2 2 2 3" xfId="19858"/>
    <cellStyle name="40% - Accent2 2 2 2 3" xfId="4829"/>
    <cellStyle name="40% - Accent2 2 2 2 3 2" xfId="15908"/>
    <cellStyle name="40% - Accent2 2 2 2 3 3" xfId="19859"/>
    <cellStyle name="40% - Accent2 2 2 2 4" xfId="15906"/>
    <cellStyle name="40% - Accent2 2 2 2 5" xfId="19857"/>
    <cellStyle name="40% - Accent2 2 2 3" xfId="4830"/>
    <cellStyle name="40% - Accent2 2 2 3 2" xfId="4831"/>
    <cellStyle name="40% - Accent2 2 2 3 2 2" xfId="15910"/>
    <cellStyle name="40% - Accent2 2 2 3 2 3" xfId="19861"/>
    <cellStyle name="40% - Accent2 2 2 3 3" xfId="4832"/>
    <cellStyle name="40% - Accent2 2 2 3 3 2" xfId="15911"/>
    <cellStyle name="40% - Accent2 2 2 3 3 3" xfId="19862"/>
    <cellStyle name="40% - Accent2 2 2 3 4" xfId="15909"/>
    <cellStyle name="40% - Accent2 2 2 3 5" xfId="19860"/>
    <cellStyle name="40% - Accent2 2 2 4" xfId="4833"/>
    <cellStyle name="40% - Accent2 2 2 4 2" xfId="4834"/>
    <cellStyle name="40% - Accent2 2 2 4 2 2" xfId="15913"/>
    <cellStyle name="40% - Accent2 2 2 4 2 3" xfId="19864"/>
    <cellStyle name="40% - Accent2 2 2 4 3" xfId="4835"/>
    <cellStyle name="40% - Accent2 2 2 4 3 2" xfId="15914"/>
    <cellStyle name="40% - Accent2 2 2 4 3 3" xfId="19865"/>
    <cellStyle name="40% - Accent2 2 2 4 4" xfId="15912"/>
    <cellStyle name="40% - Accent2 2 2 4 5" xfId="19863"/>
    <cellStyle name="40% - Accent2 2 2 5" xfId="4836"/>
    <cellStyle name="40% - Accent2 2 2 5 2" xfId="15915"/>
    <cellStyle name="40% - Accent2 2 2 5 3" xfId="19866"/>
    <cellStyle name="40% - Accent2 2 2 6" xfId="4837"/>
    <cellStyle name="40% - Accent2 2 2 6 2" xfId="15916"/>
    <cellStyle name="40% - Accent2 2 2 6 3" xfId="19867"/>
    <cellStyle name="40% - Accent2 2 2 7" xfId="15905"/>
    <cellStyle name="40% - Accent2 2 2 8" xfId="19856"/>
    <cellStyle name="40% - Accent2 2 2_Volatility" xfId="4838"/>
    <cellStyle name="40% - Accent2 2 3" xfId="4839"/>
    <cellStyle name="40% - Accent2 2 3 2" xfId="4840"/>
    <cellStyle name="40% - Accent2 2 3 2 2" xfId="4841"/>
    <cellStyle name="40% - Accent2 2 3 2 2 2" xfId="15919"/>
    <cellStyle name="40% - Accent2 2 3 2 2 3" xfId="19870"/>
    <cellStyle name="40% - Accent2 2 3 2 3" xfId="4842"/>
    <cellStyle name="40% - Accent2 2 3 2 3 2" xfId="15920"/>
    <cellStyle name="40% - Accent2 2 3 2 3 3" xfId="19871"/>
    <cellStyle name="40% - Accent2 2 3 2 4" xfId="15918"/>
    <cellStyle name="40% - Accent2 2 3 2 5" xfId="19869"/>
    <cellStyle name="40% - Accent2 2 3 3" xfId="4843"/>
    <cellStyle name="40% - Accent2 2 3 3 2" xfId="4844"/>
    <cellStyle name="40% - Accent2 2 3 3 2 2" xfId="15922"/>
    <cellStyle name="40% - Accent2 2 3 3 2 3" xfId="19873"/>
    <cellStyle name="40% - Accent2 2 3 3 3" xfId="4845"/>
    <cellStyle name="40% - Accent2 2 3 3 3 2" xfId="15923"/>
    <cellStyle name="40% - Accent2 2 3 3 3 3" xfId="19874"/>
    <cellStyle name="40% - Accent2 2 3 3 4" xfId="15921"/>
    <cellStyle name="40% - Accent2 2 3 3 5" xfId="19872"/>
    <cellStyle name="40% - Accent2 2 3 4" xfId="4846"/>
    <cellStyle name="40% - Accent2 2 3 4 2" xfId="15924"/>
    <cellStyle name="40% - Accent2 2 3 4 3" xfId="19875"/>
    <cellStyle name="40% - Accent2 2 3 5" xfId="4847"/>
    <cellStyle name="40% - Accent2 2 3 5 2" xfId="15925"/>
    <cellStyle name="40% - Accent2 2 3 5 3" xfId="19876"/>
    <cellStyle name="40% - Accent2 2 3 6" xfId="15917"/>
    <cellStyle name="40% - Accent2 2 3 7" xfId="19868"/>
    <cellStyle name="40% - Accent2 2 3_Volatility" xfId="4848"/>
    <cellStyle name="40% - Accent2 2 4" xfId="4849"/>
    <cellStyle name="40% - Accent2 2 4 2" xfId="4850"/>
    <cellStyle name="40% - Accent2 2 4 2 2" xfId="15927"/>
    <cellStyle name="40% - Accent2 2 4 2 3" xfId="19878"/>
    <cellStyle name="40% - Accent2 2 4 3" xfId="4851"/>
    <cellStyle name="40% - Accent2 2 4 3 2" xfId="15928"/>
    <cellStyle name="40% - Accent2 2 4 3 3" xfId="19879"/>
    <cellStyle name="40% - Accent2 2 4 4" xfId="15926"/>
    <cellStyle name="40% - Accent2 2 4 5" xfId="19877"/>
    <cellStyle name="40% - Accent2 2 5" xfId="4852"/>
    <cellStyle name="40% - Accent2 2 5 2" xfId="4853"/>
    <cellStyle name="40% - Accent2 2 5 2 2" xfId="15930"/>
    <cellStyle name="40% - Accent2 2 5 2 3" xfId="19881"/>
    <cellStyle name="40% - Accent2 2 5 3" xfId="4854"/>
    <cellStyle name="40% - Accent2 2 5 3 2" xfId="15931"/>
    <cellStyle name="40% - Accent2 2 5 3 3" xfId="19882"/>
    <cellStyle name="40% - Accent2 2 5 4" xfId="15929"/>
    <cellStyle name="40% - Accent2 2 5 5" xfId="19880"/>
    <cellStyle name="40% - Accent2 2 6" xfId="4855"/>
    <cellStyle name="40% - Accent2 2 6 2" xfId="4856"/>
    <cellStyle name="40% - Accent2 2 6 3" xfId="4857"/>
    <cellStyle name="40% - Accent2 2 6 4" xfId="15932"/>
    <cellStyle name="40% - Accent2 2 6 5" xfId="19883"/>
    <cellStyle name="40% - Accent2 2 7" xfId="4858"/>
    <cellStyle name="40% - Accent2 2 8" xfId="4859"/>
    <cellStyle name="40% - Accent2 2 9" xfId="15904"/>
    <cellStyle name="40% - Accent2 2_Volatility" xfId="4860"/>
    <cellStyle name="40% - Accent2 3" xfId="4861"/>
    <cellStyle name="40% - Accent2 3 2" xfId="4862"/>
    <cellStyle name="40% - Accent2 3 2 2" xfId="4863"/>
    <cellStyle name="40% - Accent2 3 2 2 2" xfId="4864"/>
    <cellStyle name="40% - Accent2 3 2 2 3" xfId="4865"/>
    <cellStyle name="40% - Accent2 3 2 3" xfId="4866"/>
    <cellStyle name="40% - Accent2 3 2 3 2" xfId="4867"/>
    <cellStyle name="40% - Accent2 3 2 3 3" xfId="4868"/>
    <cellStyle name="40% - Accent2 3 2 4" xfId="4869"/>
    <cellStyle name="40% - Accent2 3 2 4 2" xfId="4870"/>
    <cellStyle name="40% - Accent2 3 2 4 3" xfId="4871"/>
    <cellStyle name="40% - Accent2 3 2 5" xfId="4872"/>
    <cellStyle name="40% - Accent2 3 2 6" xfId="4873"/>
    <cellStyle name="40% - Accent2 3 2_Volatility" xfId="4874"/>
    <cellStyle name="40% - Accent2 3 3" xfId="4875"/>
    <cellStyle name="40% - Accent2 3 3 2" xfId="4876"/>
    <cellStyle name="40% - Accent2 3 3 2 2" xfId="4877"/>
    <cellStyle name="40% - Accent2 3 3 2 3" xfId="4878"/>
    <cellStyle name="40% - Accent2 3 3 3" xfId="4879"/>
    <cellStyle name="40% - Accent2 3 3 3 2" xfId="4880"/>
    <cellStyle name="40% - Accent2 3 3 3 3" xfId="4881"/>
    <cellStyle name="40% - Accent2 3 3 4" xfId="4882"/>
    <cellStyle name="40% - Accent2 3 3 5" xfId="4883"/>
    <cellStyle name="40% - Accent2 3 3_Volatility" xfId="4884"/>
    <cellStyle name="40% - Accent2 3 4" xfId="4885"/>
    <cellStyle name="40% - Accent2 3 4 2" xfId="4886"/>
    <cellStyle name="40% - Accent2 3 4 3" xfId="4887"/>
    <cellStyle name="40% - Accent2 3 5" xfId="4888"/>
    <cellStyle name="40% - Accent2 3 5 2" xfId="4889"/>
    <cellStyle name="40% - Accent2 3 5 3" xfId="4890"/>
    <cellStyle name="40% - Accent2 3 6" xfId="4891"/>
    <cellStyle name="40% - Accent2 3 6 2" xfId="4892"/>
    <cellStyle name="40% - Accent2 3 6 3" xfId="4893"/>
    <cellStyle name="40% - Accent2 3 7" xfId="4894"/>
    <cellStyle name="40% - Accent2 3 8" xfId="4895"/>
    <cellStyle name="40% - Accent2 3_Volatility" xfId="4896"/>
    <cellStyle name="40% - Accent2 4" xfId="4897"/>
    <cellStyle name="40% - Accent2 4 2" xfId="4898"/>
    <cellStyle name="40% - Accent2 4 2 2" xfId="4899"/>
    <cellStyle name="40% - Accent2 4 2 2 2" xfId="4900"/>
    <cellStyle name="40% - Accent2 4 2 2 3" xfId="4901"/>
    <cellStyle name="40% - Accent2 4 2 3" xfId="4902"/>
    <cellStyle name="40% - Accent2 4 2 3 2" xfId="4903"/>
    <cellStyle name="40% - Accent2 4 2 3 3" xfId="4904"/>
    <cellStyle name="40% - Accent2 4 2 4" xfId="4905"/>
    <cellStyle name="40% - Accent2 4 2 4 2" xfId="4906"/>
    <cellStyle name="40% - Accent2 4 2 4 3" xfId="4907"/>
    <cellStyle name="40% - Accent2 4 2 5" xfId="4908"/>
    <cellStyle name="40% - Accent2 4 2 6" xfId="4909"/>
    <cellStyle name="40% - Accent2 4 2_Volatility" xfId="4910"/>
    <cellStyle name="40% - Accent2 4 3" xfId="4911"/>
    <cellStyle name="40% - Accent2 4 3 2" xfId="4912"/>
    <cellStyle name="40% - Accent2 4 3 2 2" xfId="4913"/>
    <cellStyle name="40% - Accent2 4 3 2 3" xfId="4914"/>
    <cellStyle name="40% - Accent2 4 3 3" xfId="4915"/>
    <cellStyle name="40% - Accent2 4 3 3 2" xfId="4916"/>
    <cellStyle name="40% - Accent2 4 3 3 3" xfId="4917"/>
    <cellStyle name="40% - Accent2 4 3 4" xfId="4918"/>
    <cellStyle name="40% - Accent2 4 3 5" xfId="4919"/>
    <cellStyle name="40% - Accent2 4 3_Volatility" xfId="4920"/>
    <cellStyle name="40% - Accent2 4 4" xfId="4921"/>
    <cellStyle name="40% - Accent2 4 4 2" xfId="4922"/>
    <cellStyle name="40% - Accent2 4 4 3" xfId="4923"/>
    <cellStyle name="40% - Accent2 4 5" xfId="4924"/>
    <cellStyle name="40% - Accent2 4 5 2" xfId="4925"/>
    <cellStyle name="40% - Accent2 4 5 3" xfId="4926"/>
    <cellStyle name="40% - Accent2 4 6" xfId="4927"/>
    <cellStyle name="40% - Accent2 4 6 2" xfId="4928"/>
    <cellStyle name="40% - Accent2 4 6 3" xfId="4929"/>
    <cellStyle name="40% - Accent2 4 7" xfId="4930"/>
    <cellStyle name="40% - Accent2 4 8" xfId="4931"/>
    <cellStyle name="40% - Accent2 4_Volatility" xfId="4932"/>
    <cellStyle name="40% - Accent2 5" xfId="4933"/>
    <cellStyle name="40% - Accent2 5 2" xfId="4934"/>
    <cellStyle name="40% - Accent2 5 2 2" xfId="4935"/>
    <cellStyle name="40% - Accent2 5 2 2 2" xfId="4936"/>
    <cellStyle name="40% - Accent2 5 2 2 3" xfId="4937"/>
    <cellStyle name="40% - Accent2 5 2 3" xfId="4938"/>
    <cellStyle name="40% - Accent2 5 2 3 2" xfId="4939"/>
    <cellStyle name="40% - Accent2 5 2 3 3" xfId="4940"/>
    <cellStyle name="40% - Accent2 5 2 4" xfId="4941"/>
    <cellStyle name="40% - Accent2 5 2 4 2" xfId="4942"/>
    <cellStyle name="40% - Accent2 5 2 4 3" xfId="4943"/>
    <cellStyle name="40% - Accent2 5 2 5" xfId="4944"/>
    <cellStyle name="40% - Accent2 5 2 6" xfId="4945"/>
    <cellStyle name="40% - Accent2 5 2_Volatility" xfId="4946"/>
    <cellStyle name="40% - Accent2 5 3" xfId="4947"/>
    <cellStyle name="40% - Accent2 5 3 2" xfId="4948"/>
    <cellStyle name="40% - Accent2 5 3 2 2" xfId="4949"/>
    <cellStyle name="40% - Accent2 5 3 2 3" xfId="4950"/>
    <cellStyle name="40% - Accent2 5 3 3" xfId="4951"/>
    <cellStyle name="40% - Accent2 5 3 3 2" xfId="4952"/>
    <cellStyle name="40% - Accent2 5 3 3 3" xfId="4953"/>
    <cellStyle name="40% - Accent2 5 3 4" xfId="4954"/>
    <cellStyle name="40% - Accent2 5 3 5" xfId="4955"/>
    <cellStyle name="40% - Accent2 5 3_Volatility" xfId="4956"/>
    <cellStyle name="40% - Accent2 5 4" xfId="4957"/>
    <cellStyle name="40% - Accent2 5 4 2" xfId="4958"/>
    <cellStyle name="40% - Accent2 5 4 3" xfId="4959"/>
    <cellStyle name="40% - Accent2 5 5" xfId="4960"/>
    <cellStyle name="40% - Accent2 5 5 2" xfId="4961"/>
    <cellStyle name="40% - Accent2 5 5 3" xfId="4962"/>
    <cellStyle name="40% - Accent2 5 6" xfId="4963"/>
    <cellStyle name="40% - Accent2 5 6 2" xfId="4964"/>
    <cellStyle name="40% - Accent2 5 6 3" xfId="4965"/>
    <cellStyle name="40% - Accent2 5 7" xfId="4966"/>
    <cellStyle name="40% - Accent2 5 8" xfId="4967"/>
    <cellStyle name="40% - Accent2 5_Volatility" xfId="4968"/>
    <cellStyle name="40% - Accent2 6" xfId="4969"/>
    <cellStyle name="40% - Accent2 6 2" xfId="4970"/>
    <cellStyle name="40% - Accent2 6 2 2" xfId="4971"/>
    <cellStyle name="40% - Accent2 6 2 2 2" xfId="4972"/>
    <cellStyle name="40% - Accent2 6 2 2 3" xfId="4973"/>
    <cellStyle name="40% - Accent2 6 2 3" xfId="4974"/>
    <cellStyle name="40% - Accent2 6 2 3 2" xfId="4975"/>
    <cellStyle name="40% - Accent2 6 2 3 3" xfId="4976"/>
    <cellStyle name="40% - Accent2 6 2 4" xfId="4977"/>
    <cellStyle name="40% - Accent2 6 2 4 2" xfId="4978"/>
    <cellStyle name="40% - Accent2 6 2 4 3" xfId="4979"/>
    <cellStyle name="40% - Accent2 6 2 5" xfId="4980"/>
    <cellStyle name="40% - Accent2 6 2 6" xfId="4981"/>
    <cellStyle name="40% - Accent2 6 2_Volatility" xfId="4982"/>
    <cellStyle name="40% - Accent2 6 3" xfId="4983"/>
    <cellStyle name="40% - Accent2 6 3 2" xfId="4984"/>
    <cellStyle name="40% - Accent2 6 3 2 2" xfId="4985"/>
    <cellStyle name="40% - Accent2 6 3 2 3" xfId="4986"/>
    <cellStyle name="40% - Accent2 6 3 3" xfId="4987"/>
    <cellStyle name="40% - Accent2 6 3 3 2" xfId="4988"/>
    <cellStyle name="40% - Accent2 6 3 3 3" xfId="4989"/>
    <cellStyle name="40% - Accent2 6 3 4" xfId="4990"/>
    <cellStyle name="40% - Accent2 6 3 5" xfId="4991"/>
    <cellStyle name="40% - Accent2 6 3_Volatility" xfId="4992"/>
    <cellStyle name="40% - Accent2 6 4" xfId="4993"/>
    <cellStyle name="40% - Accent2 6 4 2" xfId="4994"/>
    <cellStyle name="40% - Accent2 6 4 3" xfId="4995"/>
    <cellStyle name="40% - Accent2 6 5" xfId="4996"/>
    <cellStyle name="40% - Accent2 6 5 2" xfId="4997"/>
    <cellStyle name="40% - Accent2 6 5 3" xfId="4998"/>
    <cellStyle name="40% - Accent2 6 6" xfId="4999"/>
    <cellStyle name="40% - Accent2 6 6 2" xfId="5000"/>
    <cellStyle name="40% - Accent2 6 6 3" xfId="5001"/>
    <cellStyle name="40% - Accent2 6 7" xfId="5002"/>
    <cellStyle name="40% - Accent2 6 8" xfId="5003"/>
    <cellStyle name="40% - Accent2 6_Volatility" xfId="5004"/>
    <cellStyle name="40% - Accent2 7" xfId="5005"/>
    <cellStyle name="40% - Accent2 7 2" xfId="5006"/>
    <cellStyle name="40% - Accent2 7 2 2" xfId="5007"/>
    <cellStyle name="40% - Accent2 7 2 2 2" xfId="5008"/>
    <cellStyle name="40% - Accent2 7 2 2 3" xfId="5009"/>
    <cellStyle name="40% - Accent2 7 2 3" xfId="5010"/>
    <cellStyle name="40% - Accent2 7 2 3 2" xfId="5011"/>
    <cellStyle name="40% - Accent2 7 2 3 3" xfId="5012"/>
    <cellStyle name="40% - Accent2 7 2 4" xfId="5013"/>
    <cellStyle name="40% - Accent2 7 2 4 2" xfId="5014"/>
    <cellStyle name="40% - Accent2 7 2 4 3" xfId="5015"/>
    <cellStyle name="40% - Accent2 7 2 5" xfId="5016"/>
    <cellStyle name="40% - Accent2 7 2 6" xfId="5017"/>
    <cellStyle name="40% - Accent2 7 2_Volatility" xfId="5018"/>
    <cellStyle name="40% - Accent2 7 3" xfId="5019"/>
    <cellStyle name="40% - Accent2 7 3 2" xfId="5020"/>
    <cellStyle name="40% - Accent2 7 3 2 2" xfId="5021"/>
    <cellStyle name="40% - Accent2 7 3 2 3" xfId="5022"/>
    <cellStyle name="40% - Accent2 7 3 3" xfId="5023"/>
    <cellStyle name="40% - Accent2 7 3 3 2" xfId="5024"/>
    <cellStyle name="40% - Accent2 7 3 3 3" xfId="5025"/>
    <cellStyle name="40% - Accent2 7 3 4" xfId="5026"/>
    <cellStyle name="40% - Accent2 7 3 5" xfId="5027"/>
    <cellStyle name="40% - Accent2 7 3_Volatility" xfId="5028"/>
    <cellStyle name="40% - Accent2 7 4" xfId="5029"/>
    <cellStyle name="40% - Accent2 7 4 2" xfId="5030"/>
    <cellStyle name="40% - Accent2 7 4 3" xfId="5031"/>
    <cellStyle name="40% - Accent2 7 5" xfId="5032"/>
    <cellStyle name="40% - Accent2 7 5 2" xfId="5033"/>
    <cellStyle name="40% - Accent2 7 5 3" xfId="5034"/>
    <cellStyle name="40% - Accent2 7 6" xfId="5035"/>
    <cellStyle name="40% - Accent2 7 6 2" xfId="5036"/>
    <cellStyle name="40% - Accent2 7 6 3" xfId="5037"/>
    <cellStyle name="40% - Accent2 7 7" xfId="5038"/>
    <cellStyle name="40% - Accent2 7 8" xfId="5039"/>
    <cellStyle name="40% - Accent2 7_Volatility" xfId="5040"/>
    <cellStyle name="40% - Accent2 8" xfId="5041"/>
    <cellStyle name="40% - Accent2 8 2" xfId="5042"/>
    <cellStyle name="40% - Accent2 8 2 2" xfId="5043"/>
    <cellStyle name="40% - Accent2 8 2 2 2" xfId="5044"/>
    <cellStyle name="40% - Accent2 8 2 2 3" xfId="5045"/>
    <cellStyle name="40% - Accent2 8 2 3" xfId="5046"/>
    <cellStyle name="40% - Accent2 8 2 3 2" xfId="5047"/>
    <cellStyle name="40% - Accent2 8 2 3 3" xfId="5048"/>
    <cellStyle name="40% - Accent2 8 2 4" xfId="5049"/>
    <cellStyle name="40% - Accent2 8 2 4 2" xfId="5050"/>
    <cellStyle name="40% - Accent2 8 2 4 3" xfId="5051"/>
    <cellStyle name="40% - Accent2 8 2 5" xfId="5052"/>
    <cellStyle name="40% - Accent2 8 2 6" xfId="5053"/>
    <cellStyle name="40% - Accent2 8 2_Volatility" xfId="5054"/>
    <cellStyle name="40% - Accent2 8 3" xfId="5055"/>
    <cellStyle name="40% - Accent2 8 3 2" xfId="5056"/>
    <cellStyle name="40% - Accent2 8 3 2 2" xfId="5057"/>
    <cellStyle name="40% - Accent2 8 3 2 3" xfId="5058"/>
    <cellStyle name="40% - Accent2 8 3 3" xfId="5059"/>
    <cellStyle name="40% - Accent2 8 3 3 2" xfId="5060"/>
    <cellStyle name="40% - Accent2 8 3 3 3" xfId="5061"/>
    <cellStyle name="40% - Accent2 8 3 4" xfId="5062"/>
    <cellStyle name="40% - Accent2 8 3 5" xfId="5063"/>
    <cellStyle name="40% - Accent2 8 3_Volatility" xfId="5064"/>
    <cellStyle name="40% - Accent2 8 4" xfId="5065"/>
    <cellStyle name="40% - Accent2 8 4 2" xfId="5066"/>
    <cellStyle name="40% - Accent2 8 4 3" xfId="5067"/>
    <cellStyle name="40% - Accent2 8 5" xfId="5068"/>
    <cellStyle name="40% - Accent2 8 5 2" xfId="5069"/>
    <cellStyle name="40% - Accent2 8 5 3" xfId="5070"/>
    <cellStyle name="40% - Accent2 8 6" xfId="5071"/>
    <cellStyle name="40% - Accent2 8 6 2" xfId="5072"/>
    <cellStyle name="40% - Accent2 8 6 3" xfId="5073"/>
    <cellStyle name="40% - Accent2 8 7" xfId="5074"/>
    <cellStyle name="40% - Accent2 8 8" xfId="5075"/>
    <cellStyle name="40% - Accent2 8_Volatility" xfId="5076"/>
    <cellStyle name="40% - Accent2 9" xfId="5077"/>
    <cellStyle name="40% - Accent2 9 2" xfId="5078"/>
    <cellStyle name="40% - Accent2 9 2 2" xfId="5079"/>
    <cellStyle name="40% - Accent2 9 2 2 2" xfId="5080"/>
    <cellStyle name="40% - Accent2 9 2 2 3" xfId="5081"/>
    <cellStyle name="40% - Accent2 9 2 3" xfId="5082"/>
    <cellStyle name="40% - Accent2 9 2 3 2" xfId="5083"/>
    <cellStyle name="40% - Accent2 9 2 3 3" xfId="5084"/>
    <cellStyle name="40% - Accent2 9 2 4" xfId="5085"/>
    <cellStyle name="40% - Accent2 9 2 4 2" xfId="5086"/>
    <cellStyle name="40% - Accent2 9 2 4 3" xfId="5087"/>
    <cellStyle name="40% - Accent2 9 2 5" xfId="5088"/>
    <cellStyle name="40% - Accent2 9 2 6" xfId="5089"/>
    <cellStyle name="40% - Accent2 9 2_Volatility" xfId="5090"/>
    <cellStyle name="40% - Accent2 9 3" xfId="5091"/>
    <cellStyle name="40% - Accent2 9 3 2" xfId="5092"/>
    <cellStyle name="40% - Accent2 9 3 2 2" xfId="5093"/>
    <cellStyle name="40% - Accent2 9 3 2 3" xfId="5094"/>
    <cellStyle name="40% - Accent2 9 3 3" xfId="5095"/>
    <cellStyle name="40% - Accent2 9 3 3 2" xfId="5096"/>
    <cellStyle name="40% - Accent2 9 3 3 3" xfId="5097"/>
    <cellStyle name="40% - Accent2 9 3 4" xfId="5098"/>
    <cellStyle name="40% - Accent2 9 3 5" xfId="5099"/>
    <cellStyle name="40% - Accent2 9 3_Volatility" xfId="5100"/>
    <cellStyle name="40% - Accent2 9 4" xfId="5101"/>
    <cellStyle name="40% - Accent2 9 4 2" xfId="5102"/>
    <cellStyle name="40% - Accent2 9 4 3" xfId="5103"/>
    <cellStyle name="40% - Accent2 9 5" xfId="5104"/>
    <cellStyle name="40% - Accent2 9 5 2" xfId="5105"/>
    <cellStyle name="40% - Accent2 9 5 3" xfId="5106"/>
    <cellStyle name="40% - Accent2 9 6" xfId="5107"/>
    <cellStyle name="40% - Accent2 9 6 2" xfId="5108"/>
    <cellStyle name="40% - Accent2 9 6 3" xfId="5109"/>
    <cellStyle name="40% - Accent2 9 7" xfId="5110"/>
    <cellStyle name="40% - Accent2 9 8" xfId="5111"/>
    <cellStyle name="40% - Accent2 9_Volatility" xfId="5112"/>
    <cellStyle name="40% - Accent3 10" xfId="5113"/>
    <cellStyle name="40% - Accent3 10 2" xfId="5114"/>
    <cellStyle name="40% - Accent3 10 2 2" xfId="5115"/>
    <cellStyle name="40% - Accent3 10 2 2 2" xfId="5116"/>
    <cellStyle name="40% - Accent3 10 2 2 3" xfId="5117"/>
    <cellStyle name="40% - Accent3 10 2 3" xfId="5118"/>
    <cellStyle name="40% - Accent3 10 2 3 2" xfId="5119"/>
    <cellStyle name="40% - Accent3 10 2 3 3" xfId="5120"/>
    <cellStyle name="40% - Accent3 10 2 4" xfId="5121"/>
    <cellStyle name="40% - Accent3 10 2 4 2" xfId="5122"/>
    <cellStyle name="40% - Accent3 10 2 4 3" xfId="5123"/>
    <cellStyle name="40% - Accent3 10 2 5" xfId="5124"/>
    <cellStyle name="40% - Accent3 10 2 6" xfId="5125"/>
    <cellStyle name="40% - Accent3 10 2_Volatility" xfId="5126"/>
    <cellStyle name="40% - Accent3 10 3" xfId="5127"/>
    <cellStyle name="40% - Accent3 10 3 2" xfId="5128"/>
    <cellStyle name="40% - Accent3 10 3 2 2" xfId="5129"/>
    <cellStyle name="40% - Accent3 10 3 2 3" xfId="5130"/>
    <cellStyle name="40% - Accent3 10 3 3" xfId="5131"/>
    <cellStyle name="40% - Accent3 10 3 3 2" xfId="5132"/>
    <cellStyle name="40% - Accent3 10 3 3 3" xfId="5133"/>
    <cellStyle name="40% - Accent3 10 3 4" xfId="5134"/>
    <cellStyle name="40% - Accent3 10 3 5" xfId="5135"/>
    <cellStyle name="40% - Accent3 10 3_Volatility" xfId="5136"/>
    <cellStyle name="40% - Accent3 10 4" xfId="5137"/>
    <cellStyle name="40% - Accent3 10 4 2" xfId="5138"/>
    <cellStyle name="40% - Accent3 10 4 3" xfId="5139"/>
    <cellStyle name="40% - Accent3 10 5" xfId="5140"/>
    <cellStyle name="40% - Accent3 10 5 2" xfId="5141"/>
    <cellStyle name="40% - Accent3 10 5 3" xfId="5142"/>
    <cellStyle name="40% - Accent3 10 6" xfId="5143"/>
    <cellStyle name="40% - Accent3 10 6 2" xfId="5144"/>
    <cellStyle name="40% - Accent3 10 6 3" xfId="5145"/>
    <cellStyle name="40% - Accent3 10 7" xfId="5146"/>
    <cellStyle name="40% - Accent3 10 8" xfId="5147"/>
    <cellStyle name="40% - Accent3 10_Volatility" xfId="5148"/>
    <cellStyle name="40% - Accent3 11" xfId="5149"/>
    <cellStyle name="40% - Accent3 11 2" xfId="5150"/>
    <cellStyle name="40% - Accent3 11 2 2" xfId="5151"/>
    <cellStyle name="40% - Accent3 11 2 2 2" xfId="5152"/>
    <cellStyle name="40% - Accent3 11 2 2 3" xfId="5153"/>
    <cellStyle name="40% - Accent3 11 2 3" xfId="5154"/>
    <cellStyle name="40% - Accent3 11 2 3 2" xfId="5155"/>
    <cellStyle name="40% - Accent3 11 2 3 3" xfId="5156"/>
    <cellStyle name="40% - Accent3 11 2 4" xfId="5157"/>
    <cellStyle name="40% - Accent3 11 2 4 2" xfId="5158"/>
    <cellStyle name="40% - Accent3 11 2 4 3" xfId="5159"/>
    <cellStyle name="40% - Accent3 11 2 5" xfId="5160"/>
    <cellStyle name="40% - Accent3 11 2 6" xfId="5161"/>
    <cellStyle name="40% - Accent3 11 2_Volatility" xfId="5162"/>
    <cellStyle name="40% - Accent3 11 3" xfId="5163"/>
    <cellStyle name="40% - Accent3 11 3 2" xfId="5164"/>
    <cellStyle name="40% - Accent3 11 3 2 2" xfId="5165"/>
    <cellStyle name="40% - Accent3 11 3 2 3" xfId="5166"/>
    <cellStyle name="40% - Accent3 11 3 3" xfId="5167"/>
    <cellStyle name="40% - Accent3 11 3 3 2" xfId="5168"/>
    <cellStyle name="40% - Accent3 11 3 3 3" xfId="5169"/>
    <cellStyle name="40% - Accent3 11 3 4" xfId="5170"/>
    <cellStyle name="40% - Accent3 11 3 5" xfId="5171"/>
    <cellStyle name="40% - Accent3 11 3_Volatility" xfId="5172"/>
    <cellStyle name="40% - Accent3 11 4" xfId="5173"/>
    <cellStyle name="40% - Accent3 11 4 2" xfId="5174"/>
    <cellStyle name="40% - Accent3 11 4 3" xfId="5175"/>
    <cellStyle name="40% - Accent3 11 5" xfId="5176"/>
    <cellStyle name="40% - Accent3 11 5 2" xfId="5177"/>
    <cellStyle name="40% - Accent3 11 5 3" xfId="5178"/>
    <cellStyle name="40% - Accent3 11 6" xfId="5179"/>
    <cellStyle name="40% - Accent3 11 6 2" xfId="5180"/>
    <cellStyle name="40% - Accent3 11 6 3" xfId="5181"/>
    <cellStyle name="40% - Accent3 11 7" xfId="5182"/>
    <cellStyle name="40% - Accent3 11 8" xfId="5183"/>
    <cellStyle name="40% - Accent3 11_Volatility" xfId="5184"/>
    <cellStyle name="40% - Accent3 12" xfId="5185"/>
    <cellStyle name="40% - Accent3 12 2" xfId="5186"/>
    <cellStyle name="40% - Accent3 12 2 2" xfId="5187"/>
    <cellStyle name="40% - Accent3 12 2 2 2" xfId="5188"/>
    <cellStyle name="40% - Accent3 12 2 2 3" xfId="5189"/>
    <cellStyle name="40% - Accent3 12 2 3" xfId="5190"/>
    <cellStyle name="40% - Accent3 12 2 3 2" xfId="5191"/>
    <cellStyle name="40% - Accent3 12 2 3 3" xfId="5192"/>
    <cellStyle name="40% - Accent3 12 2 4" xfId="5193"/>
    <cellStyle name="40% - Accent3 12 2 4 2" xfId="5194"/>
    <cellStyle name="40% - Accent3 12 2 4 3" xfId="5195"/>
    <cellStyle name="40% - Accent3 12 2 5" xfId="5196"/>
    <cellStyle name="40% - Accent3 12 2 6" xfId="5197"/>
    <cellStyle name="40% - Accent3 12 2_Volatility" xfId="5198"/>
    <cellStyle name="40% - Accent3 12 3" xfId="5199"/>
    <cellStyle name="40% - Accent3 12 3 2" xfId="5200"/>
    <cellStyle name="40% - Accent3 12 3 2 2" xfId="5201"/>
    <cellStyle name="40% - Accent3 12 3 2 3" xfId="5202"/>
    <cellStyle name="40% - Accent3 12 3 3" xfId="5203"/>
    <cellStyle name="40% - Accent3 12 3 3 2" xfId="5204"/>
    <cellStyle name="40% - Accent3 12 3 3 3" xfId="5205"/>
    <cellStyle name="40% - Accent3 12 3 4" xfId="5206"/>
    <cellStyle name="40% - Accent3 12 3 5" xfId="5207"/>
    <cellStyle name="40% - Accent3 12 3_Volatility" xfId="5208"/>
    <cellStyle name="40% - Accent3 12 4" xfId="5209"/>
    <cellStyle name="40% - Accent3 12 4 2" xfId="5210"/>
    <cellStyle name="40% - Accent3 12 4 3" xfId="5211"/>
    <cellStyle name="40% - Accent3 12 5" xfId="5212"/>
    <cellStyle name="40% - Accent3 12 5 2" xfId="5213"/>
    <cellStyle name="40% - Accent3 12 5 3" xfId="5214"/>
    <cellStyle name="40% - Accent3 12 6" xfId="5215"/>
    <cellStyle name="40% - Accent3 12 6 2" xfId="5216"/>
    <cellStyle name="40% - Accent3 12 6 3" xfId="5217"/>
    <cellStyle name="40% - Accent3 12 7" xfId="5218"/>
    <cellStyle name="40% - Accent3 12 8" xfId="5219"/>
    <cellStyle name="40% - Accent3 12_Volatility" xfId="5220"/>
    <cellStyle name="40% - Accent3 13" xfId="5221"/>
    <cellStyle name="40% - Accent3 13 2" xfId="5222"/>
    <cellStyle name="40% - Accent3 13 2 2" xfId="5223"/>
    <cellStyle name="40% - Accent3 13 2 2 2" xfId="5224"/>
    <cellStyle name="40% - Accent3 13 2 2 3" xfId="5225"/>
    <cellStyle name="40% - Accent3 13 2 3" xfId="5226"/>
    <cellStyle name="40% - Accent3 13 2 3 2" xfId="5227"/>
    <cellStyle name="40% - Accent3 13 2 3 3" xfId="5228"/>
    <cellStyle name="40% - Accent3 13 2 4" xfId="5229"/>
    <cellStyle name="40% - Accent3 13 2 4 2" xfId="5230"/>
    <cellStyle name="40% - Accent3 13 2 4 3" xfId="5231"/>
    <cellStyle name="40% - Accent3 13 2 5" xfId="5232"/>
    <cellStyle name="40% - Accent3 13 2 6" xfId="5233"/>
    <cellStyle name="40% - Accent3 13 2_Volatility" xfId="5234"/>
    <cellStyle name="40% - Accent3 13 3" xfId="5235"/>
    <cellStyle name="40% - Accent3 13 3 2" xfId="5236"/>
    <cellStyle name="40% - Accent3 13 3 2 2" xfId="5237"/>
    <cellStyle name="40% - Accent3 13 3 2 3" xfId="5238"/>
    <cellStyle name="40% - Accent3 13 3 3" xfId="5239"/>
    <cellStyle name="40% - Accent3 13 3 3 2" xfId="5240"/>
    <cellStyle name="40% - Accent3 13 3 3 3" xfId="5241"/>
    <cellStyle name="40% - Accent3 13 3 4" xfId="5242"/>
    <cellStyle name="40% - Accent3 13 3 5" xfId="5243"/>
    <cellStyle name="40% - Accent3 13 3_Volatility" xfId="5244"/>
    <cellStyle name="40% - Accent3 13 4" xfId="5245"/>
    <cellStyle name="40% - Accent3 13 4 2" xfId="5246"/>
    <cellStyle name="40% - Accent3 13 4 3" xfId="5247"/>
    <cellStyle name="40% - Accent3 13 5" xfId="5248"/>
    <cellStyle name="40% - Accent3 13 5 2" xfId="5249"/>
    <cellStyle name="40% - Accent3 13 5 3" xfId="5250"/>
    <cellStyle name="40% - Accent3 13 6" xfId="5251"/>
    <cellStyle name="40% - Accent3 13 6 2" xfId="5252"/>
    <cellStyle name="40% - Accent3 13 6 3" xfId="5253"/>
    <cellStyle name="40% - Accent3 13 7" xfId="5254"/>
    <cellStyle name="40% - Accent3 13 8" xfId="5255"/>
    <cellStyle name="40% - Accent3 13_Volatility" xfId="5256"/>
    <cellStyle name="40% - Accent3 14" xfId="5257"/>
    <cellStyle name="40% - Accent3 14 2" xfId="5258"/>
    <cellStyle name="40% - Accent3 14 2 2" xfId="5259"/>
    <cellStyle name="40% - Accent3 14 2 2 2" xfId="5260"/>
    <cellStyle name="40% - Accent3 14 2 2 3" xfId="5261"/>
    <cellStyle name="40% - Accent3 14 2 3" xfId="5262"/>
    <cellStyle name="40% - Accent3 14 2 3 2" xfId="5263"/>
    <cellStyle name="40% - Accent3 14 2 3 3" xfId="5264"/>
    <cellStyle name="40% - Accent3 14 2 4" xfId="5265"/>
    <cellStyle name="40% - Accent3 14 2 4 2" xfId="5266"/>
    <cellStyle name="40% - Accent3 14 2 4 3" xfId="5267"/>
    <cellStyle name="40% - Accent3 14 2 5" xfId="5268"/>
    <cellStyle name="40% - Accent3 14 2 6" xfId="5269"/>
    <cellStyle name="40% - Accent3 14 2_Volatility" xfId="5270"/>
    <cellStyle name="40% - Accent3 14 3" xfId="5271"/>
    <cellStyle name="40% - Accent3 14 3 2" xfId="5272"/>
    <cellStyle name="40% - Accent3 14 3 2 2" xfId="5273"/>
    <cellStyle name="40% - Accent3 14 3 2 3" xfId="5274"/>
    <cellStyle name="40% - Accent3 14 3 3" xfId="5275"/>
    <cellStyle name="40% - Accent3 14 3 3 2" xfId="5276"/>
    <cellStyle name="40% - Accent3 14 3 3 3" xfId="5277"/>
    <cellStyle name="40% - Accent3 14 3 4" xfId="5278"/>
    <cellStyle name="40% - Accent3 14 3 5" xfId="5279"/>
    <cellStyle name="40% - Accent3 14 3_Volatility" xfId="5280"/>
    <cellStyle name="40% - Accent3 14 4" xfId="5281"/>
    <cellStyle name="40% - Accent3 14 4 2" xfId="5282"/>
    <cellStyle name="40% - Accent3 14 4 3" xfId="5283"/>
    <cellStyle name="40% - Accent3 14 5" xfId="5284"/>
    <cellStyle name="40% - Accent3 14 5 2" xfId="5285"/>
    <cellStyle name="40% - Accent3 14 5 3" xfId="5286"/>
    <cellStyle name="40% - Accent3 14 6" xfId="5287"/>
    <cellStyle name="40% - Accent3 14 6 2" xfId="5288"/>
    <cellStyle name="40% - Accent3 14 6 3" xfId="5289"/>
    <cellStyle name="40% - Accent3 14 7" xfId="5290"/>
    <cellStyle name="40% - Accent3 14 8" xfId="5291"/>
    <cellStyle name="40% - Accent3 14_Volatility" xfId="5292"/>
    <cellStyle name="40% - Accent3 15" xfId="5293"/>
    <cellStyle name="40% - Accent3 15 2" xfId="5294"/>
    <cellStyle name="40% - Accent3 15 2 2" xfId="5295"/>
    <cellStyle name="40% - Accent3 15 2 2 2" xfId="5296"/>
    <cellStyle name="40% - Accent3 15 2 2 3" xfId="5297"/>
    <cellStyle name="40% - Accent3 15 2 3" xfId="5298"/>
    <cellStyle name="40% - Accent3 15 2 3 2" xfId="5299"/>
    <cellStyle name="40% - Accent3 15 2 3 3" xfId="5300"/>
    <cellStyle name="40% - Accent3 15 2 4" xfId="5301"/>
    <cellStyle name="40% - Accent3 15 2 4 2" xfId="5302"/>
    <cellStyle name="40% - Accent3 15 2 4 3" xfId="5303"/>
    <cellStyle name="40% - Accent3 15 2 5" xfId="5304"/>
    <cellStyle name="40% - Accent3 15 2 6" xfId="5305"/>
    <cellStyle name="40% - Accent3 15 2_Volatility" xfId="5306"/>
    <cellStyle name="40% - Accent3 15 3" xfId="5307"/>
    <cellStyle name="40% - Accent3 15 3 2" xfId="5308"/>
    <cellStyle name="40% - Accent3 15 3 2 2" xfId="5309"/>
    <cellStyle name="40% - Accent3 15 3 2 3" xfId="5310"/>
    <cellStyle name="40% - Accent3 15 3 3" xfId="5311"/>
    <cellStyle name="40% - Accent3 15 3 3 2" xfId="5312"/>
    <cellStyle name="40% - Accent3 15 3 3 3" xfId="5313"/>
    <cellStyle name="40% - Accent3 15 3 4" xfId="5314"/>
    <cellStyle name="40% - Accent3 15 3 5" xfId="5315"/>
    <cellStyle name="40% - Accent3 15 3_Volatility" xfId="5316"/>
    <cellStyle name="40% - Accent3 15 4" xfId="5317"/>
    <cellStyle name="40% - Accent3 15 4 2" xfId="5318"/>
    <cellStyle name="40% - Accent3 15 4 3" xfId="5319"/>
    <cellStyle name="40% - Accent3 15 5" xfId="5320"/>
    <cellStyle name="40% - Accent3 15 5 2" xfId="5321"/>
    <cellStyle name="40% - Accent3 15 5 3" xfId="5322"/>
    <cellStyle name="40% - Accent3 15 6" xfId="5323"/>
    <cellStyle name="40% - Accent3 15 6 2" xfId="5324"/>
    <cellStyle name="40% - Accent3 15 6 3" xfId="5325"/>
    <cellStyle name="40% - Accent3 15 7" xfId="5326"/>
    <cellStyle name="40% - Accent3 15 8" xfId="5327"/>
    <cellStyle name="40% - Accent3 15_Volatility" xfId="5328"/>
    <cellStyle name="40% - Accent3 16" xfId="5329"/>
    <cellStyle name="40% - Accent3 16 2" xfId="15933"/>
    <cellStyle name="40% - Accent3 16 3" xfId="19884"/>
    <cellStyle name="40% - Accent3 17" xfId="5330"/>
    <cellStyle name="40% - Accent3 17 2" xfId="15934"/>
    <cellStyle name="40% - Accent3 17 3" xfId="19885"/>
    <cellStyle name="40% - Accent3 18" xfId="5331"/>
    <cellStyle name="40% - Accent3 18 2" xfId="15935"/>
    <cellStyle name="40% - Accent3 18 3" xfId="19886"/>
    <cellStyle name="40% - Accent3 19" xfId="5332"/>
    <cellStyle name="40% - Accent3 19 2" xfId="15936"/>
    <cellStyle name="40% - Accent3 19 3" xfId="19887"/>
    <cellStyle name="40% - Accent3 2" xfId="5333"/>
    <cellStyle name="40% - Accent3 2 2" xfId="5334"/>
    <cellStyle name="40% - Accent3 2 2 2" xfId="5335"/>
    <cellStyle name="40% - Accent3 2 2 2 2" xfId="5336"/>
    <cellStyle name="40% - Accent3 2 2 2 3" xfId="5337"/>
    <cellStyle name="40% - Accent3 2 2 3" xfId="5338"/>
    <cellStyle name="40% - Accent3 2 2 3 2" xfId="5339"/>
    <cellStyle name="40% - Accent3 2 2 3 3" xfId="5340"/>
    <cellStyle name="40% - Accent3 2 2 4" xfId="5341"/>
    <cellStyle name="40% - Accent3 2 2 4 2" xfId="5342"/>
    <cellStyle name="40% - Accent3 2 2 4 3" xfId="5343"/>
    <cellStyle name="40% - Accent3 2 2 5" xfId="5344"/>
    <cellStyle name="40% - Accent3 2 2 6" xfId="5345"/>
    <cellStyle name="40% - Accent3 2 2_Volatility" xfId="5346"/>
    <cellStyle name="40% - Accent3 2 3" xfId="5347"/>
    <cellStyle name="40% - Accent3 2 3 2" xfId="5348"/>
    <cellStyle name="40% - Accent3 2 3 2 2" xfId="5349"/>
    <cellStyle name="40% - Accent3 2 3 2 3" xfId="5350"/>
    <cellStyle name="40% - Accent3 2 3 3" xfId="5351"/>
    <cellStyle name="40% - Accent3 2 3 3 2" xfId="5352"/>
    <cellStyle name="40% - Accent3 2 3 3 3" xfId="5353"/>
    <cellStyle name="40% - Accent3 2 3 4" xfId="5354"/>
    <cellStyle name="40% - Accent3 2 3 5" xfId="5355"/>
    <cellStyle name="40% - Accent3 2 3_Volatility" xfId="5356"/>
    <cellStyle name="40% - Accent3 2 4" xfId="5357"/>
    <cellStyle name="40% - Accent3 2 4 2" xfId="5358"/>
    <cellStyle name="40% - Accent3 2 4 3" xfId="5359"/>
    <cellStyle name="40% - Accent3 2 5" xfId="5360"/>
    <cellStyle name="40% - Accent3 2 5 2" xfId="5361"/>
    <cellStyle name="40% - Accent3 2 5 3" xfId="5362"/>
    <cellStyle name="40% - Accent3 2 6" xfId="5363"/>
    <cellStyle name="40% - Accent3 2 6 2" xfId="5364"/>
    <cellStyle name="40% - Accent3 2 6 3" xfId="5365"/>
    <cellStyle name="40% - Accent3 2 7" xfId="5366"/>
    <cellStyle name="40% - Accent3 2 8" xfId="5367"/>
    <cellStyle name="40% - Accent3 2_Volatility" xfId="5368"/>
    <cellStyle name="40% - Accent3 3" xfId="5369"/>
    <cellStyle name="40% - Accent3 3 2" xfId="5370"/>
    <cellStyle name="40% - Accent3 3 2 2" xfId="5371"/>
    <cellStyle name="40% - Accent3 3 2 2 2" xfId="5372"/>
    <cellStyle name="40% - Accent3 3 2 2 3" xfId="5373"/>
    <cellStyle name="40% - Accent3 3 2 3" xfId="5374"/>
    <cellStyle name="40% - Accent3 3 2 3 2" xfId="5375"/>
    <cellStyle name="40% - Accent3 3 2 3 3" xfId="5376"/>
    <cellStyle name="40% - Accent3 3 2 4" xfId="5377"/>
    <cellStyle name="40% - Accent3 3 2 4 2" xfId="5378"/>
    <cellStyle name="40% - Accent3 3 2 4 3" xfId="5379"/>
    <cellStyle name="40% - Accent3 3 2 5" xfId="5380"/>
    <cellStyle name="40% - Accent3 3 2 6" xfId="5381"/>
    <cellStyle name="40% - Accent3 3 2_Volatility" xfId="5382"/>
    <cellStyle name="40% - Accent3 3 3" xfId="5383"/>
    <cellStyle name="40% - Accent3 3 3 2" xfId="5384"/>
    <cellStyle name="40% - Accent3 3 3 2 2" xfId="5385"/>
    <cellStyle name="40% - Accent3 3 3 2 3" xfId="5386"/>
    <cellStyle name="40% - Accent3 3 3 3" xfId="5387"/>
    <cellStyle name="40% - Accent3 3 3 3 2" xfId="5388"/>
    <cellStyle name="40% - Accent3 3 3 3 3" xfId="5389"/>
    <cellStyle name="40% - Accent3 3 3 4" xfId="5390"/>
    <cellStyle name="40% - Accent3 3 3 5" xfId="5391"/>
    <cellStyle name="40% - Accent3 3 3_Volatility" xfId="5392"/>
    <cellStyle name="40% - Accent3 3 4" xfId="5393"/>
    <cellStyle name="40% - Accent3 3 4 2" xfId="5394"/>
    <cellStyle name="40% - Accent3 3 4 3" xfId="5395"/>
    <cellStyle name="40% - Accent3 3 5" xfId="5396"/>
    <cellStyle name="40% - Accent3 3 5 2" xfId="5397"/>
    <cellStyle name="40% - Accent3 3 5 3" xfId="5398"/>
    <cellStyle name="40% - Accent3 3 6" xfId="5399"/>
    <cellStyle name="40% - Accent3 3 6 2" xfId="5400"/>
    <cellStyle name="40% - Accent3 3 6 3" xfId="5401"/>
    <cellStyle name="40% - Accent3 3 7" xfId="5402"/>
    <cellStyle name="40% - Accent3 3 8" xfId="5403"/>
    <cellStyle name="40% - Accent3 3_Volatility" xfId="5404"/>
    <cellStyle name="40% - Accent3 4" xfId="5405"/>
    <cellStyle name="40% - Accent3 4 2" xfId="5406"/>
    <cellStyle name="40% - Accent3 4 2 2" xfId="5407"/>
    <cellStyle name="40% - Accent3 4 2 2 2" xfId="5408"/>
    <cellStyle name="40% - Accent3 4 2 2 3" xfId="5409"/>
    <cellStyle name="40% - Accent3 4 2 3" xfId="5410"/>
    <cellStyle name="40% - Accent3 4 2 3 2" xfId="5411"/>
    <cellStyle name="40% - Accent3 4 2 3 3" xfId="5412"/>
    <cellStyle name="40% - Accent3 4 2 4" xfId="5413"/>
    <cellStyle name="40% - Accent3 4 2 4 2" xfId="5414"/>
    <cellStyle name="40% - Accent3 4 2 4 3" xfId="5415"/>
    <cellStyle name="40% - Accent3 4 2 5" xfId="5416"/>
    <cellStyle name="40% - Accent3 4 2 6" xfId="5417"/>
    <cellStyle name="40% - Accent3 4 2_Volatility" xfId="5418"/>
    <cellStyle name="40% - Accent3 4 3" xfId="5419"/>
    <cellStyle name="40% - Accent3 4 3 2" xfId="5420"/>
    <cellStyle name="40% - Accent3 4 3 2 2" xfId="5421"/>
    <cellStyle name="40% - Accent3 4 3 2 3" xfId="5422"/>
    <cellStyle name="40% - Accent3 4 3 3" xfId="5423"/>
    <cellStyle name="40% - Accent3 4 3 3 2" xfId="5424"/>
    <cellStyle name="40% - Accent3 4 3 3 3" xfId="5425"/>
    <cellStyle name="40% - Accent3 4 3 4" xfId="5426"/>
    <cellStyle name="40% - Accent3 4 3 5" xfId="5427"/>
    <cellStyle name="40% - Accent3 4 3_Volatility" xfId="5428"/>
    <cellStyle name="40% - Accent3 4 4" xfId="5429"/>
    <cellStyle name="40% - Accent3 4 4 2" xfId="5430"/>
    <cellStyle name="40% - Accent3 4 4 3" xfId="5431"/>
    <cellStyle name="40% - Accent3 4 5" xfId="5432"/>
    <cellStyle name="40% - Accent3 4 5 2" xfId="5433"/>
    <cellStyle name="40% - Accent3 4 5 3" xfId="5434"/>
    <cellStyle name="40% - Accent3 4 6" xfId="5435"/>
    <cellStyle name="40% - Accent3 4 6 2" xfId="5436"/>
    <cellStyle name="40% - Accent3 4 6 3" xfId="5437"/>
    <cellStyle name="40% - Accent3 4 7" xfId="5438"/>
    <cellStyle name="40% - Accent3 4 8" xfId="5439"/>
    <cellStyle name="40% - Accent3 4_Volatility" xfId="5440"/>
    <cellStyle name="40% - Accent3 5" xfId="5441"/>
    <cellStyle name="40% - Accent3 5 2" xfId="5442"/>
    <cellStyle name="40% - Accent3 5 2 2" xfId="5443"/>
    <cellStyle name="40% - Accent3 5 2 2 2" xfId="5444"/>
    <cellStyle name="40% - Accent3 5 2 2 3" xfId="5445"/>
    <cellStyle name="40% - Accent3 5 2 3" xfId="5446"/>
    <cellStyle name="40% - Accent3 5 2 3 2" xfId="5447"/>
    <cellStyle name="40% - Accent3 5 2 3 3" xfId="5448"/>
    <cellStyle name="40% - Accent3 5 2 4" xfId="5449"/>
    <cellStyle name="40% - Accent3 5 2 4 2" xfId="5450"/>
    <cellStyle name="40% - Accent3 5 2 4 3" xfId="5451"/>
    <cellStyle name="40% - Accent3 5 2 5" xfId="5452"/>
    <cellStyle name="40% - Accent3 5 2 6" xfId="5453"/>
    <cellStyle name="40% - Accent3 5 2_Volatility" xfId="5454"/>
    <cellStyle name="40% - Accent3 5 3" xfId="5455"/>
    <cellStyle name="40% - Accent3 5 3 2" xfId="5456"/>
    <cellStyle name="40% - Accent3 5 3 2 2" xfId="5457"/>
    <cellStyle name="40% - Accent3 5 3 2 3" xfId="5458"/>
    <cellStyle name="40% - Accent3 5 3 3" xfId="5459"/>
    <cellStyle name="40% - Accent3 5 3 3 2" xfId="5460"/>
    <cellStyle name="40% - Accent3 5 3 3 3" xfId="5461"/>
    <cellStyle name="40% - Accent3 5 3 4" xfId="5462"/>
    <cellStyle name="40% - Accent3 5 3 5" xfId="5463"/>
    <cellStyle name="40% - Accent3 5 3_Volatility" xfId="5464"/>
    <cellStyle name="40% - Accent3 5 4" xfId="5465"/>
    <cellStyle name="40% - Accent3 5 4 2" xfId="5466"/>
    <cellStyle name="40% - Accent3 5 4 3" xfId="5467"/>
    <cellStyle name="40% - Accent3 5 5" xfId="5468"/>
    <cellStyle name="40% - Accent3 5 5 2" xfId="5469"/>
    <cellStyle name="40% - Accent3 5 5 3" xfId="5470"/>
    <cellStyle name="40% - Accent3 5 6" xfId="5471"/>
    <cellStyle name="40% - Accent3 5 6 2" xfId="5472"/>
    <cellStyle name="40% - Accent3 5 6 3" xfId="5473"/>
    <cellStyle name="40% - Accent3 5 7" xfId="5474"/>
    <cellStyle name="40% - Accent3 5 8" xfId="5475"/>
    <cellStyle name="40% - Accent3 5_Volatility" xfId="5476"/>
    <cellStyle name="40% - Accent3 6" xfId="5477"/>
    <cellStyle name="40% - Accent3 6 2" xfId="5478"/>
    <cellStyle name="40% - Accent3 6 2 2" xfId="5479"/>
    <cellStyle name="40% - Accent3 6 2 2 2" xfId="5480"/>
    <cellStyle name="40% - Accent3 6 2 2 3" xfId="5481"/>
    <cellStyle name="40% - Accent3 6 2 3" xfId="5482"/>
    <cellStyle name="40% - Accent3 6 2 3 2" xfId="5483"/>
    <cellStyle name="40% - Accent3 6 2 3 3" xfId="5484"/>
    <cellStyle name="40% - Accent3 6 2 4" xfId="5485"/>
    <cellStyle name="40% - Accent3 6 2 4 2" xfId="5486"/>
    <cellStyle name="40% - Accent3 6 2 4 3" xfId="5487"/>
    <cellStyle name="40% - Accent3 6 2 5" xfId="5488"/>
    <cellStyle name="40% - Accent3 6 2 6" xfId="5489"/>
    <cellStyle name="40% - Accent3 6 2_Volatility" xfId="5490"/>
    <cellStyle name="40% - Accent3 6 3" xfId="5491"/>
    <cellStyle name="40% - Accent3 6 3 2" xfId="5492"/>
    <cellStyle name="40% - Accent3 6 3 2 2" xfId="5493"/>
    <cellStyle name="40% - Accent3 6 3 2 3" xfId="5494"/>
    <cellStyle name="40% - Accent3 6 3 3" xfId="5495"/>
    <cellStyle name="40% - Accent3 6 3 3 2" xfId="5496"/>
    <cellStyle name="40% - Accent3 6 3 3 3" xfId="5497"/>
    <cellStyle name="40% - Accent3 6 3 4" xfId="5498"/>
    <cellStyle name="40% - Accent3 6 3 5" xfId="5499"/>
    <cellStyle name="40% - Accent3 6 3_Volatility" xfId="5500"/>
    <cellStyle name="40% - Accent3 6 4" xfId="5501"/>
    <cellStyle name="40% - Accent3 6 4 2" xfId="5502"/>
    <cellStyle name="40% - Accent3 6 4 3" xfId="5503"/>
    <cellStyle name="40% - Accent3 6 5" xfId="5504"/>
    <cellStyle name="40% - Accent3 6 5 2" xfId="5505"/>
    <cellStyle name="40% - Accent3 6 5 3" xfId="5506"/>
    <cellStyle name="40% - Accent3 6 6" xfId="5507"/>
    <cellStyle name="40% - Accent3 6 6 2" xfId="5508"/>
    <cellStyle name="40% - Accent3 6 6 3" xfId="5509"/>
    <cellStyle name="40% - Accent3 6 7" xfId="5510"/>
    <cellStyle name="40% - Accent3 6 8" xfId="5511"/>
    <cellStyle name="40% - Accent3 6_Volatility" xfId="5512"/>
    <cellStyle name="40% - Accent3 7" xfId="5513"/>
    <cellStyle name="40% - Accent3 7 2" xfId="5514"/>
    <cellStyle name="40% - Accent3 7 2 2" xfId="5515"/>
    <cellStyle name="40% - Accent3 7 2 2 2" xfId="5516"/>
    <cellStyle name="40% - Accent3 7 2 2 3" xfId="5517"/>
    <cellStyle name="40% - Accent3 7 2 3" xfId="5518"/>
    <cellStyle name="40% - Accent3 7 2 3 2" xfId="5519"/>
    <cellStyle name="40% - Accent3 7 2 3 3" xfId="5520"/>
    <cellStyle name="40% - Accent3 7 2 4" xfId="5521"/>
    <cellStyle name="40% - Accent3 7 2 4 2" xfId="5522"/>
    <cellStyle name="40% - Accent3 7 2 4 3" xfId="5523"/>
    <cellStyle name="40% - Accent3 7 2 5" xfId="5524"/>
    <cellStyle name="40% - Accent3 7 2 6" xfId="5525"/>
    <cellStyle name="40% - Accent3 7 2_Volatility" xfId="5526"/>
    <cellStyle name="40% - Accent3 7 3" xfId="5527"/>
    <cellStyle name="40% - Accent3 7 3 2" xfId="5528"/>
    <cellStyle name="40% - Accent3 7 3 2 2" xfId="5529"/>
    <cellStyle name="40% - Accent3 7 3 2 3" xfId="5530"/>
    <cellStyle name="40% - Accent3 7 3 3" xfId="5531"/>
    <cellStyle name="40% - Accent3 7 3 3 2" xfId="5532"/>
    <cellStyle name="40% - Accent3 7 3 3 3" xfId="5533"/>
    <cellStyle name="40% - Accent3 7 3 4" xfId="5534"/>
    <cellStyle name="40% - Accent3 7 3 5" xfId="5535"/>
    <cellStyle name="40% - Accent3 7 3_Volatility" xfId="5536"/>
    <cellStyle name="40% - Accent3 7 4" xfId="5537"/>
    <cellStyle name="40% - Accent3 7 4 2" xfId="5538"/>
    <cellStyle name="40% - Accent3 7 4 3" xfId="5539"/>
    <cellStyle name="40% - Accent3 7 5" xfId="5540"/>
    <cellStyle name="40% - Accent3 7 5 2" xfId="5541"/>
    <cellStyle name="40% - Accent3 7 5 3" xfId="5542"/>
    <cellStyle name="40% - Accent3 7 6" xfId="5543"/>
    <cellStyle name="40% - Accent3 7 6 2" xfId="5544"/>
    <cellStyle name="40% - Accent3 7 6 3" xfId="5545"/>
    <cellStyle name="40% - Accent3 7 7" xfId="5546"/>
    <cellStyle name="40% - Accent3 7 8" xfId="5547"/>
    <cellStyle name="40% - Accent3 7_Volatility" xfId="5548"/>
    <cellStyle name="40% - Accent3 8" xfId="5549"/>
    <cellStyle name="40% - Accent3 8 2" xfId="5550"/>
    <cellStyle name="40% - Accent3 8 2 2" xfId="5551"/>
    <cellStyle name="40% - Accent3 8 2 2 2" xfId="5552"/>
    <cellStyle name="40% - Accent3 8 2 2 3" xfId="5553"/>
    <cellStyle name="40% - Accent3 8 2 3" xfId="5554"/>
    <cellStyle name="40% - Accent3 8 2 3 2" xfId="5555"/>
    <cellStyle name="40% - Accent3 8 2 3 3" xfId="5556"/>
    <cellStyle name="40% - Accent3 8 2 4" xfId="5557"/>
    <cellStyle name="40% - Accent3 8 2 4 2" xfId="5558"/>
    <cellStyle name="40% - Accent3 8 2 4 3" xfId="5559"/>
    <cellStyle name="40% - Accent3 8 2 5" xfId="5560"/>
    <cellStyle name="40% - Accent3 8 2 6" xfId="5561"/>
    <cellStyle name="40% - Accent3 8 2_Volatility" xfId="5562"/>
    <cellStyle name="40% - Accent3 8 3" xfId="5563"/>
    <cellStyle name="40% - Accent3 8 3 2" xfId="5564"/>
    <cellStyle name="40% - Accent3 8 3 2 2" xfId="5565"/>
    <cellStyle name="40% - Accent3 8 3 2 3" xfId="5566"/>
    <cellStyle name="40% - Accent3 8 3 3" xfId="5567"/>
    <cellStyle name="40% - Accent3 8 3 3 2" xfId="5568"/>
    <cellStyle name="40% - Accent3 8 3 3 3" xfId="5569"/>
    <cellStyle name="40% - Accent3 8 3 4" xfId="5570"/>
    <cellStyle name="40% - Accent3 8 3 5" xfId="5571"/>
    <cellStyle name="40% - Accent3 8 3_Volatility" xfId="5572"/>
    <cellStyle name="40% - Accent3 8 4" xfId="5573"/>
    <cellStyle name="40% - Accent3 8 4 2" xfId="5574"/>
    <cellStyle name="40% - Accent3 8 4 3" xfId="5575"/>
    <cellStyle name="40% - Accent3 8 5" xfId="5576"/>
    <cellStyle name="40% - Accent3 8 5 2" xfId="5577"/>
    <cellStyle name="40% - Accent3 8 5 3" xfId="5578"/>
    <cellStyle name="40% - Accent3 8 6" xfId="5579"/>
    <cellStyle name="40% - Accent3 8 6 2" xfId="5580"/>
    <cellStyle name="40% - Accent3 8 6 3" xfId="5581"/>
    <cellStyle name="40% - Accent3 8 7" xfId="5582"/>
    <cellStyle name="40% - Accent3 8 8" xfId="5583"/>
    <cellStyle name="40% - Accent3 8_Volatility" xfId="5584"/>
    <cellStyle name="40% - Accent3 9" xfId="5585"/>
    <cellStyle name="40% - Accent3 9 2" xfId="5586"/>
    <cellStyle name="40% - Accent3 9 2 2" xfId="5587"/>
    <cellStyle name="40% - Accent3 9 2 2 2" xfId="5588"/>
    <cellStyle name="40% - Accent3 9 2 2 3" xfId="5589"/>
    <cellStyle name="40% - Accent3 9 2 3" xfId="5590"/>
    <cellStyle name="40% - Accent3 9 2 3 2" xfId="5591"/>
    <cellStyle name="40% - Accent3 9 2 3 3" xfId="5592"/>
    <cellStyle name="40% - Accent3 9 2 4" xfId="5593"/>
    <cellStyle name="40% - Accent3 9 2 4 2" xfId="5594"/>
    <cellStyle name="40% - Accent3 9 2 4 3" xfId="5595"/>
    <cellStyle name="40% - Accent3 9 2 5" xfId="5596"/>
    <cellStyle name="40% - Accent3 9 2 6" xfId="5597"/>
    <cellStyle name="40% - Accent3 9 2_Volatility" xfId="5598"/>
    <cellStyle name="40% - Accent3 9 3" xfId="5599"/>
    <cellStyle name="40% - Accent3 9 3 2" xfId="5600"/>
    <cellStyle name="40% - Accent3 9 3 2 2" xfId="5601"/>
    <cellStyle name="40% - Accent3 9 3 2 3" xfId="5602"/>
    <cellStyle name="40% - Accent3 9 3 3" xfId="5603"/>
    <cellStyle name="40% - Accent3 9 3 3 2" xfId="5604"/>
    <cellStyle name="40% - Accent3 9 3 3 3" xfId="5605"/>
    <cellStyle name="40% - Accent3 9 3 4" xfId="5606"/>
    <cellStyle name="40% - Accent3 9 3 5" xfId="5607"/>
    <cellStyle name="40% - Accent3 9 3_Volatility" xfId="5608"/>
    <cellStyle name="40% - Accent3 9 4" xfId="5609"/>
    <cellStyle name="40% - Accent3 9 4 2" xfId="5610"/>
    <cellStyle name="40% - Accent3 9 4 3" xfId="5611"/>
    <cellStyle name="40% - Accent3 9 5" xfId="5612"/>
    <cellStyle name="40% - Accent3 9 5 2" xfId="5613"/>
    <cellStyle name="40% - Accent3 9 5 3" xfId="5614"/>
    <cellStyle name="40% - Accent3 9 6" xfId="5615"/>
    <cellStyle name="40% - Accent3 9 6 2" xfId="5616"/>
    <cellStyle name="40% - Accent3 9 6 3" xfId="5617"/>
    <cellStyle name="40% - Accent3 9 7" xfId="5618"/>
    <cellStyle name="40% - Accent3 9 8" xfId="5619"/>
    <cellStyle name="40% - Accent3 9_Volatility" xfId="5620"/>
    <cellStyle name="40% - Accent4 10" xfId="5621"/>
    <cellStyle name="40% - Accent4 10 2" xfId="5622"/>
    <cellStyle name="40% - Accent4 10 2 2" xfId="5623"/>
    <cellStyle name="40% - Accent4 10 2 2 2" xfId="5624"/>
    <cellStyle name="40% - Accent4 10 2 2 3" xfId="5625"/>
    <cellStyle name="40% - Accent4 10 2 3" xfId="5626"/>
    <cellStyle name="40% - Accent4 10 2 3 2" xfId="5627"/>
    <cellStyle name="40% - Accent4 10 2 3 3" xfId="5628"/>
    <cellStyle name="40% - Accent4 10 2 4" xfId="5629"/>
    <cellStyle name="40% - Accent4 10 2 4 2" xfId="5630"/>
    <cellStyle name="40% - Accent4 10 2 4 3" xfId="5631"/>
    <cellStyle name="40% - Accent4 10 2 5" xfId="5632"/>
    <cellStyle name="40% - Accent4 10 2 6" xfId="5633"/>
    <cellStyle name="40% - Accent4 10 2_Volatility" xfId="5634"/>
    <cellStyle name="40% - Accent4 10 3" xfId="5635"/>
    <cellStyle name="40% - Accent4 10 3 2" xfId="5636"/>
    <cellStyle name="40% - Accent4 10 3 2 2" xfId="5637"/>
    <cellStyle name="40% - Accent4 10 3 2 3" xfId="5638"/>
    <cellStyle name="40% - Accent4 10 3 3" xfId="5639"/>
    <cellStyle name="40% - Accent4 10 3 3 2" xfId="5640"/>
    <cellStyle name="40% - Accent4 10 3 3 3" xfId="5641"/>
    <cellStyle name="40% - Accent4 10 3 4" xfId="5642"/>
    <cellStyle name="40% - Accent4 10 3 5" xfId="5643"/>
    <cellStyle name="40% - Accent4 10 3_Volatility" xfId="5644"/>
    <cellStyle name="40% - Accent4 10 4" xfId="5645"/>
    <cellStyle name="40% - Accent4 10 4 2" xfId="5646"/>
    <cellStyle name="40% - Accent4 10 4 3" xfId="5647"/>
    <cellStyle name="40% - Accent4 10 5" xfId="5648"/>
    <cellStyle name="40% - Accent4 10 5 2" xfId="5649"/>
    <cellStyle name="40% - Accent4 10 5 3" xfId="5650"/>
    <cellStyle name="40% - Accent4 10 6" xfId="5651"/>
    <cellStyle name="40% - Accent4 10 6 2" xfId="5652"/>
    <cellStyle name="40% - Accent4 10 6 3" xfId="5653"/>
    <cellStyle name="40% - Accent4 10 7" xfId="5654"/>
    <cellStyle name="40% - Accent4 10 8" xfId="5655"/>
    <cellStyle name="40% - Accent4 10_Volatility" xfId="5656"/>
    <cellStyle name="40% - Accent4 11" xfId="5657"/>
    <cellStyle name="40% - Accent4 11 2" xfId="5658"/>
    <cellStyle name="40% - Accent4 11 2 2" xfId="5659"/>
    <cellStyle name="40% - Accent4 11 2 2 2" xfId="5660"/>
    <cellStyle name="40% - Accent4 11 2 2 3" xfId="5661"/>
    <cellStyle name="40% - Accent4 11 2 3" xfId="5662"/>
    <cellStyle name="40% - Accent4 11 2 3 2" xfId="5663"/>
    <cellStyle name="40% - Accent4 11 2 3 3" xfId="5664"/>
    <cellStyle name="40% - Accent4 11 2 4" xfId="5665"/>
    <cellStyle name="40% - Accent4 11 2 4 2" xfId="5666"/>
    <cellStyle name="40% - Accent4 11 2 4 3" xfId="5667"/>
    <cellStyle name="40% - Accent4 11 2 5" xfId="5668"/>
    <cellStyle name="40% - Accent4 11 2 6" xfId="5669"/>
    <cellStyle name="40% - Accent4 11 2_Volatility" xfId="5670"/>
    <cellStyle name="40% - Accent4 11 3" xfId="5671"/>
    <cellStyle name="40% - Accent4 11 3 2" xfId="5672"/>
    <cellStyle name="40% - Accent4 11 3 2 2" xfId="5673"/>
    <cellStyle name="40% - Accent4 11 3 2 3" xfId="5674"/>
    <cellStyle name="40% - Accent4 11 3 3" xfId="5675"/>
    <cellStyle name="40% - Accent4 11 3 3 2" xfId="5676"/>
    <cellStyle name="40% - Accent4 11 3 3 3" xfId="5677"/>
    <cellStyle name="40% - Accent4 11 3 4" xfId="5678"/>
    <cellStyle name="40% - Accent4 11 3 5" xfId="5679"/>
    <cellStyle name="40% - Accent4 11 3_Volatility" xfId="5680"/>
    <cellStyle name="40% - Accent4 11 4" xfId="5681"/>
    <cellStyle name="40% - Accent4 11 4 2" xfId="5682"/>
    <cellStyle name="40% - Accent4 11 4 3" xfId="5683"/>
    <cellStyle name="40% - Accent4 11 5" xfId="5684"/>
    <cellStyle name="40% - Accent4 11 5 2" xfId="5685"/>
    <cellStyle name="40% - Accent4 11 5 3" xfId="5686"/>
    <cellStyle name="40% - Accent4 11 6" xfId="5687"/>
    <cellStyle name="40% - Accent4 11 6 2" xfId="5688"/>
    <cellStyle name="40% - Accent4 11 6 3" xfId="5689"/>
    <cellStyle name="40% - Accent4 11 7" xfId="5690"/>
    <cellStyle name="40% - Accent4 11 8" xfId="5691"/>
    <cellStyle name="40% - Accent4 11_Volatility" xfId="5692"/>
    <cellStyle name="40% - Accent4 12" xfId="5693"/>
    <cellStyle name="40% - Accent4 12 2" xfId="5694"/>
    <cellStyle name="40% - Accent4 12 2 2" xfId="5695"/>
    <cellStyle name="40% - Accent4 12 2 2 2" xfId="5696"/>
    <cellStyle name="40% - Accent4 12 2 2 3" xfId="5697"/>
    <cellStyle name="40% - Accent4 12 2 3" xfId="5698"/>
    <cellStyle name="40% - Accent4 12 2 3 2" xfId="5699"/>
    <cellStyle name="40% - Accent4 12 2 3 3" xfId="5700"/>
    <cellStyle name="40% - Accent4 12 2 4" xfId="5701"/>
    <cellStyle name="40% - Accent4 12 2 4 2" xfId="5702"/>
    <cellStyle name="40% - Accent4 12 2 4 3" xfId="5703"/>
    <cellStyle name="40% - Accent4 12 2 5" xfId="5704"/>
    <cellStyle name="40% - Accent4 12 2 6" xfId="5705"/>
    <cellStyle name="40% - Accent4 12 2_Volatility" xfId="5706"/>
    <cellStyle name="40% - Accent4 12 3" xfId="5707"/>
    <cellStyle name="40% - Accent4 12 3 2" xfId="5708"/>
    <cellStyle name="40% - Accent4 12 3 2 2" xfId="5709"/>
    <cellStyle name="40% - Accent4 12 3 2 3" xfId="5710"/>
    <cellStyle name="40% - Accent4 12 3 3" xfId="5711"/>
    <cellStyle name="40% - Accent4 12 3 3 2" xfId="5712"/>
    <cellStyle name="40% - Accent4 12 3 3 3" xfId="5713"/>
    <cellStyle name="40% - Accent4 12 3 4" xfId="5714"/>
    <cellStyle name="40% - Accent4 12 3 5" xfId="5715"/>
    <cellStyle name="40% - Accent4 12 3_Volatility" xfId="5716"/>
    <cellStyle name="40% - Accent4 12 4" xfId="5717"/>
    <cellStyle name="40% - Accent4 12 4 2" xfId="5718"/>
    <cellStyle name="40% - Accent4 12 4 3" xfId="5719"/>
    <cellStyle name="40% - Accent4 12 5" xfId="5720"/>
    <cellStyle name="40% - Accent4 12 5 2" xfId="5721"/>
    <cellStyle name="40% - Accent4 12 5 3" xfId="5722"/>
    <cellStyle name="40% - Accent4 12 6" xfId="5723"/>
    <cellStyle name="40% - Accent4 12 6 2" xfId="5724"/>
    <cellStyle name="40% - Accent4 12 6 3" xfId="5725"/>
    <cellStyle name="40% - Accent4 12 7" xfId="5726"/>
    <cellStyle name="40% - Accent4 12 8" xfId="5727"/>
    <cellStyle name="40% - Accent4 12_Volatility" xfId="5728"/>
    <cellStyle name="40% - Accent4 13" xfId="5729"/>
    <cellStyle name="40% - Accent4 13 2" xfId="5730"/>
    <cellStyle name="40% - Accent4 13 2 2" xfId="5731"/>
    <cellStyle name="40% - Accent4 13 2 2 2" xfId="5732"/>
    <cellStyle name="40% - Accent4 13 2 2 3" xfId="5733"/>
    <cellStyle name="40% - Accent4 13 2 3" xfId="5734"/>
    <cellStyle name="40% - Accent4 13 2 3 2" xfId="5735"/>
    <cellStyle name="40% - Accent4 13 2 3 3" xfId="5736"/>
    <cellStyle name="40% - Accent4 13 2 4" xfId="5737"/>
    <cellStyle name="40% - Accent4 13 2 4 2" xfId="5738"/>
    <cellStyle name="40% - Accent4 13 2 4 3" xfId="5739"/>
    <cellStyle name="40% - Accent4 13 2 5" xfId="5740"/>
    <cellStyle name="40% - Accent4 13 2 6" xfId="5741"/>
    <cellStyle name="40% - Accent4 13 2_Volatility" xfId="5742"/>
    <cellStyle name="40% - Accent4 13 3" xfId="5743"/>
    <cellStyle name="40% - Accent4 13 3 2" xfId="5744"/>
    <cellStyle name="40% - Accent4 13 3 2 2" xfId="5745"/>
    <cellStyle name="40% - Accent4 13 3 2 3" xfId="5746"/>
    <cellStyle name="40% - Accent4 13 3 3" xfId="5747"/>
    <cellStyle name="40% - Accent4 13 3 3 2" xfId="5748"/>
    <cellStyle name="40% - Accent4 13 3 3 3" xfId="5749"/>
    <cellStyle name="40% - Accent4 13 3 4" xfId="5750"/>
    <cellStyle name="40% - Accent4 13 3 5" xfId="5751"/>
    <cellStyle name="40% - Accent4 13 3_Volatility" xfId="5752"/>
    <cellStyle name="40% - Accent4 13 4" xfId="5753"/>
    <cellStyle name="40% - Accent4 13 4 2" xfId="5754"/>
    <cellStyle name="40% - Accent4 13 4 3" xfId="5755"/>
    <cellStyle name="40% - Accent4 13 5" xfId="5756"/>
    <cellStyle name="40% - Accent4 13 5 2" xfId="5757"/>
    <cellStyle name="40% - Accent4 13 5 3" xfId="5758"/>
    <cellStyle name="40% - Accent4 13 6" xfId="5759"/>
    <cellStyle name="40% - Accent4 13 6 2" xfId="5760"/>
    <cellStyle name="40% - Accent4 13 6 3" xfId="5761"/>
    <cellStyle name="40% - Accent4 13 7" xfId="5762"/>
    <cellStyle name="40% - Accent4 13 8" xfId="5763"/>
    <cellStyle name="40% - Accent4 13_Volatility" xfId="5764"/>
    <cellStyle name="40% - Accent4 14" xfId="5765"/>
    <cellStyle name="40% - Accent4 14 2" xfId="5766"/>
    <cellStyle name="40% - Accent4 14 2 2" xfId="5767"/>
    <cellStyle name="40% - Accent4 14 2 2 2" xfId="5768"/>
    <cellStyle name="40% - Accent4 14 2 2 3" xfId="5769"/>
    <cellStyle name="40% - Accent4 14 2 3" xfId="5770"/>
    <cellStyle name="40% - Accent4 14 2 3 2" xfId="5771"/>
    <cellStyle name="40% - Accent4 14 2 3 3" xfId="5772"/>
    <cellStyle name="40% - Accent4 14 2 4" xfId="5773"/>
    <cellStyle name="40% - Accent4 14 2 4 2" xfId="5774"/>
    <cellStyle name="40% - Accent4 14 2 4 3" xfId="5775"/>
    <cellStyle name="40% - Accent4 14 2 5" xfId="5776"/>
    <cellStyle name="40% - Accent4 14 2 6" xfId="5777"/>
    <cellStyle name="40% - Accent4 14 2_Volatility" xfId="5778"/>
    <cellStyle name="40% - Accent4 14 3" xfId="5779"/>
    <cellStyle name="40% - Accent4 14 3 2" xfId="5780"/>
    <cellStyle name="40% - Accent4 14 3 2 2" xfId="5781"/>
    <cellStyle name="40% - Accent4 14 3 2 3" xfId="5782"/>
    <cellStyle name="40% - Accent4 14 3 3" xfId="5783"/>
    <cellStyle name="40% - Accent4 14 3 3 2" xfId="5784"/>
    <cellStyle name="40% - Accent4 14 3 3 3" xfId="5785"/>
    <cellStyle name="40% - Accent4 14 3 4" xfId="5786"/>
    <cellStyle name="40% - Accent4 14 3 5" xfId="5787"/>
    <cellStyle name="40% - Accent4 14 3_Volatility" xfId="5788"/>
    <cellStyle name="40% - Accent4 14 4" xfId="5789"/>
    <cellStyle name="40% - Accent4 14 4 2" xfId="5790"/>
    <cellStyle name="40% - Accent4 14 4 3" xfId="5791"/>
    <cellStyle name="40% - Accent4 14 5" xfId="5792"/>
    <cellStyle name="40% - Accent4 14 5 2" xfId="5793"/>
    <cellStyle name="40% - Accent4 14 5 3" xfId="5794"/>
    <cellStyle name="40% - Accent4 14 6" xfId="5795"/>
    <cellStyle name="40% - Accent4 14 6 2" xfId="5796"/>
    <cellStyle name="40% - Accent4 14 6 3" xfId="5797"/>
    <cellStyle name="40% - Accent4 14 7" xfId="5798"/>
    <cellStyle name="40% - Accent4 14 8" xfId="5799"/>
    <cellStyle name="40% - Accent4 14_Volatility" xfId="5800"/>
    <cellStyle name="40% - Accent4 15" xfId="5801"/>
    <cellStyle name="40% - Accent4 15 2" xfId="5802"/>
    <cellStyle name="40% - Accent4 15 2 2" xfId="5803"/>
    <cellStyle name="40% - Accent4 15 2 2 2" xfId="5804"/>
    <cellStyle name="40% - Accent4 15 2 2 3" xfId="5805"/>
    <cellStyle name="40% - Accent4 15 2 3" xfId="5806"/>
    <cellStyle name="40% - Accent4 15 2 3 2" xfId="5807"/>
    <cellStyle name="40% - Accent4 15 2 3 3" xfId="5808"/>
    <cellStyle name="40% - Accent4 15 2 4" xfId="5809"/>
    <cellStyle name="40% - Accent4 15 2 4 2" xfId="5810"/>
    <cellStyle name="40% - Accent4 15 2 4 3" xfId="5811"/>
    <cellStyle name="40% - Accent4 15 2 5" xfId="5812"/>
    <cellStyle name="40% - Accent4 15 2 6" xfId="5813"/>
    <cellStyle name="40% - Accent4 15 2_Volatility" xfId="5814"/>
    <cellStyle name="40% - Accent4 15 3" xfId="5815"/>
    <cellStyle name="40% - Accent4 15 3 2" xfId="5816"/>
    <cellStyle name="40% - Accent4 15 3 2 2" xfId="5817"/>
    <cellStyle name="40% - Accent4 15 3 2 3" xfId="5818"/>
    <cellStyle name="40% - Accent4 15 3 3" xfId="5819"/>
    <cellStyle name="40% - Accent4 15 3 3 2" xfId="5820"/>
    <cellStyle name="40% - Accent4 15 3 3 3" xfId="5821"/>
    <cellStyle name="40% - Accent4 15 3 4" xfId="5822"/>
    <cellStyle name="40% - Accent4 15 3 5" xfId="5823"/>
    <cellStyle name="40% - Accent4 15 3_Volatility" xfId="5824"/>
    <cellStyle name="40% - Accent4 15 4" xfId="5825"/>
    <cellStyle name="40% - Accent4 15 4 2" xfId="5826"/>
    <cellStyle name="40% - Accent4 15 4 3" xfId="5827"/>
    <cellStyle name="40% - Accent4 15 5" xfId="5828"/>
    <cellStyle name="40% - Accent4 15 5 2" xfId="5829"/>
    <cellStyle name="40% - Accent4 15 5 3" xfId="5830"/>
    <cellStyle name="40% - Accent4 15 6" xfId="5831"/>
    <cellStyle name="40% - Accent4 15 6 2" xfId="5832"/>
    <cellStyle name="40% - Accent4 15 6 3" xfId="5833"/>
    <cellStyle name="40% - Accent4 15 7" xfId="5834"/>
    <cellStyle name="40% - Accent4 15 8" xfId="5835"/>
    <cellStyle name="40% - Accent4 15_Volatility" xfId="5836"/>
    <cellStyle name="40% - Accent4 16" xfId="5837"/>
    <cellStyle name="40% - Accent4 16 2" xfId="15937"/>
    <cellStyle name="40% - Accent4 16 3" xfId="19888"/>
    <cellStyle name="40% - Accent4 17" xfId="5838"/>
    <cellStyle name="40% - Accent4 17 2" xfId="15938"/>
    <cellStyle name="40% - Accent4 17 3" xfId="19889"/>
    <cellStyle name="40% - Accent4 18" xfId="5839"/>
    <cellStyle name="40% - Accent4 18 2" xfId="15939"/>
    <cellStyle name="40% - Accent4 18 3" xfId="19890"/>
    <cellStyle name="40% - Accent4 19" xfId="5840"/>
    <cellStyle name="40% - Accent4 19 2" xfId="15940"/>
    <cellStyle name="40% - Accent4 19 3" xfId="19891"/>
    <cellStyle name="40% - Accent4 2" xfId="5841"/>
    <cellStyle name="40% - Accent4 2 2" xfId="5842"/>
    <cellStyle name="40% - Accent4 2 2 2" xfId="5843"/>
    <cellStyle name="40% - Accent4 2 2 2 2" xfId="5844"/>
    <cellStyle name="40% - Accent4 2 2 2 3" xfId="5845"/>
    <cellStyle name="40% - Accent4 2 2 3" xfId="5846"/>
    <cellStyle name="40% - Accent4 2 2 3 2" xfId="5847"/>
    <cellStyle name="40% - Accent4 2 2 3 3" xfId="5848"/>
    <cellStyle name="40% - Accent4 2 2 4" xfId="5849"/>
    <cellStyle name="40% - Accent4 2 2 4 2" xfId="5850"/>
    <cellStyle name="40% - Accent4 2 2 4 3" xfId="5851"/>
    <cellStyle name="40% - Accent4 2 2 5" xfId="5852"/>
    <cellStyle name="40% - Accent4 2 2 6" xfId="5853"/>
    <cellStyle name="40% - Accent4 2 2_Volatility" xfId="5854"/>
    <cellStyle name="40% - Accent4 2 3" xfId="5855"/>
    <cellStyle name="40% - Accent4 2 3 2" xfId="5856"/>
    <cellStyle name="40% - Accent4 2 3 2 2" xfId="5857"/>
    <cellStyle name="40% - Accent4 2 3 2 3" xfId="5858"/>
    <cellStyle name="40% - Accent4 2 3 3" xfId="5859"/>
    <cellStyle name="40% - Accent4 2 3 3 2" xfId="5860"/>
    <cellStyle name="40% - Accent4 2 3 3 3" xfId="5861"/>
    <cellStyle name="40% - Accent4 2 3 4" xfId="5862"/>
    <cellStyle name="40% - Accent4 2 3 5" xfId="5863"/>
    <cellStyle name="40% - Accent4 2 3_Volatility" xfId="5864"/>
    <cellStyle name="40% - Accent4 2 4" xfId="5865"/>
    <cellStyle name="40% - Accent4 2 4 2" xfId="5866"/>
    <cellStyle name="40% - Accent4 2 4 3" xfId="5867"/>
    <cellStyle name="40% - Accent4 2 5" xfId="5868"/>
    <cellStyle name="40% - Accent4 2 5 2" xfId="5869"/>
    <cellStyle name="40% - Accent4 2 5 3" xfId="5870"/>
    <cellStyle name="40% - Accent4 2 6" xfId="5871"/>
    <cellStyle name="40% - Accent4 2 6 2" xfId="5872"/>
    <cellStyle name="40% - Accent4 2 6 3" xfId="5873"/>
    <cellStyle name="40% - Accent4 2 7" xfId="5874"/>
    <cellStyle name="40% - Accent4 2 8" xfId="5875"/>
    <cellStyle name="40% - Accent4 2_Volatility" xfId="5876"/>
    <cellStyle name="40% - Accent4 3" xfId="5877"/>
    <cellStyle name="40% - Accent4 3 2" xfId="5878"/>
    <cellStyle name="40% - Accent4 3 2 2" xfId="5879"/>
    <cellStyle name="40% - Accent4 3 2 2 2" xfId="5880"/>
    <cellStyle name="40% - Accent4 3 2 2 3" xfId="5881"/>
    <cellStyle name="40% - Accent4 3 2 3" xfId="5882"/>
    <cellStyle name="40% - Accent4 3 2 3 2" xfId="5883"/>
    <cellStyle name="40% - Accent4 3 2 3 3" xfId="5884"/>
    <cellStyle name="40% - Accent4 3 2 4" xfId="5885"/>
    <cellStyle name="40% - Accent4 3 2 4 2" xfId="5886"/>
    <cellStyle name="40% - Accent4 3 2 4 3" xfId="5887"/>
    <cellStyle name="40% - Accent4 3 2 5" xfId="5888"/>
    <cellStyle name="40% - Accent4 3 2 6" xfId="5889"/>
    <cellStyle name="40% - Accent4 3 2_Volatility" xfId="5890"/>
    <cellStyle name="40% - Accent4 3 3" xfId="5891"/>
    <cellStyle name="40% - Accent4 3 3 2" xfId="5892"/>
    <cellStyle name="40% - Accent4 3 3 2 2" xfId="5893"/>
    <cellStyle name="40% - Accent4 3 3 2 3" xfId="5894"/>
    <cellStyle name="40% - Accent4 3 3 3" xfId="5895"/>
    <cellStyle name="40% - Accent4 3 3 3 2" xfId="5896"/>
    <cellStyle name="40% - Accent4 3 3 3 3" xfId="5897"/>
    <cellStyle name="40% - Accent4 3 3 4" xfId="5898"/>
    <cellStyle name="40% - Accent4 3 3 5" xfId="5899"/>
    <cellStyle name="40% - Accent4 3 3_Volatility" xfId="5900"/>
    <cellStyle name="40% - Accent4 3 4" xfId="5901"/>
    <cellStyle name="40% - Accent4 3 4 2" xfId="5902"/>
    <cellStyle name="40% - Accent4 3 4 3" xfId="5903"/>
    <cellStyle name="40% - Accent4 3 5" xfId="5904"/>
    <cellStyle name="40% - Accent4 3 5 2" xfId="5905"/>
    <cellStyle name="40% - Accent4 3 5 3" xfId="5906"/>
    <cellStyle name="40% - Accent4 3 6" xfId="5907"/>
    <cellStyle name="40% - Accent4 3 6 2" xfId="5908"/>
    <cellStyle name="40% - Accent4 3 6 3" xfId="5909"/>
    <cellStyle name="40% - Accent4 3 7" xfId="5910"/>
    <cellStyle name="40% - Accent4 3 8" xfId="5911"/>
    <cellStyle name="40% - Accent4 3_Volatility" xfId="5912"/>
    <cellStyle name="40% - Accent4 4" xfId="5913"/>
    <cellStyle name="40% - Accent4 4 2" xfId="5914"/>
    <cellStyle name="40% - Accent4 4 2 2" xfId="5915"/>
    <cellStyle name="40% - Accent4 4 2 2 2" xfId="5916"/>
    <cellStyle name="40% - Accent4 4 2 2 3" xfId="5917"/>
    <cellStyle name="40% - Accent4 4 2 3" xfId="5918"/>
    <cellStyle name="40% - Accent4 4 2 3 2" xfId="5919"/>
    <cellStyle name="40% - Accent4 4 2 3 3" xfId="5920"/>
    <cellStyle name="40% - Accent4 4 2 4" xfId="5921"/>
    <cellStyle name="40% - Accent4 4 2 4 2" xfId="5922"/>
    <cellStyle name="40% - Accent4 4 2 4 3" xfId="5923"/>
    <cellStyle name="40% - Accent4 4 2 5" xfId="5924"/>
    <cellStyle name="40% - Accent4 4 2 6" xfId="5925"/>
    <cellStyle name="40% - Accent4 4 2_Volatility" xfId="5926"/>
    <cellStyle name="40% - Accent4 4 3" xfId="5927"/>
    <cellStyle name="40% - Accent4 4 3 2" xfId="5928"/>
    <cellStyle name="40% - Accent4 4 3 2 2" xfId="5929"/>
    <cellStyle name="40% - Accent4 4 3 2 3" xfId="5930"/>
    <cellStyle name="40% - Accent4 4 3 3" xfId="5931"/>
    <cellStyle name="40% - Accent4 4 3 3 2" xfId="5932"/>
    <cellStyle name="40% - Accent4 4 3 3 3" xfId="5933"/>
    <cellStyle name="40% - Accent4 4 3 4" xfId="5934"/>
    <cellStyle name="40% - Accent4 4 3 5" xfId="5935"/>
    <cellStyle name="40% - Accent4 4 3_Volatility" xfId="5936"/>
    <cellStyle name="40% - Accent4 4 4" xfId="5937"/>
    <cellStyle name="40% - Accent4 4 4 2" xfId="5938"/>
    <cellStyle name="40% - Accent4 4 4 3" xfId="5939"/>
    <cellStyle name="40% - Accent4 4 5" xfId="5940"/>
    <cellStyle name="40% - Accent4 4 5 2" xfId="5941"/>
    <cellStyle name="40% - Accent4 4 5 3" xfId="5942"/>
    <cellStyle name="40% - Accent4 4 6" xfId="5943"/>
    <cellStyle name="40% - Accent4 4 6 2" xfId="5944"/>
    <cellStyle name="40% - Accent4 4 6 3" xfId="5945"/>
    <cellStyle name="40% - Accent4 4 7" xfId="5946"/>
    <cellStyle name="40% - Accent4 4 8" xfId="5947"/>
    <cellStyle name="40% - Accent4 4_Volatility" xfId="5948"/>
    <cellStyle name="40% - Accent4 5" xfId="5949"/>
    <cellStyle name="40% - Accent4 5 2" xfId="5950"/>
    <cellStyle name="40% - Accent4 5 2 2" xfId="5951"/>
    <cellStyle name="40% - Accent4 5 2 2 2" xfId="5952"/>
    <cellStyle name="40% - Accent4 5 2 2 3" xfId="5953"/>
    <cellStyle name="40% - Accent4 5 2 3" xfId="5954"/>
    <cellStyle name="40% - Accent4 5 2 3 2" xfId="5955"/>
    <cellStyle name="40% - Accent4 5 2 3 3" xfId="5956"/>
    <cellStyle name="40% - Accent4 5 2 4" xfId="5957"/>
    <cellStyle name="40% - Accent4 5 2 4 2" xfId="5958"/>
    <cellStyle name="40% - Accent4 5 2 4 3" xfId="5959"/>
    <cellStyle name="40% - Accent4 5 2 5" xfId="5960"/>
    <cellStyle name="40% - Accent4 5 2 6" xfId="5961"/>
    <cellStyle name="40% - Accent4 5 2_Volatility" xfId="5962"/>
    <cellStyle name="40% - Accent4 5 3" xfId="5963"/>
    <cellStyle name="40% - Accent4 5 3 2" xfId="5964"/>
    <cellStyle name="40% - Accent4 5 3 2 2" xfId="5965"/>
    <cellStyle name="40% - Accent4 5 3 2 3" xfId="5966"/>
    <cellStyle name="40% - Accent4 5 3 3" xfId="5967"/>
    <cellStyle name="40% - Accent4 5 3 3 2" xfId="5968"/>
    <cellStyle name="40% - Accent4 5 3 3 3" xfId="5969"/>
    <cellStyle name="40% - Accent4 5 3 4" xfId="5970"/>
    <cellStyle name="40% - Accent4 5 3 5" xfId="5971"/>
    <cellStyle name="40% - Accent4 5 3_Volatility" xfId="5972"/>
    <cellStyle name="40% - Accent4 5 4" xfId="5973"/>
    <cellStyle name="40% - Accent4 5 4 2" xfId="5974"/>
    <cellStyle name="40% - Accent4 5 4 3" xfId="5975"/>
    <cellStyle name="40% - Accent4 5 5" xfId="5976"/>
    <cellStyle name="40% - Accent4 5 5 2" xfId="5977"/>
    <cellStyle name="40% - Accent4 5 5 3" xfId="5978"/>
    <cellStyle name="40% - Accent4 5 6" xfId="5979"/>
    <cellStyle name="40% - Accent4 5 6 2" xfId="5980"/>
    <cellStyle name="40% - Accent4 5 6 3" xfId="5981"/>
    <cellStyle name="40% - Accent4 5 7" xfId="5982"/>
    <cellStyle name="40% - Accent4 5 8" xfId="5983"/>
    <cellStyle name="40% - Accent4 5_Volatility" xfId="5984"/>
    <cellStyle name="40% - Accent4 6" xfId="5985"/>
    <cellStyle name="40% - Accent4 6 2" xfId="5986"/>
    <cellStyle name="40% - Accent4 6 2 2" xfId="5987"/>
    <cellStyle name="40% - Accent4 6 2 2 2" xfId="5988"/>
    <cellStyle name="40% - Accent4 6 2 2 3" xfId="5989"/>
    <cellStyle name="40% - Accent4 6 2 3" xfId="5990"/>
    <cellStyle name="40% - Accent4 6 2 3 2" xfId="5991"/>
    <cellStyle name="40% - Accent4 6 2 3 3" xfId="5992"/>
    <cellStyle name="40% - Accent4 6 2 4" xfId="5993"/>
    <cellStyle name="40% - Accent4 6 2 4 2" xfId="5994"/>
    <cellStyle name="40% - Accent4 6 2 4 3" xfId="5995"/>
    <cellStyle name="40% - Accent4 6 2 5" xfId="5996"/>
    <cellStyle name="40% - Accent4 6 2 6" xfId="5997"/>
    <cellStyle name="40% - Accent4 6 2_Volatility" xfId="5998"/>
    <cellStyle name="40% - Accent4 6 3" xfId="5999"/>
    <cellStyle name="40% - Accent4 6 3 2" xfId="6000"/>
    <cellStyle name="40% - Accent4 6 3 2 2" xfId="6001"/>
    <cellStyle name="40% - Accent4 6 3 2 3" xfId="6002"/>
    <cellStyle name="40% - Accent4 6 3 3" xfId="6003"/>
    <cellStyle name="40% - Accent4 6 3 3 2" xfId="6004"/>
    <cellStyle name="40% - Accent4 6 3 3 3" xfId="6005"/>
    <cellStyle name="40% - Accent4 6 3 4" xfId="6006"/>
    <cellStyle name="40% - Accent4 6 3 5" xfId="6007"/>
    <cellStyle name="40% - Accent4 6 3_Volatility" xfId="6008"/>
    <cellStyle name="40% - Accent4 6 4" xfId="6009"/>
    <cellStyle name="40% - Accent4 6 4 2" xfId="6010"/>
    <cellStyle name="40% - Accent4 6 4 3" xfId="6011"/>
    <cellStyle name="40% - Accent4 6 5" xfId="6012"/>
    <cellStyle name="40% - Accent4 6 5 2" xfId="6013"/>
    <cellStyle name="40% - Accent4 6 5 3" xfId="6014"/>
    <cellStyle name="40% - Accent4 6 6" xfId="6015"/>
    <cellStyle name="40% - Accent4 6 6 2" xfId="6016"/>
    <cellStyle name="40% - Accent4 6 6 3" xfId="6017"/>
    <cellStyle name="40% - Accent4 6 7" xfId="6018"/>
    <cellStyle name="40% - Accent4 6 8" xfId="6019"/>
    <cellStyle name="40% - Accent4 6_Volatility" xfId="6020"/>
    <cellStyle name="40% - Accent4 7" xfId="6021"/>
    <cellStyle name="40% - Accent4 7 2" xfId="6022"/>
    <cellStyle name="40% - Accent4 7 2 2" xfId="6023"/>
    <cellStyle name="40% - Accent4 7 2 2 2" xfId="6024"/>
    <cellStyle name="40% - Accent4 7 2 2 3" xfId="6025"/>
    <cellStyle name="40% - Accent4 7 2 3" xfId="6026"/>
    <cellStyle name="40% - Accent4 7 2 3 2" xfId="6027"/>
    <cellStyle name="40% - Accent4 7 2 3 3" xfId="6028"/>
    <cellStyle name="40% - Accent4 7 2 4" xfId="6029"/>
    <cellStyle name="40% - Accent4 7 2 4 2" xfId="6030"/>
    <cellStyle name="40% - Accent4 7 2 4 3" xfId="6031"/>
    <cellStyle name="40% - Accent4 7 2 5" xfId="6032"/>
    <cellStyle name="40% - Accent4 7 2 6" xfId="6033"/>
    <cellStyle name="40% - Accent4 7 2_Volatility" xfId="6034"/>
    <cellStyle name="40% - Accent4 7 3" xfId="6035"/>
    <cellStyle name="40% - Accent4 7 3 2" xfId="6036"/>
    <cellStyle name="40% - Accent4 7 3 2 2" xfId="6037"/>
    <cellStyle name="40% - Accent4 7 3 2 3" xfId="6038"/>
    <cellStyle name="40% - Accent4 7 3 3" xfId="6039"/>
    <cellStyle name="40% - Accent4 7 3 3 2" xfId="6040"/>
    <cellStyle name="40% - Accent4 7 3 3 3" xfId="6041"/>
    <cellStyle name="40% - Accent4 7 3 4" xfId="6042"/>
    <cellStyle name="40% - Accent4 7 3 5" xfId="6043"/>
    <cellStyle name="40% - Accent4 7 3_Volatility" xfId="6044"/>
    <cellStyle name="40% - Accent4 7 4" xfId="6045"/>
    <cellStyle name="40% - Accent4 7 4 2" xfId="6046"/>
    <cellStyle name="40% - Accent4 7 4 3" xfId="6047"/>
    <cellStyle name="40% - Accent4 7 5" xfId="6048"/>
    <cellStyle name="40% - Accent4 7 5 2" xfId="6049"/>
    <cellStyle name="40% - Accent4 7 5 3" xfId="6050"/>
    <cellStyle name="40% - Accent4 7 6" xfId="6051"/>
    <cellStyle name="40% - Accent4 7 6 2" xfId="6052"/>
    <cellStyle name="40% - Accent4 7 6 3" xfId="6053"/>
    <cellStyle name="40% - Accent4 7 7" xfId="6054"/>
    <cellStyle name="40% - Accent4 7 8" xfId="6055"/>
    <cellStyle name="40% - Accent4 7_Volatility" xfId="6056"/>
    <cellStyle name="40% - Accent4 8" xfId="6057"/>
    <cellStyle name="40% - Accent4 8 2" xfId="6058"/>
    <cellStyle name="40% - Accent4 8 2 2" xfId="6059"/>
    <cellStyle name="40% - Accent4 8 2 2 2" xfId="6060"/>
    <cellStyle name="40% - Accent4 8 2 2 3" xfId="6061"/>
    <cellStyle name="40% - Accent4 8 2 3" xfId="6062"/>
    <cellStyle name="40% - Accent4 8 2 3 2" xfId="6063"/>
    <cellStyle name="40% - Accent4 8 2 3 3" xfId="6064"/>
    <cellStyle name="40% - Accent4 8 2 4" xfId="6065"/>
    <cellStyle name="40% - Accent4 8 2 4 2" xfId="6066"/>
    <cellStyle name="40% - Accent4 8 2 4 3" xfId="6067"/>
    <cellStyle name="40% - Accent4 8 2 5" xfId="6068"/>
    <cellStyle name="40% - Accent4 8 2 6" xfId="6069"/>
    <cellStyle name="40% - Accent4 8 2_Volatility" xfId="6070"/>
    <cellStyle name="40% - Accent4 8 3" xfId="6071"/>
    <cellStyle name="40% - Accent4 8 3 2" xfId="6072"/>
    <cellStyle name="40% - Accent4 8 3 2 2" xfId="6073"/>
    <cellStyle name="40% - Accent4 8 3 2 3" xfId="6074"/>
    <cellStyle name="40% - Accent4 8 3 3" xfId="6075"/>
    <cellStyle name="40% - Accent4 8 3 3 2" xfId="6076"/>
    <cellStyle name="40% - Accent4 8 3 3 3" xfId="6077"/>
    <cellStyle name="40% - Accent4 8 3 4" xfId="6078"/>
    <cellStyle name="40% - Accent4 8 3 5" xfId="6079"/>
    <cellStyle name="40% - Accent4 8 3_Volatility" xfId="6080"/>
    <cellStyle name="40% - Accent4 8 4" xfId="6081"/>
    <cellStyle name="40% - Accent4 8 4 2" xfId="6082"/>
    <cellStyle name="40% - Accent4 8 4 3" xfId="6083"/>
    <cellStyle name="40% - Accent4 8 5" xfId="6084"/>
    <cellStyle name="40% - Accent4 8 5 2" xfId="6085"/>
    <cellStyle name="40% - Accent4 8 5 3" xfId="6086"/>
    <cellStyle name="40% - Accent4 8 6" xfId="6087"/>
    <cellStyle name="40% - Accent4 8 6 2" xfId="6088"/>
    <cellStyle name="40% - Accent4 8 6 3" xfId="6089"/>
    <cellStyle name="40% - Accent4 8 7" xfId="6090"/>
    <cellStyle name="40% - Accent4 8 8" xfId="6091"/>
    <cellStyle name="40% - Accent4 8_Volatility" xfId="6092"/>
    <cellStyle name="40% - Accent4 9" xfId="6093"/>
    <cellStyle name="40% - Accent4 9 2" xfId="6094"/>
    <cellStyle name="40% - Accent4 9 2 2" xfId="6095"/>
    <cellStyle name="40% - Accent4 9 2 2 2" xfId="6096"/>
    <cellStyle name="40% - Accent4 9 2 2 3" xfId="6097"/>
    <cellStyle name="40% - Accent4 9 2 3" xfId="6098"/>
    <cellStyle name="40% - Accent4 9 2 3 2" xfId="6099"/>
    <cellStyle name="40% - Accent4 9 2 3 3" xfId="6100"/>
    <cellStyle name="40% - Accent4 9 2 4" xfId="6101"/>
    <cellStyle name="40% - Accent4 9 2 4 2" xfId="6102"/>
    <cellStyle name="40% - Accent4 9 2 4 3" xfId="6103"/>
    <cellStyle name="40% - Accent4 9 2 5" xfId="6104"/>
    <cellStyle name="40% - Accent4 9 2 6" xfId="6105"/>
    <cellStyle name="40% - Accent4 9 2_Volatility" xfId="6106"/>
    <cellStyle name="40% - Accent4 9 3" xfId="6107"/>
    <cellStyle name="40% - Accent4 9 3 2" xfId="6108"/>
    <cellStyle name="40% - Accent4 9 3 2 2" xfId="6109"/>
    <cellStyle name="40% - Accent4 9 3 2 3" xfId="6110"/>
    <cellStyle name="40% - Accent4 9 3 3" xfId="6111"/>
    <cellStyle name="40% - Accent4 9 3 3 2" xfId="6112"/>
    <cellStyle name="40% - Accent4 9 3 3 3" xfId="6113"/>
    <cellStyle name="40% - Accent4 9 3 4" xfId="6114"/>
    <cellStyle name="40% - Accent4 9 3 5" xfId="6115"/>
    <cellStyle name="40% - Accent4 9 3_Volatility" xfId="6116"/>
    <cellStyle name="40% - Accent4 9 4" xfId="6117"/>
    <cellStyle name="40% - Accent4 9 4 2" xfId="6118"/>
    <cellStyle name="40% - Accent4 9 4 3" xfId="6119"/>
    <cellStyle name="40% - Accent4 9 5" xfId="6120"/>
    <cellStyle name="40% - Accent4 9 5 2" xfId="6121"/>
    <cellStyle name="40% - Accent4 9 5 3" xfId="6122"/>
    <cellStyle name="40% - Accent4 9 6" xfId="6123"/>
    <cellStyle name="40% - Accent4 9 6 2" xfId="6124"/>
    <cellStyle name="40% - Accent4 9 6 3" xfId="6125"/>
    <cellStyle name="40% - Accent4 9 7" xfId="6126"/>
    <cellStyle name="40% - Accent4 9 8" xfId="6127"/>
    <cellStyle name="40% - Accent4 9_Volatility" xfId="6128"/>
    <cellStyle name="40% - Accent5 10" xfId="6129"/>
    <cellStyle name="40% - Accent5 10 2" xfId="6130"/>
    <cellStyle name="40% - Accent5 10 2 2" xfId="6131"/>
    <cellStyle name="40% - Accent5 10 2 2 2" xfId="6132"/>
    <cellStyle name="40% - Accent5 10 2 2 3" xfId="6133"/>
    <cellStyle name="40% - Accent5 10 2 3" xfId="6134"/>
    <cellStyle name="40% - Accent5 10 2 3 2" xfId="6135"/>
    <cellStyle name="40% - Accent5 10 2 3 3" xfId="6136"/>
    <cellStyle name="40% - Accent5 10 2 4" xfId="6137"/>
    <cellStyle name="40% - Accent5 10 2 4 2" xfId="6138"/>
    <cellStyle name="40% - Accent5 10 2 4 3" xfId="6139"/>
    <cellStyle name="40% - Accent5 10 2 5" xfId="6140"/>
    <cellStyle name="40% - Accent5 10 2 6" xfId="6141"/>
    <cellStyle name="40% - Accent5 10 2_Volatility" xfId="6142"/>
    <cellStyle name="40% - Accent5 10 3" xfId="6143"/>
    <cellStyle name="40% - Accent5 10 3 2" xfId="6144"/>
    <cellStyle name="40% - Accent5 10 3 2 2" xfId="6145"/>
    <cellStyle name="40% - Accent5 10 3 2 3" xfId="6146"/>
    <cellStyle name="40% - Accent5 10 3 3" xfId="6147"/>
    <cellStyle name="40% - Accent5 10 3 3 2" xfId="6148"/>
    <cellStyle name="40% - Accent5 10 3 3 3" xfId="6149"/>
    <cellStyle name="40% - Accent5 10 3 4" xfId="6150"/>
    <cellStyle name="40% - Accent5 10 3 5" xfId="6151"/>
    <cellStyle name="40% - Accent5 10 3_Volatility" xfId="6152"/>
    <cellStyle name="40% - Accent5 10 4" xfId="6153"/>
    <cellStyle name="40% - Accent5 10 4 2" xfId="6154"/>
    <cellStyle name="40% - Accent5 10 4 3" xfId="6155"/>
    <cellStyle name="40% - Accent5 10 5" xfId="6156"/>
    <cellStyle name="40% - Accent5 10 5 2" xfId="6157"/>
    <cellStyle name="40% - Accent5 10 5 3" xfId="6158"/>
    <cellStyle name="40% - Accent5 10 6" xfId="6159"/>
    <cellStyle name="40% - Accent5 10 6 2" xfId="6160"/>
    <cellStyle name="40% - Accent5 10 6 3" xfId="6161"/>
    <cellStyle name="40% - Accent5 10 7" xfId="6162"/>
    <cellStyle name="40% - Accent5 10 8" xfId="6163"/>
    <cellStyle name="40% - Accent5 10_Volatility" xfId="6164"/>
    <cellStyle name="40% - Accent5 11" xfId="6165"/>
    <cellStyle name="40% - Accent5 11 2" xfId="6166"/>
    <cellStyle name="40% - Accent5 11 2 2" xfId="6167"/>
    <cellStyle name="40% - Accent5 11 2 2 2" xfId="6168"/>
    <cellStyle name="40% - Accent5 11 2 2 3" xfId="6169"/>
    <cellStyle name="40% - Accent5 11 2 3" xfId="6170"/>
    <cellStyle name="40% - Accent5 11 2 3 2" xfId="6171"/>
    <cellStyle name="40% - Accent5 11 2 3 3" xfId="6172"/>
    <cellStyle name="40% - Accent5 11 2 4" xfId="6173"/>
    <cellStyle name="40% - Accent5 11 2 4 2" xfId="6174"/>
    <cellStyle name="40% - Accent5 11 2 4 3" xfId="6175"/>
    <cellStyle name="40% - Accent5 11 2 5" xfId="6176"/>
    <cellStyle name="40% - Accent5 11 2 6" xfId="6177"/>
    <cellStyle name="40% - Accent5 11 2_Volatility" xfId="6178"/>
    <cellStyle name="40% - Accent5 11 3" xfId="6179"/>
    <cellStyle name="40% - Accent5 11 3 2" xfId="6180"/>
    <cellStyle name="40% - Accent5 11 3 2 2" xfId="6181"/>
    <cellStyle name="40% - Accent5 11 3 2 3" xfId="6182"/>
    <cellStyle name="40% - Accent5 11 3 3" xfId="6183"/>
    <cellStyle name="40% - Accent5 11 3 3 2" xfId="6184"/>
    <cellStyle name="40% - Accent5 11 3 3 3" xfId="6185"/>
    <cellStyle name="40% - Accent5 11 3 4" xfId="6186"/>
    <cellStyle name="40% - Accent5 11 3 5" xfId="6187"/>
    <cellStyle name="40% - Accent5 11 3_Volatility" xfId="6188"/>
    <cellStyle name="40% - Accent5 11 4" xfId="6189"/>
    <cellStyle name="40% - Accent5 11 4 2" xfId="6190"/>
    <cellStyle name="40% - Accent5 11 4 3" xfId="6191"/>
    <cellStyle name="40% - Accent5 11 5" xfId="6192"/>
    <cellStyle name="40% - Accent5 11 5 2" xfId="6193"/>
    <cellStyle name="40% - Accent5 11 5 3" xfId="6194"/>
    <cellStyle name="40% - Accent5 11 6" xfId="6195"/>
    <cellStyle name="40% - Accent5 11 6 2" xfId="6196"/>
    <cellStyle name="40% - Accent5 11 6 3" xfId="6197"/>
    <cellStyle name="40% - Accent5 11 7" xfId="6198"/>
    <cellStyle name="40% - Accent5 11 8" xfId="6199"/>
    <cellStyle name="40% - Accent5 11_Volatility" xfId="6200"/>
    <cellStyle name="40% - Accent5 12" xfId="6201"/>
    <cellStyle name="40% - Accent5 12 2" xfId="6202"/>
    <cellStyle name="40% - Accent5 12 2 2" xfId="6203"/>
    <cellStyle name="40% - Accent5 12 2 2 2" xfId="6204"/>
    <cellStyle name="40% - Accent5 12 2 2 3" xfId="6205"/>
    <cellStyle name="40% - Accent5 12 2 3" xfId="6206"/>
    <cellStyle name="40% - Accent5 12 2 3 2" xfId="6207"/>
    <cellStyle name="40% - Accent5 12 2 3 3" xfId="6208"/>
    <cellStyle name="40% - Accent5 12 2 4" xfId="6209"/>
    <cellStyle name="40% - Accent5 12 2 4 2" xfId="6210"/>
    <cellStyle name="40% - Accent5 12 2 4 3" xfId="6211"/>
    <cellStyle name="40% - Accent5 12 2 5" xfId="6212"/>
    <cellStyle name="40% - Accent5 12 2 6" xfId="6213"/>
    <cellStyle name="40% - Accent5 12 2_Volatility" xfId="6214"/>
    <cellStyle name="40% - Accent5 12 3" xfId="6215"/>
    <cellStyle name="40% - Accent5 12 3 2" xfId="6216"/>
    <cellStyle name="40% - Accent5 12 3 2 2" xfId="6217"/>
    <cellStyle name="40% - Accent5 12 3 2 3" xfId="6218"/>
    <cellStyle name="40% - Accent5 12 3 3" xfId="6219"/>
    <cellStyle name="40% - Accent5 12 3 3 2" xfId="6220"/>
    <cellStyle name="40% - Accent5 12 3 3 3" xfId="6221"/>
    <cellStyle name="40% - Accent5 12 3 4" xfId="6222"/>
    <cellStyle name="40% - Accent5 12 3 5" xfId="6223"/>
    <cellStyle name="40% - Accent5 12 3_Volatility" xfId="6224"/>
    <cellStyle name="40% - Accent5 12 4" xfId="6225"/>
    <cellStyle name="40% - Accent5 12 4 2" xfId="6226"/>
    <cellStyle name="40% - Accent5 12 4 3" xfId="6227"/>
    <cellStyle name="40% - Accent5 12 5" xfId="6228"/>
    <cellStyle name="40% - Accent5 12 5 2" xfId="6229"/>
    <cellStyle name="40% - Accent5 12 5 3" xfId="6230"/>
    <cellStyle name="40% - Accent5 12 6" xfId="6231"/>
    <cellStyle name="40% - Accent5 12 6 2" xfId="6232"/>
    <cellStyle name="40% - Accent5 12 6 3" xfId="6233"/>
    <cellStyle name="40% - Accent5 12 7" xfId="6234"/>
    <cellStyle name="40% - Accent5 12 8" xfId="6235"/>
    <cellStyle name="40% - Accent5 12_Volatility" xfId="6236"/>
    <cellStyle name="40% - Accent5 13" xfId="6237"/>
    <cellStyle name="40% - Accent5 13 2" xfId="6238"/>
    <cellStyle name="40% - Accent5 13 2 2" xfId="6239"/>
    <cellStyle name="40% - Accent5 13 2 2 2" xfId="6240"/>
    <cellStyle name="40% - Accent5 13 2 2 3" xfId="6241"/>
    <cellStyle name="40% - Accent5 13 2 3" xfId="6242"/>
    <cellStyle name="40% - Accent5 13 2 3 2" xfId="6243"/>
    <cellStyle name="40% - Accent5 13 2 3 3" xfId="6244"/>
    <cellStyle name="40% - Accent5 13 2 4" xfId="6245"/>
    <cellStyle name="40% - Accent5 13 2 4 2" xfId="6246"/>
    <cellStyle name="40% - Accent5 13 2 4 3" xfId="6247"/>
    <cellStyle name="40% - Accent5 13 2 5" xfId="6248"/>
    <cellStyle name="40% - Accent5 13 2 6" xfId="6249"/>
    <cellStyle name="40% - Accent5 13 2_Volatility" xfId="6250"/>
    <cellStyle name="40% - Accent5 13 3" xfId="6251"/>
    <cellStyle name="40% - Accent5 13 3 2" xfId="6252"/>
    <cellStyle name="40% - Accent5 13 3 2 2" xfId="6253"/>
    <cellStyle name="40% - Accent5 13 3 2 3" xfId="6254"/>
    <cellStyle name="40% - Accent5 13 3 3" xfId="6255"/>
    <cellStyle name="40% - Accent5 13 3 3 2" xfId="6256"/>
    <cellStyle name="40% - Accent5 13 3 3 3" xfId="6257"/>
    <cellStyle name="40% - Accent5 13 3 4" xfId="6258"/>
    <cellStyle name="40% - Accent5 13 3 5" xfId="6259"/>
    <cellStyle name="40% - Accent5 13 3_Volatility" xfId="6260"/>
    <cellStyle name="40% - Accent5 13 4" xfId="6261"/>
    <cellStyle name="40% - Accent5 13 4 2" xfId="6262"/>
    <cellStyle name="40% - Accent5 13 4 3" xfId="6263"/>
    <cellStyle name="40% - Accent5 13 5" xfId="6264"/>
    <cellStyle name="40% - Accent5 13 5 2" xfId="6265"/>
    <cellStyle name="40% - Accent5 13 5 3" xfId="6266"/>
    <cellStyle name="40% - Accent5 13 6" xfId="6267"/>
    <cellStyle name="40% - Accent5 13 6 2" xfId="6268"/>
    <cellStyle name="40% - Accent5 13 6 3" xfId="6269"/>
    <cellStyle name="40% - Accent5 13 7" xfId="6270"/>
    <cellStyle name="40% - Accent5 13 8" xfId="6271"/>
    <cellStyle name="40% - Accent5 13_Volatility" xfId="6272"/>
    <cellStyle name="40% - Accent5 14" xfId="6273"/>
    <cellStyle name="40% - Accent5 14 2" xfId="6274"/>
    <cellStyle name="40% - Accent5 14 2 2" xfId="6275"/>
    <cellStyle name="40% - Accent5 14 2 2 2" xfId="6276"/>
    <cellStyle name="40% - Accent5 14 2 2 3" xfId="6277"/>
    <cellStyle name="40% - Accent5 14 2 3" xfId="6278"/>
    <cellStyle name="40% - Accent5 14 2 3 2" xfId="6279"/>
    <cellStyle name="40% - Accent5 14 2 3 3" xfId="6280"/>
    <cellStyle name="40% - Accent5 14 2 4" xfId="6281"/>
    <cellStyle name="40% - Accent5 14 2 4 2" xfId="6282"/>
    <cellStyle name="40% - Accent5 14 2 4 3" xfId="6283"/>
    <cellStyle name="40% - Accent5 14 2 5" xfId="6284"/>
    <cellStyle name="40% - Accent5 14 2 6" xfId="6285"/>
    <cellStyle name="40% - Accent5 14 2_Volatility" xfId="6286"/>
    <cellStyle name="40% - Accent5 14 3" xfId="6287"/>
    <cellStyle name="40% - Accent5 14 3 2" xfId="6288"/>
    <cellStyle name="40% - Accent5 14 3 2 2" xfId="6289"/>
    <cellStyle name="40% - Accent5 14 3 2 3" xfId="6290"/>
    <cellStyle name="40% - Accent5 14 3 3" xfId="6291"/>
    <cellStyle name="40% - Accent5 14 3 3 2" xfId="6292"/>
    <cellStyle name="40% - Accent5 14 3 3 3" xfId="6293"/>
    <cellStyle name="40% - Accent5 14 3 4" xfId="6294"/>
    <cellStyle name="40% - Accent5 14 3 5" xfId="6295"/>
    <cellStyle name="40% - Accent5 14 3_Volatility" xfId="6296"/>
    <cellStyle name="40% - Accent5 14 4" xfId="6297"/>
    <cellStyle name="40% - Accent5 14 4 2" xfId="6298"/>
    <cellStyle name="40% - Accent5 14 4 3" xfId="6299"/>
    <cellStyle name="40% - Accent5 14 5" xfId="6300"/>
    <cellStyle name="40% - Accent5 14 5 2" xfId="6301"/>
    <cellStyle name="40% - Accent5 14 5 3" xfId="6302"/>
    <cellStyle name="40% - Accent5 14 6" xfId="6303"/>
    <cellStyle name="40% - Accent5 14 6 2" xfId="6304"/>
    <cellStyle name="40% - Accent5 14 6 3" xfId="6305"/>
    <cellStyle name="40% - Accent5 14 7" xfId="6306"/>
    <cellStyle name="40% - Accent5 14 8" xfId="6307"/>
    <cellStyle name="40% - Accent5 14_Volatility" xfId="6308"/>
    <cellStyle name="40% - Accent5 15" xfId="6309"/>
    <cellStyle name="40% - Accent5 15 2" xfId="6310"/>
    <cellStyle name="40% - Accent5 15 2 2" xfId="6311"/>
    <cellStyle name="40% - Accent5 15 2 2 2" xfId="6312"/>
    <cellStyle name="40% - Accent5 15 2 2 3" xfId="6313"/>
    <cellStyle name="40% - Accent5 15 2 3" xfId="6314"/>
    <cellStyle name="40% - Accent5 15 2 3 2" xfId="6315"/>
    <cellStyle name="40% - Accent5 15 2 3 3" xfId="6316"/>
    <cellStyle name="40% - Accent5 15 2 4" xfId="6317"/>
    <cellStyle name="40% - Accent5 15 2 4 2" xfId="6318"/>
    <cellStyle name="40% - Accent5 15 2 4 3" xfId="6319"/>
    <cellStyle name="40% - Accent5 15 2 5" xfId="6320"/>
    <cellStyle name="40% - Accent5 15 2 6" xfId="6321"/>
    <cellStyle name="40% - Accent5 15 2_Volatility" xfId="6322"/>
    <cellStyle name="40% - Accent5 15 3" xfId="6323"/>
    <cellStyle name="40% - Accent5 15 3 2" xfId="6324"/>
    <cellStyle name="40% - Accent5 15 3 2 2" xfId="6325"/>
    <cellStyle name="40% - Accent5 15 3 2 3" xfId="6326"/>
    <cellStyle name="40% - Accent5 15 3 3" xfId="6327"/>
    <cellStyle name="40% - Accent5 15 3 3 2" xfId="6328"/>
    <cellStyle name="40% - Accent5 15 3 3 3" xfId="6329"/>
    <cellStyle name="40% - Accent5 15 3 4" xfId="6330"/>
    <cellStyle name="40% - Accent5 15 3 5" xfId="6331"/>
    <cellStyle name="40% - Accent5 15 3_Volatility" xfId="6332"/>
    <cellStyle name="40% - Accent5 15 4" xfId="6333"/>
    <cellStyle name="40% - Accent5 15 4 2" xfId="6334"/>
    <cellStyle name="40% - Accent5 15 4 3" xfId="6335"/>
    <cellStyle name="40% - Accent5 15 5" xfId="6336"/>
    <cellStyle name="40% - Accent5 15 5 2" xfId="6337"/>
    <cellStyle name="40% - Accent5 15 5 3" xfId="6338"/>
    <cellStyle name="40% - Accent5 15 6" xfId="6339"/>
    <cellStyle name="40% - Accent5 15 6 2" xfId="6340"/>
    <cellStyle name="40% - Accent5 15 6 3" xfId="6341"/>
    <cellStyle name="40% - Accent5 15 7" xfId="6342"/>
    <cellStyle name="40% - Accent5 15 8" xfId="6343"/>
    <cellStyle name="40% - Accent5 15_Volatility" xfId="6344"/>
    <cellStyle name="40% - Accent5 16" xfId="6345"/>
    <cellStyle name="40% - Accent5 16 2" xfId="15941"/>
    <cellStyle name="40% - Accent5 16 3" xfId="19892"/>
    <cellStyle name="40% - Accent5 17" xfId="6346"/>
    <cellStyle name="40% - Accent5 17 2" xfId="15942"/>
    <cellStyle name="40% - Accent5 17 3" xfId="19893"/>
    <cellStyle name="40% - Accent5 18" xfId="6347"/>
    <cellStyle name="40% - Accent5 18 2" xfId="15943"/>
    <cellStyle name="40% - Accent5 18 3" xfId="19894"/>
    <cellStyle name="40% - Accent5 19" xfId="6348"/>
    <cellStyle name="40% - Accent5 19 2" xfId="15944"/>
    <cellStyle name="40% - Accent5 19 3" xfId="19895"/>
    <cellStyle name="40% - Accent5 2" xfId="6349"/>
    <cellStyle name="40% - Accent5 2 2" xfId="6350"/>
    <cellStyle name="40% - Accent5 2 2 2" xfId="6351"/>
    <cellStyle name="40% - Accent5 2 2 2 2" xfId="6352"/>
    <cellStyle name="40% - Accent5 2 2 2 3" xfId="6353"/>
    <cellStyle name="40% - Accent5 2 2 3" xfId="6354"/>
    <cellStyle name="40% - Accent5 2 2 3 2" xfId="6355"/>
    <cellStyle name="40% - Accent5 2 2 3 3" xfId="6356"/>
    <cellStyle name="40% - Accent5 2 2 4" xfId="6357"/>
    <cellStyle name="40% - Accent5 2 2 4 2" xfId="6358"/>
    <cellStyle name="40% - Accent5 2 2 4 3" xfId="6359"/>
    <cellStyle name="40% - Accent5 2 2 5" xfId="6360"/>
    <cellStyle name="40% - Accent5 2 2 6" xfId="6361"/>
    <cellStyle name="40% - Accent5 2 2_Volatility" xfId="6362"/>
    <cellStyle name="40% - Accent5 2 3" xfId="6363"/>
    <cellStyle name="40% - Accent5 2 3 2" xfId="6364"/>
    <cellStyle name="40% - Accent5 2 3 2 2" xfId="6365"/>
    <cellStyle name="40% - Accent5 2 3 2 3" xfId="6366"/>
    <cellStyle name="40% - Accent5 2 3 3" xfId="6367"/>
    <cellStyle name="40% - Accent5 2 3 3 2" xfId="6368"/>
    <cellStyle name="40% - Accent5 2 3 3 3" xfId="6369"/>
    <cellStyle name="40% - Accent5 2 3 4" xfId="6370"/>
    <cellStyle name="40% - Accent5 2 3 5" xfId="6371"/>
    <cellStyle name="40% - Accent5 2 3_Volatility" xfId="6372"/>
    <cellStyle name="40% - Accent5 2 4" xfId="6373"/>
    <cellStyle name="40% - Accent5 2 4 2" xfId="6374"/>
    <cellStyle name="40% - Accent5 2 4 3" xfId="6375"/>
    <cellStyle name="40% - Accent5 2 5" xfId="6376"/>
    <cellStyle name="40% - Accent5 2 5 2" xfId="6377"/>
    <cellStyle name="40% - Accent5 2 5 3" xfId="6378"/>
    <cellStyle name="40% - Accent5 2 6" xfId="6379"/>
    <cellStyle name="40% - Accent5 2 6 2" xfId="6380"/>
    <cellStyle name="40% - Accent5 2 6 3" xfId="6381"/>
    <cellStyle name="40% - Accent5 2 7" xfId="6382"/>
    <cellStyle name="40% - Accent5 2 8" xfId="6383"/>
    <cellStyle name="40% - Accent5 2_Volatility" xfId="6384"/>
    <cellStyle name="40% - Accent5 3" xfId="6385"/>
    <cellStyle name="40% - Accent5 3 2" xfId="6386"/>
    <cellStyle name="40% - Accent5 3 2 2" xfId="6387"/>
    <cellStyle name="40% - Accent5 3 2 2 2" xfId="6388"/>
    <cellStyle name="40% - Accent5 3 2 2 3" xfId="6389"/>
    <cellStyle name="40% - Accent5 3 2 3" xfId="6390"/>
    <cellStyle name="40% - Accent5 3 2 3 2" xfId="6391"/>
    <cellStyle name="40% - Accent5 3 2 3 3" xfId="6392"/>
    <cellStyle name="40% - Accent5 3 2 4" xfId="6393"/>
    <cellStyle name="40% - Accent5 3 2 4 2" xfId="6394"/>
    <cellStyle name="40% - Accent5 3 2 4 3" xfId="6395"/>
    <cellStyle name="40% - Accent5 3 2 5" xfId="6396"/>
    <cellStyle name="40% - Accent5 3 2 6" xfId="6397"/>
    <cellStyle name="40% - Accent5 3 2_Volatility" xfId="6398"/>
    <cellStyle name="40% - Accent5 3 3" xfId="6399"/>
    <cellStyle name="40% - Accent5 3 3 2" xfId="6400"/>
    <cellStyle name="40% - Accent5 3 3 2 2" xfId="6401"/>
    <cellStyle name="40% - Accent5 3 3 2 3" xfId="6402"/>
    <cellStyle name="40% - Accent5 3 3 3" xfId="6403"/>
    <cellStyle name="40% - Accent5 3 3 3 2" xfId="6404"/>
    <cellStyle name="40% - Accent5 3 3 3 3" xfId="6405"/>
    <cellStyle name="40% - Accent5 3 3 4" xfId="6406"/>
    <cellStyle name="40% - Accent5 3 3 5" xfId="6407"/>
    <cellStyle name="40% - Accent5 3 3_Volatility" xfId="6408"/>
    <cellStyle name="40% - Accent5 3 4" xfId="6409"/>
    <cellStyle name="40% - Accent5 3 4 2" xfId="6410"/>
    <cellStyle name="40% - Accent5 3 4 3" xfId="6411"/>
    <cellStyle name="40% - Accent5 3 5" xfId="6412"/>
    <cellStyle name="40% - Accent5 3 5 2" xfId="6413"/>
    <cellStyle name="40% - Accent5 3 5 3" xfId="6414"/>
    <cellStyle name="40% - Accent5 3 6" xfId="6415"/>
    <cellStyle name="40% - Accent5 3 6 2" xfId="6416"/>
    <cellStyle name="40% - Accent5 3 6 3" xfId="6417"/>
    <cellStyle name="40% - Accent5 3 7" xfId="6418"/>
    <cellStyle name="40% - Accent5 3 8" xfId="6419"/>
    <cellStyle name="40% - Accent5 3_Volatility" xfId="6420"/>
    <cellStyle name="40% - Accent5 4" xfId="6421"/>
    <cellStyle name="40% - Accent5 4 2" xfId="6422"/>
    <cellStyle name="40% - Accent5 4 2 2" xfId="6423"/>
    <cellStyle name="40% - Accent5 4 2 2 2" xfId="6424"/>
    <cellStyle name="40% - Accent5 4 2 2 3" xfId="6425"/>
    <cellStyle name="40% - Accent5 4 2 3" xfId="6426"/>
    <cellStyle name="40% - Accent5 4 2 3 2" xfId="6427"/>
    <cellStyle name="40% - Accent5 4 2 3 3" xfId="6428"/>
    <cellStyle name="40% - Accent5 4 2 4" xfId="6429"/>
    <cellStyle name="40% - Accent5 4 2 4 2" xfId="6430"/>
    <cellStyle name="40% - Accent5 4 2 4 3" xfId="6431"/>
    <cellStyle name="40% - Accent5 4 2 5" xfId="6432"/>
    <cellStyle name="40% - Accent5 4 2 6" xfId="6433"/>
    <cellStyle name="40% - Accent5 4 2_Volatility" xfId="6434"/>
    <cellStyle name="40% - Accent5 4 3" xfId="6435"/>
    <cellStyle name="40% - Accent5 4 3 2" xfId="6436"/>
    <cellStyle name="40% - Accent5 4 3 2 2" xfId="6437"/>
    <cellStyle name="40% - Accent5 4 3 2 3" xfId="6438"/>
    <cellStyle name="40% - Accent5 4 3 3" xfId="6439"/>
    <cellStyle name="40% - Accent5 4 3 3 2" xfId="6440"/>
    <cellStyle name="40% - Accent5 4 3 3 3" xfId="6441"/>
    <cellStyle name="40% - Accent5 4 3 4" xfId="6442"/>
    <cellStyle name="40% - Accent5 4 3 5" xfId="6443"/>
    <cellStyle name="40% - Accent5 4 3_Volatility" xfId="6444"/>
    <cellStyle name="40% - Accent5 4 4" xfId="6445"/>
    <cellStyle name="40% - Accent5 4 4 2" xfId="6446"/>
    <cellStyle name="40% - Accent5 4 4 3" xfId="6447"/>
    <cellStyle name="40% - Accent5 4 5" xfId="6448"/>
    <cellStyle name="40% - Accent5 4 5 2" xfId="6449"/>
    <cellStyle name="40% - Accent5 4 5 3" xfId="6450"/>
    <cellStyle name="40% - Accent5 4 6" xfId="6451"/>
    <cellStyle name="40% - Accent5 4 6 2" xfId="6452"/>
    <cellStyle name="40% - Accent5 4 6 3" xfId="6453"/>
    <cellStyle name="40% - Accent5 4 7" xfId="6454"/>
    <cellStyle name="40% - Accent5 4 8" xfId="6455"/>
    <cellStyle name="40% - Accent5 4_Volatility" xfId="6456"/>
    <cellStyle name="40% - Accent5 5" xfId="6457"/>
    <cellStyle name="40% - Accent5 5 2" xfId="6458"/>
    <cellStyle name="40% - Accent5 5 2 2" xfId="6459"/>
    <cellStyle name="40% - Accent5 5 2 2 2" xfId="6460"/>
    <cellStyle name="40% - Accent5 5 2 2 3" xfId="6461"/>
    <cellStyle name="40% - Accent5 5 2 3" xfId="6462"/>
    <cellStyle name="40% - Accent5 5 2 3 2" xfId="6463"/>
    <cellStyle name="40% - Accent5 5 2 3 3" xfId="6464"/>
    <cellStyle name="40% - Accent5 5 2 4" xfId="6465"/>
    <cellStyle name="40% - Accent5 5 2 4 2" xfId="6466"/>
    <cellStyle name="40% - Accent5 5 2 4 3" xfId="6467"/>
    <cellStyle name="40% - Accent5 5 2 5" xfId="6468"/>
    <cellStyle name="40% - Accent5 5 2 6" xfId="6469"/>
    <cellStyle name="40% - Accent5 5 2_Volatility" xfId="6470"/>
    <cellStyle name="40% - Accent5 5 3" xfId="6471"/>
    <cellStyle name="40% - Accent5 5 3 2" xfId="6472"/>
    <cellStyle name="40% - Accent5 5 3 2 2" xfId="6473"/>
    <cellStyle name="40% - Accent5 5 3 2 3" xfId="6474"/>
    <cellStyle name="40% - Accent5 5 3 3" xfId="6475"/>
    <cellStyle name="40% - Accent5 5 3 3 2" xfId="6476"/>
    <cellStyle name="40% - Accent5 5 3 3 3" xfId="6477"/>
    <cellStyle name="40% - Accent5 5 3 4" xfId="6478"/>
    <cellStyle name="40% - Accent5 5 3 5" xfId="6479"/>
    <cellStyle name="40% - Accent5 5 3_Volatility" xfId="6480"/>
    <cellStyle name="40% - Accent5 5 4" xfId="6481"/>
    <cellStyle name="40% - Accent5 5 4 2" xfId="6482"/>
    <cellStyle name="40% - Accent5 5 4 3" xfId="6483"/>
    <cellStyle name="40% - Accent5 5 5" xfId="6484"/>
    <cellStyle name="40% - Accent5 5 5 2" xfId="6485"/>
    <cellStyle name="40% - Accent5 5 5 3" xfId="6486"/>
    <cellStyle name="40% - Accent5 5 6" xfId="6487"/>
    <cellStyle name="40% - Accent5 5 6 2" xfId="6488"/>
    <cellStyle name="40% - Accent5 5 6 3" xfId="6489"/>
    <cellStyle name="40% - Accent5 5 7" xfId="6490"/>
    <cellStyle name="40% - Accent5 5 8" xfId="6491"/>
    <cellStyle name="40% - Accent5 5_Volatility" xfId="6492"/>
    <cellStyle name="40% - Accent5 6" xfId="6493"/>
    <cellStyle name="40% - Accent5 6 2" xfId="6494"/>
    <cellStyle name="40% - Accent5 6 2 2" xfId="6495"/>
    <cellStyle name="40% - Accent5 6 2 2 2" xfId="6496"/>
    <cellStyle name="40% - Accent5 6 2 2 3" xfId="6497"/>
    <cellStyle name="40% - Accent5 6 2 3" xfId="6498"/>
    <cellStyle name="40% - Accent5 6 2 3 2" xfId="6499"/>
    <cellStyle name="40% - Accent5 6 2 3 3" xfId="6500"/>
    <cellStyle name="40% - Accent5 6 2 4" xfId="6501"/>
    <cellStyle name="40% - Accent5 6 2 4 2" xfId="6502"/>
    <cellStyle name="40% - Accent5 6 2 4 3" xfId="6503"/>
    <cellStyle name="40% - Accent5 6 2 5" xfId="6504"/>
    <cellStyle name="40% - Accent5 6 2 6" xfId="6505"/>
    <cellStyle name="40% - Accent5 6 2_Volatility" xfId="6506"/>
    <cellStyle name="40% - Accent5 6 3" xfId="6507"/>
    <cellStyle name="40% - Accent5 6 3 2" xfId="6508"/>
    <cellStyle name="40% - Accent5 6 3 2 2" xfId="6509"/>
    <cellStyle name="40% - Accent5 6 3 2 3" xfId="6510"/>
    <cellStyle name="40% - Accent5 6 3 3" xfId="6511"/>
    <cellStyle name="40% - Accent5 6 3 3 2" xfId="6512"/>
    <cellStyle name="40% - Accent5 6 3 3 3" xfId="6513"/>
    <cellStyle name="40% - Accent5 6 3 4" xfId="6514"/>
    <cellStyle name="40% - Accent5 6 3 5" xfId="6515"/>
    <cellStyle name="40% - Accent5 6 3_Volatility" xfId="6516"/>
    <cellStyle name="40% - Accent5 6 4" xfId="6517"/>
    <cellStyle name="40% - Accent5 6 4 2" xfId="6518"/>
    <cellStyle name="40% - Accent5 6 4 3" xfId="6519"/>
    <cellStyle name="40% - Accent5 6 5" xfId="6520"/>
    <cellStyle name="40% - Accent5 6 5 2" xfId="6521"/>
    <cellStyle name="40% - Accent5 6 5 3" xfId="6522"/>
    <cellStyle name="40% - Accent5 6 6" xfId="6523"/>
    <cellStyle name="40% - Accent5 6 6 2" xfId="6524"/>
    <cellStyle name="40% - Accent5 6 6 3" xfId="6525"/>
    <cellStyle name="40% - Accent5 6 7" xfId="6526"/>
    <cellStyle name="40% - Accent5 6 8" xfId="6527"/>
    <cellStyle name="40% - Accent5 6_Volatility" xfId="6528"/>
    <cellStyle name="40% - Accent5 7" xfId="6529"/>
    <cellStyle name="40% - Accent5 7 2" xfId="6530"/>
    <cellStyle name="40% - Accent5 7 2 2" xfId="6531"/>
    <cellStyle name="40% - Accent5 7 2 2 2" xfId="6532"/>
    <cellStyle name="40% - Accent5 7 2 2 3" xfId="6533"/>
    <cellStyle name="40% - Accent5 7 2 3" xfId="6534"/>
    <cellStyle name="40% - Accent5 7 2 3 2" xfId="6535"/>
    <cellStyle name="40% - Accent5 7 2 3 3" xfId="6536"/>
    <cellStyle name="40% - Accent5 7 2 4" xfId="6537"/>
    <cellStyle name="40% - Accent5 7 2 4 2" xfId="6538"/>
    <cellStyle name="40% - Accent5 7 2 4 3" xfId="6539"/>
    <cellStyle name="40% - Accent5 7 2 5" xfId="6540"/>
    <cellStyle name="40% - Accent5 7 2 6" xfId="6541"/>
    <cellStyle name="40% - Accent5 7 2_Volatility" xfId="6542"/>
    <cellStyle name="40% - Accent5 7 3" xfId="6543"/>
    <cellStyle name="40% - Accent5 7 3 2" xfId="6544"/>
    <cellStyle name="40% - Accent5 7 3 2 2" xfId="6545"/>
    <cellStyle name="40% - Accent5 7 3 2 3" xfId="6546"/>
    <cellStyle name="40% - Accent5 7 3 3" xfId="6547"/>
    <cellStyle name="40% - Accent5 7 3 3 2" xfId="6548"/>
    <cellStyle name="40% - Accent5 7 3 3 3" xfId="6549"/>
    <cellStyle name="40% - Accent5 7 3 4" xfId="6550"/>
    <cellStyle name="40% - Accent5 7 3 5" xfId="6551"/>
    <cellStyle name="40% - Accent5 7 3_Volatility" xfId="6552"/>
    <cellStyle name="40% - Accent5 7 4" xfId="6553"/>
    <cellStyle name="40% - Accent5 7 4 2" xfId="6554"/>
    <cellStyle name="40% - Accent5 7 4 3" xfId="6555"/>
    <cellStyle name="40% - Accent5 7 5" xfId="6556"/>
    <cellStyle name="40% - Accent5 7 5 2" xfId="6557"/>
    <cellStyle name="40% - Accent5 7 5 3" xfId="6558"/>
    <cellStyle name="40% - Accent5 7 6" xfId="6559"/>
    <cellStyle name="40% - Accent5 7 6 2" xfId="6560"/>
    <cellStyle name="40% - Accent5 7 6 3" xfId="6561"/>
    <cellStyle name="40% - Accent5 7 7" xfId="6562"/>
    <cellStyle name="40% - Accent5 7 8" xfId="6563"/>
    <cellStyle name="40% - Accent5 7_Volatility" xfId="6564"/>
    <cellStyle name="40% - Accent5 8" xfId="6565"/>
    <cellStyle name="40% - Accent5 8 2" xfId="6566"/>
    <cellStyle name="40% - Accent5 8 2 2" xfId="6567"/>
    <cellStyle name="40% - Accent5 8 2 2 2" xfId="6568"/>
    <cellStyle name="40% - Accent5 8 2 2 3" xfId="6569"/>
    <cellStyle name="40% - Accent5 8 2 3" xfId="6570"/>
    <cellStyle name="40% - Accent5 8 2 3 2" xfId="6571"/>
    <cellStyle name="40% - Accent5 8 2 3 3" xfId="6572"/>
    <cellStyle name="40% - Accent5 8 2 4" xfId="6573"/>
    <cellStyle name="40% - Accent5 8 2 4 2" xfId="6574"/>
    <cellStyle name="40% - Accent5 8 2 4 3" xfId="6575"/>
    <cellStyle name="40% - Accent5 8 2 5" xfId="6576"/>
    <cellStyle name="40% - Accent5 8 2 6" xfId="6577"/>
    <cellStyle name="40% - Accent5 8 2_Volatility" xfId="6578"/>
    <cellStyle name="40% - Accent5 8 3" xfId="6579"/>
    <cellStyle name="40% - Accent5 8 3 2" xfId="6580"/>
    <cellStyle name="40% - Accent5 8 3 2 2" xfId="6581"/>
    <cellStyle name="40% - Accent5 8 3 2 3" xfId="6582"/>
    <cellStyle name="40% - Accent5 8 3 3" xfId="6583"/>
    <cellStyle name="40% - Accent5 8 3 3 2" xfId="6584"/>
    <cellStyle name="40% - Accent5 8 3 3 3" xfId="6585"/>
    <cellStyle name="40% - Accent5 8 3 4" xfId="6586"/>
    <cellStyle name="40% - Accent5 8 3 5" xfId="6587"/>
    <cellStyle name="40% - Accent5 8 3_Volatility" xfId="6588"/>
    <cellStyle name="40% - Accent5 8 4" xfId="6589"/>
    <cellStyle name="40% - Accent5 8 4 2" xfId="6590"/>
    <cellStyle name="40% - Accent5 8 4 3" xfId="6591"/>
    <cellStyle name="40% - Accent5 8 5" xfId="6592"/>
    <cellStyle name="40% - Accent5 8 5 2" xfId="6593"/>
    <cellStyle name="40% - Accent5 8 5 3" xfId="6594"/>
    <cellStyle name="40% - Accent5 8 6" xfId="6595"/>
    <cellStyle name="40% - Accent5 8 6 2" xfId="6596"/>
    <cellStyle name="40% - Accent5 8 6 3" xfId="6597"/>
    <cellStyle name="40% - Accent5 8 7" xfId="6598"/>
    <cellStyle name="40% - Accent5 8 8" xfId="6599"/>
    <cellStyle name="40% - Accent5 8_Volatility" xfId="6600"/>
    <cellStyle name="40% - Accent5 9" xfId="6601"/>
    <cellStyle name="40% - Accent5 9 2" xfId="6602"/>
    <cellStyle name="40% - Accent5 9 2 2" xfId="6603"/>
    <cellStyle name="40% - Accent5 9 2 2 2" xfId="6604"/>
    <cellStyle name="40% - Accent5 9 2 2 3" xfId="6605"/>
    <cellStyle name="40% - Accent5 9 2 3" xfId="6606"/>
    <cellStyle name="40% - Accent5 9 2 3 2" xfId="6607"/>
    <cellStyle name="40% - Accent5 9 2 3 3" xfId="6608"/>
    <cellStyle name="40% - Accent5 9 2 4" xfId="6609"/>
    <cellStyle name="40% - Accent5 9 2 4 2" xfId="6610"/>
    <cellStyle name="40% - Accent5 9 2 4 3" xfId="6611"/>
    <cellStyle name="40% - Accent5 9 2 5" xfId="6612"/>
    <cellStyle name="40% - Accent5 9 2 6" xfId="6613"/>
    <cellStyle name="40% - Accent5 9 2_Volatility" xfId="6614"/>
    <cellStyle name="40% - Accent5 9 3" xfId="6615"/>
    <cellStyle name="40% - Accent5 9 3 2" xfId="6616"/>
    <cellStyle name="40% - Accent5 9 3 2 2" xfId="6617"/>
    <cellStyle name="40% - Accent5 9 3 2 3" xfId="6618"/>
    <cellStyle name="40% - Accent5 9 3 3" xfId="6619"/>
    <cellStyle name="40% - Accent5 9 3 3 2" xfId="6620"/>
    <cellStyle name="40% - Accent5 9 3 3 3" xfId="6621"/>
    <cellStyle name="40% - Accent5 9 3 4" xfId="6622"/>
    <cellStyle name="40% - Accent5 9 3 5" xfId="6623"/>
    <cellStyle name="40% - Accent5 9 3_Volatility" xfId="6624"/>
    <cellStyle name="40% - Accent5 9 4" xfId="6625"/>
    <cellStyle name="40% - Accent5 9 4 2" xfId="6626"/>
    <cellStyle name="40% - Accent5 9 4 3" xfId="6627"/>
    <cellStyle name="40% - Accent5 9 5" xfId="6628"/>
    <cellStyle name="40% - Accent5 9 5 2" xfId="6629"/>
    <cellStyle name="40% - Accent5 9 5 3" xfId="6630"/>
    <cellStyle name="40% - Accent5 9 6" xfId="6631"/>
    <cellStyle name="40% - Accent5 9 6 2" xfId="6632"/>
    <cellStyle name="40% - Accent5 9 6 3" xfId="6633"/>
    <cellStyle name="40% - Accent5 9 7" xfId="6634"/>
    <cellStyle name="40% - Accent5 9 8" xfId="6635"/>
    <cellStyle name="40% - Accent5 9_Volatility" xfId="6636"/>
    <cellStyle name="40% - Accent6 10" xfId="6637"/>
    <cellStyle name="40% - Accent6 10 2" xfId="6638"/>
    <cellStyle name="40% - Accent6 10 2 2" xfId="6639"/>
    <cellStyle name="40% - Accent6 10 2 2 2" xfId="6640"/>
    <cellStyle name="40% - Accent6 10 2 2 3" xfId="6641"/>
    <cellStyle name="40% - Accent6 10 2 3" xfId="6642"/>
    <cellStyle name="40% - Accent6 10 2 3 2" xfId="6643"/>
    <cellStyle name="40% - Accent6 10 2 3 3" xfId="6644"/>
    <cellStyle name="40% - Accent6 10 2 4" xfId="6645"/>
    <cellStyle name="40% - Accent6 10 2 4 2" xfId="6646"/>
    <cellStyle name="40% - Accent6 10 2 4 3" xfId="6647"/>
    <cellStyle name="40% - Accent6 10 2 5" xfId="6648"/>
    <cellStyle name="40% - Accent6 10 2 6" xfId="6649"/>
    <cellStyle name="40% - Accent6 10 2_Volatility" xfId="6650"/>
    <cellStyle name="40% - Accent6 10 3" xfId="6651"/>
    <cellStyle name="40% - Accent6 10 3 2" xfId="6652"/>
    <cellStyle name="40% - Accent6 10 3 2 2" xfId="6653"/>
    <cellStyle name="40% - Accent6 10 3 2 3" xfId="6654"/>
    <cellStyle name="40% - Accent6 10 3 3" xfId="6655"/>
    <cellStyle name="40% - Accent6 10 3 3 2" xfId="6656"/>
    <cellStyle name="40% - Accent6 10 3 3 3" xfId="6657"/>
    <cellStyle name="40% - Accent6 10 3 4" xfId="6658"/>
    <cellStyle name="40% - Accent6 10 3 5" xfId="6659"/>
    <cellStyle name="40% - Accent6 10 3_Volatility" xfId="6660"/>
    <cellStyle name="40% - Accent6 10 4" xfId="6661"/>
    <cellStyle name="40% - Accent6 10 4 2" xfId="6662"/>
    <cellStyle name="40% - Accent6 10 4 3" xfId="6663"/>
    <cellStyle name="40% - Accent6 10 5" xfId="6664"/>
    <cellStyle name="40% - Accent6 10 5 2" xfId="6665"/>
    <cellStyle name="40% - Accent6 10 5 3" xfId="6666"/>
    <cellStyle name="40% - Accent6 10 6" xfId="6667"/>
    <cellStyle name="40% - Accent6 10 6 2" xfId="6668"/>
    <cellStyle name="40% - Accent6 10 6 3" xfId="6669"/>
    <cellStyle name="40% - Accent6 10 7" xfId="6670"/>
    <cellStyle name="40% - Accent6 10 8" xfId="6671"/>
    <cellStyle name="40% - Accent6 10_Volatility" xfId="6672"/>
    <cellStyle name="40% - Accent6 11" xfId="6673"/>
    <cellStyle name="40% - Accent6 11 2" xfId="6674"/>
    <cellStyle name="40% - Accent6 11 2 2" xfId="6675"/>
    <cellStyle name="40% - Accent6 11 2 2 2" xfId="6676"/>
    <cellStyle name="40% - Accent6 11 2 2 3" xfId="6677"/>
    <cellStyle name="40% - Accent6 11 2 3" xfId="6678"/>
    <cellStyle name="40% - Accent6 11 2 3 2" xfId="6679"/>
    <cellStyle name="40% - Accent6 11 2 3 3" xfId="6680"/>
    <cellStyle name="40% - Accent6 11 2 4" xfId="6681"/>
    <cellStyle name="40% - Accent6 11 2 4 2" xfId="6682"/>
    <cellStyle name="40% - Accent6 11 2 4 3" xfId="6683"/>
    <cellStyle name="40% - Accent6 11 2 5" xfId="6684"/>
    <cellStyle name="40% - Accent6 11 2 6" xfId="6685"/>
    <cellStyle name="40% - Accent6 11 2_Volatility" xfId="6686"/>
    <cellStyle name="40% - Accent6 11 3" xfId="6687"/>
    <cellStyle name="40% - Accent6 11 3 2" xfId="6688"/>
    <cellStyle name="40% - Accent6 11 3 2 2" xfId="6689"/>
    <cellStyle name="40% - Accent6 11 3 2 3" xfId="6690"/>
    <cellStyle name="40% - Accent6 11 3 3" xfId="6691"/>
    <cellStyle name="40% - Accent6 11 3 3 2" xfId="6692"/>
    <cellStyle name="40% - Accent6 11 3 3 3" xfId="6693"/>
    <cellStyle name="40% - Accent6 11 3 4" xfId="6694"/>
    <cellStyle name="40% - Accent6 11 3 5" xfId="6695"/>
    <cellStyle name="40% - Accent6 11 3_Volatility" xfId="6696"/>
    <cellStyle name="40% - Accent6 11 4" xfId="6697"/>
    <cellStyle name="40% - Accent6 11 4 2" xfId="6698"/>
    <cellStyle name="40% - Accent6 11 4 3" xfId="6699"/>
    <cellStyle name="40% - Accent6 11 5" xfId="6700"/>
    <cellStyle name="40% - Accent6 11 5 2" xfId="6701"/>
    <cellStyle name="40% - Accent6 11 5 3" xfId="6702"/>
    <cellStyle name="40% - Accent6 11 6" xfId="6703"/>
    <cellStyle name="40% - Accent6 11 6 2" xfId="6704"/>
    <cellStyle name="40% - Accent6 11 6 3" xfId="6705"/>
    <cellStyle name="40% - Accent6 11 7" xfId="6706"/>
    <cellStyle name="40% - Accent6 11 8" xfId="6707"/>
    <cellStyle name="40% - Accent6 11_Volatility" xfId="6708"/>
    <cellStyle name="40% - Accent6 12" xfId="6709"/>
    <cellStyle name="40% - Accent6 12 2" xfId="6710"/>
    <cellStyle name="40% - Accent6 12 2 2" xfId="6711"/>
    <cellStyle name="40% - Accent6 12 2 2 2" xfId="6712"/>
    <cellStyle name="40% - Accent6 12 2 2 3" xfId="6713"/>
    <cellStyle name="40% - Accent6 12 2 3" xfId="6714"/>
    <cellStyle name="40% - Accent6 12 2 3 2" xfId="6715"/>
    <cellStyle name="40% - Accent6 12 2 3 3" xfId="6716"/>
    <cellStyle name="40% - Accent6 12 2 4" xfId="6717"/>
    <cellStyle name="40% - Accent6 12 2 4 2" xfId="6718"/>
    <cellStyle name="40% - Accent6 12 2 4 3" xfId="6719"/>
    <cellStyle name="40% - Accent6 12 2 5" xfId="6720"/>
    <cellStyle name="40% - Accent6 12 2 6" xfId="6721"/>
    <cellStyle name="40% - Accent6 12 2_Volatility" xfId="6722"/>
    <cellStyle name="40% - Accent6 12 3" xfId="6723"/>
    <cellStyle name="40% - Accent6 12 3 2" xfId="6724"/>
    <cellStyle name="40% - Accent6 12 3 2 2" xfId="6725"/>
    <cellStyle name="40% - Accent6 12 3 2 3" xfId="6726"/>
    <cellStyle name="40% - Accent6 12 3 3" xfId="6727"/>
    <cellStyle name="40% - Accent6 12 3 3 2" xfId="6728"/>
    <cellStyle name="40% - Accent6 12 3 3 3" xfId="6729"/>
    <cellStyle name="40% - Accent6 12 3 4" xfId="6730"/>
    <cellStyle name="40% - Accent6 12 3 5" xfId="6731"/>
    <cellStyle name="40% - Accent6 12 3_Volatility" xfId="6732"/>
    <cellStyle name="40% - Accent6 12 4" xfId="6733"/>
    <cellStyle name="40% - Accent6 12 4 2" xfId="6734"/>
    <cellStyle name="40% - Accent6 12 4 3" xfId="6735"/>
    <cellStyle name="40% - Accent6 12 5" xfId="6736"/>
    <cellStyle name="40% - Accent6 12 5 2" xfId="6737"/>
    <cellStyle name="40% - Accent6 12 5 3" xfId="6738"/>
    <cellStyle name="40% - Accent6 12 6" xfId="6739"/>
    <cellStyle name="40% - Accent6 12 6 2" xfId="6740"/>
    <cellStyle name="40% - Accent6 12 6 3" xfId="6741"/>
    <cellStyle name="40% - Accent6 12 7" xfId="6742"/>
    <cellStyle name="40% - Accent6 12 8" xfId="6743"/>
    <cellStyle name="40% - Accent6 12_Volatility" xfId="6744"/>
    <cellStyle name="40% - Accent6 13" xfId="6745"/>
    <cellStyle name="40% - Accent6 13 2" xfId="6746"/>
    <cellStyle name="40% - Accent6 13 2 2" xfId="6747"/>
    <cellStyle name="40% - Accent6 13 2 2 2" xfId="6748"/>
    <cellStyle name="40% - Accent6 13 2 2 3" xfId="6749"/>
    <cellStyle name="40% - Accent6 13 2 3" xfId="6750"/>
    <cellStyle name="40% - Accent6 13 2 3 2" xfId="6751"/>
    <cellStyle name="40% - Accent6 13 2 3 3" xfId="6752"/>
    <cellStyle name="40% - Accent6 13 2 4" xfId="6753"/>
    <cellStyle name="40% - Accent6 13 2 4 2" xfId="6754"/>
    <cellStyle name="40% - Accent6 13 2 4 3" xfId="6755"/>
    <cellStyle name="40% - Accent6 13 2 5" xfId="6756"/>
    <cellStyle name="40% - Accent6 13 2 6" xfId="6757"/>
    <cellStyle name="40% - Accent6 13 2_Volatility" xfId="6758"/>
    <cellStyle name="40% - Accent6 13 3" xfId="6759"/>
    <cellStyle name="40% - Accent6 13 3 2" xfId="6760"/>
    <cellStyle name="40% - Accent6 13 3 2 2" xfId="6761"/>
    <cellStyle name="40% - Accent6 13 3 2 3" xfId="6762"/>
    <cellStyle name="40% - Accent6 13 3 3" xfId="6763"/>
    <cellStyle name="40% - Accent6 13 3 3 2" xfId="6764"/>
    <cellStyle name="40% - Accent6 13 3 3 3" xfId="6765"/>
    <cellStyle name="40% - Accent6 13 3 4" xfId="6766"/>
    <cellStyle name="40% - Accent6 13 3 5" xfId="6767"/>
    <cellStyle name="40% - Accent6 13 3_Volatility" xfId="6768"/>
    <cellStyle name="40% - Accent6 13 4" xfId="6769"/>
    <cellStyle name="40% - Accent6 13 4 2" xfId="6770"/>
    <cellStyle name="40% - Accent6 13 4 3" xfId="6771"/>
    <cellStyle name="40% - Accent6 13 5" xfId="6772"/>
    <cellStyle name="40% - Accent6 13 5 2" xfId="6773"/>
    <cellStyle name="40% - Accent6 13 5 3" xfId="6774"/>
    <cellStyle name="40% - Accent6 13 6" xfId="6775"/>
    <cellStyle name="40% - Accent6 13 6 2" xfId="6776"/>
    <cellStyle name="40% - Accent6 13 6 3" xfId="6777"/>
    <cellStyle name="40% - Accent6 13 7" xfId="6778"/>
    <cellStyle name="40% - Accent6 13 8" xfId="6779"/>
    <cellStyle name="40% - Accent6 13_Volatility" xfId="6780"/>
    <cellStyle name="40% - Accent6 14" xfId="6781"/>
    <cellStyle name="40% - Accent6 14 2" xfId="6782"/>
    <cellStyle name="40% - Accent6 14 2 2" xfId="6783"/>
    <cellStyle name="40% - Accent6 14 2 2 2" xfId="6784"/>
    <cellStyle name="40% - Accent6 14 2 2 3" xfId="6785"/>
    <cellStyle name="40% - Accent6 14 2 3" xfId="6786"/>
    <cellStyle name="40% - Accent6 14 2 3 2" xfId="6787"/>
    <cellStyle name="40% - Accent6 14 2 3 3" xfId="6788"/>
    <cellStyle name="40% - Accent6 14 2 4" xfId="6789"/>
    <cellStyle name="40% - Accent6 14 2 4 2" xfId="6790"/>
    <cellStyle name="40% - Accent6 14 2 4 3" xfId="6791"/>
    <cellStyle name="40% - Accent6 14 2 5" xfId="6792"/>
    <cellStyle name="40% - Accent6 14 2 6" xfId="6793"/>
    <cellStyle name="40% - Accent6 14 2_Volatility" xfId="6794"/>
    <cellStyle name="40% - Accent6 14 3" xfId="6795"/>
    <cellStyle name="40% - Accent6 14 3 2" xfId="6796"/>
    <cellStyle name="40% - Accent6 14 3 2 2" xfId="6797"/>
    <cellStyle name="40% - Accent6 14 3 2 3" xfId="6798"/>
    <cellStyle name="40% - Accent6 14 3 3" xfId="6799"/>
    <cellStyle name="40% - Accent6 14 3 3 2" xfId="6800"/>
    <cellStyle name="40% - Accent6 14 3 3 3" xfId="6801"/>
    <cellStyle name="40% - Accent6 14 3 4" xfId="6802"/>
    <cellStyle name="40% - Accent6 14 3 5" xfId="6803"/>
    <cellStyle name="40% - Accent6 14 3_Volatility" xfId="6804"/>
    <cellStyle name="40% - Accent6 14 4" xfId="6805"/>
    <cellStyle name="40% - Accent6 14 4 2" xfId="6806"/>
    <cellStyle name="40% - Accent6 14 4 3" xfId="6807"/>
    <cellStyle name="40% - Accent6 14 5" xfId="6808"/>
    <cellStyle name="40% - Accent6 14 5 2" xfId="6809"/>
    <cellStyle name="40% - Accent6 14 5 3" xfId="6810"/>
    <cellStyle name="40% - Accent6 14 6" xfId="6811"/>
    <cellStyle name="40% - Accent6 14 6 2" xfId="6812"/>
    <cellStyle name="40% - Accent6 14 6 3" xfId="6813"/>
    <cellStyle name="40% - Accent6 14 7" xfId="6814"/>
    <cellStyle name="40% - Accent6 14 8" xfId="6815"/>
    <cellStyle name="40% - Accent6 14_Volatility" xfId="6816"/>
    <cellStyle name="40% - Accent6 15" xfId="6817"/>
    <cellStyle name="40% - Accent6 15 2" xfId="6818"/>
    <cellStyle name="40% - Accent6 15 2 2" xfId="6819"/>
    <cellStyle name="40% - Accent6 15 2 2 2" xfId="6820"/>
    <cellStyle name="40% - Accent6 15 2 2 3" xfId="6821"/>
    <cellStyle name="40% - Accent6 15 2 3" xfId="6822"/>
    <cellStyle name="40% - Accent6 15 2 3 2" xfId="6823"/>
    <cellStyle name="40% - Accent6 15 2 3 3" xfId="6824"/>
    <cellStyle name="40% - Accent6 15 2 4" xfId="6825"/>
    <cellStyle name="40% - Accent6 15 2 4 2" xfId="6826"/>
    <cellStyle name="40% - Accent6 15 2 4 3" xfId="6827"/>
    <cellStyle name="40% - Accent6 15 2 5" xfId="6828"/>
    <cellStyle name="40% - Accent6 15 2 6" xfId="6829"/>
    <cellStyle name="40% - Accent6 15 2_Volatility" xfId="6830"/>
    <cellStyle name="40% - Accent6 15 3" xfId="6831"/>
    <cellStyle name="40% - Accent6 15 3 2" xfId="6832"/>
    <cellStyle name="40% - Accent6 15 3 2 2" xfId="6833"/>
    <cellStyle name="40% - Accent6 15 3 2 3" xfId="6834"/>
    <cellStyle name="40% - Accent6 15 3 3" xfId="6835"/>
    <cellStyle name="40% - Accent6 15 3 3 2" xfId="6836"/>
    <cellStyle name="40% - Accent6 15 3 3 3" xfId="6837"/>
    <cellStyle name="40% - Accent6 15 3 4" xfId="6838"/>
    <cellStyle name="40% - Accent6 15 3 5" xfId="6839"/>
    <cellStyle name="40% - Accent6 15 3_Volatility" xfId="6840"/>
    <cellStyle name="40% - Accent6 15 4" xfId="6841"/>
    <cellStyle name="40% - Accent6 15 4 2" xfId="6842"/>
    <cellStyle name="40% - Accent6 15 4 3" xfId="6843"/>
    <cellStyle name="40% - Accent6 15 5" xfId="6844"/>
    <cellStyle name="40% - Accent6 15 5 2" xfId="6845"/>
    <cellStyle name="40% - Accent6 15 5 3" xfId="6846"/>
    <cellStyle name="40% - Accent6 15 6" xfId="6847"/>
    <cellStyle name="40% - Accent6 15 6 2" xfId="6848"/>
    <cellStyle name="40% - Accent6 15 6 3" xfId="6849"/>
    <cellStyle name="40% - Accent6 15 7" xfId="6850"/>
    <cellStyle name="40% - Accent6 15 8" xfId="6851"/>
    <cellStyle name="40% - Accent6 15_Volatility" xfId="6852"/>
    <cellStyle name="40% - Accent6 16" xfId="6853"/>
    <cellStyle name="40% - Accent6 16 2" xfId="15945"/>
    <cellStyle name="40% - Accent6 16 3" xfId="19896"/>
    <cellStyle name="40% - Accent6 17" xfId="6854"/>
    <cellStyle name="40% - Accent6 17 2" xfId="15946"/>
    <cellStyle name="40% - Accent6 17 3" xfId="19897"/>
    <cellStyle name="40% - Accent6 18" xfId="6855"/>
    <cellStyle name="40% - Accent6 18 2" xfId="15947"/>
    <cellStyle name="40% - Accent6 18 3" xfId="19898"/>
    <cellStyle name="40% - Accent6 19" xfId="6856"/>
    <cellStyle name="40% - Accent6 19 2" xfId="15948"/>
    <cellStyle name="40% - Accent6 19 3" xfId="19899"/>
    <cellStyle name="40% - Accent6 2" xfId="6857"/>
    <cellStyle name="40% - Accent6 2 2" xfId="6858"/>
    <cellStyle name="40% - Accent6 2 2 2" xfId="6859"/>
    <cellStyle name="40% - Accent6 2 2 2 2" xfId="6860"/>
    <cellStyle name="40% - Accent6 2 2 2 3" xfId="6861"/>
    <cellStyle name="40% - Accent6 2 2 3" xfId="6862"/>
    <cellStyle name="40% - Accent6 2 2 3 2" xfId="6863"/>
    <cellStyle name="40% - Accent6 2 2 3 3" xfId="6864"/>
    <cellStyle name="40% - Accent6 2 2 4" xfId="6865"/>
    <cellStyle name="40% - Accent6 2 2 4 2" xfId="6866"/>
    <cellStyle name="40% - Accent6 2 2 4 3" xfId="6867"/>
    <cellStyle name="40% - Accent6 2 2 5" xfId="6868"/>
    <cellStyle name="40% - Accent6 2 2 6" xfId="6869"/>
    <cellStyle name="40% - Accent6 2 2_Volatility" xfId="6870"/>
    <cellStyle name="40% - Accent6 2 3" xfId="6871"/>
    <cellStyle name="40% - Accent6 2 3 2" xfId="6872"/>
    <cellStyle name="40% - Accent6 2 3 2 2" xfId="6873"/>
    <cellStyle name="40% - Accent6 2 3 2 3" xfId="6874"/>
    <cellStyle name="40% - Accent6 2 3 3" xfId="6875"/>
    <cellStyle name="40% - Accent6 2 3 3 2" xfId="6876"/>
    <cellStyle name="40% - Accent6 2 3 3 3" xfId="6877"/>
    <cellStyle name="40% - Accent6 2 3 4" xfId="6878"/>
    <cellStyle name="40% - Accent6 2 3 5" xfId="6879"/>
    <cellStyle name="40% - Accent6 2 3_Volatility" xfId="6880"/>
    <cellStyle name="40% - Accent6 2 4" xfId="6881"/>
    <cellStyle name="40% - Accent6 2 4 2" xfId="6882"/>
    <cellStyle name="40% - Accent6 2 4 3" xfId="6883"/>
    <cellStyle name="40% - Accent6 2 5" xfId="6884"/>
    <cellStyle name="40% - Accent6 2 5 2" xfId="6885"/>
    <cellStyle name="40% - Accent6 2 5 3" xfId="6886"/>
    <cellStyle name="40% - Accent6 2 6" xfId="6887"/>
    <cellStyle name="40% - Accent6 2 6 2" xfId="6888"/>
    <cellStyle name="40% - Accent6 2 6 3" xfId="6889"/>
    <cellStyle name="40% - Accent6 2 7" xfId="6890"/>
    <cellStyle name="40% - Accent6 2 8" xfId="6891"/>
    <cellStyle name="40% - Accent6 2_Volatility" xfId="6892"/>
    <cellStyle name="40% - Accent6 3" xfId="6893"/>
    <cellStyle name="40% - Accent6 3 2" xfId="6894"/>
    <cellStyle name="40% - Accent6 3 2 2" xfId="6895"/>
    <cellStyle name="40% - Accent6 3 2 2 2" xfId="6896"/>
    <cellStyle name="40% - Accent6 3 2 2 3" xfId="6897"/>
    <cellStyle name="40% - Accent6 3 2 3" xfId="6898"/>
    <cellStyle name="40% - Accent6 3 2 3 2" xfId="6899"/>
    <cellStyle name="40% - Accent6 3 2 3 3" xfId="6900"/>
    <cellStyle name="40% - Accent6 3 2 4" xfId="6901"/>
    <cellStyle name="40% - Accent6 3 2 4 2" xfId="6902"/>
    <cellStyle name="40% - Accent6 3 2 4 3" xfId="6903"/>
    <cellStyle name="40% - Accent6 3 2 5" xfId="6904"/>
    <cellStyle name="40% - Accent6 3 2 6" xfId="6905"/>
    <cellStyle name="40% - Accent6 3 2_Volatility" xfId="6906"/>
    <cellStyle name="40% - Accent6 3 3" xfId="6907"/>
    <cellStyle name="40% - Accent6 3 3 2" xfId="6908"/>
    <cellStyle name="40% - Accent6 3 3 2 2" xfId="6909"/>
    <cellStyle name="40% - Accent6 3 3 2 3" xfId="6910"/>
    <cellStyle name="40% - Accent6 3 3 3" xfId="6911"/>
    <cellStyle name="40% - Accent6 3 3 3 2" xfId="6912"/>
    <cellStyle name="40% - Accent6 3 3 3 3" xfId="6913"/>
    <cellStyle name="40% - Accent6 3 3 4" xfId="6914"/>
    <cellStyle name="40% - Accent6 3 3 5" xfId="6915"/>
    <cellStyle name="40% - Accent6 3 3_Volatility" xfId="6916"/>
    <cellStyle name="40% - Accent6 3 4" xfId="6917"/>
    <cellStyle name="40% - Accent6 3 4 2" xfId="6918"/>
    <cellStyle name="40% - Accent6 3 4 3" xfId="6919"/>
    <cellStyle name="40% - Accent6 3 5" xfId="6920"/>
    <cellStyle name="40% - Accent6 3 5 2" xfId="6921"/>
    <cellStyle name="40% - Accent6 3 5 3" xfId="6922"/>
    <cellStyle name="40% - Accent6 3 6" xfId="6923"/>
    <cellStyle name="40% - Accent6 3 6 2" xfId="6924"/>
    <cellStyle name="40% - Accent6 3 6 3" xfId="6925"/>
    <cellStyle name="40% - Accent6 3 7" xfId="6926"/>
    <cellStyle name="40% - Accent6 3 8" xfId="6927"/>
    <cellStyle name="40% - Accent6 3_Volatility" xfId="6928"/>
    <cellStyle name="40% - Accent6 4" xfId="6929"/>
    <cellStyle name="40% - Accent6 4 2" xfId="6930"/>
    <cellStyle name="40% - Accent6 4 2 2" xfId="6931"/>
    <cellStyle name="40% - Accent6 4 2 2 2" xfId="6932"/>
    <cellStyle name="40% - Accent6 4 2 2 3" xfId="6933"/>
    <cellStyle name="40% - Accent6 4 2 3" xfId="6934"/>
    <cellStyle name="40% - Accent6 4 2 3 2" xfId="6935"/>
    <cellStyle name="40% - Accent6 4 2 3 3" xfId="6936"/>
    <cellStyle name="40% - Accent6 4 2 4" xfId="6937"/>
    <cellStyle name="40% - Accent6 4 2 4 2" xfId="6938"/>
    <cellStyle name="40% - Accent6 4 2 4 3" xfId="6939"/>
    <cellStyle name="40% - Accent6 4 2 5" xfId="6940"/>
    <cellStyle name="40% - Accent6 4 2 6" xfId="6941"/>
    <cellStyle name="40% - Accent6 4 2_Volatility" xfId="6942"/>
    <cellStyle name="40% - Accent6 4 3" xfId="6943"/>
    <cellStyle name="40% - Accent6 4 3 2" xfId="6944"/>
    <cellStyle name="40% - Accent6 4 3 2 2" xfId="6945"/>
    <cellStyle name="40% - Accent6 4 3 2 3" xfId="6946"/>
    <cellStyle name="40% - Accent6 4 3 3" xfId="6947"/>
    <cellStyle name="40% - Accent6 4 3 3 2" xfId="6948"/>
    <cellStyle name="40% - Accent6 4 3 3 3" xfId="6949"/>
    <cellStyle name="40% - Accent6 4 3 4" xfId="6950"/>
    <cellStyle name="40% - Accent6 4 3 5" xfId="6951"/>
    <cellStyle name="40% - Accent6 4 3_Volatility" xfId="6952"/>
    <cellStyle name="40% - Accent6 4 4" xfId="6953"/>
    <cellStyle name="40% - Accent6 4 4 2" xfId="6954"/>
    <cellStyle name="40% - Accent6 4 4 3" xfId="6955"/>
    <cellStyle name="40% - Accent6 4 5" xfId="6956"/>
    <cellStyle name="40% - Accent6 4 5 2" xfId="6957"/>
    <cellStyle name="40% - Accent6 4 5 3" xfId="6958"/>
    <cellStyle name="40% - Accent6 4 6" xfId="6959"/>
    <cellStyle name="40% - Accent6 4 6 2" xfId="6960"/>
    <cellStyle name="40% - Accent6 4 6 3" xfId="6961"/>
    <cellStyle name="40% - Accent6 4 7" xfId="6962"/>
    <cellStyle name="40% - Accent6 4 8" xfId="6963"/>
    <cellStyle name="40% - Accent6 4_Volatility" xfId="6964"/>
    <cellStyle name="40% - Accent6 5" xfId="6965"/>
    <cellStyle name="40% - Accent6 5 2" xfId="6966"/>
    <cellStyle name="40% - Accent6 5 2 2" xfId="6967"/>
    <cellStyle name="40% - Accent6 5 2 2 2" xfId="6968"/>
    <cellStyle name="40% - Accent6 5 2 2 3" xfId="6969"/>
    <cellStyle name="40% - Accent6 5 2 3" xfId="6970"/>
    <cellStyle name="40% - Accent6 5 2 3 2" xfId="6971"/>
    <cellStyle name="40% - Accent6 5 2 3 3" xfId="6972"/>
    <cellStyle name="40% - Accent6 5 2 4" xfId="6973"/>
    <cellStyle name="40% - Accent6 5 2 4 2" xfId="6974"/>
    <cellStyle name="40% - Accent6 5 2 4 3" xfId="6975"/>
    <cellStyle name="40% - Accent6 5 2 5" xfId="6976"/>
    <cellStyle name="40% - Accent6 5 2 6" xfId="6977"/>
    <cellStyle name="40% - Accent6 5 2_Volatility" xfId="6978"/>
    <cellStyle name="40% - Accent6 5 3" xfId="6979"/>
    <cellStyle name="40% - Accent6 5 3 2" xfId="6980"/>
    <cellStyle name="40% - Accent6 5 3 2 2" xfId="6981"/>
    <cellStyle name="40% - Accent6 5 3 2 3" xfId="6982"/>
    <cellStyle name="40% - Accent6 5 3 3" xfId="6983"/>
    <cellStyle name="40% - Accent6 5 3 3 2" xfId="6984"/>
    <cellStyle name="40% - Accent6 5 3 3 3" xfId="6985"/>
    <cellStyle name="40% - Accent6 5 3 4" xfId="6986"/>
    <cellStyle name="40% - Accent6 5 3 5" xfId="6987"/>
    <cellStyle name="40% - Accent6 5 3_Volatility" xfId="6988"/>
    <cellStyle name="40% - Accent6 5 4" xfId="6989"/>
    <cellStyle name="40% - Accent6 5 4 2" xfId="6990"/>
    <cellStyle name="40% - Accent6 5 4 3" xfId="6991"/>
    <cellStyle name="40% - Accent6 5 5" xfId="6992"/>
    <cellStyle name="40% - Accent6 5 5 2" xfId="6993"/>
    <cellStyle name="40% - Accent6 5 5 3" xfId="6994"/>
    <cellStyle name="40% - Accent6 5 6" xfId="6995"/>
    <cellStyle name="40% - Accent6 5 6 2" xfId="6996"/>
    <cellStyle name="40% - Accent6 5 6 3" xfId="6997"/>
    <cellStyle name="40% - Accent6 5 7" xfId="6998"/>
    <cellStyle name="40% - Accent6 5 8" xfId="6999"/>
    <cellStyle name="40% - Accent6 5_Volatility" xfId="7000"/>
    <cellStyle name="40% - Accent6 6" xfId="7001"/>
    <cellStyle name="40% - Accent6 6 2" xfId="7002"/>
    <cellStyle name="40% - Accent6 6 2 2" xfId="7003"/>
    <cellStyle name="40% - Accent6 6 2 2 2" xfId="7004"/>
    <cellStyle name="40% - Accent6 6 2 2 3" xfId="7005"/>
    <cellStyle name="40% - Accent6 6 2 3" xfId="7006"/>
    <cellStyle name="40% - Accent6 6 2 3 2" xfId="7007"/>
    <cellStyle name="40% - Accent6 6 2 3 3" xfId="7008"/>
    <cellStyle name="40% - Accent6 6 2 4" xfId="7009"/>
    <cellStyle name="40% - Accent6 6 2 4 2" xfId="7010"/>
    <cellStyle name="40% - Accent6 6 2 4 3" xfId="7011"/>
    <cellStyle name="40% - Accent6 6 2 5" xfId="7012"/>
    <cellStyle name="40% - Accent6 6 2 6" xfId="7013"/>
    <cellStyle name="40% - Accent6 6 2_Volatility" xfId="7014"/>
    <cellStyle name="40% - Accent6 6 3" xfId="7015"/>
    <cellStyle name="40% - Accent6 6 3 2" xfId="7016"/>
    <cellStyle name="40% - Accent6 6 3 2 2" xfId="7017"/>
    <cellStyle name="40% - Accent6 6 3 2 3" xfId="7018"/>
    <cellStyle name="40% - Accent6 6 3 3" xfId="7019"/>
    <cellStyle name="40% - Accent6 6 3 3 2" xfId="7020"/>
    <cellStyle name="40% - Accent6 6 3 3 3" xfId="7021"/>
    <cellStyle name="40% - Accent6 6 3 4" xfId="7022"/>
    <cellStyle name="40% - Accent6 6 3 5" xfId="7023"/>
    <cellStyle name="40% - Accent6 6 3_Volatility" xfId="7024"/>
    <cellStyle name="40% - Accent6 6 4" xfId="7025"/>
    <cellStyle name="40% - Accent6 6 4 2" xfId="7026"/>
    <cellStyle name="40% - Accent6 6 4 3" xfId="7027"/>
    <cellStyle name="40% - Accent6 6 5" xfId="7028"/>
    <cellStyle name="40% - Accent6 6 5 2" xfId="7029"/>
    <cellStyle name="40% - Accent6 6 5 3" xfId="7030"/>
    <cellStyle name="40% - Accent6 6 6" xfId="7031"/>
    <cellStyle name="40% - Accent6 6 6 2" xfId="7032"/>
    <cellStyle name="40% - Accent6 6 6 3" xfId="7033"/>
    <cellStyle name="40% - Accent6 6 7" xfId="7034"/>
    <cellStyle name="40% - Accent6 6 8" xfId="7035"/>
    <cellStyle name="40% - Accent6 6_Volatility" xfId="7036"/>
    <cellStyle name="40% - Accent6 7" xfId="7037"/>
    <cellStyle name="40% - Accent6 7 2" xfId="7038"/>
    <cellStyle name="40% - Accent6 7 2 2" xfId="7039"/>
    <cellStyle name="40% - Accent6 7 2 2 2" xfId="7040"/>
    <cellStyle name="40% - Accent6 7 2 2 3" xfId="7041"/>
    <cellStyle name="40% - Accent6 7 2 3" xfId="7042"/>
    <cellStyle name="40% - Accent6 7 2 3 2" xfId="7043"/>
    <cellStyle name="40% - Accent6 7 2 3 3" xfId="7044"/>
    <cellStyle name="40% - Accent6 7 2 4" xfId="7045"/>
    <cellStyle name="40% - Accent6 7 2 4 2" xfId="7046"/>
    <cellStyle name="40% - Accent6 7 2 4 3" xfId="7047"/>
    <cellStyle name="40% - Accent6 7 2 5" xfId="7048"/>
    <cellStyle name="40% - Accent6 7 2 6" xfId="7049"/>
    <cellStyle name="40% - Accent6 7 2_Volatility" xfId="7050"/>
    <cellStyle name="40% - Accent6 7 3" xfId="7051"/>
    <cellStyle name="40% - Accent6 7 3 2" xfId="7052"/>
    <cellStyle name="40% - Accent6 7 3 2 2" xfId="7053"/>
    <cellStyle name="40% - Accent6 7 3 2 3" xfId="7054"/>
    <cellStyle name="40% - Accent6 7 3 3" xfId="7055"/>
    <cellStyle name="40% - Accent6 7 3 3 2" xfId="7056"/>
    <cellStyle name="40% - Accent6 7 3 3 3" xfId="7057"/>
    <cellStyle name="40% - Accent6 7 3 4" xfId="7058"/>
    <cellStyle name="40% - Accent6 7 3 5" xfId="7059"/>
    <cellStyle name="40% - Accent6 7 3_Volatility" xfId="7060"/>
    <cellStyle name="40% - Accent6 7 4" xfId="7061"/>
    <cellStyle name="40% - Accent6 7 4 2" xfId="7062"/>
    <cellStyle name="40% - Accent6 7 4 3" xfId="7063"/>
    <cellStyle name="40% - Accent6 7 5" xfId="7064"/>
    <cellStyle name="40% - Accent6 7 5 2" xfId="7065"/>
    <cellStyle name="40% - Accent6 7 5 3" xfId="7066"/>
    <cellStyle name="40% - Accent6 7 6" xfId="7067"/>
    <cellStyle name="40% - Accent6 7 6 2" xfId="7068"/>
    <cellStyle name="40% - Accent6 7 6 3" xfId="7069"/>
    <cellStyle name="40% - Accent6 7 7" xfId="7070"/>
    <cellStyle name="40% - Accent6 7 8" xfId="7071"/>
    <cellStyle name="40% - Accent6 7_Volatility" xfId="7072"/>
    <cellStyle name="40% - Accent6 8" xfId="7073"/>
    <cellStyle name="40% - Accent6 8 2" xfId="7074"/>
    <cellStyle name="40% - Accent6 8 2 2" xfId="7075"/>
    <cellStyle name="40% - Accent6 8 2 2 2" xfId="7076"/>
    <cellStyle name="40% - Accent6 8 2 2 3" xfId="7077"/>
    <cellStyle name="40% - Accent6 8 2 3" xfId="7078"/>
    <cellStyle name="40% - Accent6 8 2 3 2" xfId="7079"/>
    <cellStyle name="40% - Accent6 8 2 3 3" xfId="7080"/>
    <cellStyle name="40% - Accent6 8 2 4" xfId="7081"/>
    <cellStyle name="40% - Accent6 8 2 4 2" xfId="7082"/>
    <cellStyle name="40% - Accent6 8 2 4 3" xfId="7083"/>
    <cellStyle name="40% - Accent6 8 2 5" xfId="7084"/>
    <cellStyle name="40% - Accent6 8 2 6" xfId="7085"/>
    <cellStyle name="40% - Accent6 8 2_Volatility" xfId="7086"/>
    <cellStyle name="40% - Accent6 8 3" xfId="7087"/>
    <cellStyle name="40% - Accent6 8 3 2" xfId="7088"/>
    <cellStyle name="40% - Accent6 8 3 2 2" xfId="7089"/>
    <cellStyle name="40% - Accent6 8 3 2 3" xfId="7090"/>
    <cellStyle name="40% - Accent6 8 3 3" xfId="7091"/>
    <cellStyle name="40% - Accent6 8 3 3 2" xfId="7092"/>
    <cellStyle name="40% - Accent6 8 3 3 3" xfId="7093"/>
    <cellStyle name="40% - Accent6 8 3 4" xfId="7094"/>
    <cellStyle name="40% - Accent6 8 3 5" xfId="7095"/>
    <cellStyle name="40% - Accent6 8 3_Volatility" xfId="7096"/>
    <cellStyle name="40% - Accent6 8 4" xfId="7097"/>
    <cellStyle name="40% - Accent6 8 4 2" xfId="7098"/>
    <cellStyle name="40% - Accent6 8 4 3" xfId="7099"/>
    <cellStyle name="40% - Accent6 8 5" xfId="7100"/>
    <cellStyle name="40% - Accent6 8 5 2" xfId="7101"/>
    <cellStyle name="40% - Accent6 8 5 3" xfId="7102"/>
    <cellStyle name="40% - Accent6 8 6" xfId="7103"/>
    <cellStyle name="40% - Accent6 8 6 2" xfId="7104"/>
    <cellStyle name="40% - Accent6 8 6 3" xfId="7105"/>
    <cellStyle name="40% - Accent6 8 7" xfId="7106"/>
    <cellStyle name="40% - Accent6 8 8" xfId="7107"/>
    <cellStyle name="40% - Accent6 8_Volatility" xfId="7108"/>
    <cellStyle name="40% - Accent6 9" xfId="7109"/>
    <cellStyle name="40% - Accent6 9 2" xfId="7110"/>
    <cellStyle name="40% - Accent6 9 2 2" xfId="7111"/>
    <cellStyle name="40% - Accent6 9 2 2 2" xfId="7112"/>
    <cellStyle name="40% - Accent6 9 2 2 3" xfId="7113"/>
    <cellStyle name="40% - Accent6 9 2 3" xfId="7114"/>
    <cellStyle name="40% - Accent6 9 2 3 2" xfId="7115"/>
    <cellStyle name="40% - Accent6 9 2 3 3" xfId="7116"/>
    <cellStyle name="40% - Accent6 9 2 4" xfId="7117"/>
    <cellStyle name="40% - Accent6 9 2 4 2" xfId="7118"/>
    <cellStyle name="40% - Accent6 9 2 4 3" xfId="7119"/>
    <cellStyle name="40% - Accent6 9 2 5" xfId="7120"/>
    <cellStyle name="40% - Accent6 9 2 6" xfId="7121"/>
    <cellStyle name="40% - Accent6 9 2_Volatility" xfId="7122"/>
    <cellStyle name="40% - Accent6 9 3" xfId="7123"/>
    <cellStyle name="40% - Accent6 9 3 2" xfId="7124"/>
    <cellStyle name="40% - Accent6 9 3 2 2" xfId="7125"/>
    <cellStyle name="40% - Accent6 9 3 2 3" xfId="7126"/>
    <cellStyle name="40% - Accent6 9 3 3" xfId="7127"/>
    <cellStyle name="40% - Accent6 9 3 3 2" xfId="7128"/>
    <cellStyle name="40% - Accent6 9 3 3 3" xfId="7129"/>
    <cellStyle name="40% - Accent6 9 3 4" xfId="7130"/>
    <cellStyle name="40% - Accent6 9 3 5" xfId="7131"/>
    <cellStyle name="40% - Accent6 9 3_Volatility" xfId="7132"/>
    <cellStyle name="40% - Accent6 9 4" xfId="7133"/>
    <cellStyle name="40% - Accent6 9 4 2" xfId="7134"/>
    <cellStyle name="40% - Accent6 9 4 3" xfId="7135"/>
    <cellStyle name="40% - Accent6 9 5" xfId="7136"/>
    <cellStyle name="40% - Accent6 9 5 2" xfId="7137"/>
    <cellStyle name="40% - Accent6 9 5 3" xfId="7138"/>
    <cellStyle name="40% - Accent6 9 6" xfId="7139"/>
    <cellStyle name="40% - Accent6 9 6 2" xfId="7140"/>
    <cellStyle name="40% - Accent6 9 6 3" xfId="7141"/>
    <cellStyle name="40% - Accent6 9 7" xfId="7142"/>
    <cellStyle name="40% - Accent6 9 8" xfId="7143"/>
    <cellStyle name="40% - Accent6 9_Volatility" xfId="7144"/>
    <cellStyle name="40% - Ênfase1" xfId="7145"/>
    <cellStyle name="40% - Ênfase2" xfId="7146"/>
    <cellStyle name="40% - Ênfase3" xfId="7147"/>
    <cellStyle name="40% - Ênfase4" xfId="7148"/>
    <cellStyle name="40% - Ênfase5" xfId="7149"/>
    <cellStyle name="40% - Ênfase6" xfId="7150"/>
    <cellStyle name="40% - Énfasis1" xfId="7151"/>
    <cellStyle name="40% - Énfasis2" xfId="7152"/>
    <cellStyle name="40% - Énfasis3" xfId="7153"/>
    <cellStyle name="40% - Énfasis4" xfId="7154"/>
    <cellStyle name="40% - Énfasis5" xfId="7155"/>
    <cellStyle name="40% - Énfasis6" xfId="7156"/>
    <cellStyle name="40% - 강조색1" xfId="7157"/>
    <cellStyle name="40% - 강조색1 2" xfId="7158"/>
    <cellStyle name="40% - 강조색2" xfId="7159"/>
    <cellStyle name="40% - 강조색2 2" xfId="7160"/>
    <cellStyle name="40% - 강조색3" xfId="7161"/>
    <cellStyle name="40% - 강조색3 2" xfId="7162"/>
    <cellStyle name="40% - 강조색4" xfId="7163"/>
    <cellStyle name="40% - 강조색4 2" xfId="7164"/>
    <cellStyle name="40% - 강조색5" xfId="7165"/>
    <cellStyle name="40% - 강조색5 2" xfId="7166"/>
    <cellStyle name="40% - 강조색6" xfId="7167"/>
    <cellStyle name="40% - 강조색6 2" xfId="7168"/>
    <cellStyle name="60% - Accent1 10" xfId="7169"/>
    <cellStyle name="60% - Accent1 11" xfId="7170"/>
    <cellStyle name="60% - Accent1 12" xfId="7171"/>
    <cellStyle name="60% - Accent1 13" xfId="7172"/>
    <cellStyle name="60% - Accent1 14" xfId="7173"/>
    <cellStyle name="60% - Accent1 15" xfId="7174"/>
    <cellStyle name="60% - Accent1 16" xfId="7175"/>
    <cellStyle name="60% - Accent1 17" xfId="7176"/>
    <cellStyle name="60% - Accent1 18" xfId="7177"/>
    <cellStyle name="60% - Accent1 19" xfId="7178"/>
    <cellStyle name="60% - Accent1 2" xfId="7179"/>
    <cellStyle name="60% - Accent1 2 2" xfId="7180"/>
    <cellStyle name="60% - Accent1 2 2 2" xfId="7181"/>
    <cellStyle name="60% - Accent1 2 3" xfId="7182"/>
    <cellStyle name="60% - Accent1 2 3 2" xfId="7183"/>
    <cellStyle name="60% - Accent1 2 4" xfId="7184"/>
    <cellStyle name="60% - Accent1 2 4 2" xfId="7185"/>
    <cellStyle name="60% - Accent1 2 4 3" xfId="7186"/>
    <cellStyle name="60% - Accent1 2 5" xfId="7187"/>
    <cellStyle name="60% - Accent1 2 6" xfId="7188"/>
    <cellStyle name="60% - Accent1 2 7" xfId="7189"/>
    <cellStyle name="60% - Accent1 2 8" xfId="7190"/>
    <cellStyle name="60% - Accent1 3" xfId="7191"/>
    <cellStyle name="60% - Accent1 3 2" xfId="7192"/>
    <cellStyle name="60% - Accent1 3 2 2" xfId="7193"/>
    <cellStyle name="60% - Accent1 3 2 3" xfId="7194"/>
    <cellStyle name="60% - Accent1 3 3" xfId="7195"/>
    <cellStyle name="60% - Accent1 3 4" xfId="7196"/>
    <cellStyle name="60% - Accent1 3 5" xfId="7197"/>
    <cellStyle name="60% - Accent1 4" xfId="7198"/>
    <cellStyle name="60% - Accent1 4 2" xfId="7199"/>
    <cellStyle name="60% - Accent1 4 2 2" xfId="7200"/>
    <cellStyle name="60% - Accent1 4 2 3" xfId="7201"/>
    <cellStyle name="60% - Accent1 4 3" xfId="7202"/>
    <cellStyle name="60% - Accent1 4 4" xfId="7203"/>
    <cellStyle name="60% - Accent1 4 5" xfId="7204"/>
    <cellStyle name="60% - Accent1 5" xfId="7205"/>
    <cellStyle name="60% - Accent1 5 2" xfId="7206"/>
    <cellStyle name="60% - Accent1 5 2 2" xfId="7207"/>
    <cellStyle name="60% - Accent1 5 2 3" xfId="7208"/>
    <cellStyle name="60% - Accent1 5 3" xfId="7209"/>
    <cellStyle name="60% - Accent1 5 4" xfId="7210"/>
    <cellStyle name="60% - Accent1 5 5" xfId="7211"/>
    <cellStyle name="60% - Accent1 6" xfId="7212"/>
    <cellStyle name="60% - Accent1 6 2" xfId="7213"/>
    <cellStyle name="60% - Accent1 6 3" xfId="7214"/>
    <cellStyle name="60% - Accent1 7" xfId="7215"/>
    <cellStyle name="60% - Accent1 8" xfId="7216"/>
    <cellStyle name="60% - Accent1 9" xfId="7217"/>
    <cellStyle name="60% - Accent2 10" xfId="7218"/>
    <cellStyle name="60% - Accent2 11" xfId="7219"/>
    <cellStyle name="60% - Accent2 12" xfId="7220"/>
    <cellStyle name="60% - Accent2 13" xfId="7221"/>
    <cellStyle name="60% - Accent2 14" xfId="7222"/>
    <cellStyle name="60% - Accent2 15" xfId="7223"/>
    <cellStyle name="60% - Accent2 16" xfId="7224"/>
    <cellStyle name="60% - Accent2 17" xfId="7225"/>
    <cellStyle name="60% - Accent2 18" xfId="7226"/>
    <cellStyle name="60% - Accent2 19" xfId="7227"/>
    <cellStyle name="60% - Accent2 2" xfId="7228"/>
    <cellStyle name="60% - Accent2 2 2" xfId="7229"/>
    <cellStyle name="60% - Accent2 2 2 2" xfId="7230"/>
    <cellStyle name="60% - Accent2 2 3" xfId="7231"/>
    <cellStyle name="60% - Accent2 2 3 2" xfId="7232"/>
    <cellStyle name="60% - Accent2 2 4" xfId="7233"/>
    <cellStyle name="60% - Accent2 2 4 2" xfId="7234"/>
    <cellStyle name="60% - Accent2 2 4 3" xfId="7235"/>
    <cellStyle name="60% - Accent2 2 5" xfId="7236"/>
    <cellStyle name="60% - Accent2 2 6" xfId="7237"/>
    <cellStyle name="60% - Accent2 2 7" xfId="7238"/>
    <cellStyle name="60% - Accent2 2 8" xfId="7239"/>
    <cellStyle name="60% - Accent2 3" xfId="7240"/>
    <cellStyle name="60% - Accent2 3 2" xfId="7241"/>
    <cellStyle name="60% - Accent2 3 2 2" xfId="7242"/>
    <cellStyle name="60% - Accent2 3 2 3" xfId="7243"/>
    <cellStyle name="60% - Accent2 3 3" xfId="7244"/>
    <cellStyle name="60% - Accent2 3 4" xfId="7245"/>
    <cellStyle name="60% - Accent2 3 5" xfId="7246"/>
    <cellStyle name="60% - Accent2 4" xfId="7247"/>
    <cellStyle name="60% - Accent2 4 2" xfId="7248"/>
    <cellStyle name="60% - Accent2 4 2 2" xfId="7249"/>
    <cellStyle name="60% - Accent2 4 2 3" xfId="7250"/>
    <cellStyle name="60% - Accent2 4 3" xfId="7251"/>
    <cellStyle name="60% - Accent2 4 4" xfId="7252"/>
    <cellStyle name="60% - Accent2 4 5" xfId="7253"/>
    <cellStyle name="60% - Accent2 5" xfId="7254"/>
    <cellStyle name="60% - Accent2 5 2" xfId="7255"/>
    <cellStyle name="60% - Accent2 5 2 2" xfId="7256"/>
    <cellStyle name="60% - Accent2 5 2 3" xfId="7257"/>
    <cellStyle name="60% - Accent2 5 3" xfId="7258"/>
    <cellStyle name="60% - Accent2 5 4" xfId="7259"/>
    <cellStyle name="60% - Accent2 5 5" xfId="7260"/>
    <cellStyle name="60% - Accent2 6" xfId="7261"/>
    <cellStyle name="60% - Accent2 6 2" xfId="7262"/>
    <cellStyle name="60% - Accent2 6 3" xfId="7263"/>
    <cellStyle name="60% - Accent2 7" xfId="7264"/>
    <cellStyle name="60% - Accent2 8" xfId="7265"/>
    <cellStyle name="60% - Accent2 9" xfId="7266"/>
    <cellStyle name="60% - Accent3 10" xfId="7267"/>
    <cellStyle name="60% - Accent3 11" xfId="7268"/>
    <cellStyle name="60% - Accent3 12" xfId="7269"/>
    <cellStyle name="60% - Accent3 13" xfId="7270"/>
    <cellStyle name="60% - Accent3 14" xfId="7271"/>
    <cellStyle name="60% - Accent3 15" xfId="7272"/>
    <cellStyle name="60% - Accent3 16" xfId="7273"/>
    <cellStyle name="60% - Accent3 17" xfId="7274"/>
    <cellStyle name="60% - Accent3 18" xfId="7275"/>
    <cellStyle name="60% - Accent3 19" xfId="7276"/>
    <cellStyle name="60% - Accent3 2" xfId="7277"/>
    <cellStyle name="60% - Accent3 2 2" xfId="7278"/>
    <cellStyle name="60% - Accent3 2 2 2" xfId="7279"/>
    <cellStyle name="60% - Accent3 2 3" xfId="7280"/>
    <cellStyle name="60% - Accent3 2 3 2" xfId="7281"/>
    <cellStyle name="60% - Accent3 2 4" xfId="7282"/>
    <cellStyle name="60% - Accent3 2 4 2" xfId="7283"/>
    <cellStyle name="60% - Accent3 2 4 3" xfId="7284"/>
    <cellStyle name="60% - Accent3 2 5" xfId="7285"/>
    <cellStyle name="60% - Accent3 2 6" xfId="7286"/>
    <cellStyle name="60% - Accent3 2 7" xfId="7287"/>
    <cellStyle name="60% - Accent3 2 8" xfId="7288"/>
    <cellStyle name="60% - Accent3 3" xfId="7289"/>
    <cellStyle name="60% - Accent3 3 2" xfId="7290"/>
    <cellStyle name="60% - Accent3 3 2 2" xfId="7291"/>
    <cellStyle name="60% - Accent3 3 2 3" xfId="7292"/>
    <cellStyle name="60% - Accent3 3 3" xfId="7293"/>
    <cellStyle name="60% - Accent3 3 4" xfId="7294"/>
    <cellStyle name="60% - Accent3 3 5" xfId="7295"/>
    <cellStyle name="60% - Accent3 4" xfId="7296"/>
    <cellStyle name="60% - Accent3 4 2" xfId="7297"/>
    <cellStyle name="60% - Accent3 4 2 2" xfId="7298"/>
    <cellStyle name="60% - Accent3 4 2 3" xfId="7299"/>
    <cellStyle name="60% - Accent3 4 3" xfId="7300"/>
    <cellStyle name="60% - Accent3 4 4" xfId="7301"/>
    <cellStyle name="60% - Accent3 4 5" xfId="7302"/>
    <cellStyle name="60% - Accent3 5" xfId="7303"/>
    <cellStyle name="60% - Accent3 5 2" xfId="7304"/>
    <cellStyle name="60% - Accent3 5 2 2" xfId="7305"/>
    <cellStyle name="60% - Accent3 5 2 3" xfId="7306"/>
    <cellStyle name="60% - Accent3 5 3" xfId="7307"/>
    <cellStyle name="60% - Accent3 5 4" xfId="7308"/>
    <cellStyle name="60% - Accent3 5 5" xfId="7309"/>
    <cellStyle name="60% - Accent3 6" xfId="7310"/>
    <cellStyle name="60% - Accent3 6 2" xfId="7311"/>
    <cellStyle name="60% - Accent3 6 3" xfId="7312"/>
    <cellStyle name="60% - Accent3 7" xfId="7313"/>
    <cellStyle name="60% - Accent3 8" xfId="7314"/>
    <cellStyle name="60% - Accent3 9" xfId="7315"/>
    <cellStyle name="60% - Accent4 10" xfId="7316"/>
    <cellStyle name="60% - Accent4 11" xfId="7317"/>
    <cellStyle name="60% - Accent4 12" xfId="7318"/>
    <cellStyle name="60% - Accent4 13" xfId="7319"/>
    <cellStyle name="60% - Accent4 14" xfId="7320"/>
    <cellStyle name="60% - Accent4 15" xfId="7321"/>
    <cellStyle name="60% - Accent4 16" xfId="7322"/>
    <cellStyle name="60% - Accent4 17" xfId="7323"/>
    <cellStyle name="60% - Accent4 18" xfId="7324"/>
    <cellStyle name="60% - Accent4 19" xfId="7325"/>
    <cellStyle name="60% - Accent4 2" xfId="7326"/>
    <cellStyle name="60% - Accent4 2 2" xfId="7327"/>
    <cellStyle name="60% - Accent4 2 2 2" xfId="7328"/>
    <cellStyle name="60% - Accent4 2 3" xfId="7329"/>
    <cellStyle name="60% - Accent4 2 3 2" xfId="7330"/>
    <cellStyle name="60% - Accent4 2 4" xfId="7331"/>
    <cellStyle name="60% - Accent4 2 4 2" xfId="7332"/>
    <cellStyle name="60% - Accent4 2 4 3" xfId="7333"/>
    <cellStyle name="60% - Accent4 2 5" xfId="7334"/>
    <cellStyle name="60% - Accent4 2 6" xfId="7335"/>
    <cellStyle name="60% - Accent4 2 7" xfId="7336"/>
    <cellStyle name="60% - Accent4 2 8" xfId="7337"/>
    <cellStyle name="60% - Accent4 3" xfId="7338"/>
    <cellStyle name="60% - Accent4 3 2" xfId="7339"/>
    <cellStyle name="60% - Accent4 3 2 2" xfId="7340"/>
    <cellStyle name="60% - Accent4 3 2 3" xfId="7341"/>
    <cellStyle name="60% - Accent4 3 3" xfId="7342"/>
    <cellStyle name="60% - Accent4 3 4" xfId="7343"/>
    <cellStyle name="60% - Accent4 3 5" xfId="7344"/>
    <cellStyle name="60% - Accent4 4" xfId="7345"/>
    <cellStyle name="60% - Accent4 4 2" xfId="7346"/>
    <cellStyle name="60% - Accent4 4 2 2" xfId="7347"/>
    <cellStyle name="60% - Accent4 4 2 3" xfId="7348"/>
    <cellStyle name="60% - Accent4 4 3" xfId="7349"/>
    <cellStyle name="60% - Accent4 4 4" xfId="7350"/>
    <cellStyle name="60% - Accent4 4 5" xfId="7351"/>
    <cellStyle name="60% - Accent4 5" xfId="7352"/>
    <cellStyle name="60% - Accent4 5 2" xfId="7353"/>
    <cellStyle name="60% - Accent4 5 2 2" xfId="7354"/>
    <cellStyle name="60% - Accent4 5 2 3" xfId="7355"/>
    <cellStyle name="60% - Accent4 5 3" xfId="7356"/>
    <cellStyle name="60% - Accent4 5 4" xfId="7357"/>
    <cellStyle name="60% - Accent4 5 5" xfId="7358"/>
    <cellStyle name="60% - Accent4 6" xfId="7359"/>
    <cellStyle name="60% - Accent4 6 2" xfId="7360"/>
    <cellStyle name="60% - Accent4 6 3" xfId="7361"/>
    <cellStyle name="60% - Accent4 7" xfId="7362"/>
    <cellStyle name="60% - Accent4 8" xfId="7363"/>
    <cellStyle name="60% - Accent4 9" xfId="7364"/>
    <cellStyle name="60% - Accent5 10" xfId="7365"/>
    <cellStyle name="60% - Accent5 11" xfId="7366"/>
    <cellStyle name="60% - Accent5 12" xfId="7367"/>
    <cellStyle name="60% - Accent5 13" xfId="7368"/>
    <cellStyle name="60% - Accent5 14" xfId="7369"/>
    <cellStyle name="60% - Accent5 15" xfId="7370"/>
    <cellStyle name="60% - Accent5 16" xfId="7371"/>
    <cellStyle name="60% - Accent5 17" xfId="7372"/>
    <cellStyle name="60% - Accent5 18" xfId="7373"/>
    <cellStyle name="60% - Accent5 19" xfId="7374"/>
    <cellStyle name="60% - Accent5 2" xfId="7375"/>
    <cellStyle name="60% - Accent5 2 2" xfId="7376"/>
    <cellStyle name="60% - Accent5 2 2 2" xfId="7377"/>
    <cellStyle name="60% - Accent5 2 3" xfId="7378"/>
    <cellStyle name="60% - Accent5 2 3 2" xfId="7379"/>
    <cellStyle name="60% - Accent5 2 4" xfId="7380"/>
    <cellStyle name="60% - Accent5 2 4 2" xfId="7381"/>
    <cellStyle name="60% - Accent5 2 4 3" xfId="7382"/>
    <cellStyle name="60% - Accent5 2 5" xfId="7383"/>
    <cellStyle name="60% - Accent5 2 6" xfId="7384"/>
    <cellStyle name="60% - Accent5 2 7" xfId="7385"/>
    <cellStyle name="60% - Accent5 2 8" xfId="7386"/>
    <cellStyle name="60% - Accent5 3" xfId="7387"/>
    <cellStyle name="60% - Accent5 3 2" xfId="7388"/>
    <cellStyle name="60% - Accent5 3 2 2" xfId="7389"/>
    <cellStyle name="60% - Accent5 3 2 3" xfId="7390"/>
    <cellStyle name="60% - Accent5 3 3" xfId="7391"/>
    <cellStyle name="60% - Accent5 3 4" xfId="7392"/>
    <cellStyle name="60% - Accent5 3 5" xfId="7393"/>
    <cellStyle name="60% - Accent5 4" xfId="7394"/>
    <cellStyle name="60% - Accent5 4 2" xfId="7395"/>
    <cellStyle name="60% - Accent5 4 2 2" xfId="7396"/>
    <cellStyle name="60% - Accent5 4 2 3" xfId="7397"/>
    <cellStyle name="60% - Accent5 4 3" xfId="7398"/>
    <cellStyle name="60% - Accent5 4 4" xfId="7399"/>
    <cellStyle name="60% - Accent5 4 5" xfId="7400"/>
    <cellStyle name="60% - Accent5 5" xfId="7401"/>
    <cellStyle name="60% - Accent5 5 2" xfId="7402"/>
    <cellStyle name="60% - Accent5 5 2 2" xfId="7403"/>
    <cellStyle name="60% - Accent5 5 2 3" xfId="7404"/>
    <cellStyle name="60% - Accent5 5 3" xfId="7405"/>
    <cellStyle name="60% - Accent5 5 4" xfId="7406"/>
    <cellStyle name="60% - Accent5 5 5" xfId="7407"/>
    <cellStyle name="60% - Accent5 6" xfId="7408"/>
    <cellStyle name="60% - Accent5 6 2" xfId="7409"/>
    <cellStyle name="60% - Accent5 6 3" xfId="7410"/>
    <cellStyle name="60% - Accent5 7" xfId="7411"/>
    <cellStyle name="60% - Accent5 8" xfId="7412"/>
    <cellStyle name="60% - Accent5 9" xfId="7413"/>
    <cellStyle name="60% - Accent6 10" xfId="7414"/>
    <cellStyle name="60% - Accent6 11" xfId="7415"/>
    <cellStyle name="60% - Accent6 12" xfId="7416"/>
    <cellStyle name="60% - Accent6 13" xfId="7417"/>
    <cellStyle name="60% - Accent6 14" xfId="7418"/>
    <cellStyle name="60% - Accent6 15" xfId="7419"/>
    <cellStyle name="60% - Accent6 16" xfId="7420"/>
    <cellStyle name="60% - Accent6 17" xfId="7421"/>
    <cellStyle name="60% - Accent6 18" xfId="7422"/>
    <cellStyle name="60% - Accent6 19" xfId="7423"/>
    <cellStyle name="60% - Accent6 2" xfId="7424"/>
    <cellStyle name="60% - Accent6 2 10" xfId="7425"/>
    <cellStyle name="60% - Accent6 2 10 2" xfId="7426"/>
    <cellStyle name="60% - Accent6 2 11" xfId="7427"/>
    <cellStyle name="60% - Accent6 2 11 2" xfId="7428"/>
    <cellStyle name="60% - Accent6 2 12" xfId="7429"/>
    <cellStyle name="60% - Accent6 2 12 10" xfId="7430"/>
    <cellStyle name="60% - Accent6 2 12 10 2" xfId="7431"/>
    <cellStyle name="60% - Accent6 2 12 11" xfId="7432"/>
    <cellStyle name="60% - Accent6 2 12 2" xfId="7433"/>
    <cellStyle name="60% - Accent6 2 12 2 2" xfId="7434"/>
    <cellStyle name="60% - Accent6 2 12 3" xfId="7435"/>
    <cellStyle name="60% - Accent6 2 12 3 2" xfId="7436"/>
    <cellStyle name="60% - Accent6 2 12 4" xfId="7437"/>
    <cellStyle name="60% - Accent6 2 12 4 2" xfId="7438"/>
    <cellStyle name="60% - Accent6 2 12 5" xfId="7439"/>
    <cellStyle name="60% - Accent6 2 12 5 2" xfId="7440"/>
    <cellStyle name="60% - Accent6 2 12 6" xfId="7441"/>
    <cellStyle name="60% - Accent6 2 12 6 2" xfId="7442"/>
    <cellStyle name="60% - Accent6 2 12 7" xfId="7443"/>
    <cellStyle name="60% - Accent6 2 12 7 2" xfId="7444"/>
    <cellStyle name="60% - Accent6 2 12 8" xfId="7445"/>
    <cellStyle name="60% - Accent6 2 12 8 2" xfId="7446"/>
    <cellStyle name="60% - Accent6 2 12 9" xfId="7447"/>
    <cellStyle name="60% - Accent6 2 12 9 2" xfId="7448"/>
    <cellStyle name="60% - Accent6 2 13" xfId="7449"/>
    <cellStyle name="60% - Accent6 2 13 2" xfId="7450"/>
    <cellStyle name="60% - Accent6 2 14" xfId="7451"/>
    <cellStyle name="60% - Accent6 2 14 2" xfId="7452"/>
    <cellStyle name="60% - Accent6 2 15" xfId="7453"/>
    <cellStyle name="60% - Accent6 2 15 2" xfId="7454"/>
    <cellStyle name="60% - Accent6 2 16" xfId="7455"/>
    <cellStyle name="60% - Accent6 2 16 2" xfId="7456"/>
    <cellStyle name="60% - Accent6 2 17" xfId="7457"/>
    <cellStyle name="60% - Accent6 2 17 2" xfId="7458"/>
    <cellStyle name="60% - Accent6 2 18" xfId="7459"/>
    <cellStyle name="60% - Accent6 2 18 2" xfId="7460"/>
    <cellStyle name="60% - Accent6 2 19" xfId="7461"/>
    <cellStyle name="60% - Accent6 2 19 2" xfId="7462"/>
    <cellStyle name="60% - Accent6 2 2" xfId="7463"/>
    <cellStyle name="60% - Accent6 2 2 10" xfId="7464"/>
    <cellStyle name="60% - Accent6 2 2 10 2" xfId="7465"/>
    <cellStyle name="60% - Accent6 2 2 11" xfId="7466"/>
    <cellStyle name="60% - Accent6 2 2 11 2" xfId="7467"/>
    <cellStyle name="60% - Accent6 2 2 12" xfId="7468"/>
    <cellStyle name="60% - Accent6 2 2 12 10" xfId="7469"/>
    <cellStyle name="60% - Accent6 2 2 12 10 2" xfId="7470"/>
    <cellStyle name="60% - Accent6 2 2 12 11" xfId="7471"/>
    <cellStyle name="60% - Accent6 2 2 12 2" xfId="7472"/>
    <cellStyle name="60% - Accent6 2 2 12 2 2" xfId="7473"/>
    <cellStyle name="60% - Accent6 2 2 12 3" xfId="7474"/>
    <cellStyle name="60% - Accent6 2 2 12 3 2" xfId="7475"/>
    <cellStyle name="60% - Accent6 2 2 12 4" xfId="7476"/>
    <cellStyle name="60% - Accent6 2 2 12 4 2" xfId="7477"/>
    <cellStyle name="60% - Accent6 2 2 12 5" xfId="7478"/>
    <cellStyle name="60% - Accent6 2 2 12 5 2" xfId="7479"/>
    <cellStyle name="60% - Accent6 2 2 12 6" xfId="7480"/>
    <cellStyle name="60% - Accent6 2 2 12 6 2" xfId="7481"/>
    <cellStyle name="60% - Accent6 2 2 12 7" xfId="7482"/>
    <cellStyle name="60% - Accent6 2 2 12 7 2" xfId="7483"/>
    <cellStyle name="60% - Accent6 2 2 12 8" xfId="7484"/>
    <cellStyle name="60% - Accent6 2 2 12 8 2" xfId="7485"/>
    <cellStyle name="60% - Accent6 2 2 12 9" xfId="7486"/>
    <cellStyle name="60% - Accent6 2 2 12 9 2" xfId="7487"/>
    <cellStyle name="60% - Accent6 2 2 13" xfId="7488"/>
    <cellStyle name="60% - Accent6 2 2 13 2" xfId="7489"/>
    <cellStyle name="60% - Accent6 2 2 14" xfId="7490"/>
    <cellStyle name="60% - Accent6 2 2 14 2" xfId="7491"/>
    <cellStyle name="60% - Accent6 2 2 15" xfId="7492"/>
    <cellStyle name="60% - Accent6 2 2 15 2" xfId="7493"/>
    <cellStyle name="60% - Accent6 2 2 16" xfId="7494"/>
    <cellStyle name="60% - Accent6 2 2 16 2" xfId="7495"/>
    <cellStyle name="60% - Accent6 2 2 17" xfId="7496"/>
    <cellStyle name="60% - Accent6 2 2 17 2" xfId="7497"/>
    <cellStyle name="60% - Accent6 2 2 18" xfId="7498"/>
    <cellStyle name="60% - Accent6 2 2 18 2" xfId="7499"/>
    <cellStyle name="60% - Accent6 2 2 19" xfId="7500"/>
    <cellStyle name="60% - Accent6 2 2 19 2" xfId="7501"/>
    <cellStyle name="60% - Accent6 2 2 2" xfId="7502"/>
    <cellStyle name="60% - Accent6 2 2 2 10" xfId="7503"/>
    <cellStyle name="60% - Accent6 2 2 2 10 2" xfId="7504"/>
    <cellStyle name="60% - Accent6 2 2 2 11" xfId="7505"/>
    <cellStyle name="60% - Accent6 2 2 2 11 2" xfId="7506"/>
    <cellStyle name="60% - Accent6 2 2 2 12" xfId="7507"/>
    <cellStyle name="60% - Accent6 2 2 2 13" xfId="7508"/>
    <cellStyle name="60% - Accent6 2 2 2 2" xfId="7509"/>
    <cellStyle name="60% - Accent6 2 2 2 2 10" xfId="7510"/>
    <cellStyle name="60% - Accent6 2 2 2 2 10 2" xfId="7511"/>
    <cellStyle name="60% - Accent6 2 2 2 2 11" xfId="7512"/>
    <cellStyle name="60% - Accent6 2 2 2 2 12" xfId="7513"/>
    <cellStyle name="60% - Accent6 2 2 2 2 2" xfId="7514"/>
    <cellStyle name="60% - Accent6 2 2 2 2 2 2" xfId="7515"/>
    <cellStyle name="60% - Accent6 2 2 2 2 2 3" xfId="7516"/>
    <cellStyle name="60% - Accent6 2 2 2 2 2 4" xfId="7517"/>
    <cellStyle name="60% - Accent6 2 2 2 2 3" xfId="7518"/>
    <cellStyle name="60% - Accent6 2 2 2 2 3 2" xfId="7519"/>
    <cellStyle name="60% - Accent6 2 2 2 2 4" xfId="7520"/>
    <cellStyle name="60% - Accent6 2 2 2 2 4 2" xfId="7521"/>
    <cellStyle name="60% - Accent6 2 2 2 2 5" xfId="7522"/>
    <cellStyle name="60% - Accent6 2 2 2 2 5 2" xfId="7523"/>
    <cellStyle name="60% - Accent6 2 2 2 2 6" xfId="7524"/>
    <cellStyle name="60% - Accent6 2 2 2 2 6 2" xfId="7525"/>
    <cellStyle name="60% - Accent6 2 2 2 2 7" xfId="7526"/>
    <cellStyle name="60% - Accent6 2 2 2 2 7 2" xfId="7527"/>
    <cellStyle name="60% - Accent6 2 2 2 2 8" xfId="7528"/>
    <cellStyle name="60% - Accent6 2 2 2 2 8 2" xfId="7529"/>
    <cellStyle name="60% - Accent6 2 2 2 2 9" xfId="7530"/>
    <cellStyle name="60% - Accent6 2 2 2 2 9 2" xfId="7531"/>
    <cellStyle name="60% - Accent6 2 2 2 3" xfId="7532"/>
    <cellStyle name="60% - Accent6 2 2 2 3 2" xfId="7533"/>
    <cellStyle name="60% - Accent6 2 2 2 4" xfId="7534"/>
    <cellStyle name="60% - Accent6 2 2 2 4 2" xfId="7535"/>
    <cellStyle name="60% - Accent6 2 2 2 5" xfId="7536"/>
    <cellStyle name="60% - Accent6 2 2 2 5 2" xfId="7537"/>
    <cellStyle name="60% - Accent6 2 2 2 6" xfId="7538"/>
    <cellStyle name="60% - Accent6 2 2 2 6 2" xfId="7539"/>
    <cellStyle name="60% - Accent6 2 2 2 7" xfId="7540"/>
    <cellStyle name="60% - Accent6 2 2 2 7 2" xfId="7541"/>
    <cellStyle name="60% - Accent6 2 2 2 8" xfId="7542"/>
    <cellStyle name="60% - Accent6 2 2 2 8 2" xfId="7543"/>
    <cellStyle name="60% - Accent6 2 2 2 9" xfId="7544"/>
    <cellStyle name="60% - Accent6 2 2 2 9 2" xfId="7545"/>
    <cellStyle name="60% - Accent6 2 2 20" xfId="7546"/>
    <cellStyle name="60% - Accent6 2 2 20 2" xfId="7547"/>
    <cellStyle name="60% - Accent6 2 2 21" xfId="7548"/>
    <cellStyle name="60% - Accent6 2 2 22" xfId="7549"/>
    <cellStyle name="60% - Accent6 2 2 3" xfId="7550"/>
    <cellStyle name="60% - Accent6 2 2 3 2" xfId="7551"/>
    <cellStyle name="60% - Accent6 2 2 4" xfId="7552"/>
    <cellStyle name="60% - Accent6 2 2 4 2" xfId="7553"/>
    <cellStyle name="60% - Accent6 2 2 5" xfId="7554"/>
    <cellStyle name="60% - Accent6 2 2 5 2" xfId="7555"/>
    <cellStyle name="60% - Accent6 2 2 6" xfId="7556"/>
    <cellStyle name="60% - Accent6 2 2 6 2" xfId="7557"/>
    <cellStyle name="60% - Accent6 2 2 7" xfId="7558"/>
    <cellStyle name="60% - Accent6 2 2 7 2" xfId="7559"/>
    <cellStyle name="60% - Accent6 2 2 8" xfId="7560"/>
    <cellStyle name="60% - Accent6 2 2 8 2" xfId="7561"/>
    <cellStyle name="60% - Accent6 2 2 9" xfId="7562"/>
    <cellStyle name="60% - Accent6 2 2 9 2" xfId="7563"/>
    <cellStyle name="60% - Accent6 2 20" xfId="7564"/>
    <cellStyle name="60% - Accent6 2 20 2" xfId="7565"/>
    <cellStyle name="60% - Accent6 2 21" xfId="7566"/>
    <cellStyle name="60% - Accent6 2 21 2" xfId="7567"/>
    <cellStyle name="60% - Accent6 2 21 3" xfId="7568"/>
    <cellStyle name="60% - Accent6 2 22" xfId="7569"/>
    <cellStyle name="60% - Accent6 2 23" xfId="7570"/>
    <cellStyle name="60% - Accent6 2 24" xfId="7571"/>
    <cellStyle name="60% - Accent6 2 25" xfId="7572"/>
    <cellStyle name="60% - Accent6 2 3" xfId="7573"/>
    <cellStyle name="60% - Accent6 2 3 2" xfId="7574"/>
    <cellStyle name="60% - Accent6 2 4" xfId="7575"/>
    <cellStyle name="60% - Accent6 2 4 2" xfId="7576"/>
    <cellStyle name="60% - Accent6 2 5" xfId="7577"/>
    <cellStyle name="60% - Accent6 2 5 2" xfId="7578"/>
    <cellStyle name="60% - Accent6 2 6" xfId="7579"/>
    <cellStyle name="60% - Accent6 2 6 2" xfId="7580"/>
    <cellStyle name="60% - Accent6 2 7" xfId="7581"/>
    <cellStyle name="60% - Accent6 2 7 2" xfId="7582"/>
    <cellStyle name="60% - Accent6 2 8" xfId="7583"/>
    <cellStyle name="60% - Accent6 2 8 2" xfId="7584"/>
    <cellStyle name="60% - Accent6 2 9" xfId="7585"/>
    <cellStyle name="60% - Accent6 2 9 2" xfId="7586"/>
    <cellStyle name="60% - Accent6 3" xfId="7587"/>
    <cellStyle name="60% - Accent6 3 2" xfId="7588"/>
    <cellStyle name="60% - Accent6 3 2 2" xfId="7589"/>
    <cellStyle name="60% - Accent6 3 2 3" xfId="7590"/>
    <cellStyle name="60% - Accent6 3 3" xfId="7591"/>
    <cellStyle name="60% - Accent6 3 4" xfId="7592"/>
    <cellStyle name="60% - Accent6 3 5" xfId="7593"/>
    <cellStyle name="60% - Accent6 4" xfId="7594"/>
    <cellStyle name="60% - Accent6 4 2" xfId="7595"/>
    <cellStyle name="60% - Accent6 4 2 2" xfId="7596"/>
    <cellStyle name="60% - Accent6 4 2 3" xfId="7597"/>
    <cellStyle name="60% - Accent6 4 3" xfId="7598"/>
    <cellStyle name="60% - Accent6 4 4" xfId="7599"/>
    <cellStyle name="60% - Accent6 4 5" xfId="7600"/>
    <cellStyle name="60% - Accent6 5" xfId="7601"/>
    <cellStyle name="60% - Accent6 5 2" xfId="7602"/>
    <cellStyle name="60% - Accent6 5 2 2" xfId="7603"/>
    <cellStyle name="60% - Accent6 5 2 3" xfId="7604"/>
    <cellStyle name="60% - Accent6 5 3" xfId="7605"/>
    <cellStyle name="60% - Accent6 5 4" xfId="7606"/>
    <cellStyle name="60% - Accent6 5 5" xfId="7607"/>
    <cellStyle name="60% - Accent6 6" xfId="7608"/>
    <cellStyle name="60% - Accent6 6 2" xfId="7609"/>
    <cellStyle name="60% - Accent6 6 3" xfId="7610"/>
    <cellStyle name="60% - Accent6 7" xfId="7611"/>
    <cellStyle name="60% - Accent6 8" xfId="7612"/>
    <cellStyle name="60% - Accent6 9" xfId="7613"/>
    <cellStyle name="60% - Ênfase1" xfId="7614"/>
    <cellStyle name="60% - Ênfase2" xfId="7615"/>
    <cellStyle name="60% - Ênfase3" xfId="7616"/>
    <cellStyle name="60% - Ênfase4" xfId="7617"/>
    <cellStyle name="60% - Ênfase5" xfId="7618"/>
    <cellStyle name="60% - Ênfase6" xfId="7619"/>
    <cellStyle name="60% - Énfasis1" xfId="7620"/>
    <cellStyle name="60% - Énfasis2" xfId="7621"/>
    <cellStyle name="60% - Énfasis3" xfId="7622"/>
    <cellStyle name="60% - Énfasis4" xfId="7623"/>
    <cellStyle name="60% - Énfasis5" xfId="7624"/>
    <cellStyle name="60% - Énfasis6" xfId="7625"/>
    <cellStyle name="60% - 강조색1" xfId="7626"/>
    <cellStyle name="60% - 강조색1 2" xfId="7627"/>
    <cellStyle name="60% - 강조색2" xfId="7628"/>
    <cellStyle name="60% - 강조색2 2" xfId="7629"/>
    <cellStyle name="60% - 강조색3" xfId="7630"/>
    <cellStyle name="60% - 강조색3 2" xfId="7631"/>
    <cellStyle name="60% - 강조색4" xfId="7632"/>
    <cellStyle name="60% - 강조색4 2" xfId="7633"/>
    <cellStyle name="60% - 강조색5" xfId="7634"/>
    <cellStyle name="60% - 강조색5 2" xfId="7635"/>
    <cellStyle name="60% - 강조색6" xfId="7636"/>
    <cellStyle name="60% - 강조색6 2" xfId="7637"/>
    <cellStyle name="752131" xfId="7638"/>
    <cellStyle name="A3 297 x 420 mm" xfId="7639"/>
    <cellStyle name="aa" xfId="16347"/>
    <cellStyle name="aaaa" xfId="16348"/>
    <cellStyle name="Accent1 10" xfId="7640"/>
    <cellStyle name="Accent1 11" xfId="7641"/>
    <cellStyle name="Accent1 12" xfId="7642"/>
    <cellStyle name="Accent1 13" xfId="7643"/>
    <cellStyle name="Accent1 14" xfId="7644"/>
    <cellStyle name="Accent1 15" xfId="7645"/>
    <cellStyle name="Accent1 16" xfId="7646"/>
    <cellStyle name="Accent1 17" xfId="7647"/>
    <cellStyle name="Accent1 18" xfId="7648"/>
    <cellStyle name="Accent1 19" xfId="7649"/>
    <cellStyle name="Accent1 2" xfId="7650"/>
    <cellStyle name="Accent1 2 10" xfId="7651"/>
    <cellStyle name="Accent1 2 10 2" xfId="7652"/>
    <cellStyle name="Accent1 2 11" xfId="7653"/>
    <cellStyle name="Accent1 2 11 2" xfId="7654"/>
    <cellStyle name="Accent1 2 12" xfId="7655"/>
    <cellStyle name="Accent1 2 12 10" xfId="7656"/>
    <cellStyle name="Accent1 2 12 10 2" xfId="7657"/>
    <cellStyle name="Accent1 2 12 11" xfId="7658"/>
    <cellStyle name="Accent1 2 12 2" xfId="7659"/>
    <cellStyle name="Accent1 2 12 2 2" xfId="7660"/>
    <cellStyle name="Accent1 2 12 3" xfId="7661"/>
    <cellStyle name="Accent1 2 12 3 2" xfId="7662"/>
    <cellStyle name="Accent1 2 12 4" xfId="7663"/>
    <cellStyle name="Accent1 2 12 4 2" xfId="7664"/>
    <cellStyle name="Accent1 2 12 5" xfId="7665"/>
    <cellStyle name="Accent1 2 12 5 2" xfId="7666"/>
    <cellStyle name="Accent1 2 12 6" xfId="7667"/>
    <cellStyle name="Accent1 2 12 6 2" xfId="7668"/>
    <cellStyle name="Accent1 2 12 7" xfId="7669"/>
    <cellStyle name="Accent1 2 12 7 2" xfId="7670"/>
    <cellStyle name="Accent1 2 12 8" xfId="7671"/>
    <cellStyle name="Accent1 2 12 8 2" xfId="7672"/>
    <cellStyle name="Accent1 2 12 9" xfId="7673"/>
    <cellStyle name="Accent1 2 12 9 2" xfId="7674"/>
    <cellStyle name="Accent1 2 13" xfId="7675"/>
    <cellStyle name="Accent1 2 13 2" xfId="7676"/>
    <cellStyle name="Accent1 2 14" xfId="7677"/>
    <cellStyle name="Accent1 2 14 2" xfId="7678"/>
    <cellStyle name="Accent1 2 15" xfId="7679"/>
    <cellStyle name="Accent1 2 15 2" xfId="7680"/>
    <cellStyle name="Accent1 2 16" xfId="7681"/>
    <cellStyle name="Accent1 2 16 2" xfId="7682"/>
    <cellStyle name="Accent1 2 17" xfId="7683"/>
    <cellStyle name="Accent1 2 17 2" xfId="7684"/>
    <cellStyle name="Accent1 2 18" xfId="7685"/>
    <cellStyle name="Accent1 2 18 2" xfId="7686"/>
    <cellStyle name="Accent1 2 19" xfId="7687"/>
    <cellStyle name="Accent1 2 19 2" xfId="7688"/>
    <cellStyle name="Accent1 2 2" xfId="7689"/>
    <cellStyle name="Accent1 2 2 10" xfId="7690"/>
    <cellStyle name="Accent1 2 2 10 2" xfId="7691"/>
    <cellStyle name="Accent1 2 2 11" xfId="7692"/>
    <cellStyle name="Accent1 2 2 11 2" xfId="7693"/>
    <cellStyle name="Accent1 2 2 12" xfId="7694"/>
    <cellStyle name="Accent1 2 2 12 10" xfId="7695"/>
    <cellStyle name="Accent1 2 2 12 10 2" xfId="7696"/>
    <cellStyle name="Accent1 2 2 12 11" xfId="7697"/>
    <cellStyle name="Accent1 2 2 12 2" xfId="7698"/>
    <cellStyle name="Accent1 2 2 12 2 2" xfId="7699"/>
    <cellStyle name="Accent1 2 2 12 3" xfId="7700"/>
    <cellStyle name="Accent1 2 2 12 3 2" xfId="7701"/>
    <cellStyle name="Accent1 2 2 12 4" xfId="7702"/>
    <cellStyle name="Accent1 2 2 12 4 2" xfId="7703"/>
    <cellStyle name="Accent1 2 2 12 5" xfId="7704"/>
    <cellStyle name="Accent1 2 2 12 5 2" xfId="7705"/>
    <cellStyle name="Accent1 2 2 12 6" xfId="7706"/>
    <cellStyle name="Accent1 2 2 12 6 2" xfId="7707"/>
    <cellStyle name="Accent1 2 2 12 7" xfId="7708"/>
    <cellStyle name="Accent1 2 2 12 7 2" xfId="7709"/>
    <cellStyle name="Accent1 2 2 12 8" xfId="7710"/>
    <cellStyle name="Accent1 2 2 12 8 2" xfId="7711"/>
    <cellStyle name="Accent1 2 2 12 9" xfId="7712"/>
    <cellStyle name="Accent1 2 2 12 9 2" xfId="7713"/>
    <cellStyle name="Accent1 2 2 13" xfId="7714"/>
    <cellStyle name="Accent1 2 2 13 2" xfId="7715"/>
    <cellStyle name="Accent1 2 2 14" xfId="7716"/>
    <cellStyle name="Accent1 2 2 14 2" xfId="7717"/>
    <cellStyle name="Accent1 2 2 15" xfId="7718"/>
    <cellStyle name="Accent1 2 2 15 2" xfId="7719"/>
    <cellStyle name="Accent1 2 2 16" xfId="7720"/>
    <cellStyle name="Accent1 2 2 16 2" xfId="7721"/>
    <cellStyle name="Accent1 2 2 17" xfId="7722"/>
    <cellStyle name="Accent1 2 2 17 2" xfId="7723"/>
    <cellStyle name="Accent1 2 2 18" xfId="7724"/>
    <cellStyle name="Accent1 2 2 18 2" xfId="7725"/>
    <cellStyle name="Accent1 2 2 19" xfId="7726"/>
    <cellStyle name="Accent1 2 2 19 2" xfId="7727"/>
    <cellStyle name="Accent1 2 2 2" xfId="7728"/>
    <cellStyle name="Accent1 2 2 2 10" xfId="7729"/>
    <cellStyle name="Accent1 2 2 2 10 2" xfId="7730"/>
    <cellStyle name="Accent1 2 2 2 11" xfId="7731"/>
    <cellStyle name="Accent1 2 2 2 11 2" xfId="7732"/>
    <cellStyle name="Accent1 2 2 2 12" xfId="7733"/>
    <cellStyle name="Accent1 2 2 2 13" xfId="7734"/>
    <cellStyle name="Accent1 2 2 2 2" xfId="7735"/>
    <cellStyle name="Accent1 2 2 2 2 10" xfId="7736"/>
    <cellStyle name="Accent1 2 2 2 2 10 2" xfId="7737"/>
    <cellStyle name="Accent1 2 2 2 2 11" xfId="7738"/>
    <cellStyle name="Accent1 2 2 2 2 12" xfId="7739"/>
    <cellStyle name="Accent1 2 2 2 2 2" xfId="7740"/>
    <cellStyle name="Accent1 2 2 2 2 2 2" xfId="7741"/>
    <cellStyle name="Accent1 2 2 2 2 2 3" xfId="7742"/>
    <cellStyle name="Accent1 2 2 2 2 2 4" xfId="7743"/>
    <cellStyle name="Accent1 2 2 2 2 3" xfId="7744"/>
    <cellStyle name="Accent1 2 2 2 2 3 2" xfId="7745"/>
    <cellStyle name="Accent1 2 2 2 2 4" xfId="7746"/>
    <cellStyle name="Accent1 2 2 2 2 4 2" xfId="7747"/>
    <cellStyle name="Accent1 2 2 2 2 5" xfId="7748"/>
    <cellStyle name="Accent1 2 2 2 2 5 2" xfId="7749"/>
    <cellStyle name="Accent1 2 2 2 2 6" xfId="7750"/>
    <cellStyle name="Accent1 2 2 2 2 6 2" xfId="7751"/>
    <cellStyle name="Accent1 2 2 2 2 7" xfId="7752"/>
    <cellStyle name="Accent1 2 2 2 2 7 2" xfId="7753"/>
    <cellStyle name="Accent1 2 2 2 2 8" xfId="7754"/>
    <cellStyle name="Accent1 2 2 2 2 8 2" xfId="7755"/>
    <cellStyle name="Accent1 2 2 2 2 9" xfId="7756"/>
    <cellStyle name="Accent1 2 2 2 2 9 2" xfId="7757"/>
    <cellStyle name="Accent1 2 2 2 3" xfId="7758"/>
    <cellStyle name="Accent1 2 2 2 3 2" xfId="7759"/>
    <cellStyle name="Accent1 2 2 2 4" xfId="7760"/>
    <cellStyle name="Accent1 2 2 2 4 2" xfId="7761"/>
    <cellStyle name="Accent1 2 2 2 5" xfId="7762"/>
    <cellStyle name="Accent1 2 2 2 5 2" xfId="7763"/>
    <cellStyle name="Accent1 2 2 2 6" xfId="7764"/>
    <cellStyle name="Accent1 2 2 2 6 2" xfId="7765"/>
    <cellStyle name="Accent1 2 2 2 7" xfId="7766"/>
    <cellStyle name="Accent1 2 2 2 7 2" xfId="7767"/>
    <cellStyle name="Accent1 2 2 2 8" xfId="7768"/>
    <cellStyle name="Accent1 2 2 2 8 2" xfId="7769"/>
    <cellStyle name="Accent1 2 2 2 9" xfId="7770"/>
    <cellStyle name="Accent1 2 2 2 9 2" xfId="7771"/>
    <cellStyle name="Accent1 2 2 20" xfId="7772"/>
    <cellStyle name="Accent1 2 2 20 2" xfId="7773"/>
    <cellStyle name="Accent1 2 2 21" xfId="7774"/>
    <cellStyle name="Accent1 2 2 22" xfId="7775"/>
    <cellStyle name="Accent1 2 2 3" xfId="7776"/>
    <cellStyle name="Accent1 2 2 3 2" xfId="7777"/>
    <cellStyle name="Accent1 2 2 4" xfId="7778"/>
    <cellStyle name="Accent1 2 2 4 2" xfId="7779"/>
    <cellStyle name="Accent1 2 2 5" xfId="7780"/>
    <cellStyle name="Accent1 2 2 5 2" xfId="7781"/>
    <cellStyle name="Accent1 2 2 6" xfId="7782"/>
    <cellStyle name="Accent1 2 2 6 2" xfId="7783"/>
    <cellStyle name="Accent1 2 2 7" xfId="7784"/>
    <cellStyle name="Accent1 2 2 7 2" xfId="7785"/>
    <cellStyle name="Accent1 2 2 8" xfId="7786"/>
    <cellStyle name="Accent1 2 2 8 2" xfId="7787"/>
    <cellStyle name="Accent1 2 2 9" xfId="7788"/>
    <cellStyle name="Accent1 2 2 9 2" xfId="7789"/>
    <cellStyle name="Accent1 2 20" xfId="7790"/>
    <cellStyle name="Accent1 2 20 2" xfId="7791"/>
    <cellStyle name="Accent1 2 21" xfId="7792"/>
    <cellStyle name="Accent1 2 21 2" xfId="7793"/>
    <cellStyle name="Accent1 2 21 3" xfId="7794"/>
    <cellStyle name="Accent1 2 22" xfId="7795"/>
    <cellStyle name="Accent1 2 23" xfId="7796"/>
    <cellStyle name="Accent1 2 24" xfId="7797"/>
    <cellStyle name="Accent1 2 25" xfId="7798"/>
    <cellStyle name="Accent1 2 3" xfId="7799"/>
    <cellStyle name="Accent1 2 3 2" xfId="7800"/>
    <cellStyle name="Accent1 2 4" xfId="7801"/>
    <cellStyle name="Accent1 2 4 2" xfId="7802"/>
    <cellStyle name="Accent1 2 5" xfId="7803"/>
    <cellStyle name="Accent1 2 5 2" xfId="7804"/>
    <cellStyle name="Accent1 2 6" xfId="7805"/>
    <cellStyle name="Accent1 2 6 2" xfId="7806"/>
    <cellStyle name="Accent1 2 7" xfId="7807"/>
    <cellStyle name="Accent1 2 7 2" xfId="7808"/>
    <cellStyle name="Accent1 2 8" xfId="7809"/>
    <cellStyle name="Accent1 2 8 2" xfId="7810"/>
    <cellStyle name="Accent1 2 9" xfId="7811"/>
    <cellStyle name="Accent1 2 9 2" xfId="7812"/>
    <cellStyle name="Accent1 3" xfId="7813"/>
    <cellStyle name="Accent1 3 2" xfId="7814"/>
    <cellStyle name="Accent1 3 2 2" xfId="7815"/>
    <cellStyle name="Accent1 3 2 3" xfId="7816"/>
    <cellStyle name="Accent1 3 3" xfId="7817"/>
    <cellStyle name="Accent1 3 4" xfId="7818"/>
    <cellStyle name="Accent1 3 5" xfId="7819"/>
    <cellStyle name="Accent1 4" xfId="7820"/>
    <cellStyle name="Accent1 4 2" xfId="7821"/>
    <cellStyle name="Accent1 4 2 2" xfId="7822"/>
    <cellStyle name="Accent1 4 2 3" xfId="7823"/>
    <cellStyle name="Accent1 4 3" xfId="7824"/>
    <cellStyle name="Accent1 4 4" xfId="7825"/>
    <cellStyle name="Accent1 4 5" xfId="7826"/>
    <cellStyle name="Accent1 5" xfId="7827"/>
    <cellStyle name="Accent1 5 2" xfId="7828"/>
    <cellStyle name="Accent1 5 2 2" xfId="7829"/>
    <cellStyle name="Accent1 5 2 3" xfId="7830"/>
    <cellStyle name="Accent1 5 3" xfId="7831"/>
    <cellStyle name="Accent1 5 4" xfId="7832"/>
    <cellStyle name="Accent1 5 5" xfId="7833"/>
    <cellStyle name="Accent1 6" xfId="7834"/>
    <cellStyle name="Accent1 6 2" xfId="7835"/>
    <cellStyle name="Accent1 6 3" xfId="7836"/>
    <cellStyle name="Accent1 7" xfId="7837"/>
    <cellStyle name="Accent1 8" xfId="7838"/>
    <cellStyle name="Accent1 9" xfId="7839"/>
    <cellStyle name="Accent2 10" xfId="7840"/>
    <cellStyle name="Accent2 11" xfId="7841"/>
    <cellStyle name="Accent2 12" xfId="7842"/>
    <cellStyle name="Accent2 13" xfId="7843"/>
    <cellStyle name="Accent2 14" xfId="7844"/>
    <cellStyle name="Accent2 15" xfId="7845"/>
    <cellStyle name="Accent2 16" xfId="7846"/>
    <cellStyle name="Accent2 17" xfId="7847"/>
    <cellStyle name="Accent2 18" xfId="7848"/>
    <cellStyle name="Accent2 19" xfId="7849"/>
    <cellStyle name="Accent2 2" xfId="7850"/>
    <cellStyle name="Accent2 2 2" xfId="7851"/>
    <cellStyle name="Accent2 2 2 2" xfId="7852"/>
    <cellStyle name="Accent2 2 3" xfId="7853"/>
    <cellStyle name="Accent2 2 3 2" xfId="7854"/>
    <cellStyle name="Accent2 2 4" xfId="7855"/>
    <cellStyle name="Accent2 2 4 2" xfId="7856"/>
    <cellStyle name="Accent2 2 4 3" xfId="7857"/>
    <cellStyle name="Accent2 2 5" xfId="7858"/>
    <cellStyle name="Accent2 2 6" xfId="7859"/>
    <cellStyle name="Accent2 2 7" xfId="7860"/>
    <cellStyle name="Accent2 2 8" xfId="7861"/>
    <cellStyle name="Accent2 3" xfId="7862"/>
    <cellStyle name="Accent2 3 2" xfId="7863"/>
    <cellStyle name="Accent2 3 2 2" xfId="7864"/>
    <cellStyle name="Accent2 3 2 3" xfId="7865"/>
    <cellStyle name="Accent2 3 3" xfId="7866"/>
    <cellStyle name="Accent2 3 4" xfId="7867"/>
    <cellStyle name="Accent2 3 5" xfId="7868"/>
    <cellStyle name="Accent2 4" xfId="7869"/>
    <cellStyle name="Accent2 4 2" xfId="7870"/>
    <cellStyle name="Accent2 4 2 2" xfId="7871"/>
    <cellStyle name="Accent2 4 2 3" xfId="7872"/>
    <cellStyle name="Accent2 4 3" xfId="7873"/>
    <cellStyle name="Accent2 4 4" xfId="7874"/>
    <cellStyle name="Accent2 4 5" xfId="7875"/>
    <cellStyle name="Accent2 5" xfId="7876"/>
    <cellStyle name="Accent2 5 2" xfId="7877"/>
    <cellStyle name="Accent2 5 2 2" xfId="7878"/>
    <cellStyle name="Accent2 5 2 3" xfId="7879"/>
    <cellStyle name="Accent2 5 3" xfId="7880"/>
    <cellStyle name="Accent2 5 4" xfId="7881"/>
    <cellStyle name="Accent2 5 5" xfId="7882"/>
    <cellStyle name="Accent2 6" xfId="7883"/>
    <cellStyle name="Accent2 6 2" xfId="7884"/>
    <cellStyle name="Accent2 6 3" xfId="7885"/>
    <cellStyle name="Accent2 7" xfId="7886"/>
    <cellStyle name="Accent2 8" xfId="7887"/>
    <cellStyle name="Accent2 9" xfId="7888"/>
    <cellStyle name="Accent3 10" xfId="7889"/>
    <cellStyle name="Accent3 11" xfId="7890"/>
    <cellStyle name="Accent3 12" xfId="7891"/>
    <cellStyle name="Accent3 13" xfId="7892"/>
    <cellStyle name="Accent3 14" xfId="7893"/>
    <cellStyle name="Accent3 15" xfId="7894"/>
    <cellStyle name="Accent3 16" xfId="7895"/>
    <cellStyle name="Accent3 17" xfId="7896"/>
    <cellStyle name="Accent3 18" xfId="7897"/>
    <cellStyle name="Accent3 19" xfId="7898"/>
    <cellStyle name="Accent3 2" xfId="7899"/>
    <cellStyle name="Accent3 2 2" xfId="7900"/>
    <cellStyle name="Accent3 2 2 2" xfId="7901"/>
    <cellStyle name="Accent3 2 3" xfId="7902"/>
    <cellStyle name="Accent3 2 3 2" xfId="7903"/>
    <cellStyle name="Accent3 2 4" xfId="7904"/>
    <cellStyle name="Accent3 2 4 2" xfId="7905"/>
    <cellStyle name="Accent3 2 4 3" xfId="7906"/>
    <cellStyle name="Accent3 2 5" xfId="7907"/>
    <cellStyle name="Accent3 2 6" xfId="7908"/>
    <cellStyle name="Accent3 2 7" xfId="7909"/>
    <cellStyle name="Accent3 2 8" xfId="7910"/>
    <cellStyle name="Accent3 3" xfId="7911"/>
    <cellStyle name="Accent3 3 2" xfId="7912"/>
    <cellStyle name="Accent3 3 2 2" xfId="7913"/>
    <cellStyle name="Accent3 3 2 3" xfId="7914"/>
    <cellStyle name="Accent3 3 3" xfId="7915"/>
    <cellStyle name="Accent3 3 4" xfId="7916"/>
    <cellStyle name="Accent3 3 5" xfId="7917"/>
    <cellStyle name="Accent3 4" xfId="7918"/>
    <cellStyle name="Accent3 4 2" xfId="7919"/>
    <cellStyle name="Accent3 4 2 2" xfId="7920"/>
    <cellStyle name="Accent3 4 2 3" xfId="7921"/>
    <cellStyle name="Accent3 4 3" xfId="7922"/>
    <cellStyle name="Accent3 4 4" xfId="7923"/>
    <cellStyle name="Accent3 4 5" xfId="7924"/>
    <cellStyle name="Accent3 5" xfId="7925"/>
    <cellStyle name="Accent3 5 2" xfId="7926"/>
    <cellStyle name="Accent3 5 2 2" xfId="7927"/>
    <cellStyle name="Accent3 5 2 3" xfId="7928"/>
    <cellStyle name="Accent3 5 3" xfId="7929"/>
    <cellStyle name="Accent3 5 4" xfId="7930"/>
    <cellStyle name="Accent3 5 5" xfId="7931"/>
    <cellStyle name="Accent3 6" xfId="7932"/>
    <cellStyle name="Accent3 6 2" xfId="7933"/>
    <cellStyle name="Accent3 6 3" xfId="7934"/>
    <cellStyle name="Accent3 7" xfId="7935"/>
    <cellStyle name="Accent3 8" xfId="7936"/>
    <cellStyle name="Accent3 9" xfId="7937"/>
    <cellStyle name="Accent4 10" xfId="7938"/>
    <cellStyle name="Accent4 11" xfId="7939"/>
    <cellStyle name="Accent4 12" xfId="7940"/>
    <cellStyle name="Accent4 13" xfId="7941"/>
    <cellStyle name="Accent4 14" xfId="7942"/>
    <cellStyle name="Accent4 15" xfId="7943"/>
    <cellStyle name="Accent4 16" xfId="7944"/>
    <cellStyle name="Accent4 17" xfId="7945"/>
    <cellStyle name="Accent4 18" xfId="7946"/>
    <cellStyle name="Accent4 19" xfId="7947"/>
    <cellStyle name="Accent4 2" xfId="7948"/>
    <cellStyle name="Accent4 2 2" xfId="7949"/>
    <cellStyle name="Accent4 2 2 2" xfId="7950"/>
    <cellStyle name="Accent4 2 3" xfId="7951"/>
    <cellStyle name="Accent4 2 3 2" xfId="7952"/>
    <cellStyle name="Accent4 2 4" xfId="7953"/>
    <cellStyle name="Accent4 2 4 2" xfId="7954"/>
    <cellStyle name="Accent4 2 4 3" xfId="7955"/>
    <cellStyle name="Accent4 2 5" xfId="7956"/>
    <cellStyle name="Accent4 2 6" xfId="7957"/>
    <cellStyle name="Accent4 2 7" xfId="7958"/>
    <cellStyle name="Accent4 2 8" xfId="7959"/>
    <cellStyle name="Accent4 3" xfId="7960"/>
    <cellStyle name="Accent4 3 2" xfId="7961"/>
    <cellStyle name="Accent4 3 2 2" xfId="7962"/>
    <cellStyle name="Accent4 3 2 3" xfId="7963"/>
    <cellStyle name="Accent4 3 3" xfId="7964"/>
    <cellStyle name="Accent4 3 4" xfId="7965"/>
    <cellStyle name="Accent4 3 5" xfId="7966"/>
    <cellStyle name="Accent4 4" xfId="7967"/>
    <cellStyle name="Accent4 4 2" xfId="7968"/>
    <cellStyle name="Accent4 4 2 2" xfId="7969"/>
    <cellStyle name="Accent4 4 2 3" xfId="7970"/>
    <cellStyle name="Accent4 4 3" xfId="7971"/>
    <cellStyle name="Accent4 4 4" xfId="7972"/>
    <cellStyle name="Accent4 4 5" xfId="7973"/>
    <cellStyle name="Accent4 5" xfId="7974"/>
    <cellStyle name="Accent4 5 2" xfId="7975"/>
    <cellStyle name="Accent4 5 2 2" xfId="7976"/>
    <cellStyle name="Accent4 5 2 3" xfId="7977"/>
    <cellStyle name="Accent4 5 3" xfId="7978"/>
    <cellStyle name="Accent4 5 4" xfId="7979"/>
    <cellStyle name="Accent4 5 5" xfId="7980"/>
    <cellStyle name="Accent4 6" xfId="7981"/>
    <cellStyle name="Accent4 6 2" xfId="7982"/>
    <cellStyle name="Accent4 6 3" xfId="7983"/>
    <cellStyle name="Accent4 7" xfId="7984"/>
    <cellStyle name="Accent4 8" xfId="7985"/>
    <cellStyle name="Accent4 9" xfId="7986"/>
    <cellStyle name="Accent5 10" xfId="7987"/>
    <cellStyle name="Accent5 11" xfId="7988"/>
    <cellStyle name="Accent5 12" xfId="7989"/>
    <cellStyle name="Accent5 13" xfId="7990"/>
    <cellStyle name="Accent5 14" xfId="7991"/>
    <cellStyle name="Accent5 15" xfId="7992"/>
    <cellStyle name="Accent5 16" xfId="7993"/>
    <cellStyle name="Accent5 17" xfId="7994"/>
    <cellStyle name="Accent5 18" xfId="7995"/>
    <cellStyle name="Accent5 19" xfId="7996"/>
    <cellStyle name="Accent5 2" xfId="7997"/>
    <cellStyle name="Accent5 2 2" xfId="7998"/>
    <cellStyle name="Accent5 2 2 2" xfId="7999"/>
    <cellStyle name="Accent5 2 3" xfId="8000"/>
    <cellStyle name="Accent5 2 3 2" xfId="8001"/>
    <cellStyle name="Accent5 2 4" xfId="8002"/>
    <cellStyle name="Accent5 2 4 2" xfId="8003"/>
    <cellStyle name="Accent5 2 4 3" xfId="8004"/>
    <cellStyle name="Accent5 2 5" xfId="8005"/>
    <cellStyle name="Accent5 2 6" xfId="8006"/>
    <cellStyle name="Accent5 2 7" xfId="8007"/>
    <cellStyle name="Accent5 2 8" xfId="8008"/>
    <cellStyle name="Accent5 3" xfId="8009"/>
    <cellStyle name="Accent5 3 2" xfId="8010"/>
    <cellStyle name="Accent5 3 2 2" xfId="8011"/>
    <cellStyle name="Accent5 3 2 3" xfId="8012"/>
    <cellStyle name="Accent5 3 3" xfId="8013"/>
    <cellStyle name="Accent5 3 4" xfId="8014"/>
    <cellStyle name="Accent5 3 5" xfId="8015"/>
    <cellStyle name="Accent5 4" xfId="8016"/>
    <cellStyle name="Accent5 4 2" xfId="8017"/>
    <cellStyle name="Accent5 4 2 2" xfId="8018"/>
    <cellStyle name="Accent5 4 2 3" xfId="8019"/>
    <cellStyle name="Accent5 4 3" xfId="8020"/>
    <cellStyle name="Accent5 4 4" xfId="8021"/>
    <cellStyle name="Accent5 4 5" xfId="8022"/>
    <cellStyle name="Accent5 5" xfId="8023"/>
    <cellStyle name="Accent5 5 2" xfId="8024"/>
    <cellStyle name="Accent5 5 2 2" xfId="8025"/>
    <cellStyle name="Accent5 5 2 3" xfId="8026"/>
    <cellStyle name="Accent5 5 3" xfId="8027"/>
    <cellStyle name="Accent5 5 4" xfId="8028"/>
    <cellStyle name="Accent5 5 5" xfId="8029"/>
    <cellStyle name="Accent5 6" xfId="8030"/>
    <cellStyle name="Accent5 6 2" xfId="8031"/>
    <cellStyle name="Accent5 6 3" xfId="8032"/>
    <cellStyle name="Accent5 7" xfId="8033"/>
    <cellStyle name="Accent5 8" xfId="8034"/>
    <cellStyle name="Accent5 9" xfId="8035"/>
    <cellStyle name="Accent6 10" xfId="8036"/>
    <cellStyle name="Accent6 11" xfId="8037"/>
    <cellStyle name="Accent6 12" xfId="8038"/>
    <cellStyle name="Accent6 13" xfId="8039"/>
    <cellStyle name="Accent6 14" xfId="8040"/>
    <cellStyle name="Accent6 15" xfId="8041"/>
    <cellStyle name="Accent6 16" xfId="8042"/>
    <cellStyle name="Accent6 17" xfId="8043"/>
    <cellStyle name="Accent6 18" xfId="8044"/>
    <cellStyle name="Accent6 19" xfId="8045"/>
    <cellStyle name="Accent6 2" xfId="8046"/>
    <cellStyle name="Accent6 2 2" xfId="8047"/>
    <cellStyle name="Accent6 2 2 2" xfId="8048"/>
    <cellStyle name="Accent6 2 3" xfId="8049"/>
    <cellStyle name="Accent6 2 3 2" xfId="8050"/>
    <cellStyle name="Accent6 2 4" xfId="8051"/>
    <cellStyle name="Accent6 2 4 2" xfId="8052"/>
    <cellStyle name="Accent6 2 4 3" xfId="8053"/>
    <cellStyle name="Accent6 2 5" xfId="8054"/>
    <cellStyle name="Accent6 2 6" xfId="8055"/>
    <cellStyle name="Accent6 2 7" xfId="8056"/>
    <cellStyle name="Accent6 2 8" xfId="8057"/>
    <cellStyle name="Accent6 3" xfId="8058"/>
    <cellStyle name="Accent6 3 2" xfId="8059"/>
    <cellStyle name="Accent6 3 2 2" xfId="8060"/>
    <cellStyle name="Accent6 3 2 3" xfId="8061"/>
    <cellStyle name="Accent6 3 3" xfId="8062"/>
    <cellStyle name="Accent6 3 4" xfId="8063"/>
    <cellStyle name="Accent6 3 5" xfId="8064"/>
    <cellStyle name="Accent6 4" xfId="8065"/>
    <cellStyle name="Accent6 4 2" xfId="8066"/>
    <cellStyle name="Accent6 4 2 2" xfId="8067"/>
    <cellStyle name="Accent6 4 2 3" xfId="8068"/>
    <cellStyle name="Accent6 4 3" xfId="8069"/>
    <cellStyle name="Accent6 4 4" xfId="8070"/>
    <cellStyle name="Accent6 4 5" xfId="8071"/>
    <cellStyle name="Accent6 5" xfId="8072"/>
    <cellStyle name="Accent6 5 2" xfId="8073"/>
    <cellStyle name="Accent6 5 2 2" xfId="8074"/>
    <cellStyle name="Accent6 5 2 3" xfId="8075"/>
    <cellStyle name="Accent6 5 3" xfId="8076"/>
    <cellStyle name="Accent6 5 4" xfId="8077"/>
    <cellStyle name="Accent6 5 5" xfId="8078"/>
    <cellStyle name="Accent6 6" xfId="8079"/>
    <cellStyle name="Accent6 6 2" xfId="8080"/>
    <cellStyle name="Accent6 6 3" xfId="8081"/>
    <cellStyle name="Accent6 7" xfId="8082"/>
    <cellStyle name="Accent6 8" xfId="8083"/>
    <cellStyle name="Accent6 9" xfId="8084"/>
    <cellStyle name="accounting" xfId="8085"/>
    <cellStyle name="accounting 2" xfId="8086"/>
    <cellStyle name="accounting 2 2" xfId="8087"/>
    <cellStyle name="accounting 2 3" xfId="20245"/>
    <cellStyle name="accounting 3" xfId="8088"/>
    <cellStyle name="accounting 3 2" xfId="20246"/>
    <cellStyle name="accounting 4" xfId="8089"/>
    <cellStyle name="accounting 4 2" xfId="20247"/>
    <cellStyle name="accounting 5" xfId="8090"/>
    <cellStyle name="accounting 5 2" xfId="20248"/>
    <cellStyle name="accounting 6" xfId="20249"/>
    <cellStyle name="Accounting w/$" xfId="8091"/>
    <cellStyle name="Accounting w/$ Total" xfId="8092"/>
    <cellStyle name="Accounting w/o $" xfId="8093"/>
    <cellStyle name="acct" xfId="16349"/>
    <cellStyle name="acct bold" xfId="16350"/>
    <cellStyle name="acct no" xfId="16351"/>
    <cellStyle name="acct_EPL LBO 5.16.05 - Mgmt IPO v6" xfId="16352"/>
    <cellStyle name="Acctg" xfId="16353"/>
    <cellStyle name="Açıklama Metni" xfId="16354"/>
    <cellStyle name="Across" xfId="16355"/>
    <cellStyle name="active" xfId="8094"/>
    <cellStyle name="active 2" xfId="8095"/>
    <cellStyle name="active 2 2" xfId="8096"/>
    <cellStyle name="active 3" xfId="8097"/>
    <cellStyle name="active 4" xfId="8098"/>
    <cellStyle name="active 5" xfId="8099"/>
    <cellStyle name="Actual" xfId="16356"/>
    <cellStyle name="Actual Date" xfId="8100"/>
    <cellStyle name="Actuals" xfId="8101"/>
    <cellStyle name="Actuals 10" xfId="8102"/>
    <cellStyle name="Actuals 10 2" xfId="8103"/>
    <cellStyle name="Actuals 11" xfId="8104"/>
    <cellStyle name="Actuals 11 2" xfId="8105"/>
    <cellStyle name="Actuals 12" xfId="8106"/>
    <cellStyle name="Actuals 12 2" xfId="8107"/>
    <cellStyle name="Actuals 13" xfId="8108"/>
    <cellStyle name="Actuals 13 2" xfId="8109"/>
    <cellStyle name="Actuals 14" xfId="8110"/>
    <cellStyle name="Actuals 14 2" xfId="8111"/>
    <cellStyle name="Actuals 15" xfId="8112"/>
    <cellStyle name="Actuals 15 2" xfId="8113"/>
    <cellStyle name="Actuals 16" xfId="8114"/>
    <cellStyle name="Actuals 16 2" xfId="8115"/>
    <cellStyle name="Actuals 17" xfId="8116"/>
    <cellStyle name="Actuals 17 2" xfId="8117"/>
    <cellStyle name="Actuals 18" xfId="8118"/>
    <cellStyle name="Actuals 18 2" xfId="8119"/>
    <cellStyle name="Actuals 19" xfId="8120"/>
    <cellStyle name="Actuals 19 2" xfId="8121"/>
    <cellStyle name="Actuals 2" xfId="8122"/>
    <cellStyle name="Actuals 2 2" xfId="8123"/>
    <cellStyle name="Actuals 2 2 2" xfId="8124"/>
    <cellStyle name="Actuals 2 2 3" xfId="8125"/>
    <cellStyle name="Actuals 2 3" xfId="8126"/>
    <cellStyle name="Actuals 2 4" xfId="8127"/>
    <cellStyle name="Actuals 2 5" xfId="8128"/>
    <cellStyle name="Actuals 20" xfId="8129"/>
    <cellStyle name="Actuals 20 2" xfId="8130"/>
    <cellStyle name="Actuals 21" xfId="8131"/>
    <cellStyle name="Actuals 21 2" xfId="8132"/>
    <cellStyle name="Actuals 22" xfId="8133"/>
    <cellStyle name="Actuals 22 2" xfId="8134"/>
    <cellStyle name="Actuals 23" xfId="8135"/>
    <cellStyle name="Actuals 23 2" xfId="8136"/>
    <cellStyle name="Actuals 24" xfId="8137"/>
    <cellStyle name="Actuals 24 2" xfId="8138"/>
    <cellStyle name="Actuals 25" xfId="8139"/>
    <cellStyle name="Actuals 25 2" xfId="8140"/>
    <cellStyle name="Actuals 26" xfId="8141"/>
    <cellStyle name="Actuals 26 2" xfId="8142"/>
    <cellStyle name="Actuals 27" xfId="8143"/>
    <cellStyle name="Actuals 27 2" xfId="8144"/>
    <cellStyle name="Actuals 28" xfId="8145"/>
    <cellStyle name="Actuals 28 2" xfId="8146"/>
    <cellStyle name="Actuals 29" xfId="8147"/>
    <cellStyle name="Actuals 29 2" xfId="8148"/>
    <cellStyle name="Actuals 3" xfId="8149"/>
    <cellStyle name="Actuals 3 2" xfId="8150"/>
    <cellStyle name="Actuals 30" xfId="8151"/>
    <cellStyle name="Actuals 30 2" xfId="8152"/>
    <cellStyle name="Actuals 30 3" xfId="8153"/>
    <cellStyle name="Actuals 31" xfId="8154"/>
    <cellStyle name="Actuals 32" xfId="8155"/>
    <cellStyle name="Actuals 33" xfId="8156"/>
    <cellStyle name="Actuals 4" xfId="8157"/>
    <cellStyle name="Actuals 4 2" xfId="8158"/>
    <cellStyle name="Actuals 5" xfId="8159"/>
    <cellStyle name="Actuals 5 2" xfId="8160"/>
    <cellStyle name="Actuals 6" xfId="8161"/>
    <cellStyle name="Actuals 6 2" xfId="8162"/>
    <cellStyle name="Actuals 7" xfId="8163"/>
    <cellStyle name="Actuals 7 2" xfId="8164"/>
    <cellStyle name="Actuals 8" xfId="8165"/>
    <cellStyle name="Actuals 8 2" xfId="8166"/>
    <cellStyle name="Actuals 9" xfId="8167"/>
    <cellStyle name="Actuals 9 2" xfId="8168"/>
    <cellStyle name="adj_share" xfId="8169"/>
    <cellStyle name="Adjustable" xfId="8170"/>
    <cellStyle name="Adjusted" xfId="8171"/>
    <cellStyle name="Adjusted 2" xfId="8172"/>
    <cellStyle name="Adjusted 2 2" xfId="8173"/>
    <cellStyle name="Adjusted 2 3" xfId="20250"/>
    <cellStyle name="Adjusted 3" xfId="8174"/>
    <cellStyle name="Adjusted 3 2" xfId="20251"/>
    <cellStyle name="Adjusted 4" xfId="8175"/>
    <cellStyle name="Adjusted 4 2" xfId="20252"/>
    <cellStyle name="Adjusted 5" xfId="8176"/>
    <cellStyle name="Adjusted 5 2" xfId="20253"/>
    <cellStyle name="Adjusted 6" xfId="20254"/>
    <cellStyle name="AFE" xfId="8177"/>
    <cellStyle name="AFE 2" xfId="8178"/>
    <cellStyle name="AFE 2 2" xfId="8179"/>
    <cellStyle name="AFE 3" xfId="8180"/>
    <cellStyle name="AFE 4" xfId="8181"/>
    <cellStyle name="Afjusted" xfId="8182"/>
    <cellStyle name="Afjusted 2" xfId="8183"/>
    <cellStyle name="Afjusted 2 2" xfId="8184"/>
    <cellStyle name="Afjusted 3" xfId="8185"/>
    <cellStyle name="Afjusted 4" xfId="8186"/>
    <cellStyle name="Afjusted 5" xfId="8187"/>
    <cellStyle name="ai_תנאי הצמדה " xfId="8188"/>
    <cellStyle name="AIRCO" xfId="8189"/>
    <cellStyle name="AIRCO 2" xfId="8190"/>
    <cellStyle name="AIRCO 2 2" xfId="15950"/>
    <cellStyle name="AIRCO 2 3" xfId="19901"/>
    <cellStyle name="AIRCO 3" xfId="15949"/>
    <cellStyle name="AIRCO 4" xfId="19900"/>
    <cellStyle name="amount" xfId="8191"/>
    <cellStyle name="amount 2" xfId="8192"/>
    <cellStyle name="amount 2 2" xfId="8193"/>
    <cellStyle name="amount 2 2 2" xfId="8194"/>
    <cellStyle name="amount 2 2 2 2" xfId="15952"/>
    <cellStyle name="amount 2 2 2 3" xfId="19903"/>
    <cellStyle name="amount 2 2 3" xfId="15951"/>
    <cellStyle name="amount 2 2 4" xfId="19902"/>
    <cellStyle name="amount 2 3" xfId="8195"/>
    <cellStyle name="amount 2 3 2" xfId="8196"/>
    <cellStyle name="amount 2 3 2 2" xfId="15954"/>
    <cellStyle name="amount 2 3 2 3" xfId="19905"/>
    <cellStyle name="amount 2 3 3" xfId="15953"/>
    <cellStyle name="amount 2 3 4" xfId="19904"/>
    <cellStyle name="amount 2 4" xfId="8197"/>
    <cellStyle name="amount 2 4 2" xfId="8198"/>
    <cellStyle name="amount 2 4 2 2" xfId="15956"/>
    <cellStyle name="amount 2 4 2 3" xfId="19907"/>
    <cellStyle name="amount 2 4 3" xfId="15955"/>
    <cellStyle name="amount 2 4 4" xfId="19906"/>
    <cellStyle name="amount 2 5" xfId="8199"/>
    <cellStyle name="amount 2 5 2" xfId="8200"/>
    <cellStyle name="amount 2 5 2 2" xfId="15958"/>
    <cellStyle name="amount 2 5 2 3" xfId="19909"/>
    <cellStyle name="amount 2 5 3" xfId="15957"/>
    <cellStyle name="amount 2 5 4" xfId="19908"/>
    <cellStyle name="amount 3" xfId="8201"/>
    <cellStyle name="amount 3 2" xfId="8202"/>
    <cellStyle name="amount 3 2 2" xfId="8203"/>
    <cellStyle name="amount 3 2 2 2" xfId="15961"/>
    <cellStyle name="amount 3 2 2 3" xfId="19912"/>
    <cellStyle name="amount 3 2 3" xfId="15960"/>
    <cellStyle name="amount 3 2 4" xfId="19911"/>
    <cellStyle name="amount 3 3" xfId="8204"/>
    <cellStyle name="amount 3 3 2" xfId="8205"/>
    <cellStyle name="amount 3 3 2 2" xfId="15963"/>
    <cellStyle name="amount 3 3 2 3" xfId="19914"/>
    <cellStyle name="amount 3 3 3" xfId="15962"/>
    <cellStyle name="amount 3 3 4" xfId="19913"/>
    <cellStyle name="amount 3 4" xfId="8206"/>
    <cellStyle name="amount 3 4 2" xfId="8207"/>
    <cellStyle name="amount 3 4 2 2" xfId="15965"/>
    <cellStyle name="amount 3 4 2 3" xfId="19916"/>
    <cellStyle name="amount 3 4 3" xfId="15964"/>
    <cellStyle name="amount 3 4 4" xfId="19915"/>
    <cellStyle name="amount 3 5" xfId="8208"/>
    <cellStyle name="amount 3 5 2" xfId="8209"/>
    <cellStyle name="amount 3 5 2 2" xfId="15967"/>
    <cellStyle name="amount 3 5 2 3" xfId="19918"/>
    <cellStyle name="amount 3 5 3" xfId="15966"/>
    <cellStyle name="amount 3 5 4" xfId="19917"/>
    <cellStyle name="amount 3 6" xfId="15959"/>
    <cellStyle name="amount 3 7" xfId="19910"/>
    <cellStyle name="amount 4" xfId="8210"/>
    <cellStyle name="amount 4 2" xfId="8211"/>
    <cellStyle name="amount 4 2 2" xfId="15969"/>
    <cellStyle name="amount 4 2 3" xfId="19920"/>
    <cellStyle name="amount 4 3" xfId="15968"/>
    <cellStyle name="amount 4 4" xfId="19919"/>
    <cellStyle name="amount 5" xfId="8212"/>
    <cellStyle name="amount 5 2" xfId="8213"/>
    <cellStyle name="amount 5 2 2" xfId="15971"/>
    <cellStyle name="amount 5 2 3" xfId="19922"/>
    <cellStyle name="amount 5 3" xfId="15970"/>
    <cellStyle name="amount 5 4" xfId="19921"/>
    <cellStyle name="amount 6" xfId="8214"/>
    <cellStyle name="amount 6 2" xfId="8215"/>
    <cellStyle name="amount 6 2 2" xfId="15973"/>
    <cellStyle name="amount 6 2 3" xfId="19924"/>
    <cellStyle name="amount 6 3" xfId="15972"/>
    <cellStyle name="amount 6 4" xfId="19923"/>
    <cellStyle name="amount 7" xfId="8216"/>
    <cellStyle name="amount 7 2" xfId="8217"/>
    <cellStyle name="amount 7 2 2" xfId="15975"/>
    <cellStyle name="amount 7 2 3" xfId="19926"/>
    <cellStyle name="amount 7 3" xfId="15974"/>
    <cellStyle name="amount 7 4" xfId="19925"/>
    <cellStyle name="Ana Başlık" xfId="16357"/>
    <cellStyle name="Andre's Title" xfId="16358"/>
    <cellStyle name="Ann'l_Incr" xfId="8218"/>
    <cellStyle name="args.style" xfId="8219"/>
    <cellStyle name="args.style 10" xfId="8220"/>
    <cellStyle name="args.style 10 2" xfId="8221"/>
    <cellStyle name="args.style 11" xfId="8222"/>
    <cellStyle name="args.style 11 2" xfId="8223"/>
    <cellStyle name="args.style 12" xfId="8224"/>
    <cellStyle name="args.style 12 2" xfId="8225"/>
    <cellStyle name="args.style 13" xfId="8226"/>
    <cellStyle name="args.style 13 2" xfId="8227"/>
    <cellStyle name="args.style 14" xfId="8228"/>
    <cellStyle name="args.style 15" xfId="8229"/>
    <cellStyle name="args.style 16" xfId="8230"/>
    <cellStyle name="args.style 17" xfId="8231"/>
    <cellStyle name="args.style 18" xfId="8232"/>
    <cellStyle name="args.style 2" xfId="8233"/>
    <cellStyle name="args.style 2 10" xfId="8234"/>
    <cellStyle name="args.style 2 2" xfId="8235"/>
    <cellStyle name="args.style 2 2 2" xfId="8236"/>
    <cellStyle name="args.style 2 2 2 2" xfId="8237"/>
    <cellStyle name="args.style 2 2 2 2 2" xfId="8238"/>
    <cellStyle name="args.style 2 2 2 2 3" xfId="8239"/>
    <cellStyle name="args.style 2 2 2 2 4" xfId="8240"/>
    <cellStyle name="args.style 2 2 2 2 5" xfId="8241"/>
    <cellStyle name="args.style 2 2 2 2 6" xfId="8242"/>
    <cellStyle name="args.style 2 2 2 2 7" xfId="8243"/>
    <cellStyle name="args.style 2 2 2 2 8" xfId="8244"/>
    <cellStyle name="args.style 2 2 2 3" xfId="8245"/>
    <cellStyle name="args.style 2 2 2 4" xfId="8246"/>
    <cellStyle name="args.style 2 2 2 5" xfId="8247"/>
    <cellStyle name="args.style 2 2 2 6" xfId="8248"/>
    <cellStyle name="args.style 2 2 2 7" xfId="8249"/>
    <cellStyle name="args.style 2 2 2 8" xfId="8250"/>
    <cellStyle name="args.style 2 2 3" xfId="8251"/>
    <cellStyle name="args.style 2 2 4" xfId="8252"/>
    <cellStyle name="args.style 2 2 5" xfId="8253"/>
    <cellStyle name="args.style 2 2 6" xfId="8254"/>
    <cellStyle name="args.style 2 2 7" xfId="8255"/>
    <cellStyle name="args.style 2 2 8" xfId="8256"/>
    <cellStyle name="args.style 2 3" xfId="8257"/>
    <cellStyle name="args.style 2 3 2" xfId="8258"/>
    <cellStyle name="args.style 2 3 3" xfId="8259"/>
    <cellStyle name="args.style 2 3 4" xfId="8260"/>
    <cellStyle name="args.style 2 3 5" xfId="8261"/>
    <cellStyle name="args.style 2 3 6" xfId="8262"/>
    <cellStyle name="args.style 2 3 7" xfId="8263"/>
    <cellStyle name="args.style 2 3 8" xfId="8264"/>
    <cellStyle name="args.style 2 4" xfId="8265"/>
    <cellStyle name="args.style 2 5" xfId="8266"/>
    <cellStyle name="args.style 2 6" xfId="8267"/>
    <cellStyle name="args.style 2 7" xfId="8268"/>
    <cellStyle name="args.style 2 8" xfId="8269"/>
    <cellStyle name="args.style 2 9" xfId="8270"/>
    <cellStyle name="args.style 3" xfId="8271"/>
    <cellStyle name="args.style 3 10" xfId="8272"/>
    <cellStyle name="args.style 3 2" xfId="8273"/>
    <cellStyle name="args.style 3 2 2" xfId="8274"/>
    <cellStyle name="args.style 3 2 2 2" xfId="8275"/>
    <cellStyle name="args.style 3 2 2 2 2" xfId="8276"/>
    <cellStyle name="args.style 3 2 2 2 3" xfId="8277"/>
    <cellStyle name="args.style 3 2 2 2 4" xfId="8278"/>
    <cellStyle name="args.style 3 2 2 2 5" xfId="8279"/>
    <cellStyle name="args.style 3 2 2 2 6" xfId="8280"/>
    <cellStyle name="args.style 3 2 2 2 7" xfId="8281"/>
    <cellStyle name="args.style 3 2 2 2 8" xfId="8282"/>
    <cellStyle name="args.style 3 2 2 3" xfId="8283"/>
    <cellStyle name="args.style 3 2 2 4" xfId="8284"/>
    <cellStyle name="args.style 3 2 2 5" xfId="8285"/>
    <cellStyle name="args.style 3 2 2 6" xfId="8286"/>
    <cellStyle name="args.style 3 2 2 7" xfId="8287"/>
    <cellStyle name="args.style 3 2 2 8" xfId="8288"/>
    <cellStyle name="args.style 3 2 3" xfId="8289"/>
    <cellStyle name="args.style 3 2 4" xfId="8290"/>
    <cellStyle name="args.style 3 2 5" xfId="8291"/>
    <cellStyle name="args.style 3 2 6" xfId="8292"/>
    <cellStyle name="args.style 3 2 7" xfId="8293"/>
    <cellStyle name="args.style 3 2 8" xfId="8294"/>
    <cellStyle name="args.style 3 3" xfId="8295"/>
    <cellStyle name="args.style 3 3 2" xfId="8296"/>
    <cellStyle name="args.style 3 3 3" xfId="8297"/>
    <cellStyle name="args.style 3 3 4" xfId="8298"/>
    <cellStyle name="args.style 3 3 5" xfId="8299"/>
    <cellStyle name="args.style 3 3 6" xfId="8300"/>
    <cellStyle name="args.style 3 3 7" xfId="8301"/>
    <cellStyle name="args.style 3 3 8" xfId="8302"/>
    <cellStyle name="args.style 3 4" xfId="8303"/>
    <cellStyle name="args.style 3 5" xfId="8304"/>
    <cellStyle name="args.style 3 6" xfId="8305"/>
    <cellStyle name="args.style 3 7" xfId="8306"/>
    <cellStyle name="args.style 3 8" xfId="8307"/>
    <cellStyle name="args.style 3 9" xfId="8308"/>
    <cellStyle name="args.style 4" xfId="8309"/>
    <cellStyle name="args.style 4 2" xfId="8310"/>
    <cellStyle name="args.style 4 2 2" xfId="8311"/>
    <cellStyle name="args.style 4 2 2 2" xfId="8312"/>
    <cellStyle name="args.style 4 3" xfId="8313"/>
    <cellStyle name="args.style 4 4" xfId="8314"/>
    <cellStyle name="args.style 5" xfId="8315"/>
    <cellStyle name="args.style 5 2" xfId="8316"/>
    <cellStyle name="args.style 5 2 2" xfId="8317"/>
    <cellStyle name="args.style 5 2 3" xfId="8318"/>
    <cellStyle name="args.style 5 3" xfId="8319"/>
    <cellStyle name="args.style 5 4" xfId="8320"/>
    <cellStyle name="args.style 5 5" xfId="8321"/>
    <cellStyle name="args.style 6" xfId="8322"/>
    <cellStyle name="args.style 6 2" xfId="8323"/>
    <cellStyle name="args.style 6 3" xfId="8324"/>
    <cellStyle name="args.style 6 4" xfId="8325"/>
    <cellStyle name="args.style 7" xfId="8326"/>
    <cellStyle name="args.style 7 2" xfId="8327"/>
    <cellStyle name="args.style 8" xfId="8328"/>
    <cellStyle name="args.style 8 2" xfId="8329"/>
    <cellStyle name="args.style 9" xfId="8330"/>
    <cellStyle name="args.style 9 2" xfId="8331"/>
    <cellStyle name="Arial 10" xfId="8332"/>
    <cellStyle name="Arial 10 10" xfId="8333"/>
    <cellStyle name="Arial 10 10 2" xfId="8334"/>
    <cellStyle name="Arial 10 10 3" xfId="8335"/>
    <cellStyle name="Arial 10 11" xfId="8336"/>
    <cellStyle name="Arial 10 11 2" xfId="8337"/>
    <cellStyle name="Arial 10 11 2 2" xfId="8338"/>
    <cellStyle name="Arial 10 11 2 3" xfId="8339"/>
    <cellStyle name="Arial 10 11 3" xfId="8340"/>
    <cellStyle name="Arial 10 12" xfId="8341"/>
    <cellStyle name="Arial 10 13" xfId="8342"/>
    <cellStyle name="Arial 10 14" xfId="8343"/>
    <cellStyle name="Arial 10 15" xfId="8344"/>
    <cellStyle name="Arial 10 16" xfId="8345"/>
    <cellStyle name="Arial 10 17" xfId="8346"/>
    <cellStyle name="Arial 10 2" xfId="8347"/>
    <cellStyle name="Arial 10 2 10" xfId="8348"/>
    <cellStyle name="Arial 10 2 11" xfId="8349"/>
    <cellStyle name="Arial 10 2 12" xfId="8350"/>
    <cellStyle name="Arial 10 2 2" xfId="8351"/>
    <cellStyle name="Arial 10 2 2 2" xfId="8352"/>
    <cellStyle name="Arial 10 2 2 2 2" xfId="8353"/>
    <cellStyle name="Arial 10 2 2 2 2 2" xfId="8354"/>
    <cellStyle name="Arial 10 2 2 2 2 2 2" xfId="8355"/>
    <cellStyle name="Arial 10 2 2 2 2 2 3" xfId="8356"/>
    <cellStyle name="Arial 10 2 2 2 2 2 4" xfId="8357"/>
    <cellStyle name="Arial 10 2 2 2 2 2 5" xfId="8358"/>
    <cellStyle name="Arial 10 2 2 2 2 2 6" xfId="8359"/>
    <cellStyle name="Arial 10 2 2 2 2 2 7" xfId="8360"/>
    <cellStyle name="Arial 10 2 2 2 2 2 8" xfId="8361"/>
    <cellStyle name="Arial 10 2 2 2 2 3" xfId="8362"/>
    <cellStyle name="Arial 10 2 2 2 2 4" xfId="8363"/>
    <cellStyle name="Arial 10 2 2 2 2 5" xfId="8364"/>
    <cellStyle name="Arial 10 2 2 2 2 6" xfId="8365"/>
    <cellStyle name="Arial 10 2 2 2 2 7" xfId="8366"/>
    <cellStyle name="Arial 10 2 2 2 2 8" xfId="8367"/>
    <cellStyle name="Arial 10 2 2 2 2 9" xfId="8368"/>
    <cellStyle name="Arial 10 2 2 2 3" xfId="8369"/>
    <cellStyle name="Arial 10 2 2 2 4" xfId="8370"/>
    <cellStyle name="Arial 10 2 2 2 5" xfId="8371"/>
    <cellStyle name="Arial 10 2 2 2 6" xfId="8372"/>
    <cellStyle name="Arial 10 2 2 2 7" xfId="8373"/>
    <cellStyle name="Arial 10 2 2 2 8" xfId="8374"/>
    <cellStyle name="Arial 10 2 2 2 9" xfId="8375"/>
    <cellStyle name="Arial 10 2 2 3" xfId="8376"/>
    <cellStyle name="Arial 10 2 2 4" xfId="8377"/>
    <cellStyle name="Arial 10 2 2 5" xfId="8378"/>
    <cellStyle name="Arial 10 2 2 6" xfId="8379"/>
    <cellStyle name="Arial 10 2 2 7" xfId="8380"/>
    <cellStyle name="Arial 10 2 2 8" xfId="8381"/>
    <cellStyle name="Arial 10 2 2 9" xfId="8382"/>
    <cellStyle name="Arial 10 2 3" xfId="8383"/>
    <cellStyle name="Arial 10 2 4" xfId="8384"/>
    <cellStyle name="Arial 10 2 5" xfId="8385"/>
    <cellStyle name="Arial 10 2 6" xfId="8386"/>
    <cellStyle name="Arial 10 2 7" xfId="8387"/>
    <cellStyle name="Arial 10 2 8" xfId="8388"/>
    <cellStyle name="Arial 10 2 9" xfId="8389"/>
    <cellStyle name="Arial 10 3" xfId="8390"/>
    <cellStyle name="Arial 10 3 2" xfId="8391"/>
    <cellStyle name="Arial 10 3 3" xfId="8392"/>
    <cellStyle name="Arial 10 3 4" xfId="8393"/>
    <cellStyle name="Arial 10 3 5" xfId="8394"/>
    <cellStyle name="Arial 10 3 6" xfId="8395"/>
    <cellStyle name="Arial 10 3 7" xfId="8396"/>
    <cellStyle name="Arial 10 3 8" xfId="8397"/>
    <cellStyle name="Arial 10 3 9" xfId="8398"/>
    <cellStyle name="Arial 10 4" xfId="8399"/>
    <cellStyle name="Arial 10 4 2" xfId="8400"/>
    <cellStyle name="Arial 10 4 3" xfId="8401"/>
    <cellStyle name="Arial 10 4 4" xfId="8402"/>
    <cellStyle name="Arial 10 4 5" xfId="8403"/>
    <cellStyle name="Arial 10 4 6" xfId="8404"/>
    <cellStyle name="Arial 10 4 7" xfId="8405"/>
    <cellStyle name="Arial 10 4 8" xfId="8406"/>
    <cellStyle name="Arial 10 4 9" xfId="8407"/>
    <cellStyle name="Arial 10 5" xfId="8408"/>
    <cellStyle name="Arial 10 5 2" xfId="8409"/>
    <cellStyle name="Arial 10 5 3" xfId="8410"/>
    <cellStyle name="Arial 10 5 4" xfId="8411"/>
    <cellStyle name="Arial 10 5 5" xfId="8412"/>
    <cellStyle name="Arial 10 5 6" xfId="8413"/>
    <cellStyle name="Arial 10 5 7" xfId="8414"/>
    <cellStyle name="Arial 10 5 8" xfId="8415"/>
    <cellStyle name="Arial 10 5 9" xfId="8416"/>
    <cellStyle name="Arial 10 6" xfId="8417"/>
    <cellStyle name="Arial 10 6 2" xfId="8418"/>
    <cellStyle name="Arial 10 6 3" xfId="8419"/>
    <cellStyle name="Arial 10 6 4" xfId="8420"/>
    <cellStyle name="Arial 10 6 5" xfId="8421"/>
    <cellStyle name="Arial 10 6 6" xfId="8422"/>
    <cellStyle name="Arial 10 6 7" xfId="8423"/>
    <cellStyle name="Arial 10 6 8" xfId="8424"/>
    <cellStyle name="Arial 10 6 9" xfId="8425"/>
    <cellStyle name="Arial 10 7" xfId="8426"/>
    <cellStyle name="Arial 10 7 2" xfId="8427"/>
    <cellStyle name="Arial 10 7 3" xfId="8428"/>
    <cellStyle name="Arial 10 7 4" xfId="8429"/>
    <cellStyle name="Arial 10 7 5" xfId="8430"/>
    <cellStyle name="Arial 10 7 6" xfId="8431"/>
    <cellStyle name="Arial 10 7 7" xfId="8432"/>
    <cellStyle name="Arial 10 7 8" xfId="8433"/>
    <cellStyle name="Arial 10 7 9" xfId="8434"/>
    <cellStyle name="Arial 10 8" xfId="8435"/>
    <cellStyle name="Arial 10 8 2" xfId="8436"/>
    <cellStyle name="Arial 10 8 3" xfId="8437"/>
    <cellStyle name="Arial 10 8 4" xfId="8438"/>
    <cellStyle name="Arial 10 8 5" xfId="8439"/>
    <cellStyle name="Arial 10 8 6" xfId="8440"/>
    <cellStyle name="Arial 10 8 7" xfId="8441"/>
    <cellStyle name="Arial 10 8 8" xfId="8442"/>
    <cellStyle name="Arial 10 8 9" xfId="8443"/>
    <cellStyle name="Arial 10 9" xfId="8444"/>
    <cellStyle name="Arial 10 9 2" xfId="8445"/>
    <cellStyle name="Arial 10 9 3" xfId="8446"/>
    <cellStyle name="Arial 10 9 4" xfId="8447"/>
    <cellStyle name="Arial 10 9 5" xfId="8448"/>
    <cellStyle name="Arial 10 9 6" xfId="8449"/>
    <cellStyle name="Arial 10 9 7" xfId="8450"/>
    <cellStyle name="Arial 10 9 8" xfId="8451"/>
    <cellStyle name="Arial 10 9 9" xfId="8452"/>
    <cellStyle name="Arial 12" xfId="8453"/>
    <cellStyle name="Arial 12 2" xfId="8454"/>
    <cellStyle name="Arial 12 2 2" xfId="8455"/>
    <cellStyle name="Arial 12 2 2 2" xfId="8456"/>
    <cellStyle name="Arial 12 3" xfId="8457"/>
    <cellStyle name="Arial 12 4" xfId="8458"/>
    <cellStyle name="Arial 12 5" xfId="8459"/>
    <cellStyle name="ARIAL 14" xfId="8460"/>
    <cellStyle name="ARIAL 14 2" xfId="8461"/>
    <cellStyle name="Arial6Bold" xfId="8462"/>
    <cellStyle name="Arial6Bold 2" xfId="8463"/>
    <cellStyle name="Arial6Bold 2 2" xfId="8464"/>
    <cellStyle name="Arial6Bold 2 2 2" xfId="8465"/>
    <cellStyle name="Arial6Bold 2 2 2 2" xfId="19930"/>
    <cellStyle name="Arial6Bold 2 2 3" xfId="19929"/>
    <cellStyle name="Arial6Bold 2 3" xfId="8466"/>
    <cellStyle name="Arial6Bold 2 3 2" xfId="8467"/>
    <cellStyle name="Arial6Bold 2 3 2 2" xfId="19932"/>
    <cellStyle name="Arial6Bold 2 3 3" xfId="19931"/>
    <cellStyle name="Arial6Bold 2 4" xfId="8468"/>
    <cellStyle name="Arial6Bold 2 4 2" xfId="19933"/>
    <cellStyle name="Arial6Bold 2 5" xfId="19928"/>
    <cellStyle name="Arial6Bold 3" xfId="8469"/>
    <cellStyle name="Arial6Bold 3 2" xfId="8470"/>
    <cellStyle name="Arial6Bold 3 2 2" xfId="19935"/>
    <cellStyle name="Arial6Bold 3 3" xfId="19934"/>
    <cellStyle name="Arial6Bold 4" xfId="8471"/>
    <cellStyle name="Arial6Bold 4 2" xfId="8472"/>
    <cellStyle name="Arial6Bold 4 2 2" xfId="19937"/>
    <cellStyle name="Arial6Bold 4 3" xfId="19936"/>
    <cellStyle name="Arial6Bold 5" xfId="8473"/>
    <cellStyle name="Arial6Bold 5 2" xfId="19938"/>
    <cellStyle name="Arial6Bold 6" xfId="19927"/>
    <cellStyle name="Arial8Bold" xfId="8474"/>
    <cellStyle name="Arial8Bold 2" xfId="8475"/>
    <cellStyle name="Arial8Bold 2 2" xfId="8476"/>
    <cellStyle name="Arial8Bold 2 2 2" xfId="8477"/>
    <cellStyle name="Arial8Bold 2 2 2 2" xfId="19942"/>
    <cellStyle name="Arial8Bold 2 2 3" xfId="19941"/>
    <cellStyle name="Arial8Bold 2 3" xfId="8478"/>
    <cellStyle name="Arial8Bold 2 3 2" xfId="8479"/>
    <cellStyle name="Arial8Bold 2 3 2 2" xfId="19944"/>
    <cellStyle name="Arial8Bold 2 3 3" xfId="19943"/>
    <cellStyle name="Arial8Bold 2 4" xfId="8480"/>
    <cellStyle name="Arial8Bold 2 4 2" xfId="19945"/>
    <cellStyle name="Arial8Bold 2 5" xfId="19940"/>
    <cellStyle name="Arial8Bold 3" xfId="8481"/>
    <cellStyle name="Arial8Bold 3 2" xfId="8482"/>
    <cellStyle name="Arial8Bold 3 2 2" xfId="19947"/>
    <cellStyle name="Arial8Bold 3 3" xfId="19946"/>
    <cellStyle name="Arial8Bold 4" xfId="8483"/>
    <cellStyle name="Arial8Bold 4 2" xfId="8484"/>
    <cellStyle name="Arial8Bold 4 2 2" xfId="19949"/>
    <cellStyle name="Arial8Bold 4 3" xfId="19948"/>
    <cellStyle name="Arial8Bold 5" xfId="8485"/>
    <cellStyle name="Arial8Bold 5 2" xfId="19950"/>
    <cellStyle name="Arial8Bold 6" xfId="19939"/>
    <cellStyle name="Arial8Italic" xfId="8486"/>
    <cellStyle name="Arial8Italic 2" xfId="8487"/>
    <cellStyle name="Arial8Italic 2 2" xfId="8488"/>
    <cellStyle name="Arial8Italic 2 2 2" xfId="8489"/>
    <cellStyle name="Arial8Italic 2 2 2 2" xfId="19954"/>
    <cellStyle name="Arial8Italic 2 2 3" xfId="19953"/>
    <cellStyle name="Arial8Italic 2 3" xfId="8490"/>
    <cellStyle name="Arial8Italic 2 3 2" xfId="8491"/>
    <cellStyle name="Arial8Italic 2 3 2 2" xfId="19956"/>
    <cellStyle name="Arial8Italic 2 3 3" xfId="19955"/>
    <cellStyle name="Arial8Italic 2 4" xfId="8492"/>
    <cellStyle name="Arial8Italic 2 4 2" xfId="19957"/>
    <cellStyle name="Arial8Italic 2 5" xfId="19952"/>
    <cellStyle name="Arial8Italic 3" xfId="8493"/>
    <cellStyle name="Arial8Italic 3 2" xfId="8494"/>
    <cellStyle name="Arial8Italic 3 2 2" xfId="19959"/>
    <cellStyle name="Arial8Italic 3 3" xfId="19958"/>
    <cellStyle name="Arial8Italic 4" xfId="8495"/>
    <cellStyle name="Arial8Italic 4 2" xfId="8496"/>
    <cellStyle name="Arial8Italic 4 2 2" xfId="19961"/>
    <cellStyle name="Arial8Italic 4 3" xfId="19960"/>
    <cellStyle name="Arial8Italic 5" xfId="8497"/>
    <cellStyle name="Arial8Italic 5 2" xfId="19962"/>
    <cellStyle name="Arial8Italic 6" xfId="19951"/>
    <cellStyle name="ArialNormal" xfId="8498"/>
    <cellStyle name="ArialNormal 2" xfId="8499"/>
    <cellStyle name="ArialNormal 2 2" xfId="8500"/>
    <cellStyle name="ArialNormal 2 2 2" xfId="8501"/>
    <cellStyle name="ArialNormal 2 2 2 2" xfId="19964"/>
    <cellStyle name="ArialNormal 2 2 3" xfId="19963"/>
    <cellStyle name="ArialNormal 2 3" xfId="8502"/>
    <cellStyle name="ArialNormal 2 3 2" xfId="8503"/>
    <cellStyle name="ArialNormal 2 3 2 2" xfId="19966"/>
    <cellStyle name="ArialNormal 2 3 3" xfId="19965"/>
    <cellStyle name="ArialNormal 3" xfId="8504"/>
    <cellStyle name="ArialNormal 3 2" xfId="8505"/>
    <cellStyle name="ArialNormal 3 2 2" xfId="19968"/>
    <cellStyle name="ArialNormal 3 3" xfId="19967"/>
    <cellStyle name="ArialNormal 4" xfId="8506"/>
    <cellStyle name="ArialNormal 4 2" xfId="8507"/>
    <cellStyle name="ArialNormal 4 2 2" xfId="19970"/>
    <cellStyle name="ArialNormal 4 3" xfId="19969"/>
    <cellStyle name="Ariel 7 pt. plain" xfId="16359"/>
    <cellStyle name="Array" xfId="8508"/>
    <cellStyle name="Array Enter" xfId="8509"/>
    <cellStyle name="Assumption" xfId="16360"/>
    <cellStyle name="ÄÞ¸¶ [0]_±âÅ¸" xfId="16361"/>
    <cellStyle name="ÄÞ¸¶_±âÅ¸" xfId="16362"/>
    <cellStyle name="AuditErrRangeFormula" xfId="16363"/>
    <cellStyle name="AuditErrRangeText" xfId="16364"/>
    <cellStyle name="AutoFormat" xfId="16365"/>
    <cellStyle name="avihai" xfId="8510"/>
    <cellStyle name="avihai 2" xfId="8511"/>
    <cellStyle name="b" xfId="8512"/>
    <cellStyle name="b - Line" xfId="8513"/>
    <cellStyle name="b - Line - Dotted" xfId="8514"/>
    <cellStyle name="b 2" xfId="8515"/>
    <cellStyle name="b_Master Utilities Comps 060210 with IBES links" xfId="8516"/>
    <cellStyle name="Bad 10" xfId="8517"/>
    <cellStyle name="Bad 11" xfId="8518"/>
    <cellStyle name="Bad 12" xfId="8519"/>
    <cellStyle name="Bad 13" xfId="8520"/>
    <cellStyle name="Bad 14" xfId="8521"/>
    <cellStyle name="Bad 15" xfId="8522"/>
    <cellStyle name="Bad 16" xfId="8523"/>
    <cellStyle name="Bad 17" xfId="8524"/>
    <cellStyle name="Bad 18" xfId="8525"/>
    <cellStyle name="Bad 19" xfId="8526"/>
    <cellStyle name="Bad 2" xfId="8527"/>
    <cellStyle name="Bad 2 2" xfId="8528"/>
    <cellStyle name="Bad 2 2 2" xfId="8529"/>
    <cellStyle name="Bad 2 3" xfId="8530"/>
    <cellStyle name="Bad 2 3 2" xfId="8531"/>
    <cellStyle name="Bad 2 4" xfId="8532"/>
    <cellStyle name="Bad 2 4 2" xfId="8533"/>
    <cellStyle name="Bad 2 4 3" xfId="8534"/>
    <cellStyle name="Bad 2 5" xfId="8535"/>
    <cellStyle name="Bad 2 6" xfId="8536"/>
    <cellStyle name="Bad 2 7" xfId="8537"/>
    <cellStyle name="Bad 2 8" xfId="8538"/>
    <cellStyle name="Bad 3" xfId="8539"/>
    <cellStyle name="Bad 3 2" xfId="8540"/>
    <cellStyle name="Bad 3 2 2" xfId="8541"/>
    <cellStyle name="Bad 3 2 3" xfId="8542"/>
    <cellStyle name="Bad 3 3" xfId="8543"/>
    <cellStyle name="Bad 3 4" xfId="8544"/>
    <cellStyle name="Bad 3 5" xfId="8545"/>
    <cellStyle name="Bad 4" xfId="8546"/>
    <cellStyle name="Bad 4 2" xfId="8547"/>
    <cellStyle name="Bad 4 2 2" xfId="8548"/>
    <cellStyle name="Bad 4 2 3" xfId="8549"/>
    <cellStyle name="Bad 4 3" xfId="8550"/>
    <cellStyle name="Bad 4 4" xfId="8551"/>
    <cellStyle name="Bad 4 5" xfId="8552"/>
    <cellStyle name="Bad 5" xfId="8553"/>
    <cellStyle name="Bad 5 2" xfId="8554"/>
    <cellStyle name="Bad 5 2 2" xfId="8555"/>
    <cellStyle name="Bad 5 2 3" xfId="8556"/>
    <cellStyle name="Bad 5 3" xfId="8557"/>
    <cellStyle name="Bad 5 4" xfId="8558"/>
    <cellStyle name="Bad 5 5" xfId="8559"/>
    <cellStyle name="Bad 6" xfId="8560"/>
    <cellStyle name="Bad 6 2" xfId="8561"/>
    <cellStyle name="Bad 6 3" xfId="8562"/>
    <cellStyle name="Bad 7" xfId="8563"/>
    <cellStyle name="Bad 8" xfId="8564"/>
    <cellStyle name="Bad 9" xfId="8565"/>
    <cellStyle name="Bağlı Hücre" xfId="16366"/>
    <cellStyle name="BalanceSheet" xfId="16367"/>
    <cellStyle name="bar" xfId="16368"/>
    <cellStyle name="Bar Title" xfId="16369"/>
    <cellStyle name="Bar1" xfId="8566"/>
    <cellStyle name="BAS Comma [0]" xfId="16370"/>
    <cellStyle name="BAS Date mm/dd/yy" xfId="16371"/>
    <cellStyle name="-Bas de tableau" xfId="8567"/>
    <cellStyle name="BAS Percent Actual [1]" xfId="16372"/>
    <cellStyle name="Başlık 1" xfId="16373"/>
    <cellStyle name="Başlık 2" xfId="16374"/>
    <cellStyle name="Başlık 3" xfId="16375"/>
    <cellStyle name="Başlık 4" xfId="16376"/>
    <cellStyle name="bch" xfId="16377"/>
    <cellStyle name="bci" xfId="16378"/>
    <cellStyle name="Below 0" xfId="16379"/>
    <cellStyle name="Below 0.0" xfId="16380"/>
    <cellStyle name="Best" xfId="8568"/>
    <cellStyle name="Besuchter Hyperlink" xfId="16381"/>
    <cellStyle name="Black" xfId="8569"/>
    <cellStyle name="Black 2" xfId="8570"/>
    <cellStyle name="Black 2 2" xfId="8571"/>
    <cellStyle name="Black 3" xfId="8572"/>
    <cellStyle name="Black 4" xfId="8573"/>
    <cellStyle name="Black 5" xfId="8574"/>
    <cellStyle name="Black Days" xfId="8575"/>
    <cellStyle name="Black Days 2" xfId="8576"/>
    <cellStyle name="Black Decimal" xfId="8577"/>
    <cellStyle name="Black Decimal 2" xfId="8578"/>
    <cellStyle name="Black Decimal 2 2" xfId="8579"/>
    <cellStyle name="Black Decimal 3" xfId="8580"/>
    <cellStyle name="Black Decimal 4" xfId="8581"/>
    <cellStyle name="Black Decimal 5" xfId="8582"/>
    <cellStyle name="Black Dollar" xfId="8583"/>
    <cellStyle name="Black Dollar 2" xfId="8584"/>
    <cellStyle name="Black Dollar 2 2" xfId="8585"/>
    <cellStyle name="Black Dollar 2 3" xfId="15977"/>
    <cellStyle name="Black Dollar 2 4" xfId="19972"/>
    <cellStyle name="Black Dollar 3" xfId="8586"/>
    <cellStyle name="Black Dollar 3 2" xfId="15978"/>
    <cellStyle name="Black Dollar 3 3" xfId="19973"/>
    <cellStyle name="Black Dollar 4" xfId="8587"/>
    <cellStyle name="Black Dollar 4 2" xfId="15979"/>
    <cellStyle name="Black Dollar 4 3" xfId="19974"/>
    <cellStyle name="Black Dollar 5" xfId="8588"/>
    <cellStyle name="Black Dollar 5 2" xfId="15980"/>
    <cellStyle name="Black Dollar 5 3" xfId="19975"/>
    <cellStyle name="Black Dollar 6" xfId="15976"/>
    <cellStyle name="Black Dollar 7" xfId="19971"/>
    <cellStyle name="Black EPS" xfId="8589"/>
    <cellStyle name="Black EPS 2" xfId="8590"/>
    <cellStyle name="Black Percent" xfId="8591"/>
    <cellStyle name="Black Percent 2" xfId="8592"/>
    <cellStyle name="Black Percent2" xfId="8593"/>
    <cellStyle name="Black Percent2 2" xfId="8594"/>
    <cellStyle name="Black Times" xfId="8595"/>
    <cellStyle name="Black Times 2" xfId="8596"/>
    <cellStyle name="Black Times 2 2" xfId="8597"/>
    <cellStyle name="Black Times 3" xfId="8598"/>
    <cellStyle name="Black Times 4" xfId="8599"/>
    <cellStyle name="Black Times 5" xfId="8600"/>
    <cellStyle name="Black Times Two Deci" xfId="8601"/>
    <cellStyle name="Black Times Two Deci 2" xfId="8602"/>
    <cellStyle name="Black Times Two Deci2" xfId="8603"/>
    <cellStyle name="Black Times Two Deci2 2" xfId="8604"/>
    <cellStyle name="Black Times_Anaphore 12 31 2008 Draft Analysis 02 19 2009" xfId="8605"/>
    <cellStyle name="Black Times2" xfId="8606"/>
    <cellStyle name="Black Times2 2" xfId="8607"/>
    <cellStyle name="Black Times2 2 2" xfId="8608"/>
    <cellStyle name="Black Times2 3" xfId="8609"/>
    <cellStyle name="Black Times2 4" xfId="8610"/>
    <cellStyle name="Black Times2 5" xfId="8611"/>
    <cellStyle name="Black_Anaphore 12 31 2008 Draft Analysis 02 19 2009" xfId="8612"/>
    <cellStyle name="BlackStrike" xfId="8613"/>
    <cellStyle name="BlackText" xfId="8614"/>
    <cellStyle name="blank" xfId="8615"/>
    <cellStyle name="Blank[$]" xfId="8616"/>
    <cellStyle name="Blank[,]" xfId="8617"/>
    <cellStyle name="Blank[1$]" xfId="8618"/>
    <cellStyle name="Blank[1%]" xfId="8619"/>
    <cellStyle name="Blank[1]" xfId="8620"/>
    <cellStyle name="Blank[2$]" xfId="8621"/>
    <cellStyle name="Blank[2%]" xfId="8622"/>
    <cellStyle name="Blank[2]" xfId="8623"/>
    <cellStyle name="Blank[3$]" xfId="8624"/>
    <cellStyle name="Blank[3]" xfId="8625"/>
    <cellStyle name="blue" xfId="8626"/>
    <cellStyle name="Blue 2" xfId="8627"/>
    <cellStyle name="Blue Decimal" xfId="8628"/>
    <cellStyle name="Blue Decimal 2" xfId="8629"/>
    <cellStyle name="Blue Dollar" xfId="8630"/>
    <cellStyle name="Blue Dollar 2" xfId="8631"/>
    <cellStyle name="Blue EPS" xfId="8632"/>
    <cellStyle name="Blue EPS 2" xfId="8633"/>
    <cellStyle name="Blue Header" xfId="8634"/>
    <cellStyle name="Blue Header 2" xfId="8635"/>
    <cellStyle name="Blue Header 2 2" xfId="20255"/>
    <cellStyle name="Blue Header 3" xfId="8636"/>
    <cellStyle name="Blue Header 3 2" xfId="20256"/>
    <cellStyle name="Blue Header 4" xfId="20257"/>
    <cellStyle name="blue shading" xfId="8637"/>
    <cellStyle name="blue shading 2" xfId="8638"/>
    <cellStyle name="Blue Text" xfId="8639"/>
    <cellStyle name="Blue Text 2" xfId="8640"/>
    <cellStyle name="Blue Title" xfId="8641"/>
    <cellStyle name="Blue Title 2" xfId="8642"/>
    <cellStyle name="Blue Title 2 2" xfId="8643"/>
    <cellStyle name="Blue Title 3" xfId="8644"/>
    <cellStyle name="Blue Title 4" xfId="8645"/>
    <cellStyle name="Blue Title 5" xfId="8646"/>
    <cellStyle name="Blue Zero Deci" xfId="8647"/>
    <cellStyle name="Blue Zero Deci 2" xfId="8648"/>
    <cellStyle name="Blue_Boston Power VD 01 31 2008 Model 02 26 2008" xfId="8649"/>
    <cellStyle name="Body" xfId="8650"/>
    <cellStyle name="Body 2" xfId="8651"/>
    <cellStyle name="Body text" xfId="8652"/>
    <cellStyle name="Body text 2" xfId="8653"/>
    <cellStyle name="Body_$Numeric" xfId="8654"/>
    <cellStyle name="bold" xfId="8655"/>
    <cellStyle name="bold 2" xfId="8656"/>
    <cellStyle name="Bold Italic + Line Top" xfId="8657"/>
    <cellStyle name="Bold Italic + Line Top 2" xfId="8658"/>
    <cellStyle name="Bold Label" xfId="8659"/>
    <cellStyle name="Bold Text" xfId="8660"/>
    <cellStyle name="Bold Text %" xfId="8661"/>
    <cellStyle name="Bold Text + Line Top" xfId="8662"/>
    <cellStyle name="Bold Text + Line Top 2" xfId="8663"/>
    <cellStyle name="Bold Text 2" xfId="8664"/>
    <cellStyle name="Bold/Border" xfId="8665"/>
    <cellStyle name="Bold/Border 2" xfId="8666"/>
    <cellStyle name="Bold/Border 3" xfId="8667"/>
    <cellStyle name="Bold/Border 3 2" xfId="20258"/>
    <cellStyle name="bold_Boston Power VD 01 31 2008 Model 02 26 2008" xfId="8668"/>
    <cellStyle name="Bol-Data" xfId="8669"/>
    <cellStyle name="BoldCen" xfId="8670"/>
    <cellStyle name="BoldCenUnd" xfId="8671"/>
    <cellStyle name="BoldCenUnd 2" xfId="8672"/>
    <cellStyle name="BoldText" xfId="8673"/>
    <cellStyle name="bolet" xfId="8674"/>
    <cellStyle name="Boletim" xfId="8675"/>
    <cellStyle name="Bom" xfId="8676"/>
    <cellStyle name="Border" xfId="8677"/>
    <cellStyle name="Border 10" xfId="8678"/>
    <cellStyle name="Border 10 2" xfId="8679"/>
    <cellStyle name="Border 10 2 2" xfId="15982"/>
    <cellStyle name="Border 10 2 3" xfId="19977"/>
    <cellStyle name="Border 10 3" xfId="8680"/>
    <cellStyle name="Border 10 3 2" xfId="15983"/>
    <cellStyle name="Border 10 3 3" xfId="19978"/>
    <cellStyle name="Border 10 4" xfId="15981"/>
    <cellStyle name="Border 10 5" xfId="19976"/>
    <cellStyle name="Border 11" xfId="8681"/>
    <cellStyle name="Border 11 2" xfId="8682"/>
    <cellStyle name="Border 11 2 2" xfId="15985"/>
    <cellStyle name="Border 11 2 3" xfId="19980"/>
    <cellStyle name="Border 11 3" xfId="8683"/>
    <cellStyle name="Border 11 3 2" xfId="15986"/>
    <cellStyle name="Border 11 3 3" xfId="19981"/>
    <cellStyle name="Border 11 4" xfId="15984"/>
    <cellStyle name="Border 11 5" xfId="19979"/>
    <cellStyle name="Border 12" xfId="8684"/>
    <cellStyle name="Border 12 2" xfId="8685"/>
    <cellStyle name="Border 12 2 2" xfId="15988"/>
    <cellStyle name="Border 12 2 3" xfId="19983"/>
    <cellStyle name="Border 12 3" xfId="8686"/>
    <cellStyle name="Border 12 3 2" xfId="15989"/>
    <cellStyle name="Border 12 3 3" xfId="19984"/>
    <cellStyle name="Border 12 4" xfId="15987"/>
    <cellStyle name="Border 12 5" xfId="19982"/>
    <cellStyle name="Border 13" xfId="8687"/>
    <cellStyle name="Border 13 2" xfId="15990"/>
    <cellStyle name="Border 13 3" xfId="19985"/>
    <cellStyle name="Border 14" xfId="8688"/>
    <cellStyle name="Border 14 2" xfId="15991"/>
    <cellStyle name="Border 14 3" xfId="19986"/>
    <cellStyle name="Border 2" xfId="8689"/>
    <cellStyle name="Border 2 10" xfId="8690"/>
    <cellStyle name="Border 2 10 2" xfId="15993"/>
    <cellStyle name="Border 2 10 3" xfId="19988"/>
    <cellStyle name="Border 2 11" xfId="8691"/>
    <cellStyle name="Border 2 11 2" xfId="15994"/>
    <cellStyle name="Border 2 11 3" xfId="19989"/>
    <cellStyle name="Border 2 12" xfId="15992"/>
    <cellStyle name="Border 2 13" xfId="19987"/>
    <cellStyle name="Border 2 2" xfId="8692"/>
    <cellStyle name="Border 2 2 2" xfId="8693"/>
    <cellStyle name="Border 2 2 2 2" xfId="15996"/>
    <cellStyle name="Border 2 2 2 3" xfId="19991"/>
    <cellStyle name="Border 2 2 3" xfId="8694"/>
    <cellStyle name="Border 2 2 3 2" xfId="15997"/>
    <cellStyle name="Border 2 2 3 3" xfId="19992"/>
    <cellStyle name="Border 2 2 4" xfId="15995"/>
    <cellStyle name="Border 2 2 5" xfId="19990"/>
    <cellStyle name="Border 2 3" xfId="8695"/>
    <cellStyle name="Border 2 3 2" xfId="8696"/>
    <cellStyle name="Border 2 3 2 2" xfId="15999"/>
    <cellStyle name="Border 2 3 2 3" xfId="19994"/>
    <cellStyle name="Border 2 3 3" xfId="8697"/>
    <cellStyle name="Border 2 3 3 2" xfId="16000"/>
    <cellStyle name="Border 2 3 3 3" xfId="19995"/>
    <cellStyle name="Border 2 3 4" xfId="15998"/>
    <cellStyle name="Border 2 3 5" xfId="19993"/>
    <cellStyle name="Border 2 4" xfId="8698"/>
    <cellStyle name="Border 2 4 2" xfId="8699"/>
    <cellStyle name="Border 2 4 2 2" xfId="16002"/>
    <cellStyle name="Border 2 4 2 3" xfId="19997"/>
    <cellStyle name="Border 2 4 3" xfId="8700"/>
    <cellStyle name="Border 2 4 3 2" xfId="16003"/>
    <cellStyle name="Border 2 4 3 3" xfId="19998"/>
    <cellStyle name="Border 2 4 4" xfId="16001"/>
    <cellStyle name="Border 2 4 5" xfId="19996"/>
    <cellStyle name="Border 2 5" xfId="8701"/>
    <cellStyle name="Border 2 5 2" xfId="8702"/>
    <cellStyle name="Border 2 5 2 2" xfId="16005"/>
    <cellStyle name="Border 2 5 2 3" xfId="20000"/>
    <cellStyle name="Border 2 5 3" xfId="8703"/>
    <cellStyle name="Border 2 5 3 2" xfId="16006"/>
    <cellStyle name="Border 2 5 3 3" xfId="20001"/>
    <cellStyle name="Border 2 5 4" xfId="16004"/>
    <cellStyle name="Border 2 5 5" xfId="19999"/>
    <cellStyle name="Border 2 6" xfId="8704"/>
    <cellStyle name="Border 2 6 2" xfId="8705"/>
    <cellStyle name="Border 2 6 2 2" xfId="16008"/>
    <cellStyle name="Border 2 6 2 3" xfId="20003"/>
    <cellStyle name="Border 2 6 3" xfId="8706"/>
    <cellStyle name="Border 2 6 3 2" xfId="16009"/>
    <cellStyle name="Border 2 6 3 3" xfId="20004"/>
    <cellStyle name="Border 2 6 4" xfId="16007"/>
    <cellStyle name="Border 2 6 5" xfId="20002"/>
    <cellStyle name="Border 2 7" xfId="8707"/>
    <cellStyle name="Border 2 7 2" xfId="8708"/>
    <cellStyle name="Border 2 7 2 2" xfId="16011"/>
    <cellStyle name="Border 2 7 2 3" xfId="20006"/>
    <cellStyle name="Border 2 7 3" xfId="8709"/>
    <cellStyle name="Border 2 7 3 2" xfId="16012"/>
    <cellStyle name="Border 2 7 3 3" xfId="20007"/>
    <cellStyle name="Border 2 7 4" xfId="16010"/>
    <cellStyle name="Border 2 7 5" xfId="20005"/>
    <cellStyle name="Border 2 8" xfId="8710"/>
    <cellStyle name="Border 2 8 2" xfId="8711"/>
    <cellStyle name="Border 2 8 2 2" xfId="16014"/>
    <cellStyle name="Border 2 8 2 3" xfId="20009"/>
    <cellStyle name="Border 2 8 3" xfId="8712"/>
    <cellStyle name="Border 2 8 3 2" xfId="16015"/>
    <cellStyle name="Border 2 8 3 3" xfId="20010"/>
    <cellStyle name="Border 2 8 4" xfId="16013"/>
    <cellStyle name="Border 2 8 5" xfId="20008"/>
    <cellStyle name="Border 2 9" xfId="8713"/>
    <cellStyle name="Border 2 9 2" xfId="8714"/>
    <cellStyle name="Border 2 9 2 2" xfId="16017"/>
    <cellStyle name="Border 2 9 2 3" xfId="20012"/>
    <cellStyle name="Border 2 9 3" xfId="8715"/>
    <cellStyle name="Border 2 9 3 2" xfId="16018"/>
    <cellStyle name="Border 2 9 3 3" xfId="20013"/>
    <cellStyle name="Border 2 9 4" xfId="16016"/>
    <cellStyle name="Border 2 9 5" xfId="20011"/>
    <cellStyle name="Border 3" xfId="8716"/>
    <cellStyle name="Border 3 10" xfId="8717"/>
    <cellStyle name="Border 3 10 2" xfId="16020"/>
    <cellStyle name="Border 3 10 3" xfId="20015"/>
    <cellStyle name="Border 3 11" xfId="8718"/>
    <cellStyle name="Border 3 11 2" xfId="16021"/>
    <cellStyle name="Border 3 11 3" xfId="20016"/>
    <cellStyle name="Border 3 12" xfId="16019"/>
    <cellStyle name="Border 3 13" xfId="20014"/>
    <cellStyle name="Border 3 2" xfId="8719"/>
    <cellStyle name="Border 3 2 2" xfId="8720"/>
    <cellStyle name="Border 3 2 2 2" xfId="16023"/>
    <cellStyle name="Border 3 2 2 3" xfId="20018"/>
    <cellStyle name="Border 3 2 3" xfId="8721"/>
    <cellStyle name="Border 3 2 3 2" xfId="16024"/>
    <cellStyle name="Border 3 2 3 3" xfId="20019"/>
    <cellStyle name="Border 3 2 4" xfId="16022"/>
    <cellStyle name="Border 3 2 5" xfId="20017"/>
    <cellStyle name="Border 3 3" xfId="8722"/>
    <cellStyle name="Border 3 3 2" xfId="8723"/>
    <cellStyle name="Border 3 3 2 2" xfId="16026"/>
    <cellStyle name="Border 3 3 2 3" xfId="20021"/>
    <cellStyle name="Border 3 3 3" xfId="8724"/>
    <cellStyle name="Border 3 3 3 2" xfId="16027"/>
    <cellStyle name="Border 3 3 3 3" xfId="20022"/>
    <cellStyle name="Border 3 3 4" xfId="16025"/>
    <cellStyle name="Border 3 3 5" xfId="20020"/>
    <cellStyle name="Border 3 4" xfId="8725"/>
    <cellStyle name="Border 3 4 2" xfId="8726"/>
    <cellStyle name="Border 3 4 2 2" xfId="16029"/>
    <cellStyle name="Border 3 4 2 3" xfId="20024"/>
    <cellStyle name="Border 3 4 3" xfId="8727"/>
    <cellStyle name="Border 3 4 3 2" xfId="16030"/>
    <cellStyle name="Border 3 4 3 3" xfId="20025"/>
    <cellStyle name="Border 3 4 4" xfId="16028"/>
    <cellStyle name="Border 3 4 5" xfId="20023"/>
    <cellStyle name="Border 3 5" xfId="8728"/>
    <cellStyle name="Border 3 5 2" xfId="8729"/>
    <cellStyle name="Border 3 5 2 2" xfId="16032"/>
    <cellStyle name="Border 3 5 2 3" xfId="20027"/>
    <cellStyle name="Border 3 5 3" xfId="8730"/>
    <cellStyle name="Border 3 5 3 2" xfId="16033"/>
    <cellStyle name="Border 3 5 3 3" xfId="20028"/>
    <cellStyle name="Border 3 5 4" xfId="16031"/>
    <cellStyle name="Border 3 5 5" xfId="20026"/>
    <cellStyle name="Border 3 6" xfId="8731"/>
    <cellStyle name="Border 3 6 2" xfId="8732"/>
    <cellStyle name="Border 3 6 2 2" xfId="16035"/>
    <cellStyle name="Border 3 6 2 3" xfId="20030"/>
    <cellStyle name="Border 3 6 3" xfId="8733"/>
    <cellStyle name="Border 3 6 3 2" xfId="16036"/>
    <cellStyle name="Border 3 6 3 3" xfId="20031"/>
    <cellStyle name="Border 3 6 4" xfId="16034"/>
    <cellStyle name="Border 3 6 5" xfId="20029"/>
    <cellStyle name="Border 3 7" xfId="8734"/>
    <cellStyle name="Border 3 7 2" xfId="8735"/>
    <cellStyle name="Border 3 7 2 2" xfId="16038"/>
    <cellStyle name="Border 3 7 2 3" xfId="20033"/>
    <cellStyle name="Border 3 7 3" xfId="8736"/>
    <cellStyle name="Border 3 7 3 2" xfId="16039"/>
    <cellStyle name="Border 3 7 3 3" xfId="20034"/>
    <cellStyle name="Border 3 7 4" xfId="16037"/>
    <cellStyle name="Border 3 7 5" xfId="20032"/>
    <cellStyle name="Border 3 8" xfId="8737"/>
    <cellStyle name="Border 3 8 2" xfId="8738"/>
    <cellStyle name="Border 3 8 2 2" xfId="16041"/>
    <cellStyle name="Border 3 8 2 3" xfId="20036"/>
    <cellStyle name="Border 3 8 3" xfId="8739"/>
    <cellStyle name="Border 3 8 3 2" xfId="16042"/>
    <cellStyle name="Border 3 8 3 3" xfId="20037"/>
    <cellStyle name="Border 3 8 4" xfId="16040"/>
    <cellStyle name="Border 3 8 5" xfId="20035"/>
    <cellStyle name="Border 3 9" xfId="8740"/>
    <cellStyle name="Border 3 9 2" xfId="8741"/>
    <cellStyle name="Border 3 9 2 2" xfId="16044"/>
    <cellStyle name="Border 3 9 2 3" xfId="20039"/>
    <cellStyle name="Border 3 9 3" xfId="8742"/>
    <cellStyle name="Border 3 9 3 2" xfId="16045"/>
    <cellStyle name="Border 3 9 3 3" xfId="20040"/>
    <cellStyle name="Border 3 9 4" xfId="16043"/>
    <cellStyle name="Border 3 9 5" xfId="20038"/>
    <cellStyle name="Border 4" xfId="8743"/>
    <cellStyle name="Border 4 2" xfId="8744"/>
    <cellStyle name="Border 4 2 2" xfId="8745"/>
    <cellStyle name="Border 4 2 2 2" xfId="16048"/>
    <cellStyle name="Border 4 2 2 3" xfId="20043"/>
    <cellStyle name="Border 4 2 3" xfId="8746"/>
    <cellStyle name="Border 4 2 3 2" xfId="16049"/>
    <cellStyle name="Border 4 2 3 3" xfId="20044"/>
    <cellStyle name="Border 4 2 4" xfId="16047"/>
    <cellStyle name="Border 4 2 5" xfId="20042"/>
    <cellStyle name="Border 4 3" xfId="8747"/>
    <cellStyle name="Border 4 3 2" xfId="8748"/>
    <cellStyle name="Border 4 3 2 2" xfId="16051"/>
    <cellStyle name="Border 4 3 2 3" xfId="20046"/>
    <cellStyle name="Border 4 3 3" xfId="8749"/>
    <cellStyle name="Border 4 3 3 2" xfId="16052"/>
    <cellStyle name="Border 4 3 3 3" xfId="20047"/>
    <cellStyle name="Border 4 3 4" xfId="16050"/>
    <cellStyle name="Border 4 3 5" xfId="20045"/>
    <cellStyle name="Border 4 4" xfId="8750"/>
    <cellStyle name="Border 4 4 2" xfId="16053"/>
    <cellStyle name="Border 4 4 3" xfId="20048"/>
    <cellStyle name="Border 4 5" xfId="8751"/>
    <cellStyle name="Border 4 5 2" xfId="16054"/>
    <cellStyle name="Border 4 5 3" xfId="20049"/>
    <cellStyle name="Border 4 6" xfId="16046"/>
    <cellStyle name="Border 4 7" xfId="20041"/>
    <cellStyle name="Border 5" xfId="8752"/>
    <cellStyle name="Border 5 2" xfId="8753"/>
    <cellStyle name="Border 5 2 2" xfId="16056"/>
    <cellStyle name="Border 5 2 3" xfId="20051"/>
    <cellStyle name="Border 5 3" xfId="8754"/>
    <cellStyle name="Border 5 3 2" xfId="16057"/>
    <cellStyle name="Border 5 3 3" xfId="20052"/>
    <cellStyle name="Border 5 4" xfId="16055"/>
    <cellStyle name="Border 5 5" xfId="20050"/>
    <cellStyle name="Border 6" xfId="8755"/>
    <cellStyle name="Border 6 2" xfId="8756"/>
    <cellStyle name="Border 6 2 2" xfId="16059"/>
    <cellStyle name="Border 6 2 3" xfId="20054"/>
    <cellStyle name="Border 6 3" xfId="8757"/>
    <cellStyle name="Border 6 3 2" xfId="16060"/>
    <cellStyle name="Border 6 3 3" xfId="20055"/>
    <cellStyle name="Border 6 4" xfId="16058"/>
    <cellStyle name="Border 6 5" xfId="20053"/>
    <cellStyle name="Border 7" xfId="8758"/>
    <cellStyle name="Border 7 2" xfId="8759"/>
    <cellStyle name="Border 7 2 2" xfId="16062"/>
    <cellStyle name="Border 7 2 3" xfId="20057"/>
    <cellStyle name="Border 7 3" xfId="8760"/>
    <cellStyle name="Border 7 3 2" xfId="16063"/>
    <cellStyle name="Border 7 3 3" xfId="20058"/>
    <cellStyle name="Border 7 4" xfId="16061"/>
    <cellStyle name="Border 7 5" xfId="20056"/>
    <cellStyle name="Border 8" xfId="8761"/>
    <cellStyle name="Border 8 2" xfId="8762"/>
    <cellStyle name="Border 8 2 2" xfId="16065"/>
    <cellStyle name="Border 8 2 3" xfId="20060"/>
    <cellStyle name="Border 8 3" xfId="8763"/>
    <cellStyle name="Border 8 3 2" xfId="16066"/>
    <cellStyle name="Border 8 3 3" xfId="20061"/>
    <cellStyle name="Border 8 4" xfId="16064"/>
    <cellStyle name="Border 8 5" xfId="20059"/>
    <cellStyle name="Border 9" xfId="8764"/>
    <cellStyle name="Border 9 2" xfId="8765"/>
    <cellStyle name="Border 9 2 2" xfId="16068"/>
    <cellStyle name="Border 9 2 3" xfId="20063"/>
    <cellStyle name="Border 9 3" xfId="8766"/>
    <cellStyle name="Border 9 3 2" xfId="16069"/>
    <cellStyle name="Border 9 3 3" xfId="20064"/>
    <cellStyle name="Border 9 4" xfId="16067"/>
    <cellStyle name="Border 9 5" xfId="20062"/>
    <cellStyle name="Border Heavy" xfId="8767"/>
    <cellStyle name="Border Heavy 2" xfId="8768"/>
    <cellStyle name="Border Heavy 2 2" xfId="8769"/>
    <cellStyle name="Border Heavy 3" xfId="8770"/>
    <cellStyle name="Border Heavy 4" xfId="8771"/>
    <cellStyle name="Border Thin" xfId="8772"/>
    <cellStyle name="Border Thin 2" xfId="8773"/>
    <cellStyle name="Border Thin 2 2" xfId="8774"/>
    <cellStyle name="Border Thin 3" xfId="8775"/>
    <cellStyle name="Border, Bottom" xfId="8776"/>
    <cellStyle name="Border, Bottom 2" xfId="8777"/>
    <cellStyle name="Border, Left" xfId="8778"/>
    <cellStyle name="Border, Right" xfId="8779"/>
    <cellStyle name="Border, Top" xfId="8780"/>
    <cellStyle name="Border, Top 2" xfId="8781"/>
    <cellStyle name="Border_Anaphore 12 31 2008 Draft Analysis 02 19 2009" xfId="8782"/>
    <cellStyle name="Bottom bold border" xfId="8783"/>
    <cellStyle name="Bottom bold border 2" xfId="8784"/>
    <cellStyle name="Bottom bold border 2 2" xfId="8785"/>
    <cellStyle name="Bottom bold border 3" xfId="8786"/>
    <cellStyle name="Bottom bold border 4" xfId="8787"/>
    <cellStyle name="Bottom bold border 5" xfId="8788"/>
    <cellStyle name="Bottom Edge" xfId="8789"/>
    <cellStyle name="Bottom Edge 2" xfId="8790"/>
    <cellStyle name="Bottom single border" xfId="8791"/>
    <cellStyle name="Bottom single border 2" xfId="8792"/>
    <cellStyle name="Bottom single border 2 2" xfId="8793"/>
    <cellStyle name="Bottom single border 2 3" xfId="20259"/>
    <cellStyle name="Bottom single border 3" xfId="8794"/>
    <cellStyle name="Bottom single border 3 2" xfId="20260"/>
    <cellStyle name="Bottom single border 4" xfId="8795"/>
    <cellStyle name="Bottom single border 4 2" xfId="20261"/>
    <cellStyle name="Bottom single border 5" xfId="8796"/>
    <cellStyle name="Bottom single border 5 2" xfId="20262"/>
    <cellStyle name="British Pound" xfId="8797"/>
    <cellStyle name="British Pound 10" xfId="8798"/>
    <cellStyle name="British Pound 10 2" xfId="8799"/>
    <cellStyle name="British Pound 10 3" xfId="8800"/>
    <cellStyle name="British Pound 10 4" xfId="8801"/>
    <cellStyle name="British Pound 10 5" xfId="8802"/>
    <cellStyle name="British Pound 10 6" xfId="8803"/>
    <cellStyle name="British Pound 10 7" xfId="8804"/>
    <cellStyle name="British Pound 10 8" xfId="8805"/>
    <cellStyle name="British Pound 10 9" xfId="8806"/>
    <cellStyle name="British Pound 11" xfId="8807"/>
    <cellStyle name="British Pound 11 2" xfId="8808"/>
    <cellStyle name="British Pound 11 2 2" xfId="8809"/>
    <cellStyle name="British Pound 11 2 2 2" xfId="8810"/>
    <cellStyle name="British Pound 11 2 2 3" xfId="8811"/>
    <cellStyle name="British Pound 11 2 2 4" xfId="8812"/>
    <cellStyle name="British Pound 11 2 2 5" xfId="8813"/>
    <cellStyle name="British Pound 11 2 2 6" xfId="8814"/>
    <cellStyle name="British Pound 11 2 2 7" xfId="8815"/>
    <cellStyle name="British Pound 11 2 2 8" xfId="8816"/>
    <cellStyle name="British Pound 11 2 3" xfId="8817"/>
    <cellStyle name="British Pound 11 2 4" xfId="8818"/>
    <cellStyle name="British Pound 11 2 5" xfId="8819"/>
    <cellStyle name="British Pound 11 2 6" xfId="8820"/>
    <cellStyle name="British Pound 11 2 7" xfId="8821"/>
    <cellStyle name="British Pound 11 2 8" xfId="8822"/>
    <cellStyle name="British Pound 11 2 9" xfId="8823"/>
    <cellStyle name="British Pound 11 3" xfId="8824"/>
    <cellStyle name="British Pound 11 3 2" xfId="8825"/>
    <cellStyle name="British Pound 11 3 3" xfId="8826"/>
    <cellStyle name="British Pound 11 3 4" xfId="8827"/>
    <cellStyle name="British Pound 11 3 5" xfId="8828"/>
    <cellStyle name="British Pound 11 3 6" xfId="8829"/>
    <cellStyle name="British Pound 11 3 7" xfId="8830"/>
    <cellStyle name="British Pound 11 3 8" xfId="8831"/>
    <cellStyle name="British Pound 11 4" xfId="8832"/>
    <cellStyle name="British Pound 11 5" xfId="8833"/>
    <cellStyle name="British Pound 11 6" xfId="8834"/>
    <cellStyle name="British Pound 11 7" xfId="8835"/>
    <cellStyle name="British Pound 11 8" xfId="8836"/>
    <cellStyle name="British Pound 11 9" xfId="8837"/>
    <cellStyle name="British Pound 12" xfId="8838"/>
    <cellStyle name="British Pound 12 10" xfId="8839"/>
    <cellStyle name="British Pound 12 11" xfId="8840"/>
    <cellStyle name="British Pound 12 12" xfId="8841"/>
    <cellStyle name="British Pound 12 13" xfId="8842"/>
    <cellStyle name="British Pound 12 14" xfId="8843"/>
    <cellStyle name="British Pound 12 15" xfId="8844"/>
    <cellStyle name="British Pound 12 16" xfId="8845"/>
    <cellStyle name="British Pound 12 2" xfId="8846"/>
    <cellStyle name="British Pound 12 3" xfId="8847"/>
    <cellStyle name="British Pound 12 4" xfId="8848"/>
    <cellStyle name="British Pound 12 5" xfId="8849"/>
    <cellStyle name="British Pound 12 6" xfId="8850"/>
    <cellStyle name="British Pound 12 7" xfId="8851"/>
    <cellStyle name="British Pound 12 8" xfId="8852"/>
    <cellStyle name="British Pound 12 9" xfId="8853"/>
    <cellStyle name="British Pound 13" xfId="8854"/>
    <cellStyle name="British Pound 13 2" xfId="8855"/>
    <cellStyle name="British Pound 13 3" xfId="8856"/>
    <cellStyle name="British Pound 13 4" xfId="8857"/>
    <cellStyle name="British Pound 13 5" xfId="8858"/>
    <cellStyle name="British Pound 13 6" xfId="8859"/>
    <cellStyle name="British Pound 13 7" xfId="8860"/>
    <cellStyle name="British Pound 13 8" xfId="8861"/>
    <cellStyle name="British Pound 13 9" xfId="8862"/>
    <cellStyle name="British Pound 14" xfId="8863"/>
    <cellStyle name="British Pound 14 2" xfId="8864"/>
    <cellStyle name="British Pound 14 3" xfId="8865"/>
    <cellStyle name="British Pound 14 4" xfId="8866"/>
    <cellStyle name="British Pound 14 5" xfId="8867"/>
    <cellStyle name="British Pound 14 6" xfId="8868"/>
    <cellStyle name="British Pound 14 7" xfId="8869"/>
    <cellStyle name="British Pound 14 8" xfId="8870"/>
    <cellStyle name="British Pound 14 9" xfId="8871"/>
    <cellStyle name="British Pound 15" xfId="8872"/>
    <cellStyle name="British Pound 15 2" xfId="8873"/>
    <cellStyle name="British Pound 15 3" xfId="8874"/>
    <cellStyle name="British Pound 15 4" xfId="8875"/>
    <cellStyle name="British Pound 15 5" xfId="8876"/>
    <cellStyle name="British Pound 15 6" xfId="8877"/>
    <cellStyle name="British Pound 15 7" xfId="8878"/>
    <cellStyle name="British Pound 15 8" xfId="8879"/>
    <cellStyle name="British Pound 15 9" xfId="8880"/>
    <cellStyle name="British Pound 16" xfId="8881"/>
    <cellStyle name="British Pound 16 2" xfId="8882"/>
    <cellStyle name="British Pound 16 3" xfId="8883"/>
    <cellStyle name="British Pound 16 4" xfId="8884"/>
    <cellStyle name="British Pound 16 5" xfId="8885"/>
    <cellStyle name="British Pound 16 6" xfId="8886"/>
    <cellStyle name="British Pound 16 7" xfId="8887"/>
    <cellStyle name="British Pound 16 8" xfId="8888"/>
    <cellStyle name="British Pound 16 9" xfId="8889"/>
    <cellStyle name="British Pound 17" xfId="8890"/>
    <cellStyle name="British Pound 17 2" xfId="8891"/>
    <cellStyle name="British Pound 17 3" xfId="8892"/>
    <cellStyle name="British Pound 17 4" xfId="8893"/>
    <cellStyle name="British Pound 17 5" xfId="8894"/>
    <cellStyle name="British Pound 17 6" xfId="8895"/>
    <cellStyle name="British Pound 17 7" xfId="8896"/>
    <cellStyle name="British Pound 17 8" xfId="8897"/>
    <cellStyle name="British Pound 17 9" xfId="8898"/>
    <cellStyle name="British Pound 18" xfId="8899"/>
    <cellStyle name="British Pound 18 2" xfId="8900"/>
    <cellStyle name="British Pound 18 3" xfId="8901"/>
    <cellStyle name="British Pound 18 4" xfId="8902"/>
    <cellStyle name="British Pound 18 5" xfId="8903"/>
    <cellStyle name="British Pound 18 6" xfId="8904"/>
    <cellStyle name="British Pound 18 7" xfId="8905"/>
    <cellStyle name="British Pound 18 8" xfId="8906"/>
    <cellStyle name="British Pound 18 9" xfId="8907"/>
    <cellStyle name="British Pound 19" xfId="8908"/>
    <cellStyle name="British Pound 19 2" xfId="8909"/>
    <cellStyle name="British Pound 19 3" xfId="8910"/>
    <cellStyle name="British Pound 19 4" xfId="8911"/>
    <cellStyle name="British Pound 19 5" xfId="8912"/>
    <cellStyle name="British Pound 19 6" xfId="8913"/>
    <cellStyle name="British Pound 19 7" xfId="8914"/>
    <cellStyle name="British Pound 19 8" xfId="8915"/>
    <cellStyle name="British Pound 19 9" xfId="8916"/>
    <cellStyle name="British Pound 2" xfId="8917"/>
    <cellStyle name="British Pound 2 10" xfId="8918"/>
    <cellStyle name="British Pound 2 11" xfId="8919"/>
    <cellStyle name="British Pound 2 11 2" xfId="8920"/>
    <cellStyle name="British Pound 2 11 3" xfId="8921"/>
    <cellStyle name="British Pound 2 11 4" xfId="8922"/>
    <cellStyle name="British Pound 2 11 5" xfId="8923"/>
    <cellStyle name="British Pound 2 11 6" xfId="8924"/>
    <cellStyle name="British Pound 2 11 7" xfId="8925"/>
    <cellStyle name="British Pound 2 11 8" xfId="8926"/>
    <cellStyle name="British Pound 2 12" xfId="8927"/>
    <cellStyle name="British Pound 2 12 2" xfId="8928"/>
    <cellStyle name="British Pound 2 12 3" xfId="8929"/>
    <cellStyle name="British Pound 2 12 4" xfId="8930"/>
    <cellStyle name="British Pound 2 12 5" xfId="8931"/>
    <cellStyle name="British Pound 2 12 6" xfId="8932"/>
    <cellStyle name="British Pound 2 12 7" xfId="8933"/>
    <cellStyle name="British Pound 2 12 8" xfId="8934"/>
    <cellStyle name="British Pound 2 13" xfId="8935"/>
    <cellStyle name="British Pound 2 14" xfId="8936"/>
    <cellStyle name="British Pound 2 15" xfId="8937"/>
    <cellStyle name="British Pound 2 16" xfId="8938"/>
    <cellStyle name="British Pound 2 17" xfId="8939"/>
    <cellStyle name="British Pound 2 18" xfId="8940"/>
    <cellStyle name="British Pound 2 2" xfId="8941"/>
    <cellStyle name="British Pound 2 2 10" xfId="8942"/>
    <cellStyle name="British Pound 2 2 11" xfId="8943"/>
    <cellStyle name="British Pound 2 2 12" xfId="8944"/>
    <cellStyle name="British Pound 2 2 13" xfId="8945"/>
    <cellStyle name="British Pound 2 2 14" xfId="8946"/>
    <cellStyle name="British Pound 2 2 15" xfId="8947"/>
    <cellStyle name="British Pound 2 2 16" xfId="8948"/>
    <cellStyle name="British Pound 2 2 17" xfId="8949"/>
    <cellStyle name="British Pound 2 2 18" xfId="8950"/>
    <cellStyle name="British Pound 2 2 2" xfId="8951"/>
    <cellStyle name="British Pound 2 2 2 10" xfId="8952"/>
    <cellStyle name="British Pound 2 2 2 11" xfId="8953"/>
    <cellStyle name="British Pound 2 2 2 12" xfId="8954"/>
    <cellStyle name="British Pound 2 2 2 13" xfId="8955"/>
    <cellStyle name="British Pound 2 2 2 14" xfId="8956"/>
    <cellStyle name="British Pound 2 2 2 15" xfId="8957"/>
    <cellStyle name="British Pound 2 2 2 16" xfId="8958"/>
    <cellStyle name="British Pound 2 2 2 2" xfId="8959"/>
    <cellStyle name="British Pound 2 2 2 2 10" xfId="8960"/>
    <cellStyle name="British Pound 2 2 2 2 11" xfId="8961"/>
    <cellStyle name="British Pound 2 2 2 2 12" xfId="8962"/>
    <cellStyle name="British Pound 2 2 2 2 13" xfId="8963"/>
    <cellStyle name="British Pound 2 2 2 2 14" xfId="8964"/>
    <cellStyle name="British Pound 2 2 2 2 15" xfId="8965"/>
    <cellStyle name="British Pound 2 2 2 2 2" xfId="8966"/>
    <cellStyle name="British Pound 2 2 2 2 2 2" xfId="8967"/>
    <cellStyle name="British Pound 2 2 2 2 2 2 2" xfId="8968"/>
    <cellStyle name="British Pound 2 2 2 2 2 2 2 2" xfId="8969"/>
    <cellStyle name="British Pound 2 2 2 2 2 2 2 3" xfId="8970"/>
    <cellStyle name="British Pound 2 2 2 2 2 2 2 4" xfId="8971"/>
    <cellStyle name="British Pound 2 2 2 2 2 2 2 5" xfId="8972"/>
    <cellStyle name="British Pound 2 2 2 2 2 2 2 6" xfId="8973"/>
    <cellStyle name="British Pound 2 2 2 2 2 2 2 7" xfId="8974"/>
    <cellStyle name="British Pound 2 2 2 2 2 2 2 8" xfId="8975"/>
    <cellStyle name="British Pound 2 2 2 2 2 2 3" xfId="8976"/>
    <cellStyle name="British Pound 2 2 2 2 2 2 4" xfId="8977"/>
    <cellStyle name="British Pound 2 2 2 2 2 2 5" xfId="8978"/>
    <cellStyle name="British Pound 2 2 2 2 2 2 6" xfId="8979"/>
    <cellStyle name="British Pound 2 2 2 2 2 2 7" xfId="8980"/>
    <cellStyle name="British Pound 2 2 2 2 2 2 8" xfId="8981"/>
    <cellStyle name="British Pound 2 2 2 2 2 2 9" xfId="8982"/>
    <cellStyle name="British Pound 2 2 2 2 2 3" xfId="8983"/>
    <cellStyle name="British Pound 2 2 2 2 2 4" xfId="8984"/>
    <cellStyle name="British Pound 2 2 2 2 2 5" xfId="8985"/>
    <cellStyle name="British Pound 2 2 2 2 2 6" xfId="8986"/>
    <cellStyle name="British Pound 2 2 2 2 2 7" xfId="8987"/>
    <cellStyle name="British Pound 2 2 2 2 2 8" xfId="8988"/>
    <cellStyle name="British Pound 2 2 2 2 2 9" xfId="8989"/>
    <cellStyle name="British Pound 2 2 2 2 3" xfId="8990"/>
    <cellStyle name="British Pound 2 2 2 2 3 2" xfId="8991"/>
    <cellStyle name="British Pound 2 2 2 2 3 3" xfId="8992"/>
    <cellStyle name="British Pound 2 2 2 2 3 4" xfId="8993"/>
    <cellStyle name="British Pound 2 2 2 2 3 5" xfId="8994"/>
    <cellStyle name="British Pound 2 2 2 2 3 6" xfId="8995"/>
    <cellStyle name="British Pound 2 2 2 2 3 7" xfId="8996"/>
    <cellStyle name="British Pound 2 2 2 2 3 8" xfId="8997"/>
    <cellStyle name="British Pound 2 2 2 2 4" xfId="8998"/>
    <cellStyle name="British Pound 2 2 2 2 5" xfId="8999"/>
    <cellStyle name="British Pound 2 2 2 2 6" xfId="9000"/>
    <cellStyle name="British Pound 2 2 2 2 7" xfId="9001"/>
    <cellStyle name="British Pound 2 2 2 2 8" xfId="9002"/>
    <cellStyle name="British Pound 2 2 2 2 9" xfId="9003"/>
    <cellStyle name="British Pound 2 2 2 3" xfId="9004"/>
    <cellStyle name="British Pound 2 2 2 3 2" xfId="9005"/>
    <cellStyle name="British Pound 2 2 2 3 3" xfId="9006"/>
    <cellStyle name="British Pound 2 2 2 3 4" xfId="9007"/>
    <cellStyle name="British Pound 2 2 2 3 5" xfId="9008"/>
    <cellStyle name="British Pound 2 2 2 3 6" xfId="9009"/>
    <cellStyle name="British Pound 2 2 2 3 7" xfId="9010"/>
    <cellStyle name="British Pound 2 2 2 3 8" xfId="9011"/>
    <cellStyle name="British Pound 2 2 2 4" xfId="9012"/>
    <cellStyle name="British Pound 2 2 2 4 2" xfId="9013"/>
    <cellStyle name="British Pound 2 2 2 4 3" xfId="9014"/>
    <cellStyle name="British Pound 2 2 2 4 4" xfId="9015"/>
    <cellStyle name="British Pound 2 2 2 4 5" xfId="9016"/>
    <cellStyle name="British Pound 2 2 2 4 6" xfId="9017"/>
    <cellStyle name="British Pound 2 2 2 4 7" xfId="9018"/>
    <cellStyle name="British Pound 2 2 2 4 8" xfId="9019"/>
    <cellStyle name="British Pound 2 2 2 5" xfId="9020"/>
    <cellStyle name="British Pound 2 2 2 5 2" xfId="9021"/>
    <cellStyle name="British Pound 2 2 2 5 3" xfId="9022"/>
    <cellStyle name="British Pound 2 2 2 5 4" xfId="9023"/>
    <cellStyle name="British Pound 2 2 2 5 5" xfId="9024"/>
    <cellStyle name="British Pound 2 2 2 5 6" xfId="9025"/>
    <cellStyle name="British Pound 2 2 2 5 7" xfId="9026"/>
    <cellStyle name="British Pound 2 2 2 5 8" xfId="9027"/>
    <cellStyle name="British Pound 2 2 2 6" xfId="9028"/>
    <cellStyle name="British Pound 2 2 2 6 2" xfId="9029"/>
    <cellStyle name="British Pound 2 2 2 6 3" xfId="9030"/>
    <cellStyle name="British Pound 2 2 2 6 4" xfId="9031"/>
    <cellStyle name="British Pound 2 2 2 6 5" xfId="9032"/>
    <cellStyle name="British Pound 2 2 2 6 6" xfId="9033"/>
    <cellStyle name="British Pound 2 2 2 6 7" xfId="9034"/>
    <cellStyle name="British Pound 2 2 2 6 8" xfId="9035"/>
    <cellStyle name="British Pound 2 2 2 7" xfId="9036"/>
    <cellStyle name="British Pound 2 2 2 8" xfId="9037"/>
    <cellStyle name="British Pound 2 2 2 9" xfId="9038"/>
    <cellStyle name="British Pound 2 2 3" xfId="9039"/>
    <cellStyle name="British Pound 2 2 3 10" xfId="9040"/>
    <cellStyle name="British Pound 2 2 3 11" xfId="9041"/>
    <cellStyle name="British Pound 2 2 3 12" xfId="9042"/>
    <cellStyle name="British Pound 2 2 3 13" xfId="9043"/>
    <cellStyle name="British Pound 2 2 3 14" xfId="9044"/>
    <cellStyle name="British Pound 2 2 3 15" xfId="9045"/>
    <cellStyle name="British Pound 2 2 3 16" xfId="9046"/>
    <cellStyle name="British Pound 2 2 3 2" xfId="9047"/>
    <cellStyle name="British Pound 2 2 3 2 2" xfId="9048"/>
    <cellStyle name="British Pound 2 2 3 2 3" xfId="9049"/>
    <cellStyle name="British Pound 2 2 3 2 4" xfId="9050"/>
    <cellStyle name="British Pound 2 2 3 2 5" xfId="9051"/>
    <cellStyle name="British Pound 2 2 3 2 6" xfId="9052"/>
    <cellStyle name="British Pound 2 2 3 2 7" xfId="9053"/>
    <cellStyle name="British Pound 2 2 3 2 8" xfId="9054"/>
    <cellStyle name="British Pound 2 2 3 3" xfId="9055"/>
    <cellStyle name="British Pound 2 2 3 3 2" xfId="9056"/>
    <cellStyle name="British Pound 2 2 3 3 3" xfId="9057"/>
    <cellStyle name="British Pound 2 2 3 3 4" xfId="9058"/>
    <cellStyle name="British Pound 2 2 3 3 5" xfId="9059"/>
    <cellStyle name="British Pound 2 2 3 3 6" xfId="9060"/>
    <cellStyle name="British Pound 2 2 3 3 7" xfId="9061"/>
    <cellStyle name="British Pound 2 2 3 3 8" xfId="9062"/>
    <cellStyle name="British Pound 2 2 3 4" xfId="9063"/>
    <cellStyle name="British Pound 2 2 3 5" xfId="9064"/>
    <cellStyle name="British Pound 2 2 3 6" xfId="9065"/>
    <cellStyle name="British Pound 2 2 3 7" xfId="9066"/>
    <cellStyle name="British Pound 2 2 3 8" xfId="9067"/>
    <cellStyle name="British Pound 2 2 3 9" xfId="9068"/>
    <cellStyle name="British Pound 2 2 4" xfId="9069"/>
    <cellStyle name="British Pound 2 2 4 2" xfId="9070"/>
    <cellStyle name="British Pound 2 2 4 2 2" xfId="9071"/>
    <cellStyle name="British Pound 2 2 4 2 2 2" xfId="9072"/>
    <cellStyle name="British Pound 2 2 4 2 2 3" xfId="9073"/>
    <cellStyle name="British Pound 2 2 4 2 2 4" xfId="9074"/>
    <cellStyle name="British Pound 2 2 4 2 2 5" xfId="9075"/>
    <cellStyle name="British Pound 2 2 4 2 2 6" xfId="9076"/>
    <cellStyle name="British Pound 2 2 4 2 2 7" xfId="9077"/>
    <cellStyle name="British Pound 2 2 4 2 2 8" xfId="9078"/>
    <cellStyle name="British Pound 2 2 4 2 3" xfId="9079"/>
    <cellStyle name="British Pound 2 2 4 2 4" xfId="9080"/>
    <cellStyle name="British Pound 2 2 4 2 5" xfId="9081"/>
    <cellStyle name="British Pound 2 2 4 2 6" xfId="9082"/>
    <cellStyle name="British Pound 2 2 4 2 7" xfId="9083"/>
    <cellStyle name="British Pound 2 2 4 2 8" xfId="9084"/>
    <cellStyle name="British Pound 2 2 4 2 9" xfId="9085"/>
    <cellStyle name="British Pound 2 2 4 3" xfId="9086"/>
    <cellStyle name="British Pound 2 2 4 4" xfId="9087"/>
    <cellStyle name="British Pound 2 2 4 5" xfId="9088"/>
    <cellStyle name="British Pound 2 2 4 6" xfId="9089"/>
    <cellStyle name="British Pound 2 2 4 7" xfId="9090"/>
    <cellStyle name="British Pound 2 2 4 8" xfId="9091"/>
    <cellStyle name="British Pound 2 2 4 9" xfId="9092"/>
    <cellStyle name="British Pound 2 2 5" xfId="9093"/>
    <cellStyle name="British Pound 2 2 6" xfId="9094"/>
    <cellStyle name="British Pound 2 2 7" xfId="9095"/>
    <cellStyle name="British Pound 2 2 7 2" xfId="9096"/>
    <cellStyle name="British Pound 2 2 7 3" xfId="9097"/>
    <cellStyle name="British Pound 2 2 7 4" xfId="9098"/>
    <cellStyle name="British Pound 2 2 7 5" xfId="9099"/>
    <cellStyle name="British Pound 2 2 7 6" xfId="9100"/>
    <cellStyle name="British Pound 2 2 7 7" xfId="9101"/>
    <cellStyle name="British Pound 2 2 7 8" xfId="9102"/>
    <cellStyle name="British Pound 2 2 8" xfId="9103"/>
    <cellStyle name="British Pound 2 2 9" xfId="9104"/>
    <cellStyle name="British Pound 2 3" xfId="9105"/>
    <cellStyle name="British Pound 2 3 10" xfId="9106"/>
    <cellStyle name="British Pound 2 3 11" xfId="9107"/>
    <cellStyle name="British Pound 2 3 12" xfId="9108"/>
    <cellStyle name="British Pound 2 3 13" xfId="9109"/>
    <cellStyle name="British Pound 2 3 14" xfId="9110"/>
    <cellStyle name="British Pound 2 3 15" xfId="9111"/>
    <cellStyle name="British Pound 2 3 16" xfId="9112"/>
    <cellStyle name="British Pound 2 3 2" xfId="9113"/>
    <cellStyle name="British Pound 2 3 2 2" xfId="9114"/>
    <cellStyle name="British Pound 2 3 2 3" xfId="9115"/>
    <cellStyle name="British Pound 2 3 2 4" xfId="9116"/>
    <cellStyle name="British Pound 2 3 2 5" xfId="9117"/>
    <cellStyle name="British Pound 2 3 2 6" xfId="9118"/>
    <cellStyle name="British Pound 2 3 2 7" xfId="9119"/>
    <cellStyle name="British Pound 2 3 2 8" xfId="9120"/>
    <cellStyle name="British Pound 2 3 3" xfId="9121"/>
    <cellStyle name="British Pound 2 3 3 2" xfId="9122"/>
    <cellStyle name="British Pound 2 3 3 3" xfId="9123"/>
    <cellStyle name="British Pound 2 3 3 4" xfId="9124"/>
    <cellStyle name="British Pound 2 3 3 5" xfId="9125"/>
    <cellStyle name="British Pound 2 3 3 6" xfId="9126"/>
    <cellStyle name="British Pound 2 3 3 7" xfId="9127"/>
    <cellStyle name="British Pound 2 3 3 8" xfId="9128"/>
    <cellStyle name="British Pound 2 3 4" xfId="9129"/>
    <cellStyle name="British Pound 2 3 5" xfId="9130"/>
    <cellStyle name="British Pound 2 3 6" xfId="9131"/>
    <cellStyle name="British Pound 2 3 7" xfId="9132"/>
    <cellStyle name="British Pound 2 3 8" xfId="9133"/>
    <cellStyle name="British Pound 2 3 9" xfId="9134"/>
    <cellStyle name="British Pound 2 4" xfId="9135"/>
    <cellStyle name="British Pound 2 4 2" xfId="9136"/>
    <cellStyle name="British Pound 2 4 3" xfId="9137"/>
    <cellStyle name="British Pound 2 4 4" xfId="9138"/>
    <cellStyle name="British Pound 2 4 5" xfId="9139"/>
    <cellStyle name="British Pound 2 4 6" xfId="9140"/>
    <cellStyle name="British Pound 2 4 7" xfId="9141"/>
    <cellStyle name="British Pound 2 4 8" xfId="9142"/>
    <cellStyle name="British Pound 2 4 9" xfId="9143"/>
    <cellStyle name="British Pound 2 5" xfId="9144"/>
    <cellStyle name="British Pound 2 5 2" xfId="9145"/>
    <cellStyle name="British Pound 2 5 3" xfId="9146"/>
    <cellStyle name="British Pound 2 5 4" xfId="9147"/>
    <cellStyle name="British Pound 2 5 5" xfId="9148"/>
    <cellStyle name="British Pound 2 5 6" xfId="9149"/>
    <cellStyle name="British Pound 2 5 7" xfId="9150"/>
    <cellStyle name="British Pound 2 5 8" xfId="9151"/>
    <cellStyle name="British Pound 2 5 9" xfId="9152"/>
    <cellStyle name="British Pound 2 6" xfId="9153"/>
    <cellStyle name="British Pound 2 6 2" xfId="9154"/>
    <cellStyle name="British Pound 2 6 3" xfId="9155"/>
    <cellStyle name="British Pound 2 6 4" xfId="9156"/>
    <cellStyle name="British Pound 2 6 5" xfId="9157"/>
    <cellStyle name="British Pound 2 6 6" xfId="9158"/>
    <cellStyle name="British Pound 2 6 7" xfId="9159"/>
    <cellStyle name="British Pound 2 6 8" xfId="9160"/>
    <cellStyle name="British Pound 2 6 9" xfId="9161"/>
    <cellStyle name="British Pound 2 7" xfId="9162"/>
    <cellStyle name="British Pound 2 7 2" xfId="9163"/>
    <cellStyle name="British Pound 2 7 3" xfId="9164"/>
    <cellStyle name="British Pound 2 7 4" xfId="9165"/>
    <cellStyle name="British Pound 2 7 5" xfId="9166"/>
    <cellStyle name="British Pound 2 7 6" xfId="9167"/>
    <cellStyle name="British Pound 2 7 7" xfId="9168"/>
    <cellStyle name="British Pound 2 7 8" xfId="9169"/>
    <cellStyle name="British Pound 2 7 9" xfId="9170"/>
    <cellStyle name="British Pound 2 8" xfId="9171"/>
    <cellStyle name="British Pound 2 8 2" xfId="9172"/>
    <cellStyle name="British Pound 2 8 3" xfId="9173"/>
    <cellStyle name="British Pound 2 8 4" xfId="9174"/>
    <cellStyle name="British Pound 2 8 5" xfId="9175"/>
    <cellStyle name="British Pound 2 8 6" xfId="9176"/>
    <cellStyle name="British Pound 2 8 7" xfId="9177"/>
    <cellStyle name="British Pound 2 8 8" xfId="9178"/>
    <cellStyle name="British Pound 2 8 9" xfId="9179"/>
    <cellStyle name="British Pound 2 9" xfId="9180"/>
    <cellStyle name="British Pound 2 9 2" xfId="9181"/>
    <cellStyle name="British Pound 2 9 2 2" xfId="9182"/>
    <cellStyle name="British Pound 2 9 2 2 2" xfId="9183"/>
    <cellStyle name="British Pound 2 9 2 2 3" xfId="9184"/>
    <cellStyle name="British Pound 2 9 2 2 4" xfId="9185"/>
    <cellStyle name="British Pound 2 9 2 2 5" xfId="9186"/>
    <cellStyle name="British Pound 2 9 2 2 6" xfId="9187"/>
    <cellStyle name="British Pound 2 9 2 2 7" xfId="9188"/>
    <cellStyle name="British Pound 2 9 2 2 8" xfId="9189"/>
    <cellStyle name="British Pound 2 9 2 3" xfId="9190"/>
    <cellStyle name="British Pound 2 9 2 4" xfId="9191"/>
    <cellStyle name="British Pound 2 9 2 5" xfId="9192"/>
    <cellStyle name="British Pound 2 9 2 6" xfId="9193"/>
    <cellStyle name="British Pound 2 9 2 7" xfId="9194"/>
    <cellStyle name="British Pound 2 9 2 8" xfId="9195"/>
    <cellStyle name="British Pound 2 9 2 9" xfId="9196"/>
    <cellStyle name="British Pound 2 9 3" xfId="9197"/>
    <cellStyle name="British Pound 2 9 4" xfId="9198"/>
    <cellStyle name="British Pound 2 9 5" xfId="9199"/>
    <cellStyle name="British Pound 2 9 6" xfId="9200"/>
    <cellStyle name="British Pound 2 9 7" xfId="9201"/>
    <cellStyle name="British Pound 2 9 8" xfId="9202"/>
    <cellStyle name="British Pound 2 9 9" xfId="9203"/>
    <cellStyle name="British Pound 20" xfId="9204"/>
    <cellStyle name="British Pound 20 2" xfId="9205"/>
    <cellStyle name="British Pound 20 3" xfId="9206"/>
    <cellStyle name="British Pound 20 4" xfId="9207"/>
    <cellStyle name="British Pound 20 5" xfId="9208"/>
    <cellStyle name="British Pound 20 6" xfId="9209"/>
    <cellStyle name="British Pound 20 7" xfId="9210"/>
    <cellStyle name="British Pound 20 8" xfId="9211"/>
    <cellStyle name="British Pound 20 9" xfId="9212"/>
    <cellStyle name="British Pound 21" xfId="9213"/>
    <cellStyle name="British Pound 21 2" xfId="9214"/>
    <cellStyle name="British Pound 21 3" xfId="9215"/>
    <cellStyle name="British Pound 21 4" xfId="9216"/>
    <cellStyle name="British Pound 21 5" xfId="9217"/>
    <cellStyle name="British Pound 21 6" xfId="9218"/>
    <cellStyle name="British Pound 21 7" xfId="9219"/>
    <cellStyle name="British Pound 21 8" xfId="9220"/>
    <cellStyle name="British Pound 21 9" xfId="9221"/>
    <cellStyle name="British Pound 22" xfId="9222"/>
    <cellStyle name="British Pound 22 2" xfId="9223"/>
    <cellStyle name="British Pound 22 3" xfId="9224"/>
    <cellStyle name="British Pound 22 4" xfId="9225"/>
    <cellStyle name="British Pound 22 5" xfId="9226"/>
    <cellStyle name="British Pound 22 6" xfId="9227"/>
    <cellStyle name="British Pound 22 7" xfId="9228"/>
    <cellStyle name="British Pound 22 8" xfId="9229"/>
    <cellStyle name="British Pound 22 9" xfId="9230"/>
    <cellStyle name="British Pound 23" xfId="9231"/>
    <cellStyle name="British Pound 24" xfId="9232"/>
    <cellStyle name="British Pound 25" xfId="9233"/>
    <cellStyle name="British Pound 26" xfId="9234"/>
    <cellStyle name="British Pound 27" xfId="9235"/>
    <cellStyle name="British Pound 28" xfId="9236"/>
    <cellStyle name="British Pound 29" xfId="9237"/>
    <cellStyle name="British Pound 3" xfId="9238"/>
    <cellStyle name="British Pound 3 2" xfId="9239"/>
    <cellStyle name="British Pound 3 2 2" xfId="9240"/>
    <cellStyle name="British Pound 3 2 2 2" xfId="9241"/>
    <cellStyle name="British Pound 3 2 2 2 2" xfId="9242"/>
    <cellStyle name="British Pound 3 2 2 2 2 2" xfId="9243"/>
    <cellStyle name="British Pound 3 2 2 2 2 3" xfId="9244"/>
    <cellStyle name="British Pound 3 2 2 2 2 4" xfId="9245"/>
    <cellStyle name="British Pound 3 2 2 2 2 5" xfId="9246"/>
    <cellStyle name="British Pound 3 2 2 2 2 6" xfId="9247"/>
    <cellStyle name="British Pound 3 2 2 2 2 7" xfId="9248"/>
    <cellStyle name="British Pound 3 2 2 2 2 8" xfId="9249"/>
    <cellStyle name="British Pound 3 2 2 2 3" xfId="9250"/>
    <cellStyle name="British Pound 3 2 2 2 4" xfId="9251"/>
    <cellStyle name="British Pound 3 2 2 2 5" xfId="9252"/>
    <cellStyle name="British Pound 3 2 2 2 6" xfId="9253"/>
    <cellStyle name="British Pound 3 2 2 2 7" xfId="9254"/>
    <cellStyle name="British Pound 3 2 2 2 8" xfId="9255"/>
    <cellStyle name="British Pound 3 2 2 2 9" xfId="9256"/>
    <cellStyle name="British Pound 3 2 2 3" xfId="9257"/>
    <cellStyle name="British Pound 3 2 2 4" xfId="9258"/>
    <cellStyle name="British Pound 3 2 2 5" xfId="9259"/>
    <cellStyle name="British Pound 3 2 2 6" xfId="9260"/>
    <cellStyle name="British Pound 3 2 2 7" xfId="9261"/>
    <cellStyle name="British Pound 3 2 2 8" xfId="9262"/>
    <cellStyle name="British Pound 3 2 2 9" xfId="9263"/>
    <cellStyle name="British Pound 3 2 3" xfId="9264"/>
    <cellStyle name="British Pound 3 2 4" xfId="9265"/>
    <cellStyle name="British Pound 3 2 5" xfId="9266"/>
    <cellStyle name="British Pound 3 2 6" xfId="9267"/>
    <cellStyle name="British Pound 3 2 7" xfId="9268"/>
    <cellStyle name="British Pound 3 2 8" xfId="9269"/>
    <cellStyle name="British Pound 3 2 9" xfId="9270"/>
    <cellStyle name="British Pound 3 3" xfId="9271"/>
    <cellStyle name="British Pound 3 4" xfId="9272"/>
    <cellStyle name="British Pound 3 5" xfId="9273"/>
    <cellStyle name="British Pound 3 6" xfId="9274"/>
    <cellStyle name="British Pound 3 6 2" xfId="9275"/>
    <cellStyle name="British Pound 3 6 3" xfId="9276"/>
    <cellStyle name="British Pound 3 6 4" xfId="9277"/>
    <cellStyle name="British Pound 3 6 5" xfId="9278"/>
    <cellStyle name="British Pound 3 6 6" xfId="9279"/>
    <cellStyle name="British Pound 3 6 7" xfId="9280"/>
    <cellStyle name="British Pound 3 6 8" xfId="9281"/>
    <cellStyle name="British Pound 3 7" xfId="9282"/>
    <cellStyle name="British Pound 3 8" xfId="9283"/>
    <cellStyle name="British Pound 3 9" xfId="9284"/>
    <cellStyle name="British Pound 30" xfId="9285"/>
    <cellStyle name="British Pound 31" xfId="9286"/>
    <cellStyle name="British Pound 32" xfId="9287"/>
    <cellStyle name="British Pound 33" xfId="9288"/>
    <cellStyle name="British Pound 34" xfId="9289"/>
    <cellStyle name="British Pound 35" xfId="9290"/>
    <cellStyle name="British Pound 36" xfId="9291"/>
    <cellStyle name="British Pound 37" xfId="9292"/>
    <cellStyle name="British Pound 4" xfId="9293"/>
    <cellStyle name="British Pound 4 2" xfId="9294"/>
    <cellStyle name="British Pound 4 3" xfId="9295"/>
    <cellStyle name="British Pound 4 4" xfId="9296"/>
    <cellStyle name="British Pound 4 5" xfId="9297"/>
    <cellStyle name="British Pound 4 6" xfId="9298"/>
    <cellStyle name="British Pound 4 7" xfId="9299"/>
    <cellStyle name="British Pound 4 8" xfId="9300"/>
    <cellStyle name="British Pound 4 9" xfId="9301"/>
    <cellStyle name="British Pound 5" xfId="9302"/>
    <cellStyle name="British Pound 5 2" xfId="9303"/>
    <cellStyle name="British Pound 5 3" xfId="9304"/>
    <cellStyle name="British Pound 5 4" xfId="9305"/>
    <cellStyle name="British Pound 5 5" xfId="9306"/>
    <cellStyle name="British Pound 5 6" xfId="9307"/>
    <cellStyle name="British Pound 5 7" xfId="9308"/>
    <cellStyle name="British Pound 5 8" xfId="9309"/>
    <cellStyle name="British Pound 5 9" xfId="9310"/>
    <cellStyle name="British Pound 6" xfId="9311"/>
    <cellStyle name="British Pound 6 2" xfId="9312"/>
    <cellStyle name="British Pound 6 3" xfId="9313"/>
    <cellStyle name="British Pound 6 4" xfId="9314"/>
    <cellStyle name="British Pound 6 5" xfId="9315"/>
    <cellStyle name="British Pound 6 6" xfId="9316"/>
    <cellStyle name="British Pound 6 7" xfId="9317"/>
    <cellStyle name="British Pound 6 8" xfId="9318"/>
    <cellStyle name="British Pound 6 9" xfId="9319"/>
    <cellStyle name="British Pound 7" xfId="9320"/>
    <cellStyle name="British Pound 7 2" xfId="9321"/>
    <cellStyle name="British Pound 7 3" xfId="9322"/>
    <cellStyle name="British Pound 7 4" xfId="9323"/>
    <cellStyle name="British Pound 7 5" xfId="9324"/>
    <cellStyle name="British Pound 7 6" xfId="9325"/>
    <cellStyle name="British Pound 7 7" xfId="9326"/>
    <cellStyle name="British Pound 7 8" xfId="9327"/>
    <cellStyle name="British Pound 7 9" xfId="9328"/>
    <cellStyle name="British Pound 8" xfId="9329"/>
    <cellStyle name="British Pound 8 10" xfId="9330"/>
    <cellStyle name="British Pound 8 11" xfId="9331"/>
    <cellStyle name="British Pound 8 12" xfId="9332"/>
    <cellStyle name="British Pound 8 13" xfId="9333"/>
    <cellStyle name="British Pound 8 14" xfId="9334"/>
    <cellStyle name="British Pound 8 15" xfId="9335"/>
    <cellStyle name="British Pound 8 16" xfId="9336"/>
    <cellStyle name="British Pound 8 2" xfId="9337"/>
    <cellStyle name="British Pound 8 2 2" xfId="9338"/>
    <cellStyle name="British Pound 8 2 3" xfId="9339"/>
    <cellStyle name="British Pound 8 2 4" xfId="9340"/>
    <cellStyle name="British Pound 8 2 5" xfId="9341"/>
    <cellStyle name="British Pound 8 2 6" xfId="9342"/>
    <cellStyle name="British Pound 8 2 7" xfId="9343"/>
    <cellStyle name="British Pound 8 2 8" xfId="9344"/>
    <cellStyle name="British Pound 8 3" xfId="9345"/>
    <cellStyle name="British Pound 8 3 2" xfId="9346"/>
    <cellStyle name="British Pound 8 3 3" xfId="9347"/>
    <cellStyle name="British Pound 8 3 4" xfId="9348"/>
    <cellStyle name="British Pound 8 3 5" xfId="9349"/>
    <cellStyle name="British Pound 8 3 6" xfId="9350"/>
    <cellStyle name="British Pound 8 3 7" xfId="9351"/>
    <cellStyle name="British Pound 8 3 8" xfId="9352"/>
    <cellStyle name="British Pound 8 4" xfId="9353"/>
    <cellStyle name="British Pound 8 5" xfId="9354"/>
    <cellStyle name="British Pound 8 6" xfId="9355"/>
    <cellStyle name="British Pound 8 7" xfId="9356"/>
    <cellStyle name="British Pound 8 8" xfId="9357"/>
    <cellStyle name="British Pound 8 9" xfId="9358"/>
    <cellStyle name="British Pound 9" xfId="9359"/>
    <cellStyle name="British Pound 9 2" xfId="9360"/>
    <cellStyle name="British Pound 9 3" xfId="9361"/>
    <cellStyle name="British Pound 9 4" xfId="9362"/>
    <cellStyle name="British Pound 9 5" xfId="9363"/>
    <cellStyle name="British Pound 9 6" xfId="9364"/>
    <cellStyle name="British Pound 9 7" xfId="9365"/>
    <cellStyle name="British Pound 9 8" xfId="9366"/>
    <cellStyle name="British Pound 9 9" xfId="9367"/>
    <cellStyle name="BrödText" xfId="9368"/>
    <cellStyle name="BrödText 2" xfId="9369"/>
    <cellStyle name="BrödText 2 2" xfId="9370"/>
    <cellStyle name="BrödText 3" xfId="9371"/>
    <cellStyle name="BrödText 4" xfId="9372"/>
    <cellStyle name="BrödText 5" xfId="9373"/>
    <cellStyle name="Buena" xfId="9374"/>
    <cellStyle name="Bullet" xfId="9375"/>
    <cellStyle name="Bullet 2" xfId="9376"/>
    <cellStyle name="CABEÇALHO" xfId="9377"/>
    <cellStyle name="Cadre" xfId="9378"/>
    <cellStyle name="Cadre 2" xfId="9379"/>
    <cellStyle name="Calc" xfId="9380"/>
    <cellStyle name="Calc # [0]" xfId="9381"/>
    <cellStyle name="Calc # [1]" xfId="9382"/>
    <cellStyle name="Calc # [2]" xfId="9383"/>
    <cellStyle name="Calc % [0]" xfId="9384"/>
    <cellStyle name="Calc % [1]" xfId="9385"/>
    <cellStyle name="Calc % [2]" xfId="9386"/>
    <cellStyle name="Calc 2" xfId="9387"/>
    <cellStyle name="Calc Currency (0)" xfId="9388"/>
    <cellStyle name="Calc Currency (0) 10" xfId="9389"/>
    <cellStyle name="Calc Currency (0) 10 10" xfId="9390"/>
    <cellStyle name="Calc Currency (0) 10 11" xfId="9391"/>
    <cellStyle name="Calc Currency (0) 10 2" xfId="9392"/>
    <cellStyle name="Calc Currency (0) 10 2 2" xfId="9393"/>
    <cellStyle name="Calc Currency (0) 10 2 3" xfId="9394"/>
    <cellStyle name="Calc Currency (0) 10 2 4" xfId="9395"/>
    <cellStyle name="Calc Currency (0) 10 2 5" xfId="9396"/>
    <cellStyle name="Calc Currency (0) 10 2 6" xfId="9397"/>
    <cellStyle name="Calc Currency (0) 10 2 7" xfId="9398"/>
    <cellStyle name="Calc Currency (0) 10 2 8" xfId="9399"/>
    <cellStyle name="Calc Currency (0) 10 2 9" xfId="9400"/>
    <cellStyle name="Calc Currency (0) 10 3" xfId="9401"/>
    <cellStyle name="Calc Currency (0) 10 3 2" xfId="9402"/>
    <cellStyle name="Calc Currency (0) 10 3 3" xfId="9403"/>
    <cellStyle name="Calc Currency (0) 10 3 4" xfId="9404"/>
    <cellStyle name="Calc Currency (0) 10 3 5" xfId="9405"/>
    <cellStyle name="Calc Currency (0) 10 3 6" xfId="9406"/>
    <cellStyle name="Calc Currency (0) 10 3 7" xfId="9407"/>
    <cellStyle name="Calc Currency (0) 10 3 8" xfId="9408"/>
    <cellStyle name="Calc Currency (0) 10 3 9" xfId="9409"/>
    <cellStyle name="Calc Currency (0) 10 4" xfId="9410"/>
    <cellStyle name="Calc Currency (0) 10 5" xfId="9411"/>
    <cellStyle name="Calc Currency (0) 10 6" xfId="9412"/>
    <cellStyle name="Calc Currency (0) 10 7" xfId="9413"/>
    <cellStyle name="Calc Currency (0) 10 8" xfId="9414"/>
    <cellStyle name="Calc Currency (0) 10 9" xfId="9415"/>
    <cellStyle name="Calc Currency (0) 11" xfId="9416"/>
    <cellStyle name="Calc Currency (0) 11 2" xfId="9417"/>
    <cellStyle name="Calc Currency (0) 11 3" xfId="9418"/>
    <cellStyle name="Calc Currency (0) 11 4" xfId="9419"/>
    <cellStyle name="Calc Currency (0) 11 5" xfId="9420"/>
    <cellStyle name="Calc Currency (0) 11 6" xfId="9421"/>
    <cellStyle name="Calc Currency (0) 11 7" xfId="9422"/>
    <cellStyle name="Calc Currency (0) 11 8" xfId="9423"/>
    <cellStyle name="Calc Currency (0) 11 9" xfId="9424"/>
    <cellStyle name="Calc Currency (0) 12" xfId="9425"/>
    <cellStyle name="Calc Currency (0) 12 2" xfId="9426"/>
    <cellStyle name="Calc Currency (0) 12 3" xfId="9427"/>
    <cellStyle name="Calc Currency (0) 12 4" xfId="9428"/>
    <cellStyle name="Calc Currency (0) 12 5" xfId="9429"/>
    <cellStyle name="Calc Currency (0) 12 6" xfId="9430"/>
    <cellStyle name="Calc Currency (0) 12 7" xfId="9431"/>
    <cellStyle name="Calc Currency (0) 12 8" xfId="9432"/>
    <cellStyle name="Calc Currency (0) 12 9" xfId="9433"/>
    <cellStyle name="Calc Currency (0) 13" xfId="9434"/>
    <cellStyle name="Calc Currency (0) 13 10" xfId="9435"/>
    <cellStyle name="Calc Currency (0) 13 11" xfId="9436"/>
    <cellStyle name="Calc Currency (0) 13 12" xfId="9437"/>
    <cellStyle name="Calc Currency (0) 13 13" xfId="9438"/>
    <cellStyle name="Calc Currency (0) 13 14" xfId="9439"/>
    <cellStyle name="Calc Currency (0) 13 15" xfId="9440"/>
    <cellStyle name="Calc Currency (0) 13 16" xfId="9441"/>
    <cellStyle name="Calc Currency (0) 13 2" xfId="9442"/>
    <cellStyle name="Calc Currency (0) 13 3" xfId="9443"/>
    <cellStyle name="Calc Currency (0) 13 4" xfId="9444"/>
    <cellStyle name="Calc Currency (0) 13 5" xfId="9445"/>
    <cellStyle name="Calc Currency (0) 13 6" xfId="9446"/>
    <cellStyle name="Calc Currency (0) 13 7" xfId="9447"/>
    <cellStyle name="Calc Currency (0) 13 8" xfId="9448"/>
    <cellStyle name="Calc Currency (0) 13 9" xfId="9449"/>
    <cellStyle name="Calc Currency (0) 14" xfId="9450"/>
    <cellStyle name="Calc Currency (0) 14 10" xfId="9451"/>
    <cellStyle name="Calc Currency (0) 14 11" xfId="9452"/>
    <cellStyle name="Calc Currency (0) 14 12" xfId="9453"/>
    <cellStyle name="Calc Currency (0) 14 13" xfId="9454"/>
    <cellStyle name="Calc Currency (0) 14 14" xfId="9455"/>
    <cellStyle name="Calc Currency (0) 14 15" xfId="9456"/>
    <cellStyle name="Calc Currency (0) 14 16" xfId="9457"/>
    <cellStyle name="Calc Currency (0) 14 2" xfId="9458"/>
    <cellStyle name="Calc Currency (0) 14 3" xfId="9459"/>
    <cellStyle name="Calc Currency (0) 14 4" xfId="9460"/>
    <cellStyle name="Calc Currency (0) 14 5" xfId="9461"/>
    <cellStyle name="Calc Currency (0) 14 6" xfId="9462"/>
    <cellStyle name="Calc Currency (0) 14 7" xfId="9463"/>
    <cellStyle name="Calc Currency (0) 14 8" xfId="9464"/>
    <cellStyle name="Calc Currency (0) 14 9" xfId="9465"/>
    <cellStyle name="Calc Currency (0) 15" xfId="9466"/>
    <cellStyle name="Calc Currency (0) 15 10" xfId="9467"/>
    <cellStyle name="Calc Currency (0) 15 11" xfId="9468"/>
    <cellStyle name="Calc Currency (0) 15 12" xfId="9469"/>
    <cellStyle name="Calc Currency (0) 15 13" xfId="9470"/>
    <cellStyle name="Calc Currency (0) 15 14" xfId="9471"/>
    <cellStyle name="Calc Currency (0) 15 15" xfId="9472"/>
    <cellStyle name="Calc Currency (0) 15 16" xfId="9473"/>
    <cellStyle name="Calc Currency (0) 15 2" xfId="9474"/>
    <cellStyle name="Calc Currency (0) 15 3" xfId="9475"/>
    <cellStyle name="Calc Currency (0) 15 4" xfId="9476"/>
    <cellStyle name="Calc Currency (0) 15 5" xfId="9477"/>
    <cellStyle name="Calc Currency (0) 15 6" xfId="9478"/>
    <cellStyle name="Calc Currency (0) 15 7" xfId="9479"/>
    <cellStyle name="Calc Currency (0) 15 8" xfId="9480"/>
    <cellStyle name="Calc Currency (0) 15 9" xfId="9481"/>
    <cellStyle name="Calc Currency (0) 16" xfId="9482"/>
    <cellStyle name="Calc Currency (0) 16 2" xfId="9483"/>
    <cellStyle name="Calc Currency (0) 16 3" xfId="9484"/>
    <cellStyle name="Calc Currency (0) 16 4" xfId="9485"/>
    <cellStyle name="Calc Currency (0) 16 5" xfId="9486"/>
    <cellStyle name="Calc Currency (0) 16 6" xfId="9487"/>
    <cellStyle name="Calc Currency (0) 16 7" xfId="9488"/>
    <cellStyle name="Calc Currency (0) 16 8" xfId="9489"/>
    <cellStyle name="Calc Currency (0) 16 9" xfId="9490"/>
    <cellStyle name="Calc Currency (0) 17" xfId="9491"/>
    <cellStyle name="Calc Currency (0) 17 2" xfId="9492"/>
    <cellStyle name="Calc Currency (0) 17 3" xfId="9493"/>
    <cellStyle name="Calc Currency (0) 17 4" xfId="9494"/>
    <cellStyle name="Calc Currency (0) 17 5" xfId="9495"/>
    <cellStyle name="Calc Currency (0) 17 6" xfId="9496"/>
    <cellStyle name="Calc Currency (0) 17 7" xfId="9497"/>
    <cellStyle name="Calc Currency (0) 17 8" xfId="9498"/>
    <cellStyle name="Calc Currency (0) 17 9" xfId="9499"/>
    <cellStyle name="Calc Currency (0) 18" xfId="9500"/>
    <cellStyle name="Calc Currency (0) 18 2" xfId="9501"/>
    <cellStyle name="Calc Currency (0) 18 3" xfId="9502"/>
    <cellStyle name="Calc Currency (0) 18 4" xfId="9503"/>
    <cellStyle name="Calc Currency (0) 18 5" xfId="9504"/>
    <cellStyle name="Calc Currency (0) 18 6" xfId="9505"/>
    <cellStyle name="Calc Currency (0) 18 7" xfId="9506"/>
    <cellStyle name="Calc Currency (0) 18 8" xfId="9507"/>
    <cellStyle name="Calc Currency (0) 18 9" xfId="9508"/>
    <cellStyle name="Calc Currency (0) 19" xfId="9509"/>
    <cellStyle name="Calc Currency (0) 19 2" xfId="9510"/>
    <cellStyle name="Calc Currency (0) 19 3" xfId="9511"/>
    <cellStyle name="Calc Currency (0) 19 4" xfId="9512"/>
    <cellStyle name="Calc Currency (0) 19 5" xfId="9513"/>
    <cellStyle name="Calc Currency (0) 19 6" xfId="9514"/>
    <cellStyle name="Calc Currency (0) 19 7" xfId="9515"/>
    <cellStyle name="Calc Currency (0) 19 8" xfId="9516"/>
    <cellStyle name="Calc Currency (0) 19 9" xfId="9517"/>
    <cellStyle name="Calc Currency (0) 2" xfId="9518"/>
    <cellStyle name="Calc Currency (0) 2 10" xfId="9519"/>
    <cellStyle name="Calc Currency (0) 2 10 2" xfId="9520"/>
    <cellStyle name="Calc Currency (0) 2 10 3" xfId="9521"/>
    <cellStyle name="Calc Currency (0) 2 11" xfId="9522"/>
    <cellStyle name="Calc Currency (0) 2 11 2" xfId="9523"/>
    <cellStyle name="Calc Currency (0) 2 11 2 2" xfId="9524"/>
    <cellStyle name="Calc Currency (0) 2 11 2 3" xfId="9525"/>
    <cellStyle name="Calc Currency (0) 2 11 3" xfId="9526"/>
    <cellStyle name="Calc Currency (0) 2 12" xfId="9527"/>
    <cellStyle name="Calc Currency (0) 2 13" xfId="9528"/>
    <cellStyle name="Calc Currency (0) 2 14" xfId="9529"/>
    <cellStyle name="Calc Currency (0) 2 2" xfId="9530"/>
    <cellStyle name="Calc Currency (0) 2 2 10" xfId="9531"/>
    <cellStyle name="Calc Currency (0) 2 2 11" xfId="9532"/>
    <cellStyle name="Calc Currency (0) 2 2 12" xfId="9533"/>
    <cellStyle name="Calc Currency (0) 2 2 13" xfId="9534"/>
    <cellStyle name="Calc Currency (0) 2 2 14" xfId="9535"/>
    <cellStyle name="Calc Currency (0) 2 2 15" xfId="9536"/>
    <cellStyle name="Calc Currency (0) 2 2 16" xfId="9537"/>
    <cellStyle name="Calc Currency (0) 2 2 17" xfId="9538"/>
    <cellStyle name="Calc Currency (0) 2 2 18" xfId="9539"/>
    <cellStyle name="Calc Currency (0) 2 2 2" xfId="9540"/>
    <cellStyle name="Calc Currency (0) 2 2 2 2" xfId="9541"/>
    <cellStyle name="Calc Currency (0) 2 2 2 2 2" xfId="9542"/>
    <cellStyle name="Calc Currency (0) 2 2 2 2 3" xfId="9543"/>
    <cellStyle name="Calc Currency (0) 2 2 2 2 4" xfId="9544"/>
    <cellStyle name="Calc Currency (0) 2 2 2 2 5" xfId="9545"/>
    <cellStyle name="Calc Currency (0) 2 2 2 2 6" xfId="9546"/>
    <cellStyle name="Calc Currency (0) 2 2 2 2 7" xfId="9547"/>
    <cellStyle name="Calc Currency (0) 2 2 2 2 8" xfId="9548"/>
    <cellStyle name="Calc Currency (0) 2 2 2 3" xfId="9549"/>
    <cellStyle name="Calc Currency (0) 2 2 2 4" xfId="9550"/>
    <cellStyle name="Calc Currency (0) 2 2 2 5" xfId="9551"/>
    <cellStyle name="Calc Currency (0) 2 2 2 6" xfId="9552"/>
    <cellStyle name="Calc Currency (0) 2 2 2 7" xfId="9553"/>
    <cellStyle name="Calc Currency (0) 2 2 2 8" xfId="9554"/>
    <cellStyle name="Calc Currency (0) 2 2 2 9" xfId="9555"/>
    <cellStyle name="Calc Currency (0) 2 2 3" xfId="9556"/>
    <cellStyle name="Calc Currency (0) 2 2 3 2" xfId="9557"/>
    <cellStyle name="Calc Currency (0) 2 2 3 3" xfId="9558"/>
    <cellStyle name="Calc Currency (0) 2 2 3 4" xfId="9559"/>
    <cellStyle name="Calc Currency (0) 2 2 3 5" xfId="9560"/>
    <cellStyle name="Calc Currency (0) 2 2 3 6" xfId="9561"/>
    <cellStyle name="Calc Currency (0) 2 2 3 7" xfId="9562"/>
    <cellStyle name="Calc Currency (0) 2 2 3 8" xfId="9563"/>
    <cellStyle name="Calc Currency (0) 2 2 3 9" xfId="9564"/>
    <cellStyle name="Calc Currency (0) 2 2 4" xfId="9565"/>
    <cellStyle name="Calc Currency (0) 2 2 5" xfId="9566"/>
    <cellStyle name="Calc Currency (0) 2 2 6" xfId="9567"/>
    <cellStyle name="Calc Currency (0) 2 2 7" xfId="9568"/>
    <cellStyle name="Calc Currency (0) 2 2 8" xfId="9569"/>
    <cellStyle name="Calc Currency (0) 2 2 9" xfId="9570"/>
    <cellStyle name="Calc Currency (0) 2 3" xfId="9571"/>
    <cellStyle name="Calc Currency (0) 2 3 10" xfId="9572"/>
    <cellStyle name="Calc Currency (0) 2 3 11" xfId="9573"/>
    <cellStyle name="Calc Currency (0) 2 3 12" xfId="9574"/>
    <cellStyle name="Calc Currency (0) 2 3 13" xfId="9575"/>
    <cellStyle name="Calc Currency (0) 2 3 14" xfId="9576"/>
    <cellStyle name="Calc Currency (0) 2 3 15" xfId="9577"/>
    <cellStyle name="Calc Currency (0) 2 3 16" xfId="9578"/>
    <cellStyle name="Calc Currency (0) 2 3 2" xfId="9579"/>
    <cellStyle name="Calc Currency (0) 2 3 2 2" xfId="9580"/>
    <cellStyle name="Calc Currency (0) 2 3 2 2 2" xfId="9581"/>
    <cellStyle name="Calc Currency (0) 2 3 2 2 2 2" xfId="9582"/>
    <cellStyle name="Calc Currency (0) 2 3 2 2 2 2 2" xfId="9583"/>
    <cellStyle name="Calc Currency (0) 2 3 2 2 2 2 3" xfId="9584"/>
    <cellStyle name="Calc Currency (0) 2 3 2 2 2 2 4" xfId="9585"/>
    <cellStyle name="Calc Currency (0) 2 3 2 2 2 2 5" xfId="9586"/>
    <cellStyle name="Calc Currency (0) 2 3 2 2 2 2 6" xfId="9587"/>
    <cellStyle name="Calc Currency (0) 2 3 2 2 2 2 7" xfId="9588"/>
    <cellStyle name="Calc Currency (0) 2 3 2 2 2 2 8" xfId="9589"/>
    <cellStyle name="Calc Currency (0) 2 3 2 2 2 3" xfId="9590"/>
    <cellStyle name="Calc Currency (0) 2 3 2 2 2 4" xfId="9591"/>
    <cellStyle name="Calc Currency (0) 2 3 2 2 2 5" xfId="9592"/>
    <cellStyle name="Calc Currency (0) 2 3 2 2 2 6" xfId="9593"/>
    <cellStyle name="Calc Currency (0) 2 3 2 2 2 7" xfId="9594"/>
    <cellStyle name="Calc Currency (0) 2 3 2 2 2 8" xfId="9595"/>
    <cellStyle name="Calc Currency (0) 2 3 2 2 2 9" xfId="9596"/>
    <cellStyle name="Calc Currency (0) 2 3 2 2 3" xfId="9597"/>
    <cellStyle name="Calc Currency (0) 2 3 2 2 4" xfId="9598"/>
    <cellStyle name="Calc Currency (0) 2 3 2 2 5" xfId="9599"/>
    <cellStyle name="Calc Currency (0) 2 3 2 2 6" xfId="9600"/>
    <cellStyle name="Calc Currency (0) 2 3 2 2 7" xfId="9601"/>
    <cellStyle name="Calc Currency (0) 2 3 2 2 8" xfId="9602"/>
    <cellStyle name="Calc Currency (0) 2 3 2 2 9" xfId="9603"/>
    <cellStyle name="Calc Currency (0) 2 3 2 3" xfId="9604"/>
    <cellStyle name="Calc Currency (0) 2 3 2 4" xfId="9605"/>
    <cellStyle name="Calc Currency (0) 2 3 2 5" xfId="9606"/>
    <cellStyle name="Calc Currency (0) 2 3 2 6" xfId="9607"/>
    <cellStyle name="Calc Currency (0) 2 3 2 7" xfId="9608"/>
    <cellStyle name="Calc Currency (0) 2 3 2 8" xfId="9609"/>
    <cellStyle name="Calc Currency (0) 2 3 2 9" xfId="9610"/>
    <cellStyle name="Calc Currency (0) 2 3 3" xfId="9611"/>
    <cellStyle name="Calc Currency (0) 2 3 3 2" xfId="9612"/>
    <cellStyle name="Calc Currency (0) 2 3 3 3" xfId="9613"/>
    <cellStyle name="Calc Currency (0) 2 3 3 4" xfId="9614"/>
    <cellStyle name="Calc Currency (0) 2 3 3 5" xfId="9615"/>
    <cellStyle name="Calc Currency (0) 2 3 3 6" xfId="9616"/>
    <cellStyle name="Calc Currency (0) 2 3 3 7" xfId="9617"/>
    <cellStyle name="Calc Currency (0) 2 3 3 8" xfId="9618"/>
    <cellStyle name="Calc Currency (0) 2 3 4" xfId="9619"/>
    <cellStyle name="Calc Currency (0) 2 3 4 2" xfId="9620"/>
    <cellStyle name="Calc Currency (0) 2 3 4 3" xfId="9621"/>
    <cellStyle name="Calc Currency (0) 2 3 4 4" xfId="9622"/>
    <cellStyle name="Calc Currency (0) 2 3 4 5" xfId="9623"/>
    <cellStyle name="Calc Currency (0) 2 3 4 6" xfId="9624"/>
    <cellStyle name="Calc Currency (0) 2 3 4 7" xfId="9625"/>
    <cellStyle name="Calc Currency (0) 2 3 4 8" xfId="9626"/>
    <cellStyle name="Calc Currency (0) 2 3 5" xfId="9627"/>
    <cellStyle name="Calc Currency (0) 2 3 5 2" xfId="9628"/>
    <cellStyle name="Calc Currency (0) 2 3 5 3" xfId="9629"/>
    <cellStyle name="Calc Currency (0) 2 3 5 4" xfId="9630"/>
    <cellStyle name="Calc Currency (0) 2 3 5 5" xfId="9631"/>
    <cellStyle name="Calc Currency (0) 2 3 5 6" xfId="9632"/>
    <cellStyle name="Calc Currency (0) 2 3 5 7" xfId="9633"/>
    <cellStyle name="Calc Currency (0) 2 3 5 8" xfId="9634"/>
    <cellStyle name="Calc Currency (0) 2 3 6" xfId="9635"/>
    <cellStyle name="Calc Currency (0) 2 3 6 2" xfId="9636"/>
    <cellStyle name="Calc Currency (0) 2 3 6 3" xfId="9637"/>
    <cellStyle name="Calc Currency (0) 2 3 6 4" xfId="9638"/>
    <cellStyle name="Calc Currency (0) 2 3 6 5" xfId="9639"/>
    <cellStyle name="Calc Currency (0) 2 3 6 6" xfId="9640"/>
    <cellStyle name="Calc Currency (0) 2 3 6 7" xfId="9641"/>
    <cellStyle name="Calc Currency (0) 2 3 6 8" xfId="9642"/>
    <cellStyle name="Calc Currency (0) 2 3 7" xfId="9643"/>
    <cellStyle name="Calc Currency (0) 2 3 8" xfId="9644"/>
    <cellStyle name="Calc Currency (0) 2 3 9" xfId="9645"/>
    <cellStyle name="Calc Currency (0) 2 4" xfId="9646"/>
    <cellStyle name="Calc Currency (0) 2 4 2" xfId="9647"/>
    <cellStyle name="Calc Currency (0) 2 4 3" xfId="9648"/>
    <cellStyle name="Calc Currency (0) 2 5" xfId="9649"/>
    <cellStyle name="Calc Currency (0) 2 5 2" xfId="9650"/>
    <cellStyle name="Calc Currency (0) 2 5 3" xfId="9651"/>
    <cellStyle name="Calc Currency (0) 2 6" xfId="9652"/>
    <cellStyle name="Calc Currency (0) 2 6 2" xfId="9653"/>
    <cellStyle name="Calc Currency (0) 2 6 3" xfId="9654"/>
    <cellStyle name="Calc Currency (0) 2 7" xfId="9655"/>
    <cellStyle name="Calc Currency (0) 2 7 2" xfId="9656"/>
    <cellStyle name="Calc Currency (0) 2 7 3" xfId="9657"/>
    <cellStyle name="Calc Currency (0) 2 8" xfId="9658"/>
    <cellStyle name="Calc Currency (0) 2 8 2" xfId="9659"/>
    <cellStyle name="Calc Currency (0) 2 8 3" xfId="9660"/>
    <cellStyle name="Calc Currency (0) 2 9" xfId="9661"/>
    <cellStyle name="Calc Currency (0) 2 9 2" xfId="9662"/>
    <cellStyle name="Calc Currency (0) 2 9 3" xfId="9663"/>
    <cellStyle name="Calc Currency (0) 2_You Plus DCF Workpapers" xfId="9664"/>
    <cellStyle name="Calc Currency (0) 20" xfId="9665"/>
    <cellStyle name="Calc Currency (0) 20 2" xfId="9666"/>
    <cellStyle name="Calc Currency (0) 20 3" xfId="9667"/>
    <cellStyle name="Calc Currency (0) 20 4" xfId="9668"/>
    <cellStyle name="Calc Currency (0) 20 5" xfId="9669"/>
    <cellStyle name="Calc Currency (0) 20 6" xfId="9670"/>
    <cellStyle name="Calc Currency (0) 20 7" xfId="9671"/>
    <cellStyle name="Calc Currency (0) 20 8" xfId="9672"/>
    <cellStyle name="Calc Currency (0) 20 9" xfId="9673"/>
    <cellStyle name="Calc Currency (0) 21" xfId="9674"/>
    <cellStyle name="Calc Currency (0) 21 2" xfId="9675"/>
    <cellStyle name="Calc Currency (0) 21 3" xfId="9676"/>
    <cellStyle name="Calc Currency (0) 21 4" xfId="9677"/>
    <cellStyle name="Calc Currency (0) 21 5" xfId="9678"/>
    <cellStyle name="Calc Currency (0) 21 6" xfId="9679"/>
    <cellStyle name="Calc Currency (0) 21 7" xfId="9680"/>
    <cellStyle name="Calc Currency (0) 21 8" xfId="9681"/>
    <cellStyle name="Calc Currency (0) 21 9" xfId="9682"/>
    <cellStyle name="Calc Currency (0) 22" xfId="9683"/>
    <cellStyle name="Calc Currency (0) 22 2" xfId="9684"/>
    <cellStyle name="Calc Currency (0) 22 3" xfId="9685"/>
    <cellStyle name="Calc Currency (0) 22 4" xfId="9686"/>
    <cellStyle name="Calc Currency (0) 22 5" xfId="9687"/>
    <cellStyle name="Calc Currency (0) 22 6" xfId="9688"/>
    <cellStyle name="Calc Currency (0) 22 7" xfId="9689"/>
    <cellStyle name="Calc Currency (0) 22 8" xfId="9690"/>
    <cellStyle name="Calc Currency (0) 22 9" xfId="9691"/>
    <cellStyle name="Calc Currency (0) 23" xfId="9692"/>
    <cellStyle name="Calc Currency (0) 24" xfId="9693"/>
    <cellStyle name="Calc Currency (0) 25" xfId="9694"/>
    <cellStyle name="Calc Currency (0) 26" xfId="9695"/>
    <cellStyle name="Calc Currency (0) 27" xfId="9696"/>
    <cellStyle name="Calc Currency (0) 28" xfId="9697"/>
    <cellStyle name="Calc Currency (0) 29" xfId="9698"/>
    <cellStyle name="Calc Currency (0) 3" xfId="9699"/>
    <cellStyle name="Calc Currency (0) 3 10" xfId="9700"/>
    <cellStyle name="Calc Currency (0) 3 11" xfId="9701"/>
    <cellStyle name="Calc Currency (0) 3 2" xfId="9702"/>
    <cellStyle name="Calc Currency (0) 3 2 10" xfId="9703"/>
    <cellStyle name="Calc Currency (0) 3 2 11" xfId="9704"/>
    <cellStyle name="Calc Currency (0) 3 2 12" xfId="9705"/>
    <cellStyle name="Calc Currency (0) 3 2 13" xfId="9706"/>
    <cellStyle name="Calc Currency (0) 3 2 14" xfId="9707"/>
    <cellStyle name="Calc Currency (0) 3 2 15" xfId="9708"/>
    <cellStyle name="Calc Currency (0) 3 2 16" xfId="9709"/>
    <cellStyle name="Calc Currency (0) 3 2 2" xfId="9710"/>
    <cellStyle name="Calc Currency (0) 3 2 2 2" xfId="9711"/>
    <cellStyle name="Calc Currency (0) 3 2 2 3" xfId="9712"/>
    <cellStyle name="Calc Currency (0) 3 2 3" xfId="9713"/>
    <cellStyle name="Calc Currency (0) 3 2 3 2" xfId="9714"/>
    <cellStyle name="Calc Currency (0) 3 2 3 3" xfId="9715"/>
    <cellStyle name="Calc Currency (0) 3 2 3 4" xfId="9716"/>
    <cellStyle name="Calc Currency (0) 3 2 3 5" xfId="9717"/>
    <cellStyle name="Calc Currency (0) 3 2 3 6" xfId="9718"/>
    <cellStyle name="Calc Currency (0) 3 2 3 7" xfId="9719"/>
    <cellStyle name="Calc Currency (0) 3 2 3 8" xfId="9720"/>
    <cellStyle name="Calc Currency (0) 3 2 4" xfId="9721"/>
    <cellStyle name="Calc Currency (0) 3 2 5" xfId="9722"/>
    <cellStyle name="Calc Currency (0) 3 2 6" xfId="9723"/>
    <cellStyle name="Calc Currency (0) 3 2 7" xfId="9724"/>
    <cellStyle name="Calc Currency (0) 3 2 8" xfId="9725"/>
    <cellStyle name="Calc Currency (0) 3 2 9" xfId="9726"/>
    <cellStyle name="Calc Currency (0) 3 3" xfId="9727"/>
    <cellStyle name="Calc Currency (0) 3 3 2" xfId="9728"/>
    <cellStyle name="Calc Currency (0) 3 3 2 2" xfId="9729"/>
    <cellStyle name="Calc Currency (0) 3 3 2 2 2" xfId="9730"/>
    <cellStyle name="Calc Currency (0) 3 3 2 2 2 2" xfId="9731"/>
    <cellStyle name="Calc Currency (0) 3 3 2 2 2 3" xfId="9732"/>
    <cellStyle name="Calc Currency (0) 3 3 2 2 2 4" xfId="9733"/>
    <cellStyle name="Calc Currency (0) 3 3 2 2 2 5" xfId="9734"/>
    <cellStyle name="Calc Currency (0) 3 3 2 2 2 6" xfId="9735"/>
    <cellStyle name="Calc Currency (0) 3 3 2 2 2 7" xfId="9736"/>
    <cellStyle name="Calc Currency (0) 3 3 2 2 2 8" xfId="9737"/>
    <cellStyle name="Calc Currency (0) 3 3 2 2 3" xfId="9738"/>
    <cellStyle name="Calc Currency (0) 3 3 2 2 4" xfId="9739"/>
    <cellStyle name="Calc Currency (0) 3 3 2 2 5" xfId="9740"/>
    <cellStyle name="Calc Currency (0) 3 3 2 2 6" xfId="9741"/>
    <cellStyle name="Calc Currency (0) 3 3 2 2 7" xfId="9742"/>
    <cellStyle name="Calc Currency (0) 3 3 2 2 8" xfId="9743"/>
    <cellStyle name="Calc Currency (0) 3 3 2 2 9" xfId="9744"/>
    <cellStyle name="Calc Currency (0) 3 3 2 3" xfId="9745"/>
    <cellStyle name="Calc Currency (0) 3 3 2 4" xfId="9746"/>
    <cellStyle name="Calc Currency (0) 3 3 2 5" xfId="9747"/>
    <cellStyle name="Calc Currency (0) 3 3 2 6" xfId="9748"/>
    <cellStyle name="Calc Currency (0) 3 3 2 7" xfId="9749"/>
    <cellStyle name="Calc Currency (0) 3 3 2 8" xfId="9750"/>
    <cellStyle name="Calc Currency (0) 3 3 2 9" xfId="9751"/>
    <cellStyle name="Calc Currency (0) 3 3 3" xfId="9752"/>
    <cellStyle name="Calc Currency (0) 3 3 3 2" xfId="9753"/>
    <cellStyle name="Calc Currency (0) 3 3 3 3" xfId="9754"/>
    <cellStyle name="Calc Currency (0) 3 3 3 4" xfId="9755"/>
    <cellStyle name="Calc Currency (0) 3 3 3 5" xfId="9756"/>
    <cellStyle name="Calc Currency (0) 3 3 3 6" xfId="9757"/>
    <cellStyle name="Calc Currency (0) 3 3 3 7" xfId="9758"/>
    <cellStyle name="Calc Currency (0) 3 3 3 8" xfId="9759"/>
    <cellStyle name="Calc Currency (0) 3 3 4" xfId="9760"/>
    <cellStyle name="Calc Currency (0) 3 3 5" xfId="9761"/>
    <cellStyle name="Calc Currency (0) 3 3 6" xfId="9762"/>
    <cellStyle name="Calc Currency (0) 3 3 7" xfId="9763"/>
    <cellStyle name="Calc Currency (0) 3 3 8" xfId="9764"/>
    <cellStyle name="Calc Currency (0) 3 3 9" xfId="9765"/>
    <cellStyle name="Calc Currency (0) 3 4" xfId="9766"/>
    <cellStyle name="Calc Currency (0) 3 4 2" xfId="9767"/>
    <cellStyle name="Calc Currency (0) 3 4 3" xfId="9768"/>
    <cellStyle name="Calc Currency (0) 3 4 4" xfId="9769"/>
    <cellStyle name="Calc Currency (0) 3 4 5" xfId="9770"/>
    <cellStyle name="Calc Currency (0) 3 4 6" xfId="9771"/>
    <cellStyle name="Calc Currency (0) 3 4 7" xfId="9772"/>
    <cellStyle name="Calc Currency (0) 3 4 8" xfId="9773"/>
    <cellStyle name="Calc Currency (0) 3 5" xfId="9774"/>
    <cellStyle name="Calc Currency (0) 3 6" xfId="9775"/>
    <cellStyle name="Calc Currency (0) 3 7" xfId="9776"/>
    <cellStyle name="Calc Currency (0) 3 8" xfId="9777"/>
    <cellStyle name="Calc Currency (0) 3 9" xfId="9778"/>
    <cellStyle name="Calc Currency (0) 30" xfId="9779"/>
    <cellStyle name="Calc Currency (0) 31" xfId="9780"/>
    <cellStyle name="Calc Currency (0) 32" xfId="9781"/>
    <cellStyle name="Calc Currency (0) 33" xfId="9782"/>
    <cellStyle name="Calc Currency (0) 34" xfId="9783"/>
    <cellStyle name="Calc Currency (0) 35" xfId="9784"/>
    <cellStyle name="Calc Currency (0) 36" xfId="9785"/>
    <cellStyle name="Calc Currency (0) 4" xfId="9786"/>
    <cellStyle name="Calc Currency (0) 4 10" xfId="9787"/>
    <cellStyle name="Calc Currency (0) 4 11" xfId="9788"/>
    <cellStyle name="Calc Currency (0) 4 2" xfId="9789"/>
    <cellStyle name="Calc Currency (0) 4 2 2" xfId="9790"/>
    <cellStyle name="Calc Currency (0) 4 2 3" xfId="9791"/>
    <cellStyle name="Calc Currency (0) 4 2 4" xfId="9792"/>
    <cellStyle name="Calc Currency (0) 4 2 5" xfId="9793"/>
    <cellStyle name="Calc Currency (0) 4 2 6" xfId="9794"/>
    <cellStyle name="Calc Currency (0) 4 2 7" xfId="9795"/>
    <cellStyle name="Calc Currency (0) 4 2 8" xfId="9796"/>
    <cellStyle name="Calc Currency (0) 4 2 9" xfId="9797"/>
    <cellStyle name="Calc Currency (0) 4 3" xfId="9798"/>
    <cellStyle name="Calc Currency (0) 4 3 2" xfId="9799"/>
    <cellStyle name="Calc Currency (0) 4 3 3" xfId="9800"/>
    <cellStyle name="Calc Currency (0) 4 3 4" xfId="9801"/>
    <cellStyle name="Calc Currency (0) 4 3 5" xfId="9802"/>
    <cellStyle name="Calc Currency (0) 4 3 6" xfId="9803"/>
    <cellStyle name="Calc Currency (0) 4 3 7" xfId="9804"/>
    <cellStyle name="Calc Currency (0) 4 3 8" xfId="9805"/>
    <cellStyle name="Calc Currency (0) 4 3 9" xfId="9806"/>
    <cellStyle name="Calc Currency (0) 4 4" xfId="9807"/>
    <cellStyle name="Calc Currency (0) 4 5" xfId="9808"/>
    <cellStyle name="Calc Currency (0) 4 6" xfId="9809"/>
    <cellStyle name="Calc Currency (0) 4 7" xfId="9810"/>
    <cellStyle name="Calc Currency (0) 4 8" xfId="9811"/>
    <cellStyle name="Calc Currency (0) 4 9" xfId="9812"/>
    <cellStyle name="Calc Currency (0) 5" xfId="9813"/>
    <cellStyle name="Calc Currency (0) 5 10" xfId="9814"/>
    <cellStyle name="Calc Currency (0) 5 11" xfId="9815"/>
    <cellStyle name="Calc Currency (0) 5 2" xfId="9816"/>
    <cellStyle name="Calc Currency (0) 5 2 10" xfId="9817"/>
    <cellStyle name="Calc Currency (0) 5 2 11" xfId="9818"/>
    <cellStyle name="Calc Currency (0) 5 2 12" xfId="9819"/>
    <cellStyle name="Calc Currency (0) 5 2 13" xfId="9820"/>
    <cellStyle name="Calc Currency (0) 5 2 14" xfId="9821"/>
    <cellStyle name="Calc Currency (0) 5 2 15" xfId="9822"/>
    <cellStyle name="Calc Currency (0) 5 2 16" xfId="9823"/>
    <cellStyle name="Calc Currency (0) 5 2 2" xfId="9824"/>
    <cellStyle name="Calc Currency (0) 5 2 2 2" xfId="9825"/>
    <cellStyle name="Calc Currency (0) 5 2 2 2 2" xfId="9826"/>
    <cellStyle name="Calc Currency (0) 5 2 2 2 3" xfId="9827"/>
    <cellStyle name="Calc Currency (0) 5 2 2 3" xfId="9828"/>
    <cellStyle name="Calc Currency (0) 5 2 3" xfId="9829"/>
    <cellStyle name="Calc Currency (0) 5 2 4" xfId="9830"/>
    <cellStyle name="Calc Currency (0) 5 2 5" xfId="9831"/>
    <cellStyle name="Calc Currency (0) 5 2 6" xfId="9832"/>
    <cellStyle name="Calc Currency (0) 5 2 7" xfId="9833"/>
    <cellStyle name="Calc Currency (0) 5 2 8" xfId="9834"/>
    <cellStyle name="Calc Currency (0) 5 2 9" xfId="9835"/>
    <cellStyle name="Calc Currency (0) 5 3" xfId="9836"/>
    <cellStyle name="Calc Currency (0) 5 3 2" xfId="9837"/>
    <cellStyle name="Calc Currency (0) 5 3 3" xfId="9838"/>
    <cellStyle name="Calc Currency (0) 5 3 4" xfId="9839"/>
    <cellStyle name="Calc Currency (0) 5 3 5" xfId="9840"/>
    <cellStyle name="Calc Currency (0) 5 3 6" xfId="9841"/>
    <cellStyle name="Calc Currency (0) 5 3 7" xfId="9842"/>
    <cellStyle name="Calc Currency (0) 5 3 8" xfId="9843"/>
    <cellStyle name="Calc Currency (0) 5 3 9" xfId="9844"/>
    <cellStyle name="Calc Currency (0) 5 4" xfId="9845"/>
    <cellStyle name="Calc Currency (0) 5 5" xfId="9846"/>
    <cellStyle name="Calc Currency (0) 5 6" xfId="9847"/>
    <cellStyle name="Calc Currency (0) 5 6 2" xfId="9848"/>
    <cellStyle name="Calc Currency (0) 5 6 3" xfId="9849"/>
    <cellStyle name="Calc Currency (0) 5 6 4" xfId="9850"/>
    <cellStyle name="Calc Currency (0) 5 6 5" xfId="9851"/>
    <cellStyle name="Calc Currency (0) 5 6 6" xfId="9852"/>
    <cellStyle name="Calc Currency (0) 5 6 7" xfId="9853"/>
    <cellStyle name="Calc Currency (0) 5 6 8" xfId="9854"/>
    <cellStyle name="Calc Currency (0) 5 7" xfId="9855"/>
    <cellStyle name="Calc Currency (0) 5 8" xfId="9856"/>
    <cellStyle name="Calc Currency (0) 5 9" xfId="9857"/>
    <cellStyle name="Calc Currency (0) 6" xfId="9858"/>
    <cellStyle name="Calc Currency (0) 6 10" xfId="9859"/>
    <cellStyle name="Calc Currency (0) 6 11" xfId="9860"/>
    <cellStyle name="Calc Currency (0) 6 2" xfId="9861"/>
    <cellStyle name="Calc Currency (0) 6 2 2" xfId="9862"/>
    <cellStyle name="Calc Currency (0) 6 2 3" xfId="9863"/>
    <cellStyle name="Calc Currency (0) 6 2 4" xfId="9864"/>
    <cellStyle name="Calc Currency (0) 6 2 5" xfId="9865"/>
    <cellStyle name="Calc Currency (0) 6 2 6" xfId="9866"/>
    <cellStyle name="Calc Currency (0) 6 2 7" xfId="9867"/>
    <cellStyle name="Calc Currency (0) 6 2 8" xfId="9868"/>
    <cellStyle name="Calc Currency (0) 6 2 9" xfId="9869"/>
    <cellStyle name="Calc Currency (0) 6 3" xfId="9870"/>
    <cellStyle name="Calc Currency (0) 6 3 2" xfId="9871"/>
    <cellStyle name="Calc Currency (0) 6 3 3" xfId="9872"/>
    <cellStyle name="Calc Currency (0) 6 3 4" xfId="9873"/>
    <cellStyle name="Calc Currency (0) 6 3 5" xfId="9874"/>
    <cellStyle name="Calc Currency (0) 6 3 6" xfId="9875"/>
    <cellStyle name="Calc Currency (0) 6 3 7" xfId="9876"/>
    <cellStyle name="Calc Currency (0) 6 3 8" xfId="9877"/>
    <cellStyle name="Calc Currency (0) 6 3 9" xfId="9878"/>
    <cellStyle name="Calc Currency (0) 6 4" xfId="9879"/>
    <cellStyle name="Calc Currency (0) 6 5" xfId="9880"/>
    <cellStyle name="Calc Currency (0) 6 6" xfId="9881"/>
    <cellStyle name="Calc Currency (0) 6 7" xfId="9882"/>
    <cellStyle name="Calc Currency (0) 6 8" xfId="9883"/>
    <cellStyle name="Calc Currency (0) 6 9" xfId="9884"/>
    <cellStyle name="Calc Currency (0) 7" xfId="9885"/>
    <cellStyle name="Calc Currency (0) 7 10" xfId="9886"/>
    <cellStyle name="Calc Currency (0) 7 11" xfId="9887"/>
    <cellStyle name="Calc Currency (0) 7 2" xfId="9888"/>
    <cellStyle name="Calc Currency (0) 7 2 2" xfId="9889"/>
    <cellStyle name="Calc Currency (0) 7 2 3" xfId="9890"/>
    <cellStyle name="Calc Currency (0) 7 2 4" xfId="9891"/>
    <cellStyle name="Calc Currency (0) 7 2 5" xfId="9892"/>
    <cellStyle name="Calc Currency (0) 7 2 6" xfId="9893"/>
    <cellStyle name="Calc Currency (0) 7 2 7" xfId="9894"/>
    <cellStyle name="Calc Currency (0) 7 2 8" xfId="9895"/>
    <cellStyle name="Calc Currency (0) 7 2 9" xfId="9896"/>
    <cellStyle name="Calc Currency (0) 7 3" xfId="9897"/>
    <cellStyle name="Calc Currency (0) 7 3 2" xfId="9898"/>
    <cellStyle name="Calc Currency (0) 7 3 3" xfId="9899"/>
    <cellStyle name="Calc Currency (0) 7 3 4" xfId="9900"/>
    <cellStyle name="Calc Currency (0) 7 3 5" xfId="9901"/>
    <cellStyle name="Calc Currency (0) 7 3 6" xfId="9902"/>
    <cellStyle name="Calc Currency (0) 7 3 7" xfId="9903"/>
    <cellStyle name="Calc Currency (0) 7 3 8" xfId="9904"/>
    <cellStyle name="Calc Currency (0) 7 3 9" xfId="9905"/>
    <cellStyle name="Calc Currency (0) 7 4" xfId="9906"/>
    <cellStyle name="Calc Currency (0) 7 5" xfId="9907"/>
    <cellStyle name="Calc Currency (0) 7 6" xfId="9908"/>
    <cellStyle name="Calc Currency (0) 7 7" xfId="9909"/>
    <cellStyle name="Calc Currency (0) 7 8" xfId="9910"/>
    <cellStyle name="Calc Currency (0) 7 9" xfId="9911"/>
    <cellStyle name="Calc Currency (0) 8" xfId="9912"/>
    <cellStyle name="Calc Currency (0) 8 10" xfId="9913"/>
    <cellStyle name="Calc Currency (0) 8 11" xfId="9914"/>
    <cellStyle name="Calc Currency (0) 8 2" xfId="9915"/>
    <cellStyle name="Calc Currency (0) 8 2 2" xfId="9916"/>
    <cellStyle name="Calc Currency (0) 8 2 3" xfId="9917"/>
    <cellStyle name="Calc Currency (0) 8 2 4" xfId="9918"/>
    <cellStyle name="Calc Currency (0) 8 2 5" xfId="9919"/>
    <cellStyle name="Calc Currency (0) 8 2 6" xfId="9920"/>
    <cellStyle name="Calc Currency (0) 8 2 7" xfId="9921"/>
    <cellStyle name="Calc Currency (0) 8 2 8" xfId="9922"/>
    <cellStyle name="Calc Currency (0) 8 2 9" xfId="9923"/>
    <cellStyle name="Calc Currency (0) 8 3" xfId="9924"/>
    <cellStyle name="Calc Currency (0) 8 3 2" xfId="9925"/>
    <cellStyle name="Calc Currency (0) 8 3 3" xfId="9926"/>
    <cellStyle name="Calc Currency (0) 8 3 4" xfId="9927"/>
    <cellStyle name="Calc Currency (0) 8 3 5" xfId="9928"/>
    <cellStyle name="Calc Currency (0) 8 3 6" xfId="9929"/>
    <cellStyle name="Calc Currency (0) 8 3 7" xfId="9930"/>
    <cellStyle name="Calc Currency (0) 8 3 8" xfId="9931"/>
    <cellStyle name="Calc Currency (0) 8 3 9" xfId="9932"/>
    <cellStyle name="Calc Currency (0) 8 4" xfId="9933"/>
    <cellStyle name="Calc Currency (0) 8 5" xfId="9934"/>
    <cellStyle name="Calc Currency (0) 8 6" xfId="9935"/>
    <cellStyle name="Calc Currency (0) 8 7" xfId="9936"/>
    <cellStyle name="Calc Currency (0) 8 8" xfId="9937"/>
    <cellStyle name="Calc Currency (0) 8 9" xfId="9938"/>
    <cellStyle name="Calc Currency (0) 9" xfId="9939"/>
    <cellStyle name="Calc Currency (0) 9 10" xfId="9940"/>
    <cellStyle name="Calc Currency (0) 9 11" xfId="9941"/>
    <cellStyle name="Calc Currency (0) 9 2" xfId="9942"/>
    <cellStyle name="Calc Currency (0) 9 2 10" xfId="9943"/>
    <cellStyle name="Calc Currency (0) 9 2 11" xfId="9944"/>
    <cellStyle name="Calc Currency (0) 9 2 12" xfId="9945"/>
    <cellStyle name="Calc Currency (0) 9 2 13" xfId="9946"/>
    <cellStyle name="Calc Currency (0) 9 2 14" xfId="9947"/>
    <cellStyle name="Calc Currency (0) 9 2 15" xfId="9948"/>
    <cellStyle name="Calc Currency (0) 9 2 16" xfId="9949"/>
    <cellStyle name="Calc Currency (0) 9 2 2" xfId="9950"/>
    <cellStyle name="Calc Currency (0) 9 2 3" xfId="9951"/>
    <cellStyle name="Calc Currency (0) 9 2 4" xfId="9952"/>
    <cellStyle name="Calc Currency (0) 9 2 5" xfId="9953"/>
    <cellStyle name="Calc Currency (0) 9 2 6" xfId="9954"/>
    <cellStyle name="Calc Currency (0) 9 2 7" xfId="9955"/>
    <cellStyle name="Calc Currency (0) 9 2 8" xfId="9956"/>
    <cellStyle name="Calc Currency (0) 9 2 9" xfId="9957"/>
    <cellStyle name="Calc Currency (0) 9 3" xfId="9958"/>
    <cellStyle name="Calc Currency (0) 9 3 2" xfId="9959"/>
    <cellStyle name="Calc Currency (0) 9 3 3" xfId="9960"/>
    <cellStyle name="Calc Currency (0) 9 3 4" xfId="9961"/>
    <cellStyle name="Calc Currency (0) 9 3 5" xfId="9962"/>
    <cellStyle name="Calc Currency (0) 9 3 6" xfId="9963"/>
    <cellStyle name="Calc Currency (0) 9 3 7" xfId="9964"/>
    <cellStyle name="Calc Currency (0) 9 3 8" xfId="9965"/>
    <cellStyle name="Calc Currency (0) 9 3 9" xfId="9966"/>
    <cellStyle name="Calc Currency (0) 9 4" xfId="9967"/>
    <cellStyle name="Calc Currency (0) 9 4 2" xfId="9968"/>
    <cellStyle name="Calc Currency (0) 9 4 3" xfId="9969"/>
    <cellStyle name="Calc Currency (0) 9 4 4" xfId="9970"/>
    <cellStyle name="Calc Currency (0) 9 4 5" xfId="9971"/>
    <cellStyle name="Calc Currency (0) 9 4 6" xfId="9972"/>
    <cellStyle name="Calc Currency (0) 9 4 7" xfId="9973"/>
    <cellStyle name="Calc Currency (0) 9 4 8" xfId="9974"/>
    <cellStyle name="Calc Currency (0) 9 5" xfId="9975"/>
    <cellStyle name="Calc Currency (0) 9 6" xfId="9976"/>
    <cellStyle name="Calc Currency (0) 9 7" xfId="9977"/>
    <cellStyle name="Calc Currency (0) 9 8" xfId="9978"/>
    <cellStyle name="Calc Currency (0) 9 9" xfId="9979"/>
    <cellStyle name="Calc Currency (2)" xfId="9980"/>
    <cellStyle name="Calc Currency (2) 10" xfId="9981"/>
    <cellStyle name="Calc Currency (2) 11" xfId="9982"/>
    <cellStyle name="Calc Currency (2) 11 2" xfId="9983"/>
    <cellStyle name="Calc Currency (2) 11 2 2" xfId="9984"/>
    <cellStyle name="Calc Currency (2) 11 2 3" xfId="9985"/>
    <cellStyle name="Calc Currency (2) 11 2 4" xfId="9986"/>
    <cellStyle name="Calc Currency (2) 11 2 5" xfId="9987"/>
    <cellStyle name="Calc Currency (2) 11 2 6" xfId="9988"/>
    <cellStyle name="Calc Currency (2) 11 2 7" xfId="9989"/>
    <cellStyle name="Calc Currency (2) 11 2 8" xfId="9990"/>
    <cellStyle name="Calc Currency (2) 11 3" xfId="9991"/>
    <cellStyle name="Calc Currency (2) 11 4" xfId="9992"/>
    <cellStyle name="Calc Currency (2) 11 5" xfId="9993"/>
    <cellStyle name="Calc Currency (2) 11 6" xfId="9994"/>
    <cellStyle name="Calc Currency (2) 11 7" xfId="9995"/>
    <cellStyle name="Calc Currency (2) 11 8" xfId="9996"/>
    <cellStyle name="Calc Currency (2) 12" xfId="9997"/>
    <cellStyle name="Calc Currency (2) 12 2" xfId="9998"/>
    <cellStyle name="Calc Currency (2) 12 3" xfId="9999"/>
    <cellStyle name="Calc Currency (2) 12 4" xfId="10000"/>
    <cellStyle name="Calc Currency (2) 12 5" xfId="10001"/>
    <cellStyle name="Calc Currency (2) 12 6" xfId="10002"/>
    <cellStyle name="Calc Currency (2) 12 7" xfId="10003"/>
    <cellStyle name="Calc Currency (2) 12 8" xfId="10004"/>
    <cellStyle name="Calc Currency (2) 13" xfId="10005"/>
    <cellStyle name="Calc Currency (2) 14" xfId="10006"/>
    <cellStyle name="Calc Currency (2) 15" xfId="10007"/>
    <cellStyle name="Calc Currency (2) 16" xfId="10008"/>
    <cellStyle name="Calc Currency (2) 17" xfId="10009"/>
    <cellStyle name="Calc Currency (2) 18" xfId="10010"/>
    <cellStyle name="Calc Currency (2) 19" xfId="10011"/>
    <cellStyle name="Calc Currency (2) 2" xfId="10012"/>
    <cellStyle name="Calc Currency (2) 2 10" xfId="10013"/>
    <cellStyle name="Calc Currency (2) 2 10 2" xfId="10014"/>
    <cellStyle name="Calc Currency (2) 2 10 3" xfId="10015"/>
    <cellStyle name="Calc Currency (2) 2 10 4" xfId="10016"/>
    <cellStyle name="Calc Currency (2) 2 10 5" xfId="10017"/>
    <cellStyle name="Calc Currency (2) 2 10 6" xfId="10018"/>
    <cellStyle name="Calc Currency (2) 2 10 7" xfId="10019"/>
    <cellStyle name="Calc Currency (2) 2 10 8" xfId="10020"/>
    <cellStyle name="Calc Currency (2) 2 10 9" xfId="10021"/>
    <cellStyle name="Calc Currency (2) 2 11" xfId="10022"/>
    <cellStyle name="Calc Currency (2) 2 11 2" xfId="10023"/>
    <cellStyle name="Calc Currency (2) 2 11 2 2" xfId="10024"/>
    <cellStyle name="Calc Currency (2) 2 11 2 3" xfId="10025"/>
    <cellStyle name="Calc Currency (2) 2 11 2 4" xfId="10026"/>
    <cellStyle name="Calc Currency (2) 2 11 2 5" xfId="10027"/>
    <cellStyle name="Calc Currency (2) 2 11 2 6" xfId="10028"/>
    <cellStyle name="Calc Currency (2) 2 11 2 7" xfId="10029"/>
    <cellStyle name="Calc Currency (2) 2 11 2 8" xfId="10030"/>
    <cellStyle name="Calc Currency (2) 2 11 3" xfId="10031"/>
    <cellStyle name="Calc Currency (2) 2 11 4" xfId="10032"/>
    <cellStyle name="Calc Currency (2) 2 11 5" xfId="10033"/>
    <cellStyle name="Calc Currency (2) 2 11 6" xfId="10034"/>
    <cellStyle name="Calc Currency (2) 2 11 7" xfId="10035"/>
    <cellStyle name="Calc Currency (2) 2 11 8" xfId="10036"/>
    <cellStyle name="Calc Currency (2) 2 11 9" xfId="10037"/>
    <cellStyle name="Calc Currency (2) 2 12" xfId="10038"/>
    <cellStyle name="Calc Currency (2) 2 13" xfId="10039"/>
    <cellStyle name="Calc Currency (2) 2 14" xfId="10040"/>
    <cellStyle name="Calc Currency (2) 2 15" xfId="10041"/>
    <cellStyle name="Calc Currency (2) 2 16" xfId="10042"/>
    <cellStyle name="Calc Currency (2) 2 17" xfId="10043"/>
    <cellStyle name="Calc Currency (2) 2 18" xfId="10044"/>
    <cellStyle name="Calc Currency (2) 2 19" xfId="10045"/>
    <cellStyle name="Calc Currency (2) 2 2" xfId="10046"/>
    <cellStyle name="Calc Currency (2) 2 2 10" xfId="10047"/>
    <cellStyle name="Calc Currency (2) 2 2 11" xfId="10048"/>
    <cellStyle name="Calc Currency (2) 2 2 12" xfId="10049"/>
    <cellStyle name="Calc Currency (2) 2 2 13" xfId="10050"/>
    <cellStyle name="Calc Currency (2) 2 2 14" xfId="10051"/>
    <cellStyle name="Calc Currency (2) 2 2 15" xfId="10052"/>
    <cellStyle name="Calc Currency (2) 2 2 16" xfId="10053"/>
    <cellStyle name="Calc Currency (2) 2 2 17" xfId="10054"/>
    <cellStyle name="Calc Currency (2) 2 2 2" xfId="10055"/>
    <cellStyle name="Calc Currency (2) 2 2 2 10" xfId="10056"/>
    <cellStyle name="Calc Currency (2) 2 2 2 11" xfId="10057"/>
    <cellStyle name="Calc Currency (2) 2 2 2 12" xfId="10058"/>
    <cellStyle name="Calc Currency (2) 2 2 2 13" xfId="10059"/>
    <cellStyle name="Calc Currency (2) 2 2 2 14" xfId="10060"/>
    <cellStyle name="Calc Currency (2) 2 2 2 15" xfId="10061"/>
    <cellStyle name="Calc Currency (2) 2 2 2 2" xfId="10062"/>
    <cellStyle name="Calc Currency (2) 2 2 2 2 2" xfId="10063"/>
    <cellStyle name="Calc Currency (2) 2 2 2 2 3" xfId="10064"/>
    <cellStyle name="Calc Currency (2) 2 2 2 2 4" xfId="10065"/>
    <cellStyle name="Calc Currency (2) 2 2 2 2 5" xfId="10066"/>
    <cellStyle name="Calc Currency (2) 2 2 2 2 6" xfId="10067"/>
    <cellStyle name="Calc Currency (2) 2 2 2 2 7" xfId="10068"/>
    <cellStyle name="Calc Currency (2) 2 2 2 2 8" xfId="10069"/>
    <cellStyle name="Calc Currency (2) 2 2 2 3" xfId="10070"/>
    <cellStyle name="Calc Currency (2) 2 2 2 4" xfId="10071"/>
    <cellStyle name="Calc Currency (2) 2 2 2 5" xfId="10072"/>
    <cellStyle name="Calc Currency (2) 2 2 2 6" xfId="10073"/>
    <cellStyle name="Calc Currency (2) 2 2 2 7" xfId="10074"/>
    <cellStyle name="Calc Currency (2) 2 2 2 8" xfId="10075"/>
    <cellStyle name="Calc Currency (2) 2 2 2 9" xfId="10076"/>
    <cellStyle name="Calc Currency (2) 2 2 3" xfId="10077"/>
    <cellStyle name="Calc Currency (2) 2 2 3 2" xfId="10078"/>
    <cellStyle name="Calc Currency (2) 2 2 3 3" xfId="10079"/>
    <cellStyle name="Calc Currency (2) 2 2 3 4" xfId="10080"/>
    <cellStyle name="Calc Currency (2) 2 2 3 5" xfId="10081"/>
    <cellStyle name="Calc Currency (2) 2 2 3 6" xfId="10082"/>
    <cellStyle name="Calc Currency (2) 2 2 3 7" xfId="10083"/>
    <cellStyle name="Calc Currency (2) 2 2 3 8" xfId="10084"/>
    <cellStyle name="Calc Currency (2) 2 2 4" xfId="10085"/>
    <cellStyle name="Calc Currency (2) 2 2 5" xfId="10086"/>
    <cellStyle name="Calc Currency (2) 2 2 6" xfId="10087"/>
    <cellStyle name="Calc Currency (2) 2 2 7" xfId="10088"/>
    <cellStyle name="Calc Currency (2) 2 2 8" xfId="10089"/>
    <cellStyle name="Calc Currency (2) 2 2 9" xfId="10090"/>
    <cellStyle name="Calc Currency (2) 2 3" xfId="10091"/>
    <cellStyle name="Calc Currency (2) 2 3 2" xfId="10092"/>
    <cellStyle name="Calc Currency (2) 2 3 3" xfId="10093"/>
    <cellStyle name="Calc Currency (2) 2 3 4" xfId="10094"/>
    <cellStyle name="Calc Currency (2) 2 3 5" xfId="10095"/>
    <cellStyle name="Calc Currency (2) 2 3 6" xfId="10096"/>
    <cellStyle name="Calc Currency (2) 2 3 7" xfId="10097"/>
    <cellStyle name="Calc Currency (2) 2 3 8" xfId="10098"/>
    <cellStyle name="Calc Currency (2) 2 4" xfId="10099"/>
    <cellStyle name="Calc Currency (2) 2 4 2" xfId="10100"/>
    <cellStyle name="Calc Currency (2) 2 4 3" xfId="10101"/>
    <cellStyle name="Calc Currency (2) 2 4 4" xfId="10102"/>
    <cellStyle name="Calc Currency (2) 2 4 5" xfId="10103"/>
    <cellStyle name="Calc Currency (2) 2 4 6" xfId="10104"/>
    <cellStyle name="Calc Currency (2) 2 4 7" xfId="10105"/>
    <cellStyle name="Calc Currency (2) 2 4 8" xfId="10106"/>
    <cellStyle name="Calc Currency (2) 2 5" xfId="10107"/>
    <cellStyle name="Calc Currency (2) 2 5 2" xfId="10108"/>
    <cellStyle name="Calc Currency (2) 2 5 3" xfId="10109"/>
    <cellStyle name="Calc Currency (2) 2 5 4" xfId="10110"/>
    <cellStyle name="Calc Currency (2) 2 5 5" xfId="10111"/>
    <cellStyle name="Calc Currency (2) 2 5 6" xfId="10112"/>
    <cellStyle name="Calc Currency (2) 2 5 7" xfId="10113"/>
    <cellStyle name="Calc Currency (2) 2 5 8" xfId="10114"/>
    <cellStyle name="Calc Currency (2) 2 6" xfId="10115"/>
    <cellStyle name="Calc Currency (2) 2 6 2" xfId="10116"/>
    <cellStyle name="Calc Currency (2) 2 6 3" xfId="10117"/>
    <cellStyle name="Calc Currency (2) 2 6 4" xfId="10118"/>
    <cellStyle name="Calc Currency (2) 2 6 5" xfId="10119"/>
    <cellStyle name="Calc Currency (2) 2 6 6" xfId="10120"/>
    <cellStyle name="Calc Currency (2) 2 6 7" xfId="10121"/>
    <cellStyle name="Calc Currency (2) 2 6 8" xfId="10122"/>
    <cellStyle name="Calc Currency (2) 2 7" xfId="10123"/>
    <cellStyle name="Calc Currency (2) 2 7 2" xfId="10124"/>
    <cellStyle name="Calc Currency (2) 2 7 3" xfId="10125"/>
    <cellStyle name="Calc Currency (2) 2 7 4" xfId="10126"/>
    <cellStyle name="Calc Currency (2) 2 7 5" xfId="10127"/>
    <cellStyle name="Calc Currency (2) 2 7 6" xfId="10128"/>
    <cellStyle name="Calc Currency (2) 2 7 7" xfId="10129"/>
    <cellStyle name="Calc Currency (2) 2 7 8" xfId="10130"/>
    <cellStyle name="Calc Currency (2) 2 8" xfId="10131"/>
    <cellStyle name="Calc Currency (2) 2 8 2" xfId="10132"/>
    <cellStyle name="Calc Currency (2) 2 8 3" xfId="10133"/>
    <cellStyle name="Calc Currency (2) 2 8 4" xfId="10134"/>
    <cellStyle name="Calc Currency (2) 2 8 5" xfId="10135"/>
    <cellStyle name="Calc Currency (2) 2 8 6" xfId="10136"/>
    <cellStyle name="Calc Currency (2) 2 8 7" xfId="10137"/>
    <cellStyle name="Calc Currency (2) 2 8 8" xfId="10138"/>
    <cellStyle name="Calc Currency (2) 2 9" xfId="10139"/>
    <cellStyle name="Calc Currency (2) 2 9 2" xfId="10140"/>
    <cellStyle name="Calc Currency (2) 2 9 3" xfId="10141"/>
    <cellStyle name="Calc Currency (2) 2 9 4" xfId="10142"/>
    <cellStyle name="Calc Currency (2) 2 9 5" xfId="10143"/>
    <cellStyle name="Calc Currency (2) 2 9 6" xfId="10144"/>
    <cellStyle name="Calc Currency (2) 2 9 7" xfId="10145"/>
    <cellStyle name="Calc Currency (2) 2 9 8" xfId="10146"/>
    <cellStyle name="Calc Currency (2) 2 9 9" xfId="10147"/>
    <cellStyle name="Calc Currency (2) 20" xfId="10148"/>
    <cellStyle name="Calc Currency (2) 21" xfId="10149"/>
    <cellStyle name="Calc Currency (2) 22" xfId="10150"/>
    <cellStyle name="Calc Currency (2) 23" xfId="10151"/>
    <cellStyle name="Calc Currency (2) 24" xfId="10152"/>
    <cellStyle name="Calc Currency (2) 25" xfId="10153"/>
    <cellStyle name="Calc Currency (2) 26" xfId="10154"/>
    <cellStyle name="Calc Currency (2) 27" xfId="10155"/>
    <cellStyle name="Calc Currency (2) 28" xfId="10156"/>
    <cellStyle name="Calc Currency (2) 29" xfId="10157"/>
    <cellStyle name="Calc Currency (2) 3" xfId="10158"/>
    <cellStyle name="Calc Currency (2) 30" xfId="10159"/>
    <cellStyle name="Calc Currency (2) 31" xfId="10160"/>
    <cellStyle name="Calc Currency (2) 32" xfId="10161"/>
    <cellStyle name="Calc Currency (2) 33" xfId="10162"/>
    <cellStyle name="Calc Currency (2) 34" xfId="10163"/>
    <cellStyle name="Calc Currency (2) 35" xfId="10164"/>
    <cellStyle name="Calc Currency (2) 36" xfId="10165"/>
    <cellStyle name="Calc Currency (2) 4" xfId="10166"/>
    <cellStyle name="Calc Currency (2) 5" xfId="10167"/>
    <cellStyle name="Calc Currency (2) 6" xfId="10168"/>
    <cellStyle name="Calc Currency (2) 7" xfId="10169"/>
    <cellStyle name="Calc Currency (2) 8" xfId="10170"/>
    <cellStyle name="Calc Currency (2) 8 2" xfId="10171"/>
    <cellStyle name="Calc Currency (2) 8 3" xfId="10172"/>
    <cellStyle name="Calc Currency (2) 8 4" xfId="10173"/>
    <cellStyle name="Calc Currency (2) 8 5" xfId="10174"/>
    <cellStyle name="Calc Currency (2) 8 6" xfId="10175"/>
    <cellStyle name="Calc Currency (2) 8 7" xfId="10176"/>
    <cellStyle name="Calc Currency (2) 8 8" xfId="10177"/>
    <cellStyle name="Calc Currency (2) 9" xfId="10178"/>
    <cellStyle name="Calc Percent (0)" xfId="10179"/>
    <cellStyle name="Calc Percent (0) 10" xfId="10180"/>
    <cellStyle name="Calc Percent (0) 11" xfId="10181"/>
    <cellStyle name="Calc Percent (0) 11 2" xfId="10182"/>
    <cellStyle name="Calc Percent (0) 11 2 2" xfId="10183"/>
    <cellStyle name="Calc Percent (0) 11 2 3" xfId="10184"/>
    <cellStyle name="Calc Percent (0) 11 2 4" xfId="10185"/>
    <cellStyle name="Calc Percent (0) 11 2 5" xfId="10186"/>
    <cellStyle name="Calc Percent (0) 11 2 6" xfId="10187"/>
    <cellStyle name="Calc Percent (0) 11 2 7" xfId="10188"/>
    <cellStyle name="Calc Percent (0) 11 2 8" xfId="10189"/>
    <cellStyle name="Calc Percent (0) 11 3" xfId="10190"/>
    <cellStyle name="Calc Percent (0) 11 4" xfId="10191"/>
    <cellStyle name="Calc Percent (0) 11 5" xfId="10192"/>
    <cellStyle name="Calc Percent (0) 11 6" xfId="10193"/>
    <cellStyle name="Calc Percent (0) 11 7" xfId="10194"/>
    <cellStyle name="Calc Percent (0) 11 8" xfId="10195"/>
    <cellStyle name="Calc Percent (0) 12" xfId="10196"/>
    <cellStyle name="Calc Percent (0) 12 2" xfId="10197"/>
    <cellStyle name="Calc Percent (0) 12 3" xfId="10198"/>
    <cellStyle name="Calc Percent (0) 12 4" xfId="10199"/>
    <cellStyle name="Calc Percent (0) 12 5" xfId="10200"/>
    <cellStyle name="Calc Percent (0) 12 6" xfId="10201"/>
    <cellStyle name="Calc Percent (0) 12 7" xfId="10202"/>
    <cellStyle name="Calc Percent (0) 12 8" xfId="10203"/>
    <cellStyle name="Calc Percent (0) 13" xfId="10204"/>
    <cellStyle name="Calc Percent (0) 14" xfId="10205"/>
    <cellStyle name="Calc Percent (0) 15" xfId="10206"/>
    <cellStyle name="Calc Percent (0) 16" xfId="10207"/>
    <cellStyle name="Calc Percent (0) 17" xfId="10208"/>
    <cellStyle name="Calc Percent (0) 18" xfId="10209"/>
    <cellStyle name="Calc Percent (0) 19" xfId="10210"/>
    <cellStyle name="Calc Percent (0) 2" xfId="10211"/>
    <cellStyle name="Calc Percent (0) 2 10" xfId="10212"/>
    <cellStyle name="Calc Percent (0) 2 10 2" xfId="10213"/>
    <cellStyle name="Calc Percent (0) 2 10 3" xfId="10214"/>
    <cellStyle name="Calc Percent (0) 2 10 4" xfId="10215"/>
    <cellStyle name="Calc Percent (0) 2 10 5" xfId="10216"/>
    <cellStyle name="Calc Percent (0) 2 10 6" xfId="10217"/>
    <cellStyle name="Calc Percent (0) 2 10 7" xfId="10218"/>
    <cellStyle name="Calc Percent (0) 2 10 8" xfId="10219"/>
    <cellStyle name="Calc Percent (0) 2 10 9" xfId="10220"/>
    <cellStyle name="Calc Percent (0) 2 11" xfId="10221"/>
    <cellStyle name="Calc Percent (0) 2 11 2" xfId="10222"/>
    <cellStyle name="Calc Percent (0) 2 11 2 2" xfId="10223"/>
    <cellStyle name="Calc Percent (0) 2 11 2 3" xfId="10224"/>
    <cellStyle name="Calc Percent (0) 2 11 2 4" xfId="10225"/>
    <cellStyle name="Calc Percent (0) 2 11 2 5" xfId="10226"/>
    <cellStyle name="Calc Percent (0) 2 11 2 6" xfId="10227"/>
    <cellStyle name="Calc Percent (0) 2 11 2 7" xfId="10228"/>
    <cellStyle name="Calc Percent (0) 2 11 2 8" xfId="10229"/>
    <cellStyle name="Calc Percent (0) 2 11 3" xfId="10230"/>
    <cellStyle name="Calc Percent (0) 2 11 4" xfId="10231"/>
    <cellStyle name="Calc Percent (0) 2 11 5" xfId="10232"/>
    <cellStyle name="Calc Percent (0) 2 11 6" xfId="10233"/>
    <cellStyle name="Calc Percent (0) 2 11 7" xfId="10234"/>
    <cellStyle name="Calc Percent (0) 2 11 8" xfId="10235"/>
    <cellStyle name="Calc Percent (0) 2 11 9" xfId="10236"/>
    <cellStyle name="Calc Percent (0) 2 12" xfId="10237"/>
    <cellStyle name="Calc Percent (0) 2 13" xfId="10238"/>
    <cellStyle name="Calc Percent (0) 2 14" xfId="10239"/>
    <cellStyle name="Calc Percent (0) 2 15" xfId="10240"/>
    <cellStyle name="Calc Percent (0) 2 16" xfId="10241"/>
    <cellStyle name="Calc Percent (0) 2 17" xfId="10242"/>
    <cellStyle name="Calc Percent (0) 2 18" xfId="10243"/>
    <cellStyle name="Calc Percent (0) 2 19" xfId="10244"/>
    <cellStyle name="Calc Percent (0) 2 2" xfId="10245"/>
    <cellStyle name="Calc Percent (0) 2 2 10" xfId="10246"/>
    <cellStyle name="Calc Percent (0) 2 2 11" xfId="10247"/>
    <cellStyle name="Calc Percent (0) 2 2 12" xfId="10248"/>
    <cellStyle name="Calc Percent (0) 2 2 13" xfId="10249"/>
    <cellStyle name="Calc Percent (0) 2 2 14" xfId="10250"/>
    <cellStyle name="Calc Percent (0) 2 2 15" xfId="10251"/>
    <cellStyle name="Calc Percent (0) 2 2 16" xfId="10252"/>
    <cellStyle name="Calc Percent (0) 2 2 17" xfId="10253"/>
    <cellStyle name="Calc Percent (0) 2 2 2" xfId="10254"/>
    <cellStyle name="Calc Percent (0) 2 2 2 10" xfId="10255"/>
    <cellStyle name="Calc Percent (0) 2 2 2 11" xfId="10256"/>
    <cellStyle name="Calc Percent (0) 2 2 2 12" xfId="10257"/>
    <cellStyle name="Calc Percent (0) 2 2 2 13" xfId="10258"/>
    <cellStyle name="Calc Percent (0) 2 2 2 14" xfId="10259"/>
    <cellStyle name="Calc Percent (0) 2 2 2 15" xfId="10260"/>
    <cellStyle name="Calc Percent (0) 2 2 2 2" xfId="10261"/>
    <cellStyle name="Calc Percent (0) 2 2 2 2 2" xfId="10262"/>
    <cellStyle name="Calc Percent (0) 2 2 2 2 3" xfId="10263"/>
    <cellStyle name="Calc Percent (0) 2 2 2 2 4" xfId="10264"/>
    <cellStyle name="Calc Percent (0) 2 2 2 2 5" xfId="10265"/>
    <cellStyle name="Calc Percent (0) 2 2 2 2 6" xfId="10266"/>
    <cellStyle name="Calc Percent (0) 2 2 2 2 7" xfId="10267"/>
    <cellStyle name="Calc Percent (0) 2 2 2 2 8" xfId="10268"/>
    <cellStyle name="Calc Percent (0) 2 2 2 3" xfId="10269"/>
    <cellStyle name="Calc Percent (0) 2 2 2 4" xfId="10270"/>
    <cellStyle name="Calc Percent (0) 2 2 2 5" xfId="10271"/>
    <cellStyle name="Calc Percent (0) 2 2 2 6" xfId="10272"/>
    <cellStyle name="Calc Percent (0) 2 2 2 7" xfId="10273"/>
    <cellStyle name="Calc Percent (0) 2 2 2 8" xfId="10274"/>
    <cellStyle name="Calc Percent (0) 2 2 2 9" xfId="10275"/>
    <cellStyle name="Calc Percent (0) 2 2 3" xfId="10276"/>
    <cellStyle name="Calc Percent (0) 2 2 3 2" xfId="10277"/>
    <cellStyle name="Calc Percent (0) 2 2 3 3" xfId="10278"/>
    <cellStyle name="Calc Percent (0) 2 2 3 4" xfId="10279"/>
    <cellStyle name="Calc Percent (0) 2 2 3 5" xfId="10280"/>
    <cellStyle name="Calc Percent (0) 2 2 3 6" xfId="10281"/>
    <cellStyle name="Calc Percent (0) 2 2 3 7" xfId="10282"/>
    <cellStyle name="Calc Percent (0) 2 2 3 8" xfId="10283"/>
    <cellStyle name="Calc Percent (0) 2 2 4" xfId="10284"/>
    <cellStyle name="Calc Percent (0) 2 2 5" xfId="10285"/>
    <cellStyle name="Calc Percent (0) 2 2 6" xfId="10286"/>
    <cellStyle name="Calc Percent (0) 2 2 7" xfId="10287"/>
    <cellStyle name="Calc Percent (0) 2 2 8" xfId="10288"/>
    <cellStyle name="Calc Percent (0) 2 2 9" xfId="10289"/>
    <cellStyle name="Calc Percent (0) 2 3" xfId="10290"/>
    <cellStyle name="Calc Percent (0) 2 3 2" xfId="10291"/>
    <cellStyle name="Calc Percent (0) 2 3 3" xfId="10292"/>
    <cellStyle name="Calc Percent (0) 2 3 4" xfId="10293"/>
    <cellStyle name="Calc Percent (0) 2 3 5" xfId="10294"/>
    <cellStyle name="Calc Percent (0) 2 3 6" xfId="10295"/>
    <cellStyle name="Calc Percent (0) 2 3 7" xfId="10296"/>
    <cellStyle name="Calc Percent (0) 2 3 8" xfId="10297"/>
    <cellStyle name="Calc Percent (0) 2 4" xfId="10298"/>
    <cellStyle name="Calc Percent (0) 2 4 2" xfId="10299"/>
    <cellStyle name="Calc Percent (0) 2 4 3" xfId="10300"/>
    <cellStyle name="Calc Percent (0) 2 4 4" xfId="10301"/>
    <cellStyle name="Calc Percent (0) 2 4 5" xfId="10302"/>
    <cellStyle name="Calc Percent (0) 2 4 6" xfId="10303"/>
    <cellStyle name="Calc Percent (0) 2 4 7" xfId="10304"/>
    <cellStyle name="Calc Percent (0) 2 4 8" xfId="10305"/>
    <cellStyle name="Calc Percent (0) 2 5" xfId="10306"/>
    <cellStyle name="Calc Percent (0) 2 5 2" xfId="10307"/>
    <cellStyle name="Calc Percent (0) 2 5 3" xfId="10308"/>
    <cellStyle name="Calc Percent (0) 2 5 4" xfId="10309"/>
    <cellStyle name="Calc Percent (0) 2 5 5" xfId="10310"/>
    <cellStyle name="Calc Percent (0) 2 5 6" xfId="10311"/>
    <cellStyle name="Calc Percent (0) 2 5 7" xfId="10312"/>
    <cellStyle name="Calc Percent (0) 2 5 8" xfId="10313"/>
    <cellStyle name="Calc Percent (0) 2 6" xfId="10314"/>
    <cellStyle name="Calc Percent (0) 2 6 2" xfId="10315"/>
    <cellStyle name="Calc Percent (0) 2 6 3" xfId="10316"/>
    <cellStyle name="Calc Percent (0) 2 6 4" xfId="10317"/>
    <cellStyle name="Calc Percent (0) 2 6 5" xfId="10318"/>
    <cellStyle name="Calc Percent (0) 2 6 6" xfId="10319"/>
    <cellStyle name="Calc Percent (0) 2 6 7" xfId="10320"/>
    <cellStyle name="Calc Percent (0) 2 6 8" xfId="10321"/>
    <cellStyle name="Calc Percent (0) 2 7" xfId="10322"/>
    <cellStyle name="Calc Percent (0) 2 7 2" xfId="10323"/>
    <cellStyle name="Calc Percent (0) 2 7 3" xfId="10324"/>
    <cellStyle name="Calc Percent (0) 2 7 4" xfId="10325"/>
    <cellStyle name="Calc Percent (0) 2 7 5" xfId="10326"/>
    <cellStyle name="Calc Percent (0) 2 7 6" xfId="10327"/>
    <cellStyle name="Calc Percent (0) 2 7 7" xfId="10328"/>
    <cellStyle name="Calc Percent (0) 2 7 8" xfId="10329"/>
    <cellStyle name="Calc Percent (0) 2 8" xfId="10330"/>
    <cellStyle name="Calc Percent (0) 2 8 2" xfId="10331"/>
    <cellStyle name="Calc Percent (0) 2 8 3" xfId="10332"/>
    <cellStyle name="Calc Percent (0) 2 8 4" xfId="10333"/>
    <cellStyle name="Calc Percent (0) 2 8 5" xfId="10334"/>
    <cellStyle name="Calc Percent (0) 2 8 6" xfId="10335"/>
    <cellStyle name="Calc Percent (0) 2 8 7" xfId="10336"/>
    <cellStyle name="Calc Percent (0) 2 8 8" xfId="10337"/>
    <cellStyle name="Calc Percent (0) 2 9" xfId="10338"/>
    <cellStyle name="Calc Percent (0) 2 9 2" xfId="10339"/>
    <cellStyle name="Calc Percent (0) 2 9 3" xfId="10340"/>
    <cellStyle name="Calc Percent (0) 2 9 4" xfId="10341"/>
    <cellStyle name="Calc Percent (0) 2 9 5" xfId="10342"/>
    <cellStyle name="Calc Percent (0) 2 9 6" xfId="10343"/>
    <cellStyle name="Calc Percent (0) 2 9 7" xfId="10344"/>
    <cellStyle name="Calc Percent (0) 2 9 8" xfId="10345"/>
    <cellStyle name="Calc Percent (0) 2 9 9" xfId="10346"/>
    <cellStyle name="Calc Percent (0) 20" xfId="10347"/>
    <cellStyle name="Calc Percent (0) 21" xfId="10348"/>
    <cellStyle name="Calc Percent (0) 22" xfId="10349"/>
    <cellStyle name="Calc Percent (0) 23" xfId="10350"/>
    <cellStyle name="Calc Percent (0) 24" xfId="10351"/>
    <cellStyle name="Calc Percent (0) 25" xfId="10352"/>
    <cellStyle name="Calc Percent (0) 26" xfId="10353"/>
    <cellStyle name="Calc Percent (0) 27" xfId="10354"/>
    <cellStyle name="Calc Percent (0) 28" xfId="10355"/>
    <cellStyle name="Calc Percent (0) 29" xfId="10356"/>
    <cellStyle name="Calc Percent (0) 3" xfId="10357"/>
    <cellStyle name="Calc Percent (0) 30" xfId="10358"/>
    <cellStyle name="Calc Percent (0) 31" xfId="10359"/>
    <cellStyle name="Calc Percent (0) 32" xfId="10360"/>
    <cellStyle name="Calc Percent (0) 33" xfId="10361"/>
    <cellStyle name="Calc Percent (0) 34" xfId="10362"/>
    <cellStyle name="Calc Percent (0) 35" xfId="10363"/>
    <cellStyle name="Calc Percent (0) 36" xfId="10364"/>
    <cellStyle name="Calc Percent (0) 4" xfId="10365"/>
    <cellStyle name="Calc Percent (0) 5" xfId="10366"/>
    <cellStyle name="Calc Percent (0) 6" xfId="10367"/>
    <cellStyle name="Calc Percent (0) 7" xfId="10368"/>
    <cellStyle name="Calc Percent (0) 8" xfId="10369"/>
    <cellStyle name="Calc Percent (0) 8 2" xfId="10370"/>
    <cellStyle name="Calc Percent (0) 8 3" xfId="10371"/>
    <cellStyle name="Calc Percent (0) 8 4" xfId="10372"/>
    <cellStyle name="Calc Percent (0) 8 5" xfId="10373"/>
    <cellStyle name="Calc Percent (0) 8 6" xfId="10374"/>
    <cellStyle name="Calc Percent (0) 8 7" xfId="10375"/>
    <cellStyle name="Calc Percent (0) 8 8" xfId="10376"/>
    <cellStyle name="Calc Percent (0) 9" xfId="10377"/>
    <cellStyle name="Calc Percent (1)" xfId="10378"/>
    <cellStyle name="Calc Percent (1) 10" xfId="10379"/>
    <cellStyle name="Calc Percent (1) 10 10" xfId="10380"/>
    <cellStyle name="Calc Percent (1) 10 11" xfId="10381"/>
    <cellStyle name="Calc Percent (1) 10 2" xfId="10382"/>
    <cellStyle name="Calc Percent (1) 10 2 2" xfId="10383"/>
    <cellStyle name="Calc Percent (1) 10 2 3" xfId="10384"/>
    <cellStyle name="Calc Percent (1) 10 2 4" xfId="10385"/>
    <cellStyle name="Calc Percent (1) 10 2 5" xfId="10386"/>
    <cellStyle name="Calc Percent (1) 10 2 6" xfId="10387"/>
    <cellStyle name="Calc Percent (1) 10 2 7" xfId="10388"/>
    <cellStyle name="Calc Percent (1) 10 2 8" xfId="10389"/>
    <cellStyle name="Calc Percent (1) 10 2 9" xfId="10390"/>
    <cellStyle name="Calc Percent (1) 10 3" xfId="10391"/>
    <cellStyle name="Calc Percent (1) 10 3 2" xfId="10392"/>
    <cellStyle name="Calc Percent (1) 10 3 3" xfId="10393"/>
    <cellStyle name="Calc Percent (1) 10 3 4" xfId="10394"/>
    <cellStyle name="Calc Percent (1) 10 3 5" xfId="10395"/>
    <cellStyle name="Calc Percent (1) 10 3 6" xfId="10396"/>
    <cellStyle name="Calc Percent (1) 10 3 7" xfId="10397"/>
    <cellStyle name="Calc Percent (1) 10 3 8" xfId="10398"/>
    <cellStyle name="Calc Percent (1) 10 3 9" xfId="10399"/>
    <cellStyle name="Calc Percent (1) 10 4" xfId="10400"/>
    <cellStyle name="Calc Percent (1) 10 5" xfId="10401"/>
    <cellStyle name="Calc Percent (1) 10 6" xfId="10402"/>
    <cellStyle name="Calc Percent (1) 10 7" xfId="10403"/>
    <cellStyle name="Calc Percent (1) 10 8" xfId="10404"/>
    <cellStyle name="Calc Percent (1) 10 9" xfId="10405"/>
    <cellStyle name="Calc Percent (1) 11" xfId="10406"/>
    <cellStyle name="Calc Percent (1) 11 2" xfId="10407"/>
    <cellStyle name="Calc Percent (1) 11 3" xfId="10408"/>
    <cellStyle name="Calc Percent (1) 11 4" xfId="10409"/>
    <cellStyle name="Calc Percent (1) 11 5" xfId="10410"/>
    <cellStyle name="Calc Percent (1) 11 6" xfId="10411"/>
    <cellStyle name="Calc Percent (1) 11 7" xfId="10412"/>
    <cellStyle name="Calc Percent (1) 11 8" xfId="10413"/>
    <cellStyle name="Calc Percent (1) 11 9" xfId="10414"/>
    <cellStyle name="Calc Percent (1) 12" xfId="10415"/>
    <cellStyle name="Calc Percent (1) 12 2" xfId="10416"/>
    <cellStyle name="Calc Percent (1) 12 3" xfId="10417"/>
    <cellStyle name="Calc Percent (1) 12 4" xfId="10418"/>
    <cellStyle name="Calc Percent (1) 12 5" xfId="10419"/>
    <cellStyle name="Calc Percent (1) 12 6" xfId="10420"/>
    <cellStyle name="Calc Percent (1) 12 7" xfId="10421"/>
    <cellStyle name="Calc Percent (1) 12 8" xfId="10422"/>
    <cellStyle name="Calc Percent (1) 12 9" xfId="10423"/>
    <cellStyle name="Calc Percent (1) 13" xfId="10424"/>
    <cellStyle name="Calc Percent (1) 13 10" xfId="10425"/>
    <cellStyle name="Calc Percent (1) 13 11" xfId="10426"/>
    <cellStyle name="Calc Percent (1) 13 12" xfId="10427"/>
    <cellStyle name="Calc Percent (1) 13 13" xfId="10428"/>
    <cellStyle name="Calc Percent (1) 13 14" xfId="10429"/>
    <cellStyle name="Calc Percent (1) 13 15" xfId="10430"/>
    <cellStyle name="Calc Percent (1) 13 16" xfId="10431"/>
    <cellStyle name="Calc Percent (1) 13 2" xfId="10432"/>
    <cellStyle name="Calc Percent (1) 13 3" xfId="10433"/>
    <cellStyle name="Calc Percent (1) 13 4" xfId="10434"/>
    <cellStyle name="Calc Percent (1) 13 5" xfId="10435"/>
    <cellStyle name="Calc Percent (1) 13 6" xfId="10436"/>
    <cellStyle name="Calc Percent (1) 13 7" xfId="10437"/>
    <cellStyle name="Calc Percent (1) 13 8" xfId="10438"/>
    <cellStyle name="Calc Percent (1) 13 9" xfId="10439"/>
    <cellStyle name="Calc Percent (1) 14" xfId="10440"/>
    <cellStyle name="Calc Percent (1) 14 10" xfId="10441"/>
    <cellStyle name="Calc Percent (1) 14 11" xfId="10442"/>
    <cellStyle name="Calc Percent (1) 14 12" xfId="10443"/>
    <cellStyle name="Calc Percent (1) 14 13" xfId="10444"/>
    <cellStyle name="Calc Percent (1) 14 14" xfId="10445"/>
    <cellStyle name="Calc Percent (1) 14 15" xfId="10446"/>
    <cellStyle name="Calc Percent (1) 14 16" xfId="10447"/>
    <cellStyle name="Calc Percent (1) 14 2" xfId="10448"/>
    <cellStyle name="Calc Percent (1) 14 3" xfId="10449"/>
    <cellStyle name="Calc Percent (1) 14 4" xfId="10450"/>
    <cellStyle name="Calc Percent (1) 14 5" xfId="10451"/>
    <cellStyle name="Calc Percent (1) 14 6" xfId="10452"/>
    <cellStyle name="Calc Percent (1) 14 7" xfId="10453"/>
    <cellStyle name="Calc Percent (1) 14 8" xfId="10454"/>
    <cellStyle name="Calc Percent (1) 14 9" xfId="10455"/>
    <cellStyle name="Calc Percent (1) 15" xfId="10456"/>
    <cellStyle name="Calc Percent (1) 15 10" xfId="10457"/>
    <cellStyle name="Calc Percent (1) 15 11" xfId="10458"/>
    <cellStyle name="Calc Percent (1) 15 12" xfId="10459"/>
    <cellStyle name="Calc Percent (1) 15 13" xfId="10460"/>
    <cellStyle name="Calc Percent (1) 15 14" xfId="10461"/>
    <cellStyle name="Calc Percent (1) 15 15" xfId="10462"/>
    <cellStyle name="Calc Percent (1) 15 16" xfId="10463"/>
    <cellStyle name="Calc Percent (1) 15 2" xfId="10464"/>
    <cellStyle name="Calc Percent (1) 15 3" xfId="10465"/>
    <cellStyle name="Calc Percent (1) 15 4" xfId="10466"/>
    <cellStyle name="Calc Percent (1) 15 5" xfId="10467"/>
    <cellStyle name="Calc Percent (1) 15 6" xfId="10468"/>
    <cellStyle name="Calc Percent (1) 15 7" xfId="10469"/>
    <cellStyle name="Calc Percent (1) 15 8" xfId="10470"/>
    <cellStyle name="Calc Percent (1) 15 9" xfId="10471"/>
    <cellStyle name="Calc Percent (1) 16" xfId="10472"/>
    <cellStyle name="Calc Percent (1) 16 2" xfId="10473"/>
    <cellStyle name="Calc Percent (1) 16 3" xfId="10474"/>
    <cellStyle name="Calc Percent (1) 16 4" xfId="10475"/>
    <cellStyle name="Calc Percent (1) 16 5" xfId="10476"/>
    <cellStyle name="Calc Percent (1) 16 6" xfId="10477"/>
    <cellStyle name="Calc Percent (1) 16 7" xfId="10478"/>
    <cellStyle name="Calc Percent (1) 16 8" xfId="10479"/>
    <cellStyle name="Calc Percent (1) 16 9" xfId="10480"/>
    <cellStyle name="Calc Percent (1) 17" xfId="10481"/>
    <cellStyle name="Calc Percent (1) 17 2" xfId="10482"/>
    <cellStyle name="Calc Percent (1) 17 3" xfId="10483"/>
    <cellStyle name="Calc Percent (1) 17 4" xfId="10484"/>
    <cellStyle name="Calc Percent (1) 17 5" xfId="10485"/>
    <cellStyle name="Calc Percent (1) 17 6" xfId="10486"/>
    <cellStyle name="Calc Percent (1) 17 7" xfId="10487"/>
    <cellStyle name="Calc Percent (1) 17 8" xfId="10488"/>
    <cellStyle name="Calc Percent (1) 17 9" xfId="10489"/>
    <cellStyle name="Calc Percent (1) 18" xfId="10490"/>
    <cellStyle name="Calc Percent (1) 18 2" xfId="10491"/>
    <cellStyle name="Calc Percent (1) 18 3" xfId="10492"/>
    <cellStyle name="Calc Percent (1) 18 4" xfId="10493"/>
    <cellStyle name="Calc Percent (1) 18 5" xfId="10494"/>
    <cellStyle name="Calc Percent (1) 18 6" xfId="10495"/>
    <cellStyle name="Calc Percent (1) 18 7" xfId="10496"/>
    <cellStyle name="Calc Percent (1) 18 8" xfId="10497"/>
    <cellStyle name="Calc Percent (1) 18 9" xfId="10498"/>
    <cellStyle name="Calc Percent (1) 19" xfId="10499"/>
    <cellStyle name="Calc Percent (1) 19 2" xfId="10500"/>
    <cellStyle name="Calc Percent (1) 19 3" xfId="10501"/>
    <cellStyle name="Calc Percent (1) 19 4" xfId="10502"/>
    <cellStyle name="Calc Percent (1) 19 5" xfId="10503"/>
    <cellStyle name="Calc Percent (1) 19 6" xfId="10504"/>
    <cellStyle name="Calc Percent (1) 19 7" xfId="10505"/>
    <cellStyle name="Calc Percent (1) 19 8" xfId="10506"/>
    <cellStyle name="Calc Percent (1) 19 9" xfId="10507"/>
    <cellStyle name="Calc Percent (1) 2" xfId="10508"/>
    <cellStyle name="Calc Percent (1) 2 10" xfId="10509"/>
    <cellStyle name="Calc Percent (1) 2 10 2" xfId="10510"/>
    <cellStyle name="Calc Percent (1) 2 10 3" xfId="10511"/>
    <cellStyle name="Calc Percent (1) 2 11" xfId="10512"/>
    <cellStyle name="Calc Percent (1) 2 11 2" xfId="10513"/>
    <cellStyle name="Calc Percent (1) 2 11 2 2" xfId="10514"/>
    <cellStyle name="Calc Percent (1) 2 11 2 3" xfId="10515"/>
    <cellStyle name="Calc Percent (1) 2 11 3" xfId="10516"/>
    <cellStyle name="Calc Percent (1) 2 12" xfId="10517"/>
    <cellStyle name="Calc Percent (1) 2 13" xfId="10518"/>
    <cellStyle name="Calc Percent (1) 2 14" xfId="10519"/>
    <cellStyle name="Calc Percent (1) 2 2" xfId="10520"/>
    <cellStyle name="Calc Percent (1) 2 2 10" xfId="10521"/>
    <cellStyle name="Calc Percent (1) 2 2 11" xfId="10522"/>
    <cellStyle name="Calc Percent (1) 2 2 12" xfId="10523"/>
    <cellStyle name="Calc Percent (1) 2 2 13" xfId="10524"/>
    <cellStyle name="Calc Percent (1) 2 2 14" xfId="10525"/>
    <cellStyle name="Calc Percent (1) 2 2 15" xfId="10526"/>
    <cellStyle name="Calc Percent (1) 2 2 16" xfId="10527"/>
    <cellStyle name="Calc Percent (1) 2 2 17" xfId="10528"/>
    <cellStyle name="Calc Percent (1) 2 2 18" xfId="10529"/>
    <cellStyle name="Calc Percent (1) 2 2 2" xfId="10530"/>
    <cellStyle name="Calc Percent (1) 2 2 2 2" xfId="10531"/>
    <cellStyle name="Calc Percent (1) 2 2 2 2 2" xfId="10532"/>
    <cellStyle name="Calc Percent (1) 2 2 2 2 3" xfId="10533"/>
    <cellStyle name="Calc Percent (1) 2 2 2 2 4" xfId="10534"/>
    <cellStyle name="Calc Percent (1) 2 2 2 2 5" xfId="10535"/>
    <cellStyle name="Calc Percent (1) 2 2 2 2 6" xfId="10536"/>
    <cellStyle name="Calc Percent (1) 2 2 2 2 7" xfId="10537"/>
    <cellStyle name="Calc Percent (1) 2 2 2 2 8" xfId="10538"/>
    <cellStyle name="Calc Percent (1) 2 2 2 3" xfId="10539"/>
    <cellStyle name="Calc Percent (1) 2 2 2 4" xfId="10540"/>
    <cellStyle name="Calc Percent (1) 2 2 2 5" xfId="10541"/>
    <cellStyle name="Calc Percent (1) 2 2 2 6" xfId="10542"/>
    <cellStyle name="Calc Percent (1) 2 2 2 7" xfId="10543"/>
    <cellStyle name="Calc Percent (1) 2 2 2 8" xfId="10544"/>
    <cellStyle name="Calc Percent (1) 2 2 2 9" xfId="10545"/>
    <cellStyle name="Calc Percent (1) 2 2 3" xfId="10546"/>
    <cellStyle name="Calc Percent (1) 2 2 3 2" xfId="10547"/>
    <cellStyle name="Calc Percent (1) 2 2 3 3" xfId="10548"/>
    <cellStyle name="Calc Percent (1) 2 2 3 4" xfId="10549"/>
    <cellStyle name="Calc Percent (1) 2 2 3 5" xfId="10550"/>
    <cellStyle name="Calc Percent (1) 2 2 3 6" xfId="10551"/>
    <cellStyle name="Calc Percent (1) 2 2 3 7" xfId="10552"/>
    <cellStyle name="Calc Percent (1) 2 2 3 8" xfId="10553"/>
    <cellStyle name="Calc Percent (1) 2 2 3 9" xfId="10554"/>
    <cellStyle name="Calc Percent (1) 2 2 4" xfId="10555"/>
    <cellStyle name="Calc Percent (1) 2 2 5" xfId="10556"/>
    <cellStyle name="Calc Percent (1) 2 2 6" xfId="10557"/>
    <cellStyle name="Calc Percent (1) 2 2 7" xfId="10558"/>
    <cellStyle name="Calc Percent (1) 2 2 8" xfId="10559"/>
    <cellStyle name="Calc Percent (1) 2 2 9" xfId="10560"/>
    <cellStyle name="Calc Percent (1) 2 3" xfId="10561"/>
    <cellStyle name="Calc Percent (1) 2 3 10" xfId="10562"/>
    <cellStyle name="Calc Percent (1) 2 3 11" xfId="10563"/>
    <cellStyle name="Calc Percent (1) 2 3 12" xfId="10564"/>
    <cellStyle name="Calc Percent (1) 2 3 13" xfId="10565"/>
    <cellStyle name="Calc Percent (1) 2 3 14" xfId="10566"/>
    <cellStyle name="Calc Percent (1) 2 3 15" xfId="10567"/>
    <cellStyle name="Calc Percent (1) 2 3 16" xfId="10568"/>
    <cellStyle name="Calc Percent (1) 2 3 2" xfId="10569"/>
    <cellStyle name="Calc Percent (1) 2 3 2 2" xfId="10570"/>
    <cellStyle name="Calc Percent (1) 2 3 2 2 2" xfId="10571"/>
    <cellStyle name="Calc Percent (1) 2 3 2 2 2 2" xfId="10572"/>
    <cellStyle name="Calc Percent (1) 2 3 2 2 2 2 2" xfId="10573"/>
    <cellStyle name="Calc Percent (1) 2 3 2 2 2 2 3" xfId="10574"/>
    <cellStyle name="Calc Percent (1) 2 3 2 2 2 2 4" xfId="10575"/>
    <cellStyle name="Calc Percent (1) 2 3 2 2 2 2 5" xfId="10576"/>
    <cellStyle name="Calc Percent (1) 2 3 2 2 2 2 6" xfId="10577"/>
    <cellStyle name="Calc Percent (1) 2 3 2 2 2 2 7" xfId="10578"/>
    <cellStyle name="Calc Percent (1) 2 3 2 2 2 2 8" xfId="10579"/>
    <cellStyle name="Calc Percent (1) 2 3 2 2 2 3" xfId="10580"/>
    <cellStyle name="Calc Percent (1) 2 3 2 2 2 4" xfId="10581"/>
    <cellStyle name="Calc Percent (1) 2 3 2 2 2 5" xfId="10582"/>
    <cellStyle name="Calc Percent (1) 2 3 2 2 2 6" xfId="10583"/>
    <cellStyle name="Calc Percent (1) 2 3 2 2 2 7" xfId="10584"/>
    <cellStyle name="Calc Percent (1) 2 3 2 2 2 8" xfId="10585"/>
    <cellStyle name="Calc Percent (1) 2 3 2 2 2 9" xfId="10586"/>
    <cellStyle name="Calc Percent (1) 2 3 2 2 3" xfId="10587"/>
    <cellStyle name="Calc Percent (1) 2 3 2 2 4" xfId="10588"/>
    <cellStyle name="Calc Percent (1) 2 3 2 2 5" xfId="10589"/>
    <cellStyle name="Calc Percent (1) 2 3 2 2 6" xfId="10590"/>
    <cellStyle name="Calc Percent (1) 2 3 2 2 7" xfId="10591"/>
    <cellStyle name="Calc Percent (1) 2 3 2 2 8" xfId="10592"/>
    <cellStyle name="Calc Percent (1) 2 3 2 2 9" xfId="10593"/>
    <cellStyle name="Calc Percent (1) 2 3 2 3" xfId="10594"/>
    <cellStyle name="Calc Percent (1) 2 3 2 4" xfId="10595"/>
    <cellStyle name="Calc Percent (1) 2 3 2 5" xfId="10596"/>
    <cellStyle name="Calc Percent (1) 2 3 2 6" xfId="10597"/>
    <cellStyle name="Calc Percent (1) 2 3 2 7" xfId="10598"/>
    <cellStyle name="Calc Percent (1) 2 3 2 8" xfId="10599"/>
    <cellStyle name="Calc Percent (1) 2 3 2 9" xfId="10600"/>
    <cellStyle name="Calc Percent (1) 2 3 3" xfId="10601"/>
    <cellStyle name="Calc Percent (1) 2 3 3 2" xfId="10602"/>
    <cellStyle name="Calc Percent (1) 2 3 3 3" xfId="10603"/>
    <cellStyle name="Calc Percent (1) 2 3 3 4" xfId="10604"/>
    <cellStyle name="Calc Percent (1) 2 3 3 5" xfId="10605"/>
    <cellStyle name="Calc Percent (1) 2 3 3 6" xfId="10606"/>
    <cellStyle name="Calc Percent (1) 2 3 3 7" xfId="10607"/>
    <cellStyle name="Calc Percent (1) 2 3 3 8" xfId="10608"/>
    <cellStyle name="Calc Percent (1) 2 3 4" xfId="10609"/>
    <cellStyle name="Calc Percent (1) 2 3 4 2" xfId="10610"/>
    <cellStyle name="Calc Percent (1) 2 3 4 3" xfId="10611"/>
    <cellStyle name="Calc Percent (1) 2 3 4 4" xfId="10612"/>
    <cellStyle name="Calc Percent (1) 2 3 4 5" xfId="10613"/>
    <cellStyle name="Calc Percent (1) 2 3 4 6" xfId="10614"/>
    <cellStyle name="Calc Percent (1) 2 3 4 7" xfId="10615"/>
    <cellStyle name="Calc Percent (1) 2 3 4 8" xfId="10616"/>
    <cellStyle name="Calc Percent (1) 2 3 5" xfId="10617"/>
    <cellStyle name="Calc Percent (1) 2 3 5 2" xfId="10618"/>
    <cellStyle name="Calc Percent (1) 2 3 5 3" xfId="10619"/>
    <cellStyle name="Calc Percent (1) 2 3 5 4" xfId="10620"/>
    <cellStyle name="Calc Percent (1) 2 3 5 5" xfId="10621"/>
    <cellStyle name="Calc Percent (1) 2 3 5 6" xfId="10622"/>
    <cellStyle name="Calc Percent (1) 2 3 5 7" xfId="10623"/>
    <cellStyle name="Calc Percent (1) 2 3 5 8" xfId="10624"/>
    <cellStyle name="Calc Percent (1) 2 3 6" xfId="10625"/>
    <cellStyle name="Calc Percent (1) 2 3 6 2" xfId="10626"/>
    <cellStyle name="Calc Percent (1) 2 3 6 3" xfId="10627"/>
    <cellStyle name="Calc Percent (1) 2 3 6 4" xfId="10628"/>
    <cellStyle name="Calc Percent (1) 2 3 6 5" xfId="10629"/>
    <cellStyle name="Calc Percent (1) 2 3 6 6" xfId="10630"/>
    <cellStyle name="Calc Percent (1) 2 3 6 7" xfId="10631"/>
    <cellStyle name="Calc Percent (1) 2 3 6 8" xfId="10632"/>
    <cellStyle name="Calc Percent (1) 2 3 7" xfId="10633"/>
    <cellStyle name="Calc Percent (1) 2 3 8" xfId="10634"/>
    <cellStyle name="Calc Percent (1) 2 3 9" xfId="10635"/>
    <cellStyle name="Calc Percent (1) 2 4" xfId="10636"/>
    <cellStyle name="Calc Percent (1) 2 4 2" xfId="10637"/>
    <cellStyle name="Calc Percent (1) 2 4 3" xfId="10638"/>
    <cellStyle name="Calc Percent (1) 2 5" xfId="10639"/>
    <cellStyle name="Calc Percent (1) 2 5 2" xfId="10640"/>
    <cellStyle name="Calc Percent (1) 2 5 3" xfId="10641"/>
    <cellStyle name="Calc Percent (1) 2 6" xfId="10642"/>
    <cellStyle name="Calc Percent (1) 2 6 2" xfId="10643"/>
    <cellStyle name="Calc Percent (1) 2 6 3" xfId="10644"/>
    <cellStyle name="Calc Percent (1) 2 7" xfId="10645"/>
    <cellStyle name="Calc Percent (1) 2 7 2" xfId="10646"/>
    <cellStyle name="Calc Percent (1) 2 7 3" xfId="10647"/>
    <cellStyle name="Calc Percent (1) 2 8" xfId="10648"/>
    <cellStyle name="Calc Percent (1) 2 8 2" xfId="10649"/>
    <cellStyle name="Calc Percent (1) 2 8 3" xfId="10650"/>
    <cellStyle name="Calc Percent (1) 2 9" xfId="10651"/>
    <cellStyle name="Calc Percent (1) 2 9 2" xfId="10652"/>
    <cellStyle name="Calc Percent (1) 2 9 3" xfId="10653"/>
    <cellStyle name="Calc Percent (1) 2_You Plus DCF Workpapers" xfId="10654"/>
    <cellStyle name="Calc Percent (1) 20" xfId="10655"/>
    <cellStyle name="Calc Percent (1) 20 2" xfId="10656"/>
    <cellStyle name="Calc Percent (1) 20 3" xfId="10657"/>
    <cellStyle name="Calc Percent (1) 20 4" xfId="10658"/>
    <cellStyle name="Calc Percent (1) 20 5" xfId="10659"/>
    <cellStyle name="Calc Percent (1) 20 6" xfId="10660"/>
    <cellStyle name="Calc Percent (1) 20 7" xfId="10661"/>
    <cellStyle name="Calc Percent (1) 20 8" xfId="10662"/>
    <cellStyle name="Calc Percent (1) 20 9" xfId="10663"/>
    <cellStyle name="Calc Percent (1) 21" xfId="10664"/>
    <cellStyle name="Calc Percent (1) 21 2" xfId="10665"/>
    <cellStyle name="Calc Percent (1) 21 3" xfId="10666"/>
    <cellStyle name="Calc Percent (1) 21 4" xfId="10667"/>
    <cellStyle name="Calc Percent (1) 21 5" xfId="10668"/>
    <cellStyle name="Calc Percent (1) 21 6" xfId="10669"/>
    <cellStyle name="Calc Percent (1) 21 7" xfId="10670"/>
    <cellStyle name="Calc Percent (1) 21 8" xfId="10671"/>
    <cellStyle name="Calc Percent (1) 21 9" xfId="10672"/>
    <cellStyle name="Calc Percent (1) 22" xfId="10673"/>
    <cellStyle name="Calc Percent (1) 22 2" xfId="10674"/>
    <cellStyle name="Calc Percent (1) 22 3" xfId="10675"/>
    <cellStyle name="Calc Percent (1) 22 4" xfId="10676"/>
    <cellStyle name="Calc Percent (1) 22 5" xfId="10677"/>
    <cellStyle name="Calc Percent (1) 22 6" xfId="10678"/>
    <cellStyle name="Calc Percent (1) 22 7" xfId="10679"/>
    <cellStyle name="Calc Percent (1) 22 8" xfId="10680"/>
    <cellStyle name="Calc Percent (1) 22 9" xfId="10681"/>
    <cellStyle name="Calc Percent (1) 23" xfId="10682"/>
    <cellStyle name="Calc Percent (1) 24" xfId="10683"/>
    <cellStyle name="Calc Percent (1) 25" xfId="10684"/>
    <cellStyle name="Calc Percent (1) 26" xfId="10685"/>
    <cellStyle name="Calc Percent (1) 27" xfId="10686"/>
    <cellStyle name="Calc Percent (1) 28" xfId="10687"/>
    <cellStyle name="Calc Percent (1) 29" xfId="10688"/>
    <cellStyle name="Calc Percent (1) 3" xfId="10689"/>
    <cellStyle name="Calc Percent (1) 3 10" xfId="10690"/>
    <cellStyle name="Calc Percent (1) 3 11" xfId="10691"/>
    <cellStyle name="Calc Percent (1) 3 2" xfId="10692"/>
    <cellStyle name="Calc Percent (1) 3 2 10" xfId="10693"/>
    <cellStyle name="Calc Percent (1) 3 2 11" xfId="10694"/>
    <cellStyle name="Calc Percent (1) 3 2 12" xfId="10695"/>
    <cellStyle name="Calc Percent (1) 3 2 13" xfId="10696"/>
    <cellStyle name="Calc Percent (1) 3 2 14" xfId="10697"/>
    <cellStyle name="Calc Percent (1) 3 2 15" xfId="10698"/>
    <cellStyle name="Calc Percent (1) 3 2 16" xfId="10699"/>
    <cellStyle name="Calc Percent (1) 3 2 2" xfId="10700"/>
    <cellStyle name="Calc Percent (1) 3 2 2 2" xfId="10701"/>
    <cellStyle name="Calc Percent (1) 3 2 2 3" xfId="10702"/>
    <cellStyle name="Calc Percent (1) 3 2 3" xfId="10703"/>
    <cellStyle name="Calc Percent (1) 3 2 3 2" xfId="10704"/>
    <cellStyle name="Calc Percent (1) 3 2 3 3" xfId="10705"/>
    <cellStyle name="Calc Percent (1) 3 2 3 4" xfId="10706"/>
    <cellStyle name="Calc Percent (1) 3 2 3 5" xfId="10707"/>
    <cellStyle name="Calc Percent (1) 3 2 3 6" xfId="10708"/>
    <cellStyle name="Calc Percent (1) 3 2 3 7" xfId="10709"/>
    <cellStyle name="Calc Percent (1) 3 2 3 8" xfId="10710"/>
    <cellStyle name="Calc Percent (1) 3 2 4" xfId="10711"/>
    <cellStyle name="Calc Percent (1) 3 2 5" xfId="10712"/>
    <cellStyle name="Calc Percent (1) 3 2 6" xfId="10713"/>
    <cellStyle name="Calc Percent (1) 3 2 7" xfId="10714"/>
    <cellStyle name="Calc Percent (1) 3 2 8" xfId="10715"/>
    <cellStyle name="Calc Percent (1) 3 2 9" xfId="10716"/>
    <cellStyle name="Calc Percent (1) 3 3" xfId="10717"/>
    <cellStyle name="Calc Percent (1) 3 3 2" xfId="10718"/>
    <cellStyle name="Calc Percent (1) 3 3 2 2" xfId="10719"/>
    <cellStyle name="Calc Percent (1) 3 3 2 2 2" xfId="10720"/>
    <cellStyle name="Calc Percent (1) 3 3 2 2 2 2" xfId="10721"/>
    <cellStyle name="Calc Percent (1) 3 3 2 2 2 3" xfId="10722"/>
    <cellStyle name="Calc Percent (1) 3 3 2 2 2 4" xfId="10723"/>
    <cellStyle name="Calc Percent (1) 3 3 2 2 2 5" xfId="10724"/>
    <cellStyle name="Calc Percent (1) 3 3 2 2 2 6" xfId="10725"/>
    <cellStyle name="Calc Percent (1) 3 3 2 2 2 7" xfId="10726"/>
    <cellStyle name="Calc Percent (1) 3 3 2 2 2 8" xfId="10727"/>
    <cellStyle name="Calc Percent (1) 3 3 2 2 3" xfId="10728"/>
    <cellStyle name="Calc Percent (1) 3 3 2 2 4" xfId="10729"/>
    <cellStyle name="Calc Percent (1) 3 3 2 2 5" xfId="10730"/>
    <cellStyle name="Calc Percent (1) 3 3 2 2 6" xfId="10731"/>
    <cellStyle name="Calc Percent (1) 3 3 2 2 7" xfId="10732"/>
    <cellStyle name="Calc Percent (1) 3 3 2 2 8" xfId="10733"/>
    <cellStyle name="Calc Percent (1) 3 3 2 2 9" xfId="10734"/>
    <cellStyle name="Calc Percent (1) 3 3 2 3" xfId="10735"/>
    <cellStyle name="Calc Percent (1) 3 3 2 4" xfId="10736"/>
    <cellStyle name="Calc Percent (1) 3 3 2 5" xfId="10737"/>
    <cellStyle name="Calc Percent (1) 3 3 2 6" xfId="10738"/>
    <cellStyle name="Calc Percent (1) 3 3 2 7" xfId="10739"/>
    <cellStyle name="Calc Percent (1) 3 3 2 8" xfId="10740"/>
    <cellStyle name="Calc Percent (1) 3 3 2 9" xfId="10741"/>
    <cellStyle name="Calc Percent (1) 3 3 3" xfId="10742"/>
    <cellStyle name="Calc Percent (1) 3 3 3 2" xfId="10743"/>
    <cellStyle name="Calc Percent (1) 3 3 3 3" xfId="10744"/>
    <cellStyle name="Calc Percent (1) 3 3 3 4" xfId="10745"/>
    <cellStyle name="Calc Percent (1) 3 3 3 5" xfId="10746"/>
    <cellStyle name="Calc Percent (1) 3 3 3 6" xfId="10747"/>
    <cellStyle name="Calc Percent (1) 3 3 3 7" xfId="10748"/>
    <cellStyle name="Calc Percent (1) 3 3 3 8" xfId="10749"/>
    <cellStyle name="Calc Percent (1) 3 3 4" xfId="10750"/>
    <cellStyle name="Calc Percent (1) 3 3 5" xfId="10751"/>
    <cellStyle name="Calc Percent (1) 3 3 6" xfId="10752"/>
    <cellStyle name="Calc Percent (1) 3 3 7" xfId="10753"/>
    <cellStyle name="Calc Percent (1) 3 3 8" xfId="10754"/>
    <cellStyle name="Calc Percent (1) 3 3 9" xfId="10755"/>
    <cellStyle name="Calc Percent (1) 3 4" xfId="10756"/>
    <cellStyle name="Calc Percent (1) 3 4 2" xfId="10757"/>
    <cellStyle name="Calc Percent (1) 3 4 3" xfId="10758"/>
    <cellStyle name="Calc Percent (1) 3 4 4" xfId="10759"/>
    <cellStyle name="Calc Percent (1) 3 4 5" xfId="10760"/>
    <cellStyle name="Calc Percent (1) 3 4 6" xfId="10761"/>
    <cellStyle name="Calc Percent (1) 3 4 7" xfId="10762"/>
    <cellStyle name="Calc Percent (1) 3 4 8" xfId="10763"/>
    <cellStyle name="Calc Percent (1) 3 5" xfId="10764"/>
    <cellStyle name="Calc Percent (1) 3 6" xfId="10765"/>
    <cellStyle name="Calc Percent (1) 3 7" xfId="10766"/>
    <cellStyle name="Calc Percent (1) 3 8" xfId="10767"/>
    <cellStyle name="Calc Percent (1) 3 9" xfId="10768"/>
    <cellStyle name="Calc Percent (1) 30" xfId="10769"/>
    <cellStyle name="Calc Percent (1) 31" xfId="10770"/>
    <cellStyle name="Calc Percent (1) 32" xfId="10771"/>
    <cellStyle name="Calc Percent (1) 33" xfId="10772"/>
    <cellStyle name="Calc Percent (1) 34" xfId="10773"/>
    <cellStyle name="Calc Percent (1) 35" xfId="10774"/>
    <cellStyle name="Calc Percent (1) 36" xfId="10775"/>
    <cellStyle name="Calc Percent (1) 4" xfId="10776"/>
    <cellStyle name="Calc Percent (1) 4 10" xfId="10777"/>
    <cellStyle name="Calc Percent (1) 4 11" xfId="10778"/>
    <cellStyle name="Calc Percent (1) 4 2" xfId="10779"/>
    <cellStyle name="Calc Percent (1) 4 2 2" xfId="10780"/>
    <cellStyle name="Calc Percent (1) 4 2 3" xfId="10781"/>
    <cellStyle name="Calc Percent (1) 4 2 4" xfId="10782"/>
    <cellStyle name="Calc Percent (1) 4 2 5" xfId="10783"/>
    <cellStyle name="Calc Percent (1) 4 2 6" xfId="10784"/>
    <cellStyle name="Calc Percent (1) 4 2 7" xfId="10785"/>
    <cellStyle name="Calc Percent (1) 4 2 8" xfId="10786"/>
    <cellStyle name="Calc Percent (1) 4 2 9" xfId="10787"/>
    <cellStyle name="Calc Percent (1) 4 3" xfId="10788"/>
    <cellStyle name="Calc Percent (1) 4 3 2" xfId="10789"/>
    <cellStyle name="Calc Percent (1) 4 3 3" xfId="10790"/>
    <cellStyle name="Calc Percent (1) 4 3 4" xfId="10791"/>
    <cellStyle name="Calc Percent (1) 4 3 5" xfId="10792"/>
    <cellStyle name="Calc Percent (1) 4 3 6" xfId="10793"/>
    <cellStyle name="Calc Percent (1) 4 3 7" xfId="10794"/>
    <cellStyle name="Calc Percent (1) 4 3 8" xfId="10795"/>
    <cellStyle name="Calc Percent (1) 4 3 9" xfId="10796"/>
    <cellStyle name="Calc Percent (1) 4 4" xfId="10797"/>
    <cellStyle name="Calc Percent (1) 4 5" xfId="10798"/>
    <cellStyle name="Calc Percent (1) 4 6" xfId="10799"/>
    <cellStyle name="Calc Percent (1) 4 7" xfId="10800"/>
    <cellStyle name="Calc Percent (1) 4 8" xfId="10801"/>
    <cellStyle name="Calc Percent (1) 4 9" xfId="10802"/>
    <cellStyle name="Calc Percent (1) 5" xfId="10803"/>
    <cellStyle name="Calc Percent (1) 5 10" xfId="10804"/>
    <cellStyle name="Calc Percent (1) 5 11" xfId="10805"/>
    <cellStyle name="Calc Percent (1) 5 2" xfId="10806"/>
    <cellStyle name="Calc Percent (1) 5 2 10" xfId="10807"/>
    <cellStyle name="Calc Percent (1) 5 2 11" xfId="10808"/>
    <cellStyle name="Calc Percent (1) 5 2 12" xfId="10809"/>
    <cellStyle name="Calc Percent (1) 5 2 13" xfId="10810"/>
    <cellStyle name="Calc Percent (1) 5 2 14" xfId="10811"/>
    <cellStyle name="Calc Percent (1) 5 2 15" xfId="10812"/>
    <cellStyle name="Calc Percent (1) 5 2 16" xfId="10813"/>
    <cellStyle name="Calc Percent (1) 5 2 2" xfId="10814"/>
    <cellStyle name="Calc Percent (1) 5 2 2 2" xfId="10815"/>
    <cellStyle name="Calc Percent (1) 5 2 2 2 2" xfId="10816"/>
    <cellStyle name="Calc Percent (1) 5 2 2 2 3" xfId="10817"/>
    <cellStyle name="Calc Percent (1) 5 2 2 3" xfId="10818"/>
    <cellStyle name="Calc Percent (1) 5 2 3" xfId="10819"/>
    <cellStyle name="Calc Percent (1) 5 2 4" xfId="10820"/>
    <cellStyle name="Calc Percent (1) 5 2 5" xfId="10821"/>
    <cellStyle name="Calc Percent (1) 5 2 6" xfId="10822"/>
    <cellStyle name="Calc Percent (1) 5 2 7" xfId="10823"/>
    <cellStyle name="Calc Percent (1) 5 2 8" xfId="10824"/>
    <cellStyle name="Calc Percent (1) 5 2 9" xfId="10825"/>
    <cellStyle name="Calc Percent (1) 5 3" xfId="10826"/>
    <cellStyle name="Calc Percent (1) 5 3 2" xfId="10827"/>
    <cellStyle name="Calc Percent (1) 5 3 3" xfId="10828"/>
    <cellStyle name="Calc Percent (1) 5 3 4" xfId="10829"/>
    <cellStyle name="Calc Percent (1) 5 3 5" xfId="10830"/>
    <cellStyle name="Calc Percent (1) 5 3 6" xfId="10831"/>
    <cellStyle name="Calc Percent (1) 5 3 7" xfId="10832"/>
    <cellStyle name="Calc Percent (1) 5 3 8" xfId="10833"/>
    <cellStyle name="Calc Percent (1) 5 3 9" xfId="10834"/>
    <cellStyle name="Calc Percent (1) 5 4" xfId="10835"/>
    <cellStyle name="Calc Percent (1) 5 5" xfId="10836"/>
    <cellStyle name="Calc Percent (1) 5 6" xfId="10837"/>
    <cellStyle name="Calc Percent (1) 5 6 2" xfId="10838"/>
    <cellStyle name="Calc Percent (1) 5 6 3" xfId="10839"/>
    <cellStyle name="Calc Percent (1) 5 6 4" xfId="10840"/>
    <cellStyle name="Calc Percent (1) 5 6 5" xfId="10841"/>
    <cellStyle name="Calc Percent (1) 5 6 6" xfId="10842"/>
    <cellStyle name="Calc Percent (1) 5 6 7" xfId="10843"/>
    <cellStyle name="Calc Percent (1) 5 6 8" xfId="10844"/>
    <cellStyle name="Calc Percent (1) 5 7" xfId="10845"/>
    <cellStyle name="Calc Percent (1) 5 8" xfId="10846"/>
    <cellStyle name="Calc Percent (1) 5 9" xfId="10847"/>
    <cellStyle name="Calc Percent (1) 6" xfId="10848"/>
    <cellStyle name="Calc Percent (1) 6 10" xfId="10849"/>
    <cellStyle name="Calc Percent (1) 6 11" xfId="10850"/>
    <cellStyle name="Calc Percent (1) 6 2" xfId="10851"/>
    <cellStyle name="Calc Percent (1) 6 2 2" xfId="10852"/>
    <cellStyle name="Calc Percent (1) 6 2 3" xfId="10853"/>
    <cellStyle name="Calc Percent (1) 6 2 4" xfId="10854"/>
    <cellStyle name="Calc Percent (1) 6 2 5" xfId="10855"/>
    <cellStyle name="Calc Percent (1) 6 2 6" xfId="10856"/>
    <cellStyle name="Calc Percent (1) 6 2 7" xfId="10857"/>
    <cellStyle name="Calc Percent (1) 6 2 8" xfId="10858"/>
    <cellStyle name="Calc Percent (1) 6 2 9" xfId="10859"/>
    <cellStyle name="Calc Percent (1) 6 3" xfId="10860"/>
    <cellStyle name="Calc Percent (1) 6 3 2" xfId="10861"/>
    <cellStyle name="Calc Percent (1) 6 3 3" xfId="10862"/>
    <cellStyle name="Calc Percent (1) 6 3 4" xfId="10863"/>
    <cellStyle name="Calc Percent (1) 6 3 5" xfId="10864"/>
    <cellStyle name="Calc Percent (1) 6 3 6" xfId="10865"/>
    <cellStyle name="Calc Percent (1) 6 3 7" xfId="10866"/>
    <cellStyle name="Calc Percent (1) 6 3 8" xfId="10867"/>
    <cellStyle name="Calc Percent (1) 6 3 9" xfId="10868"/>
    <cellStyle name="Calc Percent (1) 6 4" xfId="10869"/>
    <cellStyle name="Calc Percent (1) 6 5" xfId="10870"/>
    <cellStyle name="Calc Percent (1) 6 6" xfId="10871"/>
    <cellStyle name="Calc Percent (1) 6 7" xfId="10872"/>
    <cellStyle name="Calc Percent (1) 6 8" xfId="10873"/>
    <cellStyle name="Calc Percent (1) 6 9" xfId="10874"/>
    <cellStyle name="Calc Percent (1) 7" xfId="10875"/>
    <cellStyle name="Calc Percent (1) 7 10" xfId="10876"/>
    <cellStyle name="Calc Percent (1) 7 11" xfId="10877"/>
    <cellStyle name="Calc Percent (1) 7 2" xfId="10878"/>
    <cellStyle name="Calc Percent (1) 7 2 2" xfId="10879"/>
    <cellStyle name="Calc Percent (1) 7 2 3" xfId="10880"/>
    <cellStyle name="Calc Percent (1) 7 2 4" xfId="10881"/>
    <cellStyle name="Calc Percent (1) 7 2 5" xfId="10882"/>
    <cellStyle name="Calc Percent (1) 7 2 6" xfId="10883"/>
    <cellStyle name="Calc Percent (1) 7 2 7" xfId="10884"/>
    <cellStyle name="Calc Percent (1) 7 2 8" xfId="10885"/>
    <cellStyle name="Calc Percent (1) 7 2 9" xfId="10886"/>
    <cellStyle name="Calc Percent (1) 7 3" xfId="10887"/>
    <cellStyle name="Calc Percent (1) 7 3 2" xfId="10888"/>
    <cellStyle name="Calc Percent (1) 7 3 3" xfId="10889"/>
    <cellStyle name="Calc Percent (1) 7 3 4" xfId="10890"/>
    <cellStyle name="Calc Percent (1) 7 3 5" xfId="10891"/>
    <cellStyle name="Calc Percent (1) 7 3 6" xfId="10892"/>
    <cellStyle name="Calc Percent (1) 7 3 7" xfId="10893"/>
    <cellStyle name="Calc Percent (1) 7 3 8" xfId="10894"/>
    <cellStyle name="Calc Percent (1) 7 3 9" xfId="10895"/>
    <cellStyle name="Calc Percent (1) 7 4" xfId="10896"/>
    <cellStyle name="Calc Percent (1) 7 5" xfId="10897"/>
    <cellStyle name="Calc Percent (1) 7 6" xfId="10898"/>
    <cellStyle name="Calc Percent (1) 7 7" xfId="10899"/>
    <cellStyle name="Calc Percent (1) 7 8" xfId="10900"/>
    <cellStyle name="Calc Percent (1) 7 9" xfId="10901"/>
    <cellStyle name="Calc Percent (1) 8" xfId="10902"/>
    <cellStyle name="Calc Percent (1) 8 10" xfId="10903"/>
    <cellStyle name="Calc Percent (1) 8 11" xfId="10904"/>
    <cellStyle name="Calc Percent (1) 8 2" xfId="10905"/>
    <cellStyle name="Calc Percent (1) 8 2 2" xfId="10906"/>
    <cellStyle name="Calc Percent (1) 8 2 3" xfId="10907"/>
    <cellStyle name="Calc Percent (1) 8 2 4" xfId="10908"/>
    <cellStyle name="Calc Percent (1) 8 2 5" xfId="10909"/>
    <cellStyle name="Calc Percent (1) 8 2 6" xfId="10910"/>
    <cellStyle name="Calc Percent (1) 8 2 7" xfId="10911"/>
    <cellStyle name="Calc Percent (1) 8 2 8" xfId="10912"/>
    <cellStyle name="Calc Percent (1) 8 2 9" xfId="10913"/>
    <cellStyle name="Calc Percent (1) 8 3" xfId="10914"/>
    <cellStyle name="Calc Percent (1) 8 3 2" xfId="10915"/>
    <cellStyle name="Calc Percent (1) 8 3 3" xfId="10916"/>
    <cellStyle name="Calc Percent (1) 8 3 4" xfId="10917"/>
    <cellStyle name="Calc Percent (1) 8 3 5" xfId="10918"/>
    <cellStyle name="Calc Percent (1) 8 3 6" xfId="10919"/>
    <cellStyle name="Calc Percent (1) 8 3 7" xfId="10920"/>
    <cellStyle name="Calc Percent (1) 8 3 8" xfId="10921"/>
    <cellStyle name="Calc Percent (1) 8 3 9" xfId="10922"/>
    <cellStyle name="Calc Percent (1) 8 4" xfId="10923"/>
    <cellStyle name="Calc Percent (1) 8 5" xfId="10924"/>
    <cellStyle name="Calc Percent (1) 8 6" xfId="10925"/>
    <cellStyle name="Calc Percent (1) 8 7" xfId="10926"/>
    <cellStyle name="Calc Percent (1) 8 8" xfId="10927"/>
    <cellStyle name="Calc Percent (1) 8 9" xfId="10928"/>
    <cellStyle name="Calc Percent (1) 9" xfId="10929"/>
    <cellStyle name="Calc Percent (1) 9 10" xfId="10930"/>
    <cellStyle name="Calc Percent (1) 9 11" xfId="10931"/>
    <cellStyle name="Calc Percent (1) 9 2" xfId="10932"/>
    <cellStyle name="Calc Percent (1) 9 2 10" xfId="10933"/>
    <cellStyle name="Calc Percent (1) 9 2 11" xfId="10934"/>
    <cellStyle name="Calc Percent (1) 9 2 12" xfId="10935"/>
    <cellStyle name="Calc Percent (1) 9 2 13" xfId="10936"/>
    <cellStyle name="Calc Percent (1) 9 2 14" xfId="10937"/>
    <cellStyle name="Calc Percent (1) 9 2 15" xfId="10938"/>
    <cellStyle name="Calc Percent (1) 9 2 16" xfId="10939"/>
    <cellStyle name="Calc Percent (1) 9 2 2" xfId="10940"/>
    <cellStyle name="Calc Percent (1) 9 2 3" xfId="10941"/>
    <cellStyle name="Calc Percent (1) 9 2 4" xfId="10942"/>
    <cellStyle name="Calc Percent (1) 9 2 5" xfId="10943"/>
    <cellStyle name="Calc Percent (1) 9 2 6" xfId="10944"/>
    <cellStyle name="Calc Percent (1) 9 2 7" xfId="10945"/>
    <cellStyle name="Calc Percent (1) 9 2 8" xfId="10946"/>
    <cellStyle name="Calc Percent (1) 9 2 9" xfId="10947"/>
    <cellStyle name="Calc Percent (1) 9 3" xfId="10948"/>
    <cellStyle name="Calc Percent (1) 9 3 2" xfId="10949"/>
    <cellStyle name="Calc Percent (1) 9 3 3" xfId="10950"/>
    <cellStyle name="Calc Percent (1) 9 3 4" xfId="10951"/>
    <cellStyle name="Calc Percent (1) 9 3 5" xfId="10952"/>
    <cellStyle name="Calc Percent (1) 9 3 6" xfId="10953"/>
    <cellStyle name="Calc Percent (1) 9 3 7" xfId="10954"/>
    <cellStyle name="Calc Percent (1) 9 3 8" xfId="10955"/>
    <cellStyle name="Calc Percent (1) 9 3 9" xfId="10956"/>
    <cellStyle name="Calc Percent (1) 9 4" xfId="10957"/>
    <cellStyle name="Calc Percent (1) 9 4 2" xfId="10958"/>
    <cellStyle name="Calc Percent (1) 9 4 3" xfId="10959"/>
    <cellStyle name="Calc Percent (1) 9 4 4" xfId="10960"/>
    <cellStyle name="Calc Percent (1) 9 4 5" xfId="10961"/>
    <cellStyle name="Calc Percent (1) 9 4 6" xfId="10962"/>
    <cellStyle name="Calc Percent (1) 9 4 7" xfId="10963"/>
    <cellStyle name="Calc Percent (1) 9 4 8" xfId="10964"/>
    <cellStyle name="Calc Percent (1) 9 5" xfId="10965"/>
    <cellStyle name="Calc Percent (1) 9 6" xfId="10966"/>
    <cellStyle name="Calc Percent (1) 9 7" xfId="10967"/>
    <cellStyle name="Calc Percent (1) 9 8" xfId="10968"/>
    <cellStyle name="Calc Percent (1) 9 9" xfId="10969"/>
    <cellStyle name="Calc Percent (2)" xfId="10970"/>
    <cellStyle name="Calc Units (0)" xfId="10971"/>
    <cellStyle name="Calc Units (1)" xfId="10972"/>
    <cellStyle name="Calc Units (2)" xfId="10973"/>
    <cellStyle name="Calc x [1]" xfId="10974"/>
    <cellStyle name="Calc$" xfId="10975"/>
    <cellStyle name="Calc$ 2" xfId="10976"/>
    <cellStyle name="Calc%" xfId="10977"/>
    <cellStyle name="Calc% 2" xfId="10978"/>
    <cellStyle name="Calculation 10" xfId="10979"/>
    <cellStyle name="Calculation 11" xfId="10980"/>
    <cellStyle name="Calculation 12" xfId="10981"/>
    <cellStyle name="Calculation 13" xfId="10982"/>
    <cellStyle name="Calculation 14" xfId="10983"/>
    <cellStyle name="Calculation 2" xfId="10984"/>
    <cellStyle name="Calculation 2 2" xfId="10985"/>
    <cellStyle name="Calculation 2 2 2" xfId="10986"/>
    <cellStyle name="Calculation 2 2 2 2" xfId="20066"/>
    <cellStyle name="Calculation 2 2 3" xfId="20065"/>
    <cellStyle name="Calculation 3" xfId="10987"/>
    <cellStyle name="Calculation 3 2" xfId="10988"/>
    <cellStyle name="Calculation 3 2 2" xfId="10989"/>
    <cellStyle name="Calculation 3 2 2 2" xfId="20068"/>
    <cellStyle name="Calculation 3 2 3" xfId="20067"/>
    <cellStyle name="Calculation 4" xfId="10990"/>
    <cellStyle name="Calculation 5" xfId="10991"/>
    <cellStyle name="Calculation 6" xfId="10992"/>
    <cellStyle name="Calculation 7" xfId="10993"/>
    <cellStyle name="Calculation 8" xfId="10994"/>
    <cellStyle name="Calculation 9" xfId="10995"/>
    <cellStyle name="Cálculo" xfId="10996"/>
    <cellStyle name="Cancel" xfId="10997"/>
    <cellStyle name="Caption" xfId="10998"/>
    <cellStyle name="Case" xfId="10999"/>
    <cellStyle name="Case %" xfId="11000"/>
    <cellStyle name="Case 2" xfId="11001"/>
    <cellStyle name="Cash Flow Statement" xfId="11002"/>
    <cellStyle name="Cash Flow Statement 2" xfId="11003"/>
    <cellStyle name="Cash Flow Statement 2 2" xfId="11004"/>
    <cellStyle name="Cash Flow Statement 3" xfId="11005"/>
    <cellStyle name="Cash Flow Statement 4" xfId="11006"/>
    <cellStyle name="Cash Flow Statement 5" xfId="11007"/>
    <cellStyle name="category" xfId="11008"/>
    <cellStyle name="Category Name" xfId="11009"/>
    <cellStyle name="Category Name 2" xfId="11010"/>
    <cellStyle name="Category Name 2 2" xfId="11011"/>
    <cellStyle name="Category Name 2 2 2" xfId="11012"/>
    <cellStyle name="Category Name 2 2 2 2" xfId="11013"/>
    <cellStyle name="Category Name 2 2 2 2 2" xfId="16074"/>
    <cellStyle name="Category Name 2 2 2 2 3" xfId="20073"/>
    <cellStyle name="Category Name 2 2 2 3" xfId="16073"/>
    <cellStyle name="Category Name 2 2 2 4" xfId="20072"/>
    <cellStyle name="Category Name 2 2 3" xfId="11014"/>
    <cellStyle name="Category Name 2 2 3 2" xfId="16075"/>
    <cellStyle name="Category Name 2 2 3 3" xfId="20074"/>
    <cellStyle name="Category Name 2 2 4" xfId="16072"/>
    <cellStyle name="Category Name 2 2 5" xfId="20071"/>
    <cellStyle name="Category Name 2 3" xfId="11015"/>
    <cellStyle name="Category Name 2 3 2" xfId="11016"/>
    <cellStyle name="Category Name 2 3 2 2" xfId="11017"/>
    <cellStyle name="Category Name 2 3 2 2 2" xfId="16078"/>
    <cellStyle name="Category Name 2 3 2 2 3" xfId="20077"/>
    <cellStyle name="Category Name 2 3 2 3" xfId="16077"/>
    <cellStyle name="Category Name 2 3 2 4" xfId="20076"/>
    <cellStyle name="Category Name 2 3 3" xfId="11018"/>
    <cellStyle name="Category Name 2 3 3 2" xfId="16079"/>
    <cellStyle name="Category Name 2 3 3 3" xfId="20078"/>
    <cellStyle name="Category Name 2 3 4" xfId="16076"/>
    <cellStyle name="Category Name 2 3 5" xfId="20075"/>
    <cellStyle name="Category Name 2 4" xfId="11019"/>
    <cellStyle name="Category Name 2 4 2" xfId="11020"/>
    <cellStyle name="Category Name 2 4 2 2" xfId="11021"/>
    <cellStyle name="Category Name 2 4 2 2 2" xfId="16082"/>
    <cellStyle name="Category Name 2 4 2 2 3" xfId="20081"/>
    <cellStyle name="Category Name 2 4 2 3" xfId="16081"/>
    <cellStyle name="Category Name 2 4 2 4" xfId="20080"/>
    <cellStyle name="Category Name 2 4 3" xfId="11022"/>
    <cellStyle name="Category Name 2 4 3 2" xfId="16083"/>
    <cellStyle name="Category Name 2 4 3 3" xfId="20082"/>
    <cellStyle name="Category Name 2 4 4" xfId="16080"/>
    <cellStyle name="Category Name 2 4 5" xfId="20079"/>
    <cellStyle name="Category Name 2 5" xfId="11023"/>
    <cellStyle name="Category Name 2 5 2" xfId="16084"/>
    <cellStyle name="Category Name 2 5 3" xfId="20083"/>
    <cellStyle name="Category Name 2 6" xfId="16071"/>
    <cellStyle name="Category Name 2 7" xfId="20070"/>
    <cellStyle name="Category Name 3" xfId="11024"/>
    <cellStyle name="Category Name 3 2" xfId="11025"/>
    <cellStyle name="Category Name 3 2 2" xfId="11026"/>
    <cellStyle name="Category Name 3 2 2 2" xfId="16087"/>
    <cellStyle name="Category Name 3 2 2 3" xfId="20086"/>
    <cellStyle name="Category Name 3 2 3" xfId="16086"/>
    <cellStyle name="Category Name 3 2 4" xfId="20085"/>
    <cellStyle name="Category Name 3 3" xfId="11027"/>
    <cellStyle name="Category Name 3 3 2" xfId="11028"/>
    <cellStyle name="Category Name 3 3 2 2" xfId="16089"/>
    <cellStyle name="Category Name 3 3 2 3" xfId="20088"/>
    <cellStyle name="Category Name 3 3 3" xfId="16088"/>
    <cellStyle name="Category Name 3 3 4" xfId="20087"/>
    <cellStyle name="Category Name 3 4" xfId="11029"/>
    <cellStyle name="Category Name 3 4 2" xfId="16090"/>
    <cellStyle name="Category Name 3 4 3" xfId="20089"/>
    <cellStyle name="Category Name 3 5" xfId="16085"/>
    <cellStyle name="Category Name 3 6" xfId="20084"/>
    <cellStyle name="Category Name 4" xfId="11030"/>
    <cellStyle name="Category Name 4 2" xfId="11031"/>
    <cellStyle name="Category Name 4 2 2" xfId="11032"/>
    <cellStyle name="Category Name 4 2 2 2" xfId="16093"/>
    <cellStyle name="Category Name 4 2 2 3" xfId="20092"/>
    <cellStyle name="Category Name 4 2 3" xfId="16092"/>
    <cellStyle name="Category Name 4 2 4" xfId="20091"/>
    <cellStyle name="Category Name 4 3" xfId="11033"/>
    <cellStyle name="Category Name 4 3 2" xfId="16094"/>
    <cellStyle name="Category Name 4 3 3" xfId="20093"/>
    <cellStyle name="Category Name 4 4" xfId="16091"/>
    <cellStyle name="Category Name 4 5" xfId="20090"/>
    <cellStyle name="Category Name 5" xfId="11034"/>
    <cellStyle name="Category Name 5 2" xfId="11035"/>
    <cellStyle name="Category Name 5 2 2" xfId="11036"/>
    <cellStyle name="Category Name 5 2 2 2" xfId="16097"/>
    <cellStyle name="Category Name 5 2 2 3" xfId="20096"/>
    <cellStyle name="Category Name 5 2 3" xfId="16096"/>
    <cellStyle name="Category Name 5 2 4" xfId="20095"/>
    <cellStyle name="Category Name 5 3" xfId="11037"/>
    <cellStyle name="Category Name 5 3 2" xfId="16098"/>
    <cellStyle name="Category Name 5 3 3" xfId="20097"/>
    <cellStyle name="Category Name 5 4" xfId="16095"/>
    <cellStyle name="Category Name 5 5" xfId="20094"/>
    <cellStyle name="Category Name 6" xfId="11038"/>
    <cellStyle name="Category Name 6 2" xfId="16099"/>
    <cellStyle name="Category Name 6 3" xfId="20098"/>
    <cellStyle name="Category Name 7" xfId="16070"/>
    <cellStyle name="Category Name 8" xfId="20069"/>
    <cellStyle name="Celda de comprobación" xfId="11039"/>
    <cellStyle name="Celda vinculada" xfId="11040"/>
    <cellStyle name="Célula de Verificação" xfId="11041"/>
    <cellStyle name="Célula Vinculada" xfId="11042"/>
    <cellStyle name="Center" xfId="11043"/>
    <cellStyle name="Center 2" xfId="11044"/>
    <cellStyle name="Center 2 2" xfId="20263"/>
    <cellStyle name="Center 3" xfId="11045"/>
    <cellStyle name="Center 3 2" xfId="20264"/>
    <cellStyle name="Center 4" xfId="20265"/>
    <cellStyle name="CenterBold" xfId="11046"/>
    <cellStyle name="Centered Heading" xfId="11047"/>
    <cellStyle name="Centered Heading 2" xfId="11048"/>
    <cellStyle name="CenterItalic" xfId="11049"/>
    <cellStyle name="Cents" xfId="11050"/>
    <cellStyle name="Cents 2" xfId="11051"/>
    <cellStyle name="Changeable" xfId="11052"/>
    <cellStyle name="ChartingText" xfId="11053"/>
    <cellStyle name="ChartingText 2" xfId="11054"/>
    <cellStyle name="ChartingText 3" xfId="11055"/>
    <cellStyle name="ChartingText 4" xfId="11056"/>
    <cellStyle name="Check Cell 10" xfId="11057"/>
    <cellStyle name="Check Cell 11" xfId="11058"/>
    <cellStyle name="Check Cell 12" xfId="11059"/>
    <cellStyle name="Check Cell 13" xfId="11060"/>
    <cellStyle name="Check Cell 2" xfId="11061"/>
    <cellStyle name="Check Cell 3" xfId="11062"/>
    <cellStyle name="Check Cell 4" xfId="11063"/>
    <cellStyle name="Check Cell 5" xfId="11064"/>
    <cellStyle name="Check Cell 6" xfId="11065"/>
    <cellStyle name="Check Cell 7" xfId="11066"/>
    <cellStyle name="Check Cell 8" xfId="11067"/>
    <cellStyle name="Check Cell 9" xfId="11068"/>
    <cellStyle name="CHPTop" xfId="11069"/>
    <cellStyle name="Co. Names" xfId="11070"/>
    <cellStyle name="Code" xfId="11071"/>
    <cellStyle name="Code 2" xfId="11072"/>
    <cellStyle name="Colhead_left" xfId="11073"/>
    <cellStyle name="ColHeading" xfId="11074"/>
    <cellStyle name="colheadleft" xfId="11075"/>
    <cellStyle name="colheadright" xfId="11076"/>
    <cellStyle name="Color" xfId="11077"/>
    <cellStyle name="Color 2" xfId="11078"/>
    <cellStyle name="Column Header" xfId="11079"/>
    <cellStyle name="Column Header 2" xfId="11080"/>
    <cellStyle name="Column Headings" xfId="11081"/>
    <cellStyle name="Column_Title" xfId="11082"/>
    <cellStyle name="column1" xfId="11083"/>
    <cellStyle name="column1 2" xfId="11084"/>
    <cellStyle name="column1BigNoWrap" xfId="11085"/>
    <cellStyle name="column1BigNoWrap 2" xfId="11086"/>
    <cellStyle name="column1Date" xfId="11087"/>
    <cellStyle name="column1Date 2" xfId="11088"/>
    <cellStyle name="column1Date 2 2" xfId="11089"/>
    <cellStyle name="column1Date 3" xfId="11090"/>
    <cellStyle name="column1Date 4" xfId="11091"/>
    <cellStyle name="column1Date 5" xfId="11092"/>
    <cellStyle name="column2Date" xfId="11093"/>
    <cellStyle name="column2Date 2" xfId="11094"/>
    <cellStyle name="column2Date 3" xfId="11095"/>
    <cellStyle name="column2Date 3 2" xfId="20266"/>
    <cellStyle name="column3Date" xfId="11096"/>
    <cellStyle name="column3Date 2" xfId="11097"/>
    <cellStyle name="column3Date 3" xfId="11098"/>
    <cellStyle name="column3Date 3 2" xfId="20267"/>
    <cellStyle name="ColumnHeaderNormal" xfId="11099"/>
    <cellStyle name="ColumnHeaderNormal 2" xfId="11100"/>
    <cellStyle name="ColumnHeaderNormal 3" xfId="11101"/>
    <cellStyle name="ColumnHeaderNormal 4" xfId="11102"/>
    <cellStyle name="Comma" xfId="12427" builtinId="3"/>
    <cellStyle name="Comma  - Style1" xfId="11103"/>
    <cellStyle name="Comma  - Style2" xfId="11104"/>
    <cellStyle name="Comma  - Style3" xfId="11105"/>
    <cellStyle name="Comma  - Style4" xfId="11106"/>
    <cellStyle name="Comma  - Style5" xfId="11107"/>
    <cellStyle name="Comma  - Style6" xfId="11108"/>
    <cellStyle name="Comma  - Style7" xfId="11109"/>
    <cellStyle name="Comma  - Style8" xfId="11110"/>
    <cellStyle name="Comma %" xfId="11111"/>
    <cellStyle name="Comma (1)" xfId="11112"/>
    <cellStyle name="Comma (1) 2" xfId="11113"/>
    <cellStyle name="Comma (1) 2 2" xfId="11114"/>
    <cellStyle name="Comma (1) 3" xfId="11115"/>
    <cellStyle name="Comma (1) 4" xfId="11116"/>
    <cellStyle name="Comma (1) 5" xfId="11117"/>
    <cellStyle name="Comma ," xfId="11118"/>
    <cellStyle name="Comma [0] 2" xfId="11119"/>
    <cellStyle name="Comma [0] 2 2" xfId="11120"/>
    <cellStyle name="Comma [0] 3" xfId="11121"/>
    <cellStyle name="Comma [0] 3 2" xfId="11122"/>
    <cellStyle name="Comma [0] 4" xfId="11123"/>
    <cellStyle name="Comma [0] 5" xfId="11124"/>
    <cellStyle name="Comma [00]" xfId="11125"/>
    <cellStyle name="Comma [1]" xfId="11126"/>
    <cellStyle name="Comma [1] 2" xfId="11127"/>
    <cellStyle name="Comma [2]" xfId="11128"/>
    <cellStyle name="Comma [2] 2" xfId="11129"/>
    <cellStyle name="Comma [3]" xfId="11130"/>
    <cellStyle name="Comma [3] 2" xfId="11131"/>
    <cellStyle name="Comma [4]" xfId="11132"/>
    <cellStyle name="Comma 0" xfId="11133"/>
    <cellStyle name="Comma 0*" xfId="11134"/>
    <cellStyle name="Comma 0* 2" xfId="11135"/>
    <cellStyle name="Comma 0.0" xfId="11136"/>
    <cellStyle name="Comma 0.0 2" xfId="11137"/>
    <cellStyle name="Comma 0.0%" xfId="11138"/>
    <cellStyle name="Comma 0.0% 2" xfId="11139"/>
    <cellStyle name="Comma 0.00" xfId="11140"/>
    <cellStyle name="Comma 0.00 2" xfId="11141"/>
    <cellStyle name="Comma 0.00%" xfId="11142"/>
    <cellStyle name="Comma 0.00% 2" xfId="11143"/>
    <cellStyle name="Comma 0.00_Aprio - Public Comps1" xfId="11144"/>
    <cellStyle name="Comma 0.000" xfId="11145"/>
    <cellStyle name="Comma 0.000 2" xfId="11146"/>
    <cellStyle name="Comma 0.000%" xfId="11147"/>
    <cellStyle name="Comma 0.000% 2" xfId="11148"/>
    <cellStyle name="Comma 0.000_Aprio - Public Comps1" xfId="11149"/>
    <cellStyle name="Comma 0_comps" xfId="11150"/>
    <cellStyle name="Comma 10" xfId="11151"/>
    <cellStyle name="Comma 10 2" xfId="20390"/>
    <cellStyle name="Comma 11" xfId="11152"/>
    <cellStyle name="Comma 12" xfId="11153"/>
    <cellStyle name="Comma 13" xfId="1"/>
    <cellStyle name="Comma 13 2" xfId="12428"/>
    <cellStyle name="Comma 13 3" xfId="16384"/>
    <cellStyle name="Comma 13 4" xfId="20407"/>
    <cellStyle name="Comma 14" xfId="11154"/>
    <cellStyle name="Comma 15" xfId="16217"/>
    <cellStyle name="Comma 15 2" xfId="20389"/>
    <cellStyle name="Comma 16" xfId="20268"/>
    <cellStyle name="Comma 16 2 3 2" xfId="20384"/>
    <cellStyle name="Comma 16 2 3 2 2" xfId="20393"/>
    <cellStyle name="Comma 16 2 3 2 2 2" xfId="20400"/>
    <cellStyle name="Comma 16 2 3 2 2 3" xfId="20443"/>
    <cellStyle name="Comma 16 3" xfId="20395"/>
    <cellStyle name="Comma 17" xfId="20403"/>
    <cellStyle name="Comma 17 3" xfId="20413"/>
    <cellStyle name="Comma 18" xfId="20406"/>
    <cellStyle name="Comma 18 2" xfId="20426"/>
    <cellStyle name="Comma 19" xfId="20429"/>
    <cellStyle name="Comma 2" xfId="11155"/>
    <cellStyle name="Comma 2 2" xfId="11156"/>
    <cellStyle name="Comma 2 2 2" xfId="11157"/>
    <cellStyle name="Comma 2 2 3" xfId="20415"/>
    <cellStyle name="Comma 2 3" xfId="11158"/>
    <cellStyle name="Comma 2 3 2" xfId="11159"/>
    <cellStyle name="Comma 2 3 3" xfId="11160"/>
    <cellStyle name="Comma 2 3 3 2" xfId="16100"/>
    <cellStyle name="Comma 2 3 3 3" xfId="20099"/>
    <cellStyle name="Comma 2 4" xfId="11161"/>
    <cellStyle name="Comma 2 4 2" xfId="11162"/>
    <cellStyle name="Comma 2 5" xfId="11163"/>
    <cellStyle name="Comma 2 5 2" xfId="11164"/>
    <cellStyle name="Comma 2 6" xfId="11165"/>
    <cellStyle name="Comma 2 7" xfId="20404"/>
    <cellStyle name="Comma 2 8" xfId="20430"/>
    <cellStyle name="Comma 2 9" xfId="20440"/>
    <cellStyle name="Comma 2*" xfId="11166"/>
    <cellStyle name="Comma 2* 2" xfId="11167"/>
    <cellStyle name="Comma 2_2008 SVB Financial Information v.2" xfId="11168"/>
    <cellStyle name="Comma 20" xfId="20437"/>
    <cellStyle name="Comma 21" xfId="20447"/>
    <cellStyle name="Comma 22" xfId="20450"/>
    <cellStyle name="Comma 24 2" xfId="20269"/>
    <cellStyle name="Comma 24 2 2" xfId="20270"/>
    <cellStyle name="Comma 3" xfId="11169"/>
    <cellStyle name="Comma 3 2" xfId="11170"/>
    <cellStyle name="Comma 3 2 2" xfId="11171"/>
    <cellStyle name="Comma 3 2 3" xfId="20271"/>
    <cellStyle name="Comma 3 3" xfId="11172"/>
    <cellStyle name="Comma 3 3 2" xfId="11173"/>
    <cellStyle name="Comma 3 4" xfId="11174"/>
    <cellStyle name="Comma 3 5" xfId="11175"/>
    <cellStyle name="Comma 3 6" xfId="16101"/>
    <cellStyle name="Comma 3 7" xfId="20100"/>
    <cellStyle name="Comma 3 8" xfId="20410"/>
    <cellStyle name="Comma 3*" xfId="11176"/>
    <cellStyle name="Comma 39" xfId="12426"/>
    <cellStyle name="Comma 4" xfId="11177"/>
    <cellStyle name="Comma 4 2" xfId="11178"/>
    <cellStyle name="Comma 4 2 2" xfId="20421"/>
    <cellStyle name="Comma 4 5" xfId="12425"/>
    <cellStyle name="Comma 5" xfId="11179"/>
    <cellStyle name="Comma 5 2" xfId="11180"/>
    <cellStyle name="Comma 5 3" xfId="20422"/>
    <cellStyle name="Comma 6" xfId="11181"/>
    <cellStyle name="Comma 6 2" xfId="11182"/>
    <cellStyle name="Comma 6 2 2" xfId="16102"/>
    <cellStyle name="Comma 6 2 3" xfId="20101"/>
    <cellStyle name="Comma 6 3" xfId="11183"/>
    <cellStyle name="Comma 7" xfId="11184"/>
    <cellStyle name="Comma 7 2" xfId="11185"/>
    <cellStyle name="Comma 7 2 2" xfId="16103"/>
    <cellStyle name="Comma 7 2 3" xfId="20102"/>
    <cellStyle name="Comma 7 3" xfId="11186"/>
    <cellStyle name="Comma 7 3 2" xfId="16104"/>
    <cellStyle name="Comma 7 3 3" xfId="20103"/>
    <cellStyle name="Comma 8" xfId="11187"/>
    <cellStyle name="Comma 9" xfId="11188"/>
    <cellStyle name="Comma Input" xfId="11189"/>
    <cellStyle name="Comma Input 2" xfId="11190"/>
    <cellStyle name="Comma Input 2 2" xfId="11191"/>
    <cellStyle name="Comma Input 3" xfId="11192"/>
    <cellStyle name="Comma Input 4" xfId="11193"/>
    <cellStyle name="Comma Input 5" xfId="11194"/>
    <cellStyle name="comma zerodec" xfId="11195"/>
    <cellStyle name="Comma*" xfId="11196"/>
    <cellStyle name="Comma0" xfId="11197"/>
    <cellStyle name="Comma0 - Modelo1" xfId="11198"/>
    <cellStyle name="Comma0 - Modelo1 2" xfId="11199"/>
    <cellStyle name="Comma0 - Style1" xfId="11200"/>
    <cellStyle name="Comma0 - Style1 2" xfId="11201"/>
    <cellStyle name="Comma0 - Style2" xfId="11202"/>
    <cellStyle name="Comma0 - Style3" xfId="11203"/>
    <cellStyle name="Comma0 - Style4" xfId="11204"/>
    <cellStyle name="Comma0 2" xfId="11205"/>
    <cellStyle name="Comma0_~8944579" xfId="11206"/>
    <cellStyle name="Comma1" xfId="11207"/>
    <cellStyle name="Comma1 - Modelo2" xfId="11208"/>
    <cellStyle name="Comma1 - Modelo2 2" xfId="11209"/>
    <cellStyle name="Comma1 - Style2" xfId="11210"/>
    <cellStyle name="Comma1 - Style2 2" xfId="11211"/>
    <cellStyle name="Comma1 2" xfId="11212"/>
    <cellStyle name="Comma2" xfId="11213"/>
    <cellStyle name="Comma2 2" xfId="11214"/>
    <cellStyle name="Comments" xfId="11215"/>
    <cellStyle name="Company" xfId="11216"/>
    <cellStyle name="Company 2" xfId="11217"/>
    <cellStyle name="Company Name" xfId="11218"/>
    <cellStyle name="Company Name 2" xfId="11219"/>
    <cellStyle name="Company_Boston Power VD 01 31 2008 Model 02 26 2008" xfId="11220"/>
    <cellStyle name="CompanyName" xfId="11221"/>
    <cellStyle name="CompanyName 2" xfId="11222"/>
    <cellStyle name="Compressed" xfId="11223"/>
    <cellStyle name="Copied" xfId="11224"/>
    <cellStyle name="Copied 2" xfId="11225"/>
    <cellStyle name="COST1" xfId="11226"/>
    <cellStyle name="Coverage" xfId="11227"/>
    <cellStyle name="CR Comma" xfId="11228"/>
    <cellStyle name="CR Comma 2" xfId="11229"/>
    <cellStyle name="CR Currency" xfId="11230"/>
    <cellStyle name="CR Currency 2" xfId="11231"/>
    <cellStyle name="Curr $ [0]" xfId="11232"/>
    <cellStyle name="Curr $ [0] 2" xfId="11233"/>
    <cellStyle name="Curr $ [0] 3" xfId="11234"/>
    <cellStyle name="Curr $ [2]" xfId="11235"/>
    <cellStyle name="Curr $ [2] 2" xfId="11236"/>
    <cellStyle name="Curr $ [2] 3" xfId="11237"/>
    <cellStyle name="Curr $k [0]" xfId="11238"/>
    <cellStyle name="Curr $k [0] 2" xfId="11239"/>
    <cellStyle name="Curr $k [0] 3" xfId="11240"/>
    <cellStyle name="Curr £ [0]" xfId="11241"/>
    <cellStyle name="Curr £ [0] 2" xfId="11242"/>
    <cellStyle name="Curr £ [0] 3" xfId="11243"/>
    <cellStyle name="Curr £ [2]" xfId="11244"/>
    <cellStyle name="Curr £ [2] 2" xfId="11245"/>
    <cellStyle name="Curr £ [2] 3" xfId="11246"/>
    <cellStyle name="CurRatio" xfId="11247"/>
    <cellStyle name="Curren - Style2" xfId="11248"/>
    <cellStyle name="Curren - Style2 2" xfId="11249"/>
    <cellStyle name="Curren - Style4" xfId="11250"/>
    <cellStyle name="Currency" xfId="20418" builtinId="4"/>
    <cellStyle name="Currency %" xfId="11251"/>
    <cellStyle name="Currency % 2" xfId="11252"/>
    <cellStyle name="Currency ($)" xfId="11253"/>
    <cellStyle name="Currency (£)" xfId="11254"/>
    <cellStyle name="Currency (0.00)" xfId="11255"/>
    <cellStyle name="Currency (0.00) 2" xfId="11256"/>
    <cellStyle name="Currency (0.00) 2 2" xfId="11257"/>
    <cellStyle name="Currency (0.00) 2 2 2" xfId="11258"/>
    <cellStyle name="Currency (0.00) 2 2 2 2" xfId="11259"/>
    <cellStyle name="Currency (0.00) 2 2 2 2 2" xfId="16109"/>
    <cellStyle name="Currency (0.00) 2 2 2 2 3" xfId="20108"/>
    <cellStyle name="Currency (0.00) 2 2 2 3" xfId="16108"/>
    <cellStyle name="Currency (0.00) 2 2 2 4" xfId="20107"/>
    <cellStyle name="Currency (0.00) 2 2 3" xfId="11260"/>
    <cellStyle name="Currency (0.00) 2 2 3 2" xfId="16110"/>
    <cellStyle name="Currency (0.00) 2 2 3 3" xfId="20109"/>
    <cellStyle name="Currency (0.00) 2 2 4" xfId="16107"/>
    <cellStyle name="Currency (0.00) 2 2 5" xfId="20106"/>
    <cellStyle name="Currency (0.00) 2 3" xfId="11261"/>
    <cellStyle name="Currency (0.00) 2 3 2" xfId="11262"/>
    <cellStyle name="Currency (0.00) 2 3 2 2" xfId="11263"/>
    <cellStyle name="Currency (0.00) 2 3 2 2 2" xfId="16113"/>
    <cellStyle name="Currency (0.00) 2 3 2 2 3" xfId="20112"/>
    <cellStyle name="Currency (0.00) 2 3 2 3" xfId="16112"/>
    <cellStyle name="Currency (0.00) 2 3 2 4" xfId="20111"/>
    <cellStyle name="Currency (0.00) 2 3 3" xfId="11264"/>
    <cellStyle name="Currency (0.00) 2 3 3 2" xfId="16114"/>
    <cellStyle name="Currency (0.00) 2 3 3 3" xfId="20113"/>
    <cellStyle name="Currency (0.00) 2 3 4" xfId="16111"/>
    <cellStyle name="Currency (0.00) 2 3 5" xfId="20110"/>
    <cellStyle name="Currency (0.00) 2 4" xfId="11265"/>
    <cellStyle name="Currency (0.00) 2 4 2" xfId="11266"/>
    <cellStyle name="Currency (0.00) 2 4 2 2" xfId="11267"/>
    <cellStyle name="Currency (0.00) 2 4 2 2 2" xfId="16117"/>
    <cellStyle name="Currency (0.00) 2 4 2 2 3" xfId="20116"/>
    <cellStyle name="Currency (0.00) 2 4 2 3" xfId="16116"/>
    <cellStyle name="Currency (0.00) 2 4 2 4" xfId="20115"/>
    <cellStyle name="Currency (0.00) 2 4 3" xfId="11268"/>
    <cellStyle name="Currency (0.00) 2 4 3 2" xfId="16118"/>
    <cellStyle name="Currency (0.00) 2 4 3 3" xfId="20117"/>
    <cellStyle name="Currency (0.00) 2 4 4" xfId="16115"/>
    <cellStyle name="Currency (0.00) 2 4 5" xfId="20114"/>
    <cellStyle name="Currency (0.00) 2 5" xfId="11269"/>
    <cellStyle name="Currency (0.00) 2 5 2" xfId="16119"/>
    <cellStyle name="Currency (0.00) 2 5 3" xfId="20118"/>
    <cellStyle name="Currency (0.00) 2 6" xfId="16106"/>
    <cellStyle name="Currency (0.00) 2 7" xfId="20105"/>
    <cellStyle name="Currency (0.00) 3" xfId="11270"/>
    <cellStyle name="Currency (0.00) 3 2" xfId="11271"/>
    <cellStyle name="Currency (0.00) 3 2 2" xfId="11272"/>
    <cellStyle name="Currency (0.00) 3 2 2 2" xfId="16122"/>
    <cellStyle name="Currency (0.00) 3 2 2 3" xfId="20121"/>
    <cellStyle name="Currency (0.00) 3 2 3" xfId="16121"/>
    <cellStyle name="Currency (0.00) 3 2 4" xfId="20120"/>
    <cellStyle name="Currency (0.00) 3 3" xfId="11273"/>
    <cellStyle name="Currency (0.00) 3 3 2" xfId="11274"/>
    <cellStyle name="Currency (0.00) 3 3 2 2" xfId="16124"/>
    <cellStyle name="Currency (0.00) 3 3 2 3" xfId="20123"/>
    <cellStyle name="Currency (0.00) 3 3 3" xfId="16123"/>
    <cellStyle name="Currency (0.00) 3 3 4" xfId="20122"/>
    <cellStyle name="Currency (0.00) 3 4" xfId="11275"/>
    <cellStyle name="Currency (0.00) 3 4 2" xfId="16125"/>
    <cellStyle name="Currency (0.00) 3 4 3" xfId="20124"/>
    <cellStyle name="Currency (0.00) 3 5" xfId="16120"/>
    <cellStyle name="Currency (0.00) 3 6" xfId="20119"/>
    <cellStyle name="Currency (0.00) 4" xfId="11276"/>
    <cellStyle name="Currency (0.00) 4 2" xfId="11277"/>
    <cellStyle name="Currency (0.00) 4 2 2" xfId="11278"/>
    <cellStyle name="Currency (0.00) 4 2 2 2" xfId="16128"/>
    <cellStyle name="Currency (0.00) 4 2 2 3" xfId="20127"/>
    <cellStyle name="Currency (0.00) 4 2 3" xfId="16127"/>
    <cellStyle name="Currency (0.00) 4 2 4" xfId="20126"/>
    <cellStyle name="Currency (0.00) 4 3" xfId="11279"/>
    <cellStyle name="Currency (0.00) 4 3 2" xfId="16129"/>
    <cellStyle name="Currency (0.00) 4 3 3" xfId="20128"/>
    <cellStyle name="Currency (0.00) 4 4" xfId="16126"/>
    <cellStyle name="Currency (0.00) 4 5" xfId="20125"/>
    <cellStyle name="Currency (0.00) 5" xfId="11280"/>
    <cellStyle name="Currency (0.00) 5 2" xfId="11281"/>
    <cellStyle name="Currency (0.00) 5 2 2" xfId="11282"/>
    <cellStyle name="Currency (0.00) 5 2 2 2" xfId="16132"/>
    <cellStyle name="Currency (0.00) 5 2 2 3" xfId="20131"/>
    <cellStyle name="Currency (0.00) 5 2 3" xfId="16131"/>
    <cellStyle name="Currency (0.00) 5 2 4" xfId="20130"/>
    <cellStyle name="Currency (0.00) 5 3" xfId="11283"/>
    <cellStyle name="Currency (0.00) 5 3 2" xfId="16133"/>
    <cellStyle name="Currency (0.00) 5 3 3" xfId="20132"/>
    <cellStyle name="Currency (0.00) 5 4" xfId="16130"/>
    <cellStyle name="Currency (0.00) 5 5" xfId="20129"/>
    <cellStyle name="Currency (0.00) 6" xfId="11284"/>
    <cellStyle name="Currency (0.00) 6 2" xfId="16134"/>
    <cellStyle name="Currency (0.00) 6 3" xfId="20133"/>
    <cellStyle name="Currency (0.00) 7" xfId="16105"/>
    <cellStyle name="Currency (0.00) 8" xfId="20104"/>
    <cellStyle name="Currency [0] 2" xfId="11285"/>
    <cellStyle name="Currency [0] 2 2" xfId="11286"/>
    <cellStyle name="Currency [00]" xfId="11287"/>
    <cellStyle name="Currency [1]" xfId="11288"/>
    <cellStyle name="Currency [1] 2" xfId="11289"/>
    <cellStyle name="Currency [1] 2 2" xfId="11290"/>
    <cellStyle name="Currency [1] 3" xfId="11291"/>
    <cellStyle name="Currency [1] 4" xfId="11292"/>
    <cellStyle name="Currency [1] 5" xfId="11293"/>
    <cellStyle name="Currency [2]" xfId="11294"/>
    <cellStyle name="Currency [3]" xfId="11295"/>
    <cellStyle name="Currency [3] 2" xfId="11296"/>
    <cellStyle name="Currency [4]" xfId="11297"/>
    <cellStyle name="Currency 0" xfId="11298"/>
    <cellStyle name="Currency 0 2" xfId="11299"/>
    <cellStyle name="Currency 0.0" xfId="11300"/>
    <cellStyle name="Currency 0.0%" xfId="11301"/>
    <cellStyle name="Currency 0.0% 2" xfId="11302"/>
    <cellStyle name="Currency 0.00" xfId="11303"/>
    <cellStyle name="Currency 0.00%" xfId="11304"/>
    <cellStyle name="Currency 0.00% 2" xfId="11305"/>
    <cellStyle name="Currency 0.000" xfId="11306"/>
    <cellStyle name="Currency 0.000%" xfId="11307"/>
    <cellStyle name="Currency 0.000% 2" xfId="11308"/>
    <cellStyle name="Currency 10" xfId="20438"/>
    <cellStyle name="Currency 14" xfId="20310"/>
    <cellStyle name="Currency 2" xfId="3"/>
    <cellStyle name="Currency 2 2" xfId="11309"/>
    <cellStyle name="Currency 2 2 2" xfId="11310"/>
    <cellStyle name="Currency 2 2 2 2" xfId="11311"/>
    <cellStyle name="Currency 2 2 2 2 2" xfId="16135"/>
    <cellStyle name="Currency 2 2 2 2 3" xfId="20134"/>
    <cellStyle name="Currency 2 2 3" xfId="11312"/>
    <cellStyle name="Currency 2 2 3 2" xfId="16136"/>
    <cellStyle name="Currency 2 2 3 3" xfId="20135"/>
    <cellStyle name="Currency 2 3" xfId="11313"/>
    <cellStyle name="Currency 2 3 2" xfId="11314"/>
    <cellStyle name="Currency 2 4" xfId="11315"/>
    <cellStyle name="Currency 2 4 2" xfId="11316"/>
    <cellStyle name="Currency 2 5" xfId="11317"/>
    <cellStyle name="Currency 2 5 2" xfId="11318"/>
    <cellStyle name="Currency 2 6" xfId="11319"/>
    <cellStyle name="Currency 2 7" xfId="12430"/>
    <cellStyle name="Currency 2 8" xfId="16386"/>
    <cellStyle name="Currency 2 9 2" xfId="20409"/>
    <cellStyle name="Currency 2*" xfId="11320"/>
    <cellStyle name="Currency 2_ Budgeted Income Statement for Y2008 (071508)" xfId="11321"/>
    <cellStyle name="Currency 3" xfId="11322"/>
    <cellStyle name="Currency 3 2" xfId="11323"/>
    <cellStyle name="Currency 3*" xfId="11324"/>
    <cellStyle name="Currency 3_ Budgeted Income Statement for Y2009 (071508)" xfId="11325"/>
    <cellStyle name="Currency 39" xfId="20391"/>
    <cellStyle name="Currency 4" xfId="11326"/>
    <cellStyle name="Currency 4 2" xfId="11327"/>
    <cellStyle name="Currency 4 2 2" xfId="11328"/>
    <cellStyle name="Currency 4 2 2 2" xfId="16137"/>
    <cellStyle name="Currency 4 2 2 3" xfId="20136"/>
    <cellStyle name="Currency 4 3" xfId="11329"/>
    <cellStyle name="Currency 4 3 2" xfId="16138"/>
    <cellStyle name="Currency 4 3 3" xfId="20137"/>
    <cellStyle name="Currency 5" xfId="11330"/>
    <cellStyle name="Currency 5 4" xfId="12423"/>
    <cellStyle name="Currency 6" xfId="11331"/>
    <cellStyle name="Currency 6 2" xfId="16139"/>
    <cellStyle name="Currency 6 3" xfId="20138"/>
    <cellStyle name="Currency 7" xfId="16218"/>
    <cellStyle name="Currency 7 2" xfId="20396"/>
    <cellStyle name="Currency 7 2 2" xfId="20272"/>
    <cellStyle name="Currency 8" xfId="20402"/>
    <cellStyle name="Currency 9" xfId="20428"/>
    <cellStyle name="Currency 9 3" xfId="20273"/>
    <cellStyle name="Currency 9 3 2" xfId="20274"/>
    <cellStyle name="Currency Input" xfId="11332"/>
    <cellStyle name="Currency Input 2" xfId="11333"/>
    <cellStyle name="Currency*" xfId="11334"/>
    <cellStyle name="Currency0" xfId="11335"/>
    <cellStyle name="Currency0 2" xfId="11336"/>
    <cellStyle name="Currency1" xfId="11337"/>
    <cellStyle name="Currency2" xfId="11338"/>
    <cellStyle name="Currsmall" xfId="11339"/>
    <cellStyle name="custom" xfId="11340"/>
    <cellStyle name="d" xfId="11341"/>
    <cellStyle name="d/m/yr" xfId="11342"/>
    <cellStyle name="DARK" xfId="11343"/>
    <cellStyle name="darren" xfId="11344"/>
    <cellStyle name="Dash" xfId="11345"/>
    <cellStyle name="Data entry" xfId="11346"/>
    <cellStyle name="Data Link" xfId="11347"/>
    <cellStyle name="DataBases" xfId="11348"/>
    <cellStyle name="DATASTYLE" xfId="11349"/>
    <cellStyle name="DataToHide" xfId="11350"/>
    <cellStyle name="Date" xfId="11351"/>
    <cellStyle name="Date - Style1" xfId="11352"/>
    <cellStyle name="Date - Style3" xfId="11353"/>
    <cellStyle name="Date [d-mmm-yy]" xfId="11354"/>
    <cellStyle name="Date [d-mmm-yy] 2" xfId="20311"/>
    <cellStyle name="Date [mm-d-yy]" xfId="11355"/>
    <cellStyle name="Date [mm-d-yy] 2" xfId="20312"/>
    <cellStyle name="Date [mm-d-yyyy]" xfId="11356"/>
    <cellStyle name="Date [mm-d-yyyy] 2" xfId="11357"/>
    <cellStyle name="Date [mmm-d-yyyy]" xfId="11358"/>
    <cellStyle name="Date [mmm-yy]" xfId="11359"/>
    <cellStyle name="Date [mmm-yy] 2" xfId="20313"/>
    <cellStyle name="Date 2" xfId="11360"/>
    <cellStyle name="Date Aligned" xfId="11361"/>
    <cellStyle name="Date Aligned*" xfId="11362"/>
    <cellStyle name="Date Aligned_comps" xfId="11363"/>
    <cellStyle name="Date Short" xfId="11364"/>
    <cellStyle name="Date Short 2" xfId="20314"/>
    <cellStyle name="Date Year" xfId="11365"/>
    <cellStyle name="Date_ACC_DIL Template" xfId="11366"/>
    <cellStyle name="Date1" xfId="11367"/>
    <cellStyle name="DateL" xfId="11368"/>
    <cellStyle name="DateLong" xfId="11369"/>
    <cellStyle name="DateLong 2" xfId="11370"/>
    <cellStyle name="DateLong 3" xfId="11371"/>
    <cellStyle name="DATES" xfId="11372"/>
    <cellStyle name="DATES 2" xfId="20315"/>
    <cellStyle name="DateShort" xfId="11373"/>
    <cellStyle name="DateShort 2" xfId="11374"/>
    <cellStyle name="DateShort 3" xfId="11375"/>
    <cellStyle name="DateYear" xfId="11376"/>
    <cellStyle name="DateYearEstimate" xfId="11377"/>
    <cellStyle name="DateYearEstimate 2" xfId="11378"/>
    <cellStyle name="DateYearEstimate 2 2" xfId="11379"/>
    <cellStyle name="DateYearEstimate 2 2 2" xfId="16142"/>
    <cellStyle name="DateYearEstimate 2 2 3" xfId="20141"/>
    <cellStyle name="DateYearEstimate 2 3" xfId="16141"/>
    <cellStyle name="DateYearEstimate 2 4" xfId="20140"/>
    <cellStyle name="DateYearEstimate 3" xfId="11380"/>
    <cellStyle name="DateYearEstimate 3 2" xfId="11381"/>
    <cellStyle name="DateYearEstimate 3 2 2" xfId="16144"/>
    <cellStyle name="DateYearEstimate 3 2 3" xfId="20143"/>
    <cellStyle name="DateYearEstimate 3 3" xfId="16143"/>
    <cellStyle name="DateYearEstimate 3 4" xfId="20142"/>
    <cellStyle name="DateYearEstimate 4" xfId="11382"/>
    <cellStyle name="DateYearEstimate 4 2" xfId="16145"/>
    <cellStyle name="DateYearEstimate 4 3" xfId="20144"/>
    <cellStyle name="DateYearEstimate 5" xfId="16140"/>
    <cellStyle name="DateYearEstimate 6" xfId="20139"/>
    <cellStyle name="DateYearWholeEstimate" xfId="11383"/>
    <cellStyle name="DateYearWholeEstimate 2" xfId="11384"/>
    <cellStyle name="DateYearWholeEstimate 2 2" xfId="11385"/>
    <cellStyle name="DateYearWholeEstimate 2 2 2" xfId="16148"/>
    <cellStyle name="DateYearWholeEstimate 2 2 3" xfId="20147"/>
    <cellStyle name="DateYearWholeEstimate 2 3" xfId="16147"/>
    <cellStyle name="DateYearWholeEstimate 2 4" xfId="20146"/>
    <cellStyle name="DateYearWholeEstimate 3" xfId="11386"/>
    <cellStyle name="DateYearWholeEstimate 3 2" xfId="11387"/>
    <cellStyle name="DateYearWholeEstimate 3 2 2" xfId="16150"/>
    <cellStyle name="DateYearWholeEstimate 3 2 3" xfId="20149"/>
    <cellStyle name="DateYearWholeEstimate 3 3" xfId="16149"/>
    <cellStyle name="DateYearWholeEstimate 3 4" xfId="20148"/>
    <cellStyle name="DateYearWholeEstimate 4" xfId="11388"/>
    <cellStyle name="DateYearWholeEstimate 4 2" xfId="16151"/>
    <cellStyle name="DateYearWholeEstimate 4 3" xfId="20150"/>
    <cellStyle name="DateYearWholeEstimate 5" xfId="16146"/>
    <cellStyle name="DateYearWholeEstimate 6" xfId="20145"/>
    <cellStyle name="Daydate" xfId="11389"/>
    <cellStyle name="Day-Mon-Yr" xfId="11390"/>
    <cellStyle name="Decimal" xfId="11391"/>
    <cellStyle name="Decimal Number" xfId="11392"/>
    <cellStyle name="default" xfId="11393"/>
    <cellStyle name="Default SS" xfId="11394"/>
    <cellStyle name="Default TB" xfId="11395"/>
    <cellStyle name="Default_affinityfin12-11-06" xfId="11396"/>
    <cellStyle name="DELTA" xfId="11397"/>
    <cellStyle name="Dezimal [0]_!!!GO" xfId="11398"/>
    <cellStyle name="Dezimal_!!!GO" xfId="11399"/>
    <cellStyle name="Dollar" xfId="11400"/>
    <cellStyle name="Dollar (zero dec)" xfId="11401"/>
    <cellStyle name="Dollar 2" xfId="20316"/>
    <cellStyle name="Dollar1" xfId="11402"/>
    <cellStyle name="Dollar1Blue" xfId="11403"/>
    <cellStyle name="Dollar2" xfId="11404"/>
    <cellStyle name="DOLLARLIN" xfId="11405"/>
    <cellStyle name="dollars" xfId="11406"/>
    <cellStyle name="Dollars []" xfId="11407"/>
    <cellStyle name="dollars 2" xfId="20317"/>
    <cellStyle name="dollars 3" xfId="20318"/>
    <cellStyle name="dollars_Book2" xfId="11408"/>
    <cellStyle name="DOLLARSIN" xfId="11409"/>
    <cellStyle name="DollarWhole" xfId="11410"/>
    <cellStyle name="DollarWhole 2" xfId="20319"/>
    <cellStyle name="Dotted Line" xfId="11411"/>
    <cellStyle name="Double Accounting" xfId="11412"/>
    <cellStyle name="Double Underline" xfId="11413"/>
    <cellStyle name="Download" xfId="11414"/>
    <cellStyle name="Download 2" xfId="20320"/>
    <cellStyle name="Enter Currency (0)" xfId="11415"/>
    <cellStyle name="Enter Currency (2)" xfId="11416"/>
    <cellStyle name="Enter Units (0)" xfId="11417"/>
    <cellStyle name="Enter Units (1)" xfId="11418"/>
    <cellStyle name="Enter Units (2)" xfId="11419"/>
    <cellStyle name="ENTER_DATA" xfId="11420"/>
    <cellStyle name="Entered" xfId="11421"/>
    <cellStyle name="Entities" xfId="11422"/>
    <cellStyle name="Euro" xfId="11423"/>
    <cellStyle name="Euro 10" xfId="11424"/>
    <cellStyle name="Euro 11" xfId="11425"/>
    <cellStyle name="Euro 2" xfId="11426"/>
    <cellStyle name="Euro 3" xfId="11427"/>
    <cellStyle name="Euro 4" xfId="11428"/>
    <cellStyle name="Euro 5" xfId="11429"/>
    <cellStyle name="Euro 6" xfId="11430"/>
    <cellStyle name="Euro 7" xfId="11431"/>
    <cellStyle name="Euro 8" xfId="11432"/>
    <cellStyle name="Euro 8 2" xfId="11433"/>
    <cellStyle name="Euro 9" xfId="11434"/>
    <cellStyle name="Euro 9 2" xfId="11435"/>
    <cellStyle name="Excel Built-in Comma" xfId="11436"/>
    <cellStyle name="Excel Built-in Normal" xfId="11437"/>
    <cellStyle name="Explanatory Text 10" xfId="11438"/>
    <cellStyle name="Explanatory Text 11" xfId="11439"/>
    <cellStyle name="Explanatory Text 12" xfId="11440"/>
    <cellStyle name="Explanatory Text 13" xfId="11441"/>
    <cellStyle name="Explanatory Text 2" xfId="11442"/>
    <cellStyle name="Explanatory Text 3" xfId="11443"/>
    <cellStyle name="Explanatory Text 4" xfId="11444"/>
    <cellStyle name="Explanatory Text 5" xfId="11445"/>
    <cellStyle name="Explanatory Text 6" xfId="11446"/>
    <cellStyle name="Explanatory Text 7" xfId="11447"/>
    <cellStyle name="Explanatory Text 8" xfId="11448"/>
    <cellStyle name="Explanatory Text 9" xfId="11449"/>
    <cellStyle name="F2" xfId="11450"/>
    <cellStyle name="F3" xfId="11451"/>
    <cellStyle name="F4" xfId="11452"/>
    <cellStyle name="F5" xfId="11453"/>
    <cellStyle name="F6" xfId="11454"/>
    <cellStyle name="F7" xfId="11455"/>
    <cellStyle name="F8" xfId="11456"/>
    <cellStyle name="factsheet" xfId="11457"/>
    <cellStyle name="Final_Data" xfId="11458"/>
    <cellStyle name="First_nums" xfId="11459"/>
    <cellStyle name="Fixed" xfId="11460"/>
    <cellStyle name="Fixed [0]" xfId="11461"/>
    <cellStyle name="Fixed_Burdick DCF Model -10" xfId="11462"/>
    <cellStyle name="Fixed0" xfId="11463"/>
    <cellStyle name="Fixed2 - Style2" xfId="11464"/>
    <cellStyle name="Fixlong" xfId="11465"/>
    <cellStyle name="Följd hyperlänk_Analysis of building cost to 300904.xls" xfId="11466"/>
    <cellStyle name="Följde hyperlänken_2001 EPS SUMMARY" xfId="11467"/>
    <cellStyle name="Footer" xfId="11468"/>
    <cellStyle name="Footnote" xfId="11469"/>
    <cellStyle name="Footnote 2" xfId="20321"/>
    <cellStyle name="ForecastInput" xfId="11470"/>
    <cellStyle name="Format Number Column" xfId="11471"/>
    <cellStyle name="Formula" xfId="11472"/>
    <cellStyle name="FRxAmtStyle" xfId="11473"/>
    <cellStyle name="FRxAmtStyle 2" xfId="11474"/>
    <cellStyle name="FRxCurrStyle" xfId="11475"/>
    <cellStyle name="FRxPcntStyle" xfId="11476"/>
    <cellStyle name="Global" xfId="11477"/>
    <cellStyle name="Global 2" xfId="11478"/>
    <cellStyle name="Global 2 2" xfId="11479"/>
    <cellStyle name="Global 2 2 2" xfId="16154"/>
    <cellStyle name="Global 2 2 3" xfId="20153"/>
    <cellStyle name="Global 2 3" xfId="16153"/>
    <cellStyle name="Global 2 4" xfId="20152"/>
    <cellStyle name="Global 3" xfId="11480"/>
    <cellStyle name="Global 3 2" xfId="11481"/>
    <cellStyle name="Global 3 2 2" xfId="16156"/>
    <cellStyle name="Global 3 2 3" xfId="20155"/>
    <cellStyle name="Global 3 3" xfId="16155"/>
    <cellStyle name="Global 3 4" xfId="20154"/>
    <cellStyle name="Global 4" xfId="11482"/>
    <cellStyle name="Global 4 2" xfId="16157"/>
    <cellStyle name="Global 4 3" xfId="20156"/>
    <cellStyle name="Global 5" xfId="16152"/>
    <cellStyle name="Global 6" xfId="20151"/>
    <cellStyle name="Good 10" xfId="11483"/>
    <cellStyle name="Good 11" xfId="11484"/>
    <cellStyle name="Good 12" xfId="11485"/>
    <cellStyle name="Good 13" xfId="11486"/>
    <cellStyle name="Good 2" xfId="11487"/>
    <cellStyle name="Good 3" xfId="11488"/>
    <cellStyle name="Good 4" xfId="11489"/>
    <cellStyle name="Good 5" xfId="11490"/>
    <cellStyle name="Good 6" xfId="11491"/>
    <cellStyle name="Good 7" xfId="11492"/>
    <cellStyle name="Good 8" xfId="11493"/>
    <cellStyle name="Good 9" xfId="11494"/>
    <cellStyle name="grayText2" xfId="11495"/>
    <cellStyle name="grayText2Big" xfId="11496"/>
    <cellStyle name="grayText2Big 2" xfId="20322"/>
    <cellStyle name="Grey" xfId="11497"/>
    <cellStyle name="Grey 2" xfId="11498"/>
    <cellStyle name="Grey 3" xfId="11499"/>
    <cellStyle name="Grey 4" xfId="11500"/>
    <cellStyle name="Growth" xfId="11501"/>
    <cellStyle name="Growth 2" xfId="20323"/>
    <cellStyle name="GrowthRate" xfId="11502"/>
    <cellStyle name="GrowthRate 2" xfId="20324"/>
    <cellStyle name="H 2" xfId="11503"/>
    <cellStyle name="hard no" xfId="11504"/>
    <cellStyle name="Hard Percent" xfId="11505"/>
    <cellStyle name="hardno" xfId="11506"/>
    <cellStyle name="Head" xfId="11507"/>
    <cellStyle name="header" xfId="11508"/>
    <cellStyle name="header 2" xfId="20325"/>
    <cellStyle name="Header Total" xfId="11509"/>
    <cellStyle name="Header_affinityfin12-11-06" xfId="11510"/>
    <cellStyle name="Header1" xfId="11511"/>
    <cellStyle name="Header1 2" xfId="20326"/>
    <cellStyle name="Header2" xfId="11512"/>
    <cellStyle name="Header2 2" xfId="11513"/>
    <cellStyle name="Header2 2 2" xfId="11514"/>
    <cellStyle name="Header2 2 2 2" xfId="16159"/>
    <cellStyle name="Header2 2 2 3" xfId="20158"/>
    <cellStyle name="Header2 2 3" xfId="16158"/>
    <cellStyle name="Header2 2 4" xfId="20157"/>
    <cellStyle name="Header2 3" xfId="11515"/>
    <cellStyle name="Header2 3 2" xfId="11516"/>
    <cellStyle name="Header2 3 2 2" xfId="16161"/>
    <cellStyle name="Header2 3 2 3" xfId="20160"/>
    <cellStyle name="Header2 3 3" xfId="16160"/>
    <cellStyle name="Header2 3 4" xfId="20159"/>
    <cellStyle name="Header3" xfId="11517"/>
    <cellStyle name="Header4" xfId="11518"/>
    <cellStyle name="Heading" xfId="11519"/>
    <cellStyle name="Heading 1 10" xfId="11520"/>
    <cellStyle name="Heading 1 11" xfId="11521"/>
    <cellStyle name="Heading 1 12" xfId="11522"/>
    <cellStyle name="Heading 1 13" xfId="11523"/>
    <cellStyle name="Heading 1 2" xfId="11524"/>
    <cellStyle name="Heading 1 3" xfId="11525"/>
    <cellStyle name="Heading 1 4" xfId="11526"/>
    <cellStyle name="Heading 1 5" xfId="11527"/>
    <cellStyle name="Heading 1 6" xfId="11528"/>
    <cellStyle name="Heading 1 7" xfId="11529"/>
    <cellStyle name="Heading 1 8" xfId="11530"/>
    <cellStyle name="Heading 1 9" xfId="11531"/>
    <cellStyle name="Heading 2 10" xfId="11532"/>
    <cellStyle name="Heading 2 11" xfId="11533"/>
    <cellStyle name="Heading 2 12" xfId="11534"/>
    <cellStyle name="Heading 2 13" xfId="11535"/>
    <cellStyle name="Heading 2 2" xfId="11536"/>
    <cellStyle name="Heading 2 3" xfId="11537"/>
    <cellStyle name="Heading 2 4" xfId="11538"/>
    <cellStyle name="Heading 2 5" xfId="11539"/>
    <cellStyle name="Heading 2 6" xfId="11540"/>
    <cellStyle name="Heading 2 7" xfId="11541"/>
    <cellStyle name="Heading 2 8" xfId="11542"/>
    <cellStyle name="Heading 2 9" xfId="11543"/>
    <cellStyle name="Heading 3 10" xfId="11544"/>
    <cellStyle name="Heading 3 11" xfId="11545"/>
    <cellStyle name="Heading 3 12" xfId="11546"/>
    <cellStyle name="Heading 3 13" xfId="11547"/>
    <cellStyle name="Heading 3 2" xfId="11548"/>
    <cellStyle name="Heading 3 3" xfId="11549"/>
    <cellStyle name="Heading 3 4" xfId="11550"/>
    <cellStyle name="Heading 3 5" xfId="11551"/>
    <cellStyle name="Heading 3 6" xfId="11552"/>
    <cellStyle name="Heading 3 7" xfId="11553"/>
    <cellStyle name="Heading 3 8" xfId="11554"/>
    <cellStyle name="Heading 3 9" xfId="11555"/>
    <cellStyle name="Heading 4 10" xfId="11556"/>
    <cellStyle name="Heading 4 11" xfId="11557"/>
    <cellStyle name="Heading 4 12" xfId="11558"/>
    <cellStyle name="Heading 4 13" xfId="11559"/>
    <cellStyle name="Heading 4 2" xfId="11560"/>
    <cellStyle name="Heading 4 3" xfId="11561"/>
    <cellStyle name="Heading 4 4" xfId="11562"/>
    <cellStyle name="Heading 4 5" xfId="11563"/>
    <cellStyle name="Heading 4 6" xfId="11564"/>
    <cellStyle name="Heading 4 7" xfId="11565"/>
    <cellStyle name="Heading 4 8" xfId="11566"/>
    <cellStyle name="Heading 4 9" xfId="11567"/>
    <cellStyle name="Heading 5" xfId="11568"/>
    <cellStyle name="Heading No Underline" xfId="11569"/>
    <cellStyle name="Heading With Underline" xfId="11570"/>
    <cellStyle name="Heading With Underline 2" xfId="11571"/>
    <cellStyle name="Heading With Underline 2 2" xfId="20275"/>
    <cellStyle name="Heading With Underline 3" xfId="11572"/>
    <cellStyle name="Heading With Underline 3 2" xfId="20276"/>
    <cellStyle name="Heading With Underline 4" xfId="20277"/>
    <cellStyle name="Heading1" xfId="11573"/>
    <cellStyle name="Heading2" xfId="11574"/>
    <cellStyle name="Heading3" xfId="11575"/>
    <cellStyle name="HEADINGS" xfId="11576"/>
    <cellStyle name="Headings2" xfId="11577"/>
    <cellStyle name="Headings2 2" xfId="11578"/>
    <cellStyle name="Headings2 2 2" xfId="11579"/>
    <cellStyle name="Headings2 2 2 2" xfId="20163"/>
    <cellStyle name="Headings2 2 3" xfId="20162"/>
    <cellStyle name="Headings2 3" xfId="11580"/>
    <cellStyle name="Headings2 3 2" xfId="11581"/>
    <cellStyle name="Headings2 3 2 2" xfId="20165"/>
    <cellStyle name="Headings2 3 3" xfId="20164"/>
    <cellStyle name="Headings2 4" xfId="11582"/>
    <cellStyle name="Headings2 4 2" xfId="20166"/>
    <cellStyle name="Headings2 5" xfId="20161"/>
    <cellStyle name="Headings2b" xfId="11583"/>
    <cellStyle name="Headings2b 2" xfId="11584"/>
    <cellStyle name="Headings2b 2 2" xfId="11585"/>
    <cellStyle name="Headings2b 2 2 2" xfId="20169"/>
    <cellStyle name="Headings2b 2 3" xfId="20168"/>
    <cellStyle name="Headings2b 3" xfId="11586"/>
    <cellStyle name="Headings2b 3 2" xfId="11587"/>
    <cellStyle name="Headings2b 3 2 2" xfId="20171"/>
    <cellStyle name="Headings2b 3 3" xfId="20170"/>
    <cellStyle name="Headings2b 4" xfId="11588"/>
    <cellStyle name="Headings2b 4 2" xfId="20172"/>
    <cellStyle name="Headings2b 5" xfId="20167"/>
    <cellStyle name="HEADINGSTOP" xfId="11589"/>
    <cellStyle name="Hidden" xfId="11590"/>
    <cellStyle name="HIDDEN 2" xfId="20327"/>
    <cellStyle name="HIGHLIGHT" xfId="11591"/>
    <cellStyle name="Hyperlänk_2000 DVD COSTS.xls" xfId="11592"/>
    <cellStyle name="Hyperlink 2" xfId="11593"/>
    <cellStyle name="Hyperlink 3" xfId="11594"/>
    <cellStyle name="IDEO" xfId="11595"/>
    <cellStyle name="iemens" xfId="11596"/>
    <cellStyle name="IncomeStatement" xfId="11597"/>
    <cellStyle name="IncomeStatement 2" xfId="20328"/>
    <cellStyle name="Input [yellow]" xfId="11598"/>
    <cellStyle name="Input [yellow] 2" xfId="11599"/>
    <cellStyle name="Input [yellow] 3" xfId="11600"/>
    <cellStyle name="Input [yellow] 4" xfId="11601"/>
    <cellStyle name="Input 10" xfId="11602"/>
    <cellStyle name="Input 11" xfId="11603"/>
    <cellStyle name="Input 12" xfId="11604"/>
    <cellStyle name="Input 13" xfId="11605"/>
    <cellStyle name="Input 14" xfId="11606"/>
    <cellStyle name="Input 15" xfId="11607"/>
    <cellStyle name="Input 16" xfId="11608"/>
    <cellStyle name="Input 2" xfId="11609"/>
    <cellStyle name="Input 3" xfId="11610"/>
    <cellStyle name="Input 4" xfId="11611"/>
    <cellStyle name="Input 5" xfId="11612"/>
    <cellStyle name="Input 6" xfId="11613"/>
    <cellStyle name="Input 7" xfId="11614"/>
    <cellStyle name="Input 8" xfId="11615"/>
    <cellStyle name="Input 9" xfId="11616"/>
    <cellStyle name="input cell" xfId="11617"/>
    <cellStyle name="Input Cells" xfId="11618"/>
    <cellStyle name="Input Currency" xfId="11619"/>
    <cellStyle name="Input Currency 2" xfId="20329"/>
    <cellStyle name="Input Date" xfId="11620"/>
    <cellStyle name="Input Date 2" xfId="20330"/>
    <cellStyle name="Input Fixed [0]" xfId="11621"/>
    <cellStyle name="Input Fixed [0] 2" xfId="20331"/>
    <cellStyle name="Input Normal" xfId="11622"/>
    <cellStyle name="Input Normal 2" xfId="20332"/>
    <cellStyle name="Input Percent" xfId="11623"/>
    <cellStyle name="Input Percent [2]" xfId="11624"/>
    <cellStyle name="Input Percent [2] 2" xfId="20333"/>
    <cellStyle name="Input Percent 2" xfId="20334"/>
    <cellStyle name="Input Percent 3" xfId="20335"/>
    <cellStyle name="Input Titles" xfId="11625"/>
    <cellStyle name="Input$" xfId="11626"/>
    <cellStyle name="Input$ 2" xfId="11627"/>
    <cellStyle name="Input$ 3" xfId="11628"/>
    <cellStyle name="Input%" xfId="11629"/>
    <cellStyle name="Input% 2" xfId="11630"/>
    <cellStyle name="Input% 3" xfId="11631"/>
    <cellStyle name="Input1" xfId="11632"/>
    <cellStyle name="Input2" xfId="11633"/>
    <cellStyle name="InputBlueFont" xfId="11634"/>
    <cellStyle name="InputCell" xfId="11635"/>
    <cellStyle name="InputCell 2" xfId="11636"/>
    <cellStyle name="InputCell 2 2" xfId="11637"/>
    <cellStyle name="InputCell 2 2 2" xfId="20175"/>
    <cellStyle name="InputCell 2 3" xfId="20174"/>
    <cellStyle name="InputCell 3" xfId="11638"/>
    <cellStyle name="InputCell 3 2" xfId="11639"/>
    <cellStyle name="InputCell 3 2 2" xfId="20177"/>
    <cellStyle name="InputCell 3 3" xfId="20176"/>
    <cellStyle name="InputCell 4" xfId="11640"/>
    <cellStyle name="InputCell 4 2" xfId="20178"/>
    <cellStyle name="InputCell 5" xfId="20173"/>
    <cellStyle name="InputPop" xfId="11641"/>
    <cellStyle name="InputPop 2" xfId="20336"/>
    <cellStyle name="Inputs" xfId="11642"/>
    <cellStyle name="Input-Text Only" xfId="11643"/>
    <cellStyle name="Integer" xfId="11644"/>
    <cellStyle name="Invisible" xfId="11645"/>
    <cellStyle name="Invisible 2" xfId="11646"/>
    <cellStyle name="Invisible 3" xfId="11647"/>
    <cellStyle name="Item" xfId="11648"/>
    <cellStyle name="ItemTypeClass" xfId="11649"/>
    <cellStyle name="ItemTypeClass 2" xfId="11650"/>
    <cellStyle name="ItemTypeClass 2 2" xfId="11651"/>
    <cellStyle name="ItemTypeClass 2 2 2" xfId="20181"/>
    <cellStyle name="ItemTypeClass 2 3" xfId="20180"/>
    <cellStyle name="ItemTypeClass 3" xfId="11652"/>
    <cellStyle name="ItemTypeClass 3 2" xfId="11653"/>
    <cellStyle name="ItemTypeClass 3 2 2" xfId="20183"/>
    <cellStyle name="ItemTypeClass 3 3" xfId="20182"/>
    <cellStyle name="ItemTypeClass 4" xfId="11654"/>
    <cellStyle name="ItemTypeClass 4 2" xfId="20184"/>
    <cellStyle name="ItemTypeClass 5" xfId="20179"/>
    <cellStyle name="Ivan" xfId="11655"/>
    <cellStyle name="îÿî_x0002_" xfId="11656"/>
    <cellStyle name="îÿî_x0002__x0010_" xfId="11657"/>
    <cellStyle name="îÿî_x0002__CardioSolutions 05 31 2007 Final Model 09 27 2007" xfId="11658"/>
    <cellStyle name="Jason" xfId="11659"/>
    <cellStyle name="JustOneDec" xfId="11660"/>
    <cellStyle name="JustOneDec 2" xfId="20337"/>
    <cellStyle name="Komma [0]_laroux" xfId="11661"/>
    <cellStyle name="Komma_laroux" xfId="11662"/>
    <cellStyle name="Kommatecken [0]_2000 DVD COSTS.xls" xfId="11663"/>
    <cellStyle name="KPMG Heading 1" xfId="11664"/>
    <cellStyle name="KPMG Heading 2" xfId="11665"/>
    <cellStyle name="KPMG Heading 3" xfId="11666"/>
    <cellStyle name="KPMG Heading 4" xfId="11667"/>
    <cellStyle name="KPMG Normal" xfId="11668"/>
    <cellStyle name="KPMG Normal Text" xfId="11669"/>
    <cellStyle name="KPMG Normal_2006 Model (3-2-06) v1 3" xfId="11670"/>
    <cellStyle name="LABEL_NUMBER" xfId="11671"/>
    <cellStyle name="Lable8Left" xfId="11672"/>
    <cellStyle name="Large Page Heading" xfId="11673"/>
    <cellStyle name="Last_nums" xfId="11674"/>
    <cellStyle name="left" xfId="11675"/>
    <cellStyle name="left 2" xfId="20338"/>
    <cellStyle name="Left Heading 1" xfId="11676"/>
    <cellStyle name="Left Heading 2" xfId="11677"/>
    <cellStyle name="leftStyle" xfId="11678"/>
    <cellStyle name="leftStyle2" xfId="11679"/>
    <cellStyle name="Lien hypertexte_NEGS" xfId="11680"/>
    <cellStyle name="LineBottom" xfId="11681"/>
    <cellStyle name="LineBottom 2" xfId="11682"/>
    <cellStyle name="LineBottom 2 2" xfId="20278"/>
    <cellStyle name="LineBottom 3" xfId="11683"/>
    <cellStyle name="LineBottom 3 2" xfId="20279"/>
    <cellStyle name="LineBottom 4" xfId="20280"/>
    <cellStyle name="LineItem" xfId="11684"/>
    <cellStyle name="LineItems" xfId="11685"/>
    <cellStyle name="LineItems 2" xfId="20339"/>
    <cellStyle name="LineTop" xfId="11686"/>
    <cellStyle name="LineTop 2" xfId="11687"/>
    <cellStyle name="LineTop 2 2" xfId="11688"/>
    <cellStyle name="LineTop 2 2 2" xfId="16164"/>
    <cellStyle name="LineTop 2 2 3" xfId="20187"/>
    <cellStyle name="LineTop 2 3" xfId="16163"/>
    <cellStyle name="LineTop 2 4" xfId="20186"/>
    <cellStyle name="LineTop 3" xfId="11689"/>
    <cellStyle name="LineTop 3 2" xfId="11690"/>
    <cellStyle name="LineTop 3 2 2" xfId="16166"/>
    <cellStyle name="LineTop 3 2 3" xfId="20189"/>
    <cellStyle name="LineTop 3 3" xfId="16165"/>
    <cellStyle name="LineTop 3 4" xfId="20188"/>
    <cellStyle name="LineTop 4" xfId="11691"/>
    <cellStyle name="LineTop 4 2" xfId="16167"/>
    <cellStyle name="LineTop 4 3" xfId="20190"/>
    <cellStyle name="LineTop 5" xfId="16162"/>
    <cellStyle name="LineTop 6" xfId="20185"/>
    <cellStyle name="Link Currency (0)" xfId="11692"/>
    <cellStyle name="Link Currency (2)" xfId="11693"/>
    <cellStyle name="Link Units (0)" xfId="11694"/>
    <cellStyle name="Link Units (1)" xfId="11695"/>
    <cellStyle name="Link Units (2)" xfId="11696"/>
    <cellStyle name="Linked Cell 10" xfId="11697"/>
    <cellStyle name="Linked Cell 11" xfId="11698"/>
    <cellStyle name="Linked Cell 12" xfId="11699"/>
    <cellStyle name="Linked Cell 13" xfId="11700"/>
    <cellStyle name="Linked Cell 2" xfId="11701"/>
    <cellStyle name="Linked Cell 3" xfId="11702"/>
    <cellStyle name="Linked Cell 4" xfId="11703"/>
    <cellStyle name="Linked Cell 5" xfId="11704"/>
    <cellStyle name="Linked Cell 6" xfId="11705"/>
    <cellStyle name="Linked Cell 7" xfId="11706"/>
    <cellStyle name="Linked Cell 8" xfId="11707"/>
    <cellStyle name="Linked Cell 9" xfId="11708"/>
    <cellStyle name="Linked Cells" xfId="11709"/>
    <cellStyle name="locked" xfId="11710"/>
    <cellStyle name="LookUpText" xfId="11711"/>
    <cellStyle name="lou" xfId="11712"/>
    <cellStyle name="m&amp;a" xfId="11713"/>
    <cellStyle name="ManualInput" xfId="11714"/>
    <cellStyle name="ManualInput 2" xfId="20340"/>
    <cellStyle name="Map Labels" xfId="11715"/>
    <cellStyle name="Map Legend" xfId="11716"/>
    <cellStyle name="Map Title" xfId="11717"/>
    <cellStyle name="Margins" xfId="11718"/>
    <cellStyle name="Margins 2" xfId="20341"/>
    <cellStyle name="Migliaia (0)_ACTUAL 31-12-95" xfId="11719"/>
    <cellStyle name="Migliaia_ACTUAL 30-06-95.XLS" xfId="11720"/>
    <cellStyle name="mil" xfId="11721"/>
    <cellStyle name="Miles" xfId="11722"/>
    <cellStyle name="Millares [0]_laroux" xfId="11723"/>
    <cellStyle name="Millares_laroux" xfId="11724"/>
    <cellStyle name="Milliers [0]_!!!GO" xfId="11725"/>
    <cellStyle name="Milliers 2" xfId="11726"/>
    <cellStyle name="Milliers_!!!GO" xfId="11727"/>
    <cellStyle name="Mills" xfId="11728"/>
    <cellStyle name="Mills 2" xfId="11729"/>
    <cellStyle name="Mills 2 2" xfId="20281"/>
    <cellStyle name="Mills 3" xfId="11730"/>
    <cellStyle name="Mills 3 2" xfId="20282"/>
    <cellStyle name="Mills 4" xfId="20283"/>
    <cellStyle name="mm/d/yy" xfId="11731"/>
    <cellStyle name="mm/dd/yy" xfId="11732"/>
    <cellStyle name="MMM-YY" xfId="11733"/>
    <cellStyle name="MMs1Place" xfId="11734"/>
    <cellStyle name="MMs2Places" xfId="11735"/>
    <cellStyle name="mo" xfId="11736"/>
    <cellStyle name="mo end" xfId="11737"/>
    <cellStyle name="mo_~8080122" xfId="11738"/>
    <cellStyle name="Model" xfId="11739"/>
    <cellStyle name="Moneda [0]_laroux" xfId="11740"/>
    <cellStyle name="Moneda_laroux" xfId="11741"/>
    <cellStyle name="Monétaire [0]_!!!GO" xfId="11742"/>
    <cellStyle name="Monétaire 2" xfId="11743"/>
    <cellStyle name="Monétaire 2 10" xfId="11744"/>
    <cellStyle name="Monétaire 2 2" xfId="11745"/>
    <cellStyle name="Monétaire 2 2 2" xfId="11746"/>
    <cellStyle name="Monétaire 2 2 2 2" xfId="11747"/>
    <cellStyle name="Monétaire 2 2 2 3" xfId="11748"/>
    <cellStyle name="Monétaire 2 2 2 4" xfId="11749"/>
    <cellStyle name="Monétaire 2 2 2 5" xfId="11750"/>
    <cellStyle name="Monétaire 2 2 3" xfId="11751"/>
    <cellStyle name="Monétaire 2 2 4" xfId="11752"/>
    <cellStyle name="Monétaire 2 2 5" xfId="11753"/>
    <cellStyle name="Monétaire 2 3" xfId="11754"/>
    <cellStyle name="Monétaire 2 4" xfId="11755"/>
    <cellStyle name="Monétaire 2 5" xfId="11756"/>
    <cellStyle name="Monétaire 2 6" xfId="11757"/>
    <cellStyle name="Monétaire 2 7" xfId="11758"/>
    <cellStyle name="Monétaire 2 8" xfId="11759"/>
    <cellStyle name="Monétaire 2 9" xfId="11760"/>
    <cellStyle name="Monétaire_!!!GO" xfId="11761"/>
    <cellStyle name="MonthYear" xfId="11762"/>
    <cellStyle name="Mon-Yr" xfId="11763"/>
    <cellStyle name="Mult No x" xfId="11764"/>
    <cellStyle name="Mult No x 2" xfId="11765"/>
    <cellStyle name="Mult No x 2 2" xfId="20284"/>
    <cellStyle name="Mult No x 3" xfId="11766"/>
    <cellStyle name="Mult No x 3 2" xfId="20285"/>
    <cellStyle name="Mult No x 4" xfId="20286"/>
    <cellStyle name="Mult With x" xfId="11767"/>
    <cellStyle name="Mult With x 2" xfId="11768"/>
    <cellStyle name="Mult With x 2 2" xfId="20287"/>
    <cellStyle name="Mult With x 3" xfId="11769"/>
    <cellStyle name="Mult With x 3 2" xfId="20288"/>
    <cellStyle name="Mult With x 4" xfId="20289"/>
    <cellStyle name="Multiple" xfId="11770"/>
    <cellStyle name="Multiple (no x)" xfId="11771"/>
    <cellStyle name="Multiple (x)" xfId="11772"/>
    <cellStyle name="Multiple []" xfId="11773"/>
    <cellStyle name="Multiple [0]" xfId="11774"/>
    <cellStyle name="Multiple [0] []" xfId="11775"/>
    <cellStyle name="Multiple [1]" xfId="11776"/>
    <cellStyle name="Multiple [1] []" xfId="11777"/>
    <cellStyle name="Multiple[,]" xfId="11778"/>
    <cellStyle name="Multiple[1]" xfId="11779"/>
    <cellStyle name="Multiple[2]" xfId="11780"/>
    <cellStyle name="Multiple_Abacus1" xfId="11781"/>
    <cellStyle name="MultipleBelow" xfId="11782"/>
    <cellStyle name="NA is zero" xfId="11783"/>
    <cellStyle name="NA is zero 2" xfId="20342"/>
    <cellStyle name="Neutral 10" xfId="11784"/>
    <cellStyle name="Neutral 11" xfId="11785"/>
    <cellStyle name="Neutral 12" xfId="11786"/>
    <cellStyle name="Neutral 13" xfId="11787"/>
    <cellStyle name="Neutral 2" xfId="11788"/>
    <cellStyle name="Neutral 3" xfId="11789"/>
    <cellStyle name="Neutral 4" xfId="11790"/>
    <cellStyle name="Neutral 5" xfId="11791"/>
    <cellStyle name="Neutral 6" xfId="11792"/>
    <cellStyle name="Neutral 7" xfId="11793"/>
    <cellStyle name="Neutral 8" xfId="11794"/>
    <cellStyle name="Neutral 9" xfId="11795"/>
    <cellStyle name="new" xfId="11796"/>
    <cellStyle name="NewColumnHeaderNormal" xfId="11797"/>
    <cellStyle name="NewPeso" xfId="11798"/>
    <cellStyle name="NewPeso 2" xfId="20343"/>
    <cellStyle name="NewSectionHeaderNormal" xfId="11799"/>
    <cellStyle name="NewSectionHeaderNormal 2" xfId="20344"/>
    <cellStyle name="NewTitleNormal" xfId="11800"/>
    <cellStyle name="No Border" xfId="11801"/>
    <cellStyle name="No Border 2" xfId="20345"/>
    <cellStyle name="no dec" xfId="11802"/>
    <cellStyle name="nobuild" xfId="11803"/>
    <cellStyle name="nonmultiple" xfId="11804"/>
    <cellStyle name="NonPrint_Heading" xfId="11805"/>
    <cellStyle name="Norm੎੎" xfId="11806"/>
    <cellStyle name="Norm੎੎ 2" xfId="20346"/>
    <cellStyle name="Normal" xfId="0" builtinId="0"/>
    <cellStyle name="Normal - Style1" xfId="11807"/>
    <cellStyle name="Normal - Style2" xfId="11808"/>
    <cellStyle name="Normal - Style2 2" xfId="11809"/>
    <cellStyle name="Normal - Style3" xfId="11810"/>
    <cellStyle name="Normal - Style4" xfId="11811"/>
    <cellStyle name="Normal - Style5" xfId="11812"/>
    <cellStyle name="Normal - Style6" xfId="11813"/>
    <cellStyle name="Normal - Style7" xfId="11814"/>
    <cellStyle name="Normal - Style8" xfId="11815"/>
    <cellStyle name="Normal - Style8 2" xfId="11816"/>
    <cellStyle name="Normal [0]" xfId="11817"/>
    <cellStyle name="Normal [0] 2" xfId="20347"/>
    <cellStyle name="Normal [1]" xfId="11818"/>
    <cellStyle name="Normal [2]" xfId="11819"/>
    <cellStyle name="Normal [2] 2" xfId="20348"/>
    <cellStyle name="Normal [3]" xfId="11820"/>
    <cellStyle name="Normal [3] 2" xfId="20349"/>
    <cellStyle name="Normal 10" xfId="11821"/>
    <cellStyle name="Normal 10 11 2" xfId="11822"/>
    <cellStyle name="Normal 10 11 2 2" xfId="16168"/>
    <cellStyle name="Normal 10 11 2 2 2" xfId="20309"/>
    <cellStyle name="Normal 10 11 2 2 3" xfId="20379"/>
    <cellStyle name="Normal 10 11 2 3" xfId="20191"/>
    <cellStyle name="Normal 10 2" xfId="11823"/>
    <cellStyle name="Normal 10 2 2" xfId="20350"/>
    <cellStyle name="Normal 10 3" xfId="11824"/>
    <cellStyle name="Normal 10 4" xfId="11825"/>
    <cellStyle name="Normal 11" xfId="11826"/>
    <cellStyle name="Normal 11 2" xfId="11827"/>
    <cellStyle name="Normal 11 3" xfId="20306"/>
    <cellStyle name="Normal 11 4" xfId="20378"/>
    <cellStyle name="Normal 12" xfId="11828"/>
    <cellStyle name="Normal 12 2" xfId="11829"/>
    <cellStyle name="Normal 12 2 2" xfId="16169"/>
    <cellStyle name="Normal 12 2 3" xfId="20192"/>
    <cellStyle name="Normal 13" xfId="11830"/>
    <cellStyle name="Normal 13 2" xfId="11831"/>
    <cellStyle name="Normal 14" xfId="11832"/>
    <cellStyle name="Normal 14 2" xfId="11833"/>
    <cellStyle name="Normal 14 2 2" xfId="16170"/>
    <cellStyle name="Normal 14 2 3" xfId="20193"/>
    <cellStyle name="Normal 15" xfId="11834"/>
    <cellStyle name="Normal 15 2" xfId="11835"/>
    <cellStyle name="Normal 15 2 2" xfId="16171"/>
    <cellStyle name="Normal 15 2 3" xfId="20194"/>
    <cellStyle name="Normal 16" xfId="11836"/>
    <cellStyle name="Normal 16 2" xfId="11837"/>
    <cellStyle name="Normal 16 2 2" xfId="16172"/>
    <cellStyle name="Normal 16 2 3" xfId="20195"/>
    <cellStyle name="Normal 17" xfId="11838"/>
    <cellStyle name="Normal 17 2" xfId="11839"/>
    <cellStyle name="Normal 17 2 2" xfId="16173"/>
    <cellStyle name="Normal 17 2 3" xfId="20196"/>
    <cellStyle name="Normal 17 3" xfId="11840"/>
    <cellStyle name="Normal 17 4" xfId="20444"/>
    <cellStyle name="Normal 18" xfId="11841"/>
    <cellStyle name="Normal 18 2" xfId="11842"/>
    <cellStyle name="Normal 18 2 2" xfId="16174"/>
    <cellStyle name="Normal 18 2 3" xfId="20197"/>
    <cellStyle name="Normal 19" xfId="11843"/>
    <cellStyle name="Normal 19 2" xfId="11844"/>
    <cellStyle name="Normal 19 2 2" xfId="16175"/>
    <cellStyle name="Normal 19 2 3" xfId="20198"/>
    <cellStyle name="Normal 2" xfId="11845"/>
    <cellStyle name="Normal 2 10" xfId="11846"/>
    <cellStyle name="Normal 2 11" xfId="11847"/>
    <cellStyle name="Normal 2 12" xfId="11848"/>
    <cellStyle name="Normal 2 13" xfId="11849"/>
    <cellStyle name="Normal 2 14" xfId="11850"/>
    <cellStyle name="Normal 2 15" xfId="11851"/>
    <cellStyle name="Normal 2 16" xfId="16176"/>
    <cellStyle name="Normal 2 17" xfId="20199"/>
    <cellStyle name="Normal 2 18" xfId="20380"/>
    <cellStyle name="Normal 2 19" xfId="20420"/>
    <cellStyle name="Normal 2 2" xfId="11852"/>
    <cellStyle name="Normal 2 2 2" xfId="11853"/>
    <cellStyle name="Normal 2 2 3" xfId="11854"/>
    <cellStyle name="Normal 2 2 4" xfId="11855"/>
    <cellStyle name="Normal 2 2 5" xfId="20290"/>
    <cellStyle name="Normal 2 3" xfId="11856"/>
    <cellStyle name="Normal 2 3 2" xfId="11857"/>
    <cellStyle name="Normal 2 4" xfId="11858"/>
    <cellStyle name="Normal 2 5" xfId="11859"/>
    <cellStyle name="Normal 2 6" xfId="11860"/>
    <cellStyle name="Normal 2 7" xfId="11861"/>
    <cellStyle name="Normal 2 8" xfId="11862"/>
    <cellStyle name="Normal 2 9" xfId="11863"/>
    <cellStyle name="Normal 20" xfId="11864"/>
    <cellStyle name="Normal 20 2" xfId="11865"/>
    <cellStyle name="Normal 20 2 2" xfId="16177"/>
    <cellStyle name="Normal 20 2 3" xfId="20200"/>
    <cellStyle name="Normal 21" xfId="11866"/>
    <cellStyle name="Normal 21 2" xfId="20291"/>
    <cellStyle name="Normal 21 2 2 2" xfId="20385"/>
    <cellStyle name="Normal 21 2 2 2 2" xfId="20394"/>
    <cellStyle name="Normal 21 2 2 2 2 2" xfId="20399"/>
    <cellStyle name="Normal 21 2 2 2 2 3" xfId="20442"/>
    <cellStyle name="Normal 22" xfId="11867"/>
    <cellStyle name="Normal 23" xfId="11868"/>
    <cellStyle name="Normal 24" xfId="11869"/>
    <cellStyle name="Normal 25" xfId="11870"/>
    <cellStyle name="Normal 26" xfId="11871"/>
    <cellStyle name="Normal 27" xfId="11872"/>
    <cellStyle name="Normal 28" xfId="11873"/>
    <cellStyle name="Normal 28 2" xfId="16178"/>
    <cellStyle name="Normal 28 3" xfId="20201"/>
    <cellStyle name="Normal 29" xfId="11874"/>
    <cellStyle name="Normal 3" xfId="11875"/>
    <cellStyle name="Normal 3 10" xfId="11876"/>
    <cellStyle name="Normal 3 2" xfId="11877"/>
    <cellStyle name="Normal 3 2 2" xfId="11878"/>
    <cellStyle name="Normal 3 2 3" xfId="11879"/>
    <cellStyle name="Normal 3 2 4" xfId="11880"/>
    <cellStyle name="Normal 3 2 5" xfId="11881"/>
    <cellStyle name="Normal 3 3" xfId="11882"/>
    <cellStyle name="Normal 3 3 2" xfId="11883"/>
    <cellStyle name="Normal 3 3 3" xfId="11884"/>
    <cellStyle name="Normal 3 3 4" xfId="20292"/>
    <cellStyle name="Normal 3 4" xfId="11885"/>
    <cellStyle name="Normal 3 4 2" xfId="11886"/>
    <cellStyle name="Normal 3 5" xfId="11887"/>
    <cellStyle name="Normal 3 6" xfId="11888"/>
    <cellStyle name="Normal 3 7" xfId="11889"/>
    <cellStyle name="Normal 30" xfId="11890"/>
    <cellStyle name="Normal 30 2" xfId="11891"/>
    <cellStyle name="Normal 31" xfId="11892"/>
    <cellStyle name="Normal 32" xfId="11893"/>
    <cellStyle name="Normal 33" xfId="11894"/>
    <cellStyle name="Normal 33 2" xfId="11895"/>
    <cellStyle name="Normal 33 3" xfId="16179"/>
    <cellStyle name="Normal 33 4" xfId="20202"/>
    <cellStyle name="Normal 34" xfId="11896"/>
    <cellStyle name="Normal 35" xfId="11897"/>
    <cellStyle name="Normal 36" xfId="16216"/>
    <cellStyle name="Normal 36 2" xfId="20293"/>
    <cellStyle name="Normal 37" xfId="16219"/>
    <cellStyle name="Normal 38" xfId="16382"/>
    <cellStyle name="Normal 39" xfId="16383"/>
    <cellStyle name="Normal 39 2 2" xfId="20383"/>
    <cellStyle name="Normal 39 2 2 2" xfId="20392"/>
    <cellStyle name="Normal 39 2 2 2 2" xfId="20398"/>
    <cellStyle name="Normal 39 2 2 2 3" xfId="20441"/>
    <cellStyle name="Normal 4" xfId="11898"/>
    <cellStyle name="Normal 4 2" xfId="11899"/>
    <cellStyle name="Normal 4 2 2" xfId="11900"/>
    <cellStyle name="Normal 4 2 3" xfId="20294"/>
    <cellStyle name="Normal 4 3" xfId="11901"/>
    <cellStyle name="Normal 4 3 2" xfId="11902"/>
    <cellStyle name="Normal 4 3 3" xfId="20295"/>
    <cellStyle name="Normal 4 4" xfId="11903"/>
    <cellStyle name="Normal 4 5" xfId="11904"/>
    <cellStyle name="Normal 4 6" xfId="11905"/>
    <cellStyle name="Normal 40" xfId="20305"/>
    <cellStyle name="Normal 41" xfId="20388"/>
    <cellStyle name="Normal 41 3" xfId="20412"/>
    <cellStyle name="Normal 42" xfId="20401"/>
    <cellStyle name="Normal 42 2" xfId="20387"/>
    <cellStyle name="Normal 42 3" xfId="20424"/>
    <cellStyle name="Normal 43" xfId="20405"/>
    <cellStyle name="Normal 43 2" xfId="20386"/>
    <cellStyle name="Normal 44" xfId="20411"/>
    <cellStyle name="Normal 45" xfId="20417"/>
    <cellStyle name="Normal 45 2" xfId="20425"/>
    <cellStyle name="Normal 46" xfId="20427"/>
    <cellStyle name="Normal 47" xfId="20433"/>
    <cellStyle name="Normal 48" xfId="20435"/>
    <cellStyle name="Normal 49" xfId="20436"/>
    <cellStyle name="Normal 5" xfId="11906"/>
    <cellStyle name="Normal 5 2" xfId="11907"/>
    <cellStyle name="Normal 5 2 2" xfId="11908"/>
    <cellStyle name="Normal 5 3" xfId="11909"/>
    <cellStyle name="Normal 5 4" xfId="11910"/>
    <cellStyle name="Normal 50" xfId="20445"/>
    <cellStyle name="Normal 51" xfId="20449"/>
    <cellStyle name="Normal 6" xfId="11911"/>
    <cellStyle name="Normal 6 2" xfId="11912"/>
    <cellStyle name="Normal 6 2 2" xfId="11913"/>
    <cellStyle name="Normal 6 3" xfId="11914"/>
    <cellStyle name="Normal 60" xfId="12421"/>
    <cellStyle name="Normal 66" xfId="11915"/>
    <cellStyle name="Normal 7" xfId="11916"/>
    <cellStyle name="Normal 7 2" xfId="11917"/>
    <cellStyle name="Normal 7 3" xfId="11918"/>
    <cellStyle name="Normal 8" xfId="11919"/>
    <cellStyle name="Normal 8 2" xfId="11920"/>
    <cellStyle name="Normal 8 2 2" xfId="16180"/>
    <cellStyle name="Normal 8 2 3" xfId="20203"/>
    <cellStyle name="Normal 88" xfId="20397"/>
    <cellStyle name="Normal 9" xfId="11921"/>
    <cellStyle name="Normal 9 2" xfId="11922"/>
    <cellStyle name="Normal 9 2 2" xfId="16181"/>
    <cellStyle name="Normal 9 2 3" xfId="20204"/>
    <cellStyle name="Normal Bold" xfId="11923"/>
    <cellStyle name="Normal Bold 2" xfId="20351"/>
    <cellStyle name="Normal Currency" xfId="11924"/>
    <cellStyle name="Normal Dollar" xfId="11925"/>
    <cellStyle name="Normal- Enter (1)" xfId="11926"/>
    <cellStyle name="Normal Number" xfId="11927"/>
    <cellStyle name="Normal Pct" xfId="11928"/>
    <cellStyle name="Normal Pct 2" xfId="20352"/>
    <cellStyle name="Normal/DBL" xfId="11929"/>
    <cellStyle name="Normal_Input Sheet" xfId="20307"/>
    <cellStyle name="Normal_MO_Supernus revenue model update_Feb09_vFinal_v4" xfId="20414"/>
    <cellStyle name="Normal_NEW-WACC" xfId="20419"/>
    <cellStyle name="Normal1" xfId="11930"/>
    <cellStyle name="Normal1 2" xfId="20353"/>
    <cellStyle name="Normal1Places" xfId="11931"/>
    <cellStyle name="Normal1Places 2" xfId="20354"/>
    <cellStyle name="Normal2" xfId="11932"/>
    <cellStyle name="Normal2Places" xfId="11933"/>
    <cellStyle name="Normal2Places 2" xfId="20355"/>
    <cellStyle name="Normal3Places" xfId="11934"/>
    <cellStyle name="Normal8" xfId="11935"/>
    <cellStyle name="NormalBlue" xfId="11936"/>
    <cellStyle name="NormalBold" xfId="11937"/>
    <cellStyle name="NormalBold 2" xfId="20356"/>
    <cellStyle name="Normale_ACTUAL 30-06-95.XLS" xfId="11938"/>
    <cellStyle name="Normal-Entry" xfId="11939"/>
    <cellStyle name="NormalEPS" xfId="11940"/>
    <cellStyle name="NormalGB" xfId="11941"/>
    <cellStyle name="NormalGB 2" xfId="20357"/>
    <cellStyle name="NormalHelv" xfId="11942"/>
    <cellStyle name="Normal-Input(1)" xfId="11943"/>
    <cellStyle name="NormalJEM" xfId="11944"/>
    <cellStyle name="normální_M Schedules 2008 v02 - pracovní" xfId="11945"/>
    <cellStyle name="NormalPop" xfId="11946"/>
    <cellStyle name="NormalPop 2" xfId="20358"/>
    <cellStyle name="Note 10" xfId="11947"/>
    <cellStyle name="Note 10 2" xfId="11948"/>
    <cellStyle name="Note 10 2 2" xfId="16182"/>
    <cellStyle name="Note 10 2 3" xfId="20205"/>
    <cellStyle name="Note 11" xfId="11949"/>
    <cellStyle name="Note 11 2" xfId="11950"/>
    <cellStyle name="Note 11 2 2" xfId="16183"/>
    <cellStyle name="Note 11 2 3" xfId="20206"/>
    <cellStyle name="Note 12" xfId="11951"/>
    <cellStyle name="Note 12 2" xfId="11952"/>
    <cellStyle name="Note 12 2 2" xfId="16184"/>
    <cellStyle name="Note 12 2 3" xfId="20207"/>
    <cellStyle name="Note 13" xfId="11953"/>
    <cellStyle name="Note 13 2" xfId="11954"/>
    <cellStyle name="Note 13 2 2" xfId="16185"/>
    <cellStyle name="Note 13 2 3" xfId="20208"/>
    <cellStyle name="Note 14" xfId="11955"/>
    <cellStyle name="Note 15" xfId="11956"/>
    <cellStyle name="Note 2" xfId="11957"/>
    <cellStyle name="Note 2 2" xfId="11958"/>
    <cellStyle name="Note 2 2 2" xfId="16186"/>
    <cellStyle name="Note 2 2 3" xfId="20209"/>
    <cellStyle name="Note 3" xfId="11959"/>
    <cellStyle name="Note 3 2" xfId="11960"/>
    <cellStyle name="Note 3 2 2" xfId="16187"/>
    <cellStyle name="Note 3 2 3" xfId="20210"/>
    <cellStyle name="Note 4" xfId="11961"/>
    <cellStyle name="Note 4 2" xfId="11962"/>
    <cellStyle name="Note 4 2 2" xfId="16188"/>
    <cellStyle name="Note 4 2 3" xfId="20211"/>
    <cellStyle name="Note 5" xfId="11963"/>
    <cellStyle name="Note 5 2" xfId="11964"/>
    <cellStyle name="Note 5 2 2" xfId="16189"/>
    <cellStyle name="Note 5 2 3" xfId="20212"/>
    <cellStyle name="Note 6" xfId="11965"/>
    <cellStyle name="Note 6 2" xfId="11966"/>
    <cellStyle name="Note 6 2 2" xfId="16190"/>
    <cellStyle name="Note 6 2 3" xfId="20213"/>
    <cellStyle name="Note 7" xfId="11967"/>
    <cellStyle name="Note 7 2" xfId="11968"/>
    <cellStyle name="Note 7 2 2" xfId="16191"/>
    <cellStyle name="Note 7 2 3" xfId="20214"/>
    <cellStyle name="Note 8" xfId="11969"/>
    <cellStyle name="Note 8 2" xfId="11970"/>
    <cellStyle name="Note 8 2 2" xfId="16192"/>
    <cellStyle name="Note 8 2 3" xfId="20215"/>
    <cellStyle name="Note 9" xfId="11971"/>
    <cellStyle name="Note 9 2" xfId="11972"/>
    <cellStyle name="Note 9 2 2" xfId="16193"/>
    <cellStyle name="Note 9 2 3" xfId="20216"/>
    <cellStyle name="NPPESalesPct" xfId="11973"/>
    <cellStyle name="NPPESalesPct 2" xfId="20359"/>
    <cellStyle name="Num1" xfId="11974"/>
    <cellStyle name="Num1Blue" xfId="11975"/>
    <cellStyle name="num1Style" xfId="11976"/>
    <cellStyle name="num1Styleb" xfId="11977"/>
    <cellStyle name="Num2" xfId="11978"/>
    <cellStyle name="num4Style" xfId="11979"/>
    <cellStyle name="num4Styleb" xfId="11980"/>
    <cellStyle name="Number" xfId="11981"/>
    <cellStyle name="Number 2" xfId="20360"/>
    <cellStyle name="numbers" xfId="11982"/>
    <cellStyle name="numbers 2" xfId="20361"/>
    <cellStyle name="numPStyle" xfId="11983"/>
    <cellStyle name="numPStyleb" xfId="11984"/>
    <cellStyle name="numXStyle" xfId="11985"/>
    <cellStyle name="numXStyleb" xfId="11986"/>
    <cellStyle name="Œ…‹æ_Ø‚è [0.00]_Affiliate Fcst Inputs" xfId="11987"/>
    <cellStyle name="Œ…‹æØ‚è [0.00]_!!!GO" xfId="11988"/>
    <cellStyle name="Œ…‹æØ‚è_!!!GO" xfId="11989"/>
    <cellStyle name="OScommands" xfId="11990"/>
    <cellStyle name="OSW_ColumnLabels" xfId="11991"/>
    <cellStyle name="Output 10" xfId="11992"/>
    <cellStyle name="Output 11" xfId="11993"/>
    <cellStyle name="Output 12" xfId="11994"/>
    <cellStyle name="Output 13" xfId="11995"/>
    <cellStyle name="Output 2" xfId="11996"/>
    <cellStyle name="Output 3" xfId="11997"/>
    <cellStyle name="Output 4" xfId="11998"/>
    <cellStyle name="Output 5" xfId="11999"/>
    <cellStyle name="Output 6" xfId="12000"/>
    <cellStyle name="Output 7" xfId="12001"/>
    <cellStyle name="Output 8" xfId="12002"/>
    <cellStyle name="Output 9" xfId="12003"/>
    <cellStyle name="Output Amounts" xfId="12004"/>
    <cellStyle name="Output Column Headings" xfId="12005"/>
    <cellStyle name="Output Line Items" xfId="12006"/>
    <cellStyle name="Output Report Heading" xfId="12007"/>
    <cellStyle name="Output Report Title" xfId="12008"/>
    <cellStyle name="Outputs" xfId="12009"/>
    <cellStyle name="Outputs 2" xfId="12010"/>
    <cellStyle name="Outputs 2 2" xfId="20296"/>
    <cellStyle name="Outputs 3" xfId="12011"/>
    <cellStyle name="Outputs 3 2" xfId="20297"/>
    <cellStyle name="Outputs 4" xfId="20298"/>
    <cellStyle name="OVER" xfId="12012"/>
    <cellStyle name="p" xfId="12013"/>
    <cellStyle name="P&amp;L Numbers" xfId="12014"/>
    <cellStyle name="p_DCF" xfId="12015"/>
    <cellStyle name="Page Heading" xfId="12016"/>
    <cellStyle name="Page Heading Large" xfId="12017"/>
    <cellStyle name="Page Heading Small" xfId="12018"/>
    <cellStyle name="Page Number" xfId="12019"/>
    <cellStyle name="paint" xfId="12020"/>
    <cellStyle name="Palatino" xfId="12021"/>
    <cellStyle name="pc1" xfId="12022"/>
    <cellStyle name="pc1 2" xfId="20362"/>
    <cellStyle name="pct_sub" xfId="12023"/>
    <cellStyle name="per.style" xfId="12024"/>
    <cellStyle name="per.style 2" xfId="20363"/>
    <cellStyle name="Percen" xfId="12025"/>
    <cellStyle name="Percen - Style1" xfId="12026"/>
    <cellStyle name="Percen - Style5" xfId="12027"/>
    <cellStyle name="Percent" xfId="12422" builtinId="5"/>
    <cellStyle name="Percent %" xfId="12028"/>
    <cellStyle name="Percent % Long Underline" xfId="12029"/>
    <cellStyle name="Percent (0)" xfId="12030"/>
    <cellStyle name="Percent (1)" xfId="12031"/>
    <cellStyle name="Percent (2)" xfId="12032"/>
    <cellStyle name="Percent [0]" xfId="12033"/>
    <cellStyle name="Percent [00]" xfId="12034"/>
    <cellStyle name="Percent [1]" xfId="12035"/>
    <cellStyle name="Percent [1] 2" xfId="20364"/>
    <cellStyle name="Percent [1][]" xfId="12036"/>
    <cellStyle name="Percent [1]_Aprio - Public Comps1" xfId="12037"/>
    <cellStyle name="Percent [2]" xfId="12038"/>
    <cellStyle name="Percent [2] 2" xfId="12039"/>
    <cellStyle name="Percent [2] 3" xfId="12040"/>
    <cellStyle name="Percent 0.0%" xfId="12041"/>
    <cellStyle name="Percent 0.0% Long Underline" xfId="12042"/>
    <cellStyle name="Percent 0.00%" xfId="12043"/>
    <cellStyle name="Percent 0.00% Long Underline" xfId="12044"/>
    <cellStyle name="Percent 0.000%" xfId="12045"/>
    <cellStyle name="Percent 0.000% Long Underline" xfId="12046"/>
    <cellStyle name="Percent 0.000%_Aprio - Public Comps1" xfId="12047"/>
    <cellStyle name="Percent 1" xfId="12048"/>
    <cellStyle name="Percent 10" xfId="2"/>
    <cellStyle name="Percent 10 2" xfId="12429"/>
    <cellStyle name="Percent 10 3" xfId="16385"/>
    <cellStyle name="Percent 10 4 2" xfId="20408"/>
    <cellStyle name="Percent 11" xfId="12049"/>
    <cellStyle name="Percent 12" xfId="12050"/>
    <cellStyle name="Percent 13" xfId="12051"/>
    <cellStyle name="Percent 13 2" xfId="16194"/>
    <cellStyle name="Percent 13 3" xfId="20217"/>
    <cellStyle name="Percent 14" xfId="12052"/>
    <cellStyle name="Percent 15" xfId="12053"/>
    <cellStyle name="Percent 16" xfId="20365"/>
    <cellStyle name="Percent 17" xfId="20431"/>
    <cellStyle name="Percent 18" xfId="20382"/>
    <cellStyle name="Percent 18 2" xfId="20423"/>
    <cellStyle name="Percent 19" xfId="20432"/>
    <cellStyle name="Percent 2" xfId="12054"/>
    <cellStyle name="Percent 2 2" xfId="12055"/>
    <cellStyle name="Percent 2 2 2" xfId="12056"/>
    <cellStyle name="Percent 2 3" xfId="12057"/>
    <cellStyle name="Percent 2 3 2" xfId="12058"/>
    <cellStyle name="Percent 2 4" xfId="12059"/>
    <cellStyle name="Percent 2 4 2" xfId="12060"/>
    <cellStyle name="Percent 2 5" xfId="12061"/>
    <cellStyle name="Percent 2 6" xfId="12062"/>
    <cellStyle name="Percent 2 7" xfId="16195"/>
    <cellStyle name="Percent 2 8" xfId="20218"/>
    <cellStyle name="Percent 2 9" xfId="20381"/>
    <cellStyle name="Percent 20" xfId="20434"/>
    <cellStyle name="Percent 21" xfId="20439"/>
    <cellStyle name="Percent 22" xfId="20448"/>
    <cellStyle name="Percent 3" xfId="12063"/>
    <cellStyle name="Percent 3 2" xfId="12064"/>
    <cellStyle name="Percent 3 2 2" xfId="12065"/>
    <cellStyle name="Percent 3 2 3" xfId="20299"/>
    <cellStyle name="Percent 3 3" xfId="12066"/>
    <cellStyle name="Percent 3 4" xfId="12067"/>
    <cellStyle name="Percent 3 5" xfId="12068"/>
    <cellStyle name="Percent 3 6" xfId="20416"/>
    <cellStyle name="Percent 4" xfId="12069"/>
    <cellStyle name="Percent 4 2" xfId="12070"/>
    <cellStyle name="Percent 5" xfId="12071"/>
    <cellStyle name="Percent 6" xfId="12072"/>
    <cellStyle name="Percent 7" xfId="12073"/>
    <cellStyle name="Percent 7 3" xfId="12424"/>
    <cellStyle name="Percent 8" xfId="12074"/>
    <cellStyle name="Percent 8 2" xfId="20308"/>
    <cellStyle name="Percent 8 3" xfId="12075"/>
    <cellStyle name="Percent 9" xfId="12076"/>
    <cellStyle name="Percent Decimal" xfId="12077"/>
    <cellStyle name="Percent Hard" xfId="12078"/>
    <cellStyle name="Percent Hard 2" xfId="20366"/>
    <cellStyle name="Percent Input" xfId="12079"/>
    <cellStyle name="Percent Input 2" xfId="20367"/>
    <cellStyle name="Percent*" xfId="12080"/>
    <cellStyle name="Percent1" xfId="12081"/>
    <cellStyle name="Percent1Blue" xfId="12082"/>
    <cellStyle name="Percent2" xfId="12083"/>
    <cellStyle name="Percent2 [0]" xfId="12084"/>
    <cellStyle name="Percent2 [1]" xfId="12085"/>
    <cellStyle name="Percent2Blue" xfId="12086"/>
    <cellStyle name="Percentage" xfId="12087"/>
    <cellStyle name="PercentChange" xfId="12088"/>
    <cellStyle name="PercentDash0" xfId="12089"/>
    <cellStyle name="PercentF [0]" xfId="12090"/>
    <cellStyle name="PercentF [1]" xfId="12091"/>
    <cellStyle name="PercentSales" xfId="12092"/>
    <cellStyle name="PercentSales 2" xfId="20368"/>
    <cellStyle name="PercentText0" xfId="12093"/>
    <cellStyle name="Periods" xfId="12094"/>
    <cellStyle name="Perlong" xfId="12095"/>
    <cellStyle name="Plain" xfId="12096"/>
    <cellStyle name="Plan" xfId="12097"/>
    <cellStyle name="pound" xfId="12098"/>
    <cellStyle name="pound 2" xfId="20369"/>
    <cellStyle name="Pourcentage 2" xfId="12099"/>
    <cellStyle name="Pourcentage 3" xfId="12100"/>
    <cellStyle name="PrePop Currency (0)" xfId="12101"/>
    <cellStyle name="PrePop Currency (2)" xfId="12102"/>
    <cellStyle name="PrePop Units (0)" xfId="12103"/>
    <cellStyle name="PrePop Units (1)" xfId="12104"/>
    <cellStyle name="PrePop Units (2)" xfId="12105"/>
    <cellStyle name="Price" xfId="12106"/>
    <cellStyle name="pricing" xfId="12107"/>
    <cellStyle name="Private" xfId="12108"/>
    <cellStyle name="Private1" xfId="12109"/>
    <cellStyle name="Product Title" xfId="12110"/>
    <cellStyle name="PROJECT" xfId="12111"/>
    <cellStyle name="PROJECT R" xfId="12112"/>
    <cellStyle name="PROJECT_Boston Power VD 01 31 2008 Model 02 26 2008" xfId="12113"/>
    <cellStyle name="Protected" xfId="12114"/>
    <cellStyle name="Protection" xfId="12115"/>
    <cellStyle name="PSChar" xfId="12116"/>
    <cellStyle name="PSDate" xfId="12117"/>
    <cellStyle name="PSDec" xfId="12118"/>
    <cellStyle name="PSHeading" xfId="12119"/>
    <cellStyle name="PSHeading 2" xfId="20370"/>
    <cellStyle name="PSInt" xfId="12120"/>
    <cellStyle name="PSSpacer" xfId="12121"/>
    <cellStyle name="question" xfId="12122"/>
    <cellStyle name="Ratio (1)" xfId="12123"/>
    <cellStyle name="Ratio (2)" xfId="12124"/>
    <cellStyle name="Ratio_U (1)" xfId="12125"/>
    <cellStyle name="RatioX" xfId="12126"/>
    <cellStyle name="Read" xfId="12127"/>
    <cellStyle name="Read$" xfId="12128"/>
    <cellStyle name="Read%" xfId="12129"/>
    <cellStyle name="ReadInData" xfId="12130"/>
    <cellStyle name="Réalisé" xfId="12131"/>
    <cellStyle name="Red font" xfId="12132"/>
    <cellStyle name="Red Text" xfId="12133"/>
    <cellStyle name="regstoresfromspecstores" xfId="12134"/>
    <cellStyle name="Regular" xfId="12135"/>
    <cellStyle name="ReportNums" xfId="12136"/>
    <cellStyle name="ReportNums 2" xfId="12137"/>
    <cellStyle name="ReportNums 2 2" xfId="12138"/>
    <cellStyle name="ReportNums 2 2 2" xfId="16197"/>
    <cellStyle name="ReportNums 2 2 3" xfId="20220"/>
    <cellStyle name="ReportNums 2 3" xfId="16196"/>
    <cellStyle name="ReportNums 2 4" xfId="20219"/>
    <cellStyle name="ReportNums 3" xfId="12139"/>
    <cellStyle name="ReportNums 3 2" xfId="12140"/>
    <cellStyle name="ReportNums 3 2 2" xfId="16199"/>
    <cellStyle name="ReportNums 3 2 3" xfId="20222"/>
    <cellStyle name="ReportNums 3 3" xfId="16198"/>
    <cellStyle name="ReportNums 3 4" xfId="20221"/>
    <cellStyle name="Results % 3 dp" xfId="12141"/>
    <cellStyle name="Results 3 dp" xfId="12142"/>
    <cellStyle name="RevList" xfId="12143"/>
    <cellStyle name="Right Heading 1" xfId="12144"/>
    <cellStyle name="Right Heading 2" xfId="12145"/>
    <cellStyle name="Row Headings" xfId="12146"/>
    <cellStyle name="Row Lvl 1" xfId="12147"/>
    <cellStyle name="Row Lvl 2" xfId="12148"/>
    <cellStyle name="s]_x000d__x000a_load=nwpopup.exe_x000d__x000a_run=_x000d__x000a_Beep=yes_x000d__x000a_NullPort=None_x000d__x000a_BorderWidth=3_x000d__x000a_CursorBlinkRate=530_x000d__x000a_DoubleClickSpeed=452_x000d__x000a_Programs" xfId="12149"/>
    <cellStyle name="Salomon Logo" xfId="12150"/>
    <cellStyle name="SAPBEXaggData" xfId="12151"/>
    <cellStyle name="SAPBEXaggDataEmph" xfId="12152"/>
    <cellStyle name="SAPBEXaggItem" xfId="12153"/>
    <cellStyle name="SAPBEXchaText" xfId="12154"/>
    <cellStyle name="SAPBEXexcBad7" xfId="12155"/>
    <cellStyle name="SAPBEXexcBad8" xfId="12156"/>
    <cellStyle name="SAPBEXexcBad9" xfId="12157"/>
    <cellStyle name="SAPBEXexcCritical4" xfId="12158"/>
    <cellStyle name="SAPBEXexcCritical5" xfId="12159"/>
    <cellStyle name="SAPBEXexcCritical6" xfId="12160"/>
    <cellStyle name="SAPBEXexcGood1" xfId="12161"/>
    <cellStyle name="SAPBEXexcGood2" xfId="12162"/>
    <cellStyle name="SAPBEXexcGood3" xfId="12163"/>
    <cellStyle name="SAPBEXfilterDrill" xfId="12164"/>
    <cellStyle name="SAPBEXfilterItem" xfId="12165"/>
    <cellStyle name="SAPBEXfilterText" xfId="12166"/>
    <cellStyle name="SAPBEXformats" xfId="12167"/>
    <cellStyle name="SAPBEXheaderItem" xfId="12168"/>
    <cellStyle name="SAPBEXheaderText" xfId="12169"/>
    <cellStyle name="SAPBEXresData" xfId="12170"/>
    <cellStyle name="SAPBEXresDataEmph" xfId="12171"/>
    <cellStyle name="SAPBEXresItem" xfId="12172"/>
    <cellStyle name="SAPBEXstdData" xfId="12173"/>
    <cellStyle name="SAPBEXstdDataEmph" xfId="12174"/>
    <cellStyle name="SAPBEXstdItem" xfId="12175"/>
    <cellStyle name="SAPBEXtitle" xfId="12176"/>
    <cellStyle name="SAPBEXundefined" xfId="12177"/>
    <cellStyle name="SAPKey" xfId="12178"/>
    <cellStyle name="SAPKey 2" xfId="12179"/>
    <cellStyle name="SAPKey 3" xfId="12180"/>
    <cellStyle name="SAPLocked" xfId="12181"/>
    <cellStyle name="SAPLocked 2" xfId="12182"/>
    <cellStyle name="SAPLocked 3" xfId="12183"/>
    <cellStyle name="SAPOutput" xfId="12184"/>
    <cellStyle name="SAPOutput 2" xfId="12185"/>
    <cellStyle name="SAPOutput 3" xfId="12186"/>
    <cellStyle name="SAPSpace" xfId="12187"/>
    <cellStyle name="SAPSpace 2" xfId="12188"/>
    <cellStyle name="SAPSpace 3" xfId="12189"/>
    <cellStyle name="SAPText" xfId="12190"/>
    <cellStyle name="SAPText 2" xfId="12191"/>
    <cellStyle name="SAPText 3" xfId="12192"/>
    <cellStyle name="SAPUnLocked" xfId="12193"/>
    <cellStyle name="SAPUnLocked 2" xfId="12194"/>
    <cellStyle name="SAPUnLocked 3" xfId="12195"/>
    <cellStyle name="sbt2" xfId="12196"/>
    <cellStyle name="sbt2 2" xfId="12197"/>
    <cellStyle name="sbt2 2 2" xfId="12198"/>
    <cellStyle name="sbt2 2 2 2" xfId="20225"/>
    <cellStyle name="sbt2 2 3" xfId="20224"/>
    <cellStyle name="sbt2 3" xfId="12199"/>
    <cellStyle name="sbt2 3 2" xfId="12200"/>
    <cellStyle name="sbt2 3 2 2" xfId="20227"/>
    <cellStyle name="sbt2 3 3" xfId="20226"/>
    <cellStyle name="sbt2 4" xfId="12201"/>
    <cellStyle name="sbt2 4 2" xfId="20228"/>
    <cellStyle name="sbt2 5" xfId="20223"/>
    <cellStyle name="SectionHeaderNormal" xfId="12202"/>
    <cellStyle name="SectionHeading" xfId="12203"/>
    <cellStyle name="SectionHeading 2" xfId="12204"/>
    <cellStyle name="SectionHeading 2 2" xfId="12205"/>
    <cellStyle name="SectionHeading 2 2 2" xfId="16202"/>
    <cellStyle name="SectionHeading 2 2 3" xfId="20231"/>
    <cellStyle name="SectionHeading 2 3" xfId="16201"/>
    <cellStyle name="SectionHeading 2 4" xfId="20230"/>
    <cellStyle name="SectionHeading 3" xfId="12206"/>
    <cellStyle name="SectionHeading 3 2" xfId="12207"/>
    <cellStyle name="SectionHeading 3 2 2" xfId="16204"/>
    <cellStyle name="SectionHeading 3 2 3" xfId="20233"/>
    <cellStyle name="SectionHeading 3 3" xfId="16203"/>
    <cellStyle name="SectionHeading 3 4" xfId="20232"/>
    <cellStyle name="SectionHeading 4" xfId="12208"/>
    <cellStyle name="SectionHeading 4 2" xfId="16205"/>
    <cellStyle name="SectionHeading 4 3" xfId="20234"/>
    <cellStyle name="SectionHeading 5" xfId="16200"/>
    <cellStyle name="SectionHeading 6" xfId="20229"/>
    <cellStyle name="SGD 2" xfId="12209"/>
    <cellStyle name="SGD 2 2" xfId="20371"/>
    <cellStyle name="Shaded" xfId="12210"/>
    <cellStyle name="SHADEDSTORES" xfId="12211"/>
    <cellStyle name="SHADEDSTORES 2" xfId="12212"/>
    <cellStyle name="SHADEDSTORES 2 2" xfId="12213"/>
    <cellStyle name="SHADEDSTORES 2 2 2" xfId="16207"/>
    <cellStyle name="SHADEDSTORES 2 2 3" xfId="20236"/>
    <cellStyle name="SHADEDSTORES 2 3" xfId="16206"/>
    <cellStyle name="SHADEDSTORES 2 4" xfId="20235"/>
    <cellStyle name="SHADEDSTORES 3" xfId="12214"/>
    <cellStyle name="SHADEDSTORES 3 2" xfId="12215"/>
    <cellStyle name="SHADEDSTORES 3 2 2" xfId="16209"/>
    <cellStyle name="SHADEDSTORES 3 2 3" xfId="20238"/>
    <cellStyle name="SHADEDSTORES 3 3" xfId="16208"/>
    <cellStyle name="SHADEDSTORES 3 4" xfId="20237"/>
    <cellStyle name="Shading" xfId="12216"/>
    <cellStyle name="Shares" xfId="12217"/>
    <cellStyle name="Shares 2" xfId="20372"/>
    <cellStyle name="sharesout" xfId="12218"/>
    <cellStyle name="sharesout 2" xfId="12219"/>
    <cellStyle name="sharesout 2 2" xfId="12220"/>
    <cellStyle name="sharesout 2 2 2" xfId="16212"/>
    <cellStyle name="sharesout 2 2 3" xfId="20241"/>
    <cellStyle name="sharesout 2 3" xfId="16211"/>
    <cellStyle name="sharesout 2 4" xfId="20240"/>
    <cellStyle name="sharesout 3" xfId="12221"/>
    <cellStyle name="sharesout 3 2" xfId="12222"/>
    <cellStyle name="sharesout 3 2 2" xfId="16214"/>
    <cellStyle name="sharesout 3 2 3" xfId="20243"/>
    <cellStyle name="sharesout 3 3" xfId="16213"/>
    <cellStyle name="sharesout 3 4" xfId="20242"/>
    <cellStyle name="sharesout 4" xfId="12223"/>
    <cellStyle name="sharesout 4 2" xfId="16215"/>
    <cellStyle name="sharesout 4 3" xfId="20244"/>
    <cellStyle name="sharesout 5" xfId="16210"/>
    <cellStyle name="sharesout 6" xfId="20239"/>
    <cellStyle name="Sheetmult" xfId="12224"/>
    <cellStyle name="ShOut" xfId="12225"/>
    <cellStyle name="Shtmultx" xfId="12226"/>
    <cellStyle name="Single Accounting" xfId="12227"/>
    <cellStyle name="Single Border" xfId="12228"/>
    <cellStyle name="Single Border 2" xfId="12229"/>
    <cellStyle name="Single Border 2 2" xfId="20300"/>
    <cellStyle name="Single Border 3" xfId="12230"/>
    <cellStyle name="Single Border 3 2" xfId="20301"/>
    <cellStyle name="Single Border 4" xfId="20302"/>
    <cellStyle name="Size10Pt" xfId="12231"/>
    <cellStyle name="Size10Pt 2" xfId="20373"/>
    <cellStyle name="Size12Pt" xfId="12232"/>
    <cellStyle name="Size12Pt 2" xfId="20374"/>
    <cellStyle name="Small Page Heading" xfId="12233"/>
    <cellStyle name="specstores" xfId="12234"/>
    <cellStyle name="Standaard_laroux" xfId="12235"/>
    <cellStyle name="STANDARD" xfId="12236"/>
    <cellStyle name="Std Currency" xfId="12237"/>
    <cellStyle name="Std Input" xfId="12238"/>
    <cellStyle name="Std Number" xfId="12239"/>
    <cellStyle name="Std Percent" xfId="12240"/>
    <cellStyle name="Std Text" xfId="12241"/>
    <cellStyle name="Strange" xfId="12242"/>
    <cellStyle name="Strange 2" xfId="20375"/>
    <cellStyle name="Strikethru" xfId="12243"/>
    <cellStyle name="STYL1 - Style1" xfId="12244"/>
    <cellStyle name="STYL1 - Style1 2" xfId="12245"/>
    <cellStyle name="Style 1" xfId="12246"/>
    <cellStyle name="Style 2" xfId="12247"/>
    <cellStyle name="Style 21" xfId="12248"/>
    <cellStyle name="Style 22" xfId="12249"/>
    <cellStyle name="Style 23" xfId="12250"/>
    <cellStyle name="Style 24" xfId="12251"/>
    <cellStyle name="Style 25" xfId="12252"/>
    <cellStyle name="Style 26" xfId="12253"/>
    <cellStyle name="Style 27" xfId="12254"/>
    <cellStyle name="Style 28" xfId="12255"/>
    <cellStyle name="Style 29" xfId="12256"/>
    <cellStyle name="Style 3" xfId="12257"/>
    <cellStyle name="Style 30" xfId="12258"/>
    <cellStyle name="Style 31" xfId="12259"/>
    <cellStyle name="Style 32" xfId="12260"/>
    <cellStyle name="Style 33" xfId="12261"/>
    <cellStyle name="Style 33 2" xfId="20376"/>
    <cellStyle name="Style 34" xfId="12262"/>
    <cellStyle name="Style 34 2" xfId="20377"/>
    <cellStyle name="Style 35" xfId="12263"/>
    <cellStyle name="Style 36" xfId="12264"/>
    <cellStyle name="Style 37" xfId="12265"/>
    <cellStyle name="Style 38" xfId="12266"/>
    <cellStyle name="Style 39" xfId="12267"/>
    <cellStyle name="Style 4" xfId="12268"/>
    <cellStyle name="Style 40" xfId="12269"/>
    <cellStyle name="Style 41" xfId="12270"/>
    <cellStyle name="Style 42" xfId="12271"/>
    <cellStyle name="Style 43" xfId="12272"/>
    <cellStyle name="Style 44" xfId="12273"/>
    <cellStyle name="Style 44 2" xfId="12274"/>
    <cellStyle name="Style 45" xfId="12275"/>
    <cellStyle name="Style 45 2" xfId="12276"/>
    <cellStyle name="Style 46" xfId="12277"/>
    <cellStyle name="Style 46 2" xfId="12278"/>
    <cellStyle name="Style 47" xfId="12279"/>
    <cellStyle name="Style 47 2" xfId="12280"/>
    <cellStyle name="Style 48" xfId="12281"/>
    <cellStyle name="Style 48 2" xfId="12282"/>
    <cellStyle name="Style 49" xfId="12283"/>
    <cellStyle name="Style 49 2" xfId="12284"/>
    <cellStyle name="Style 5" xfId="12285"/>
    <cellStyle name="Style 50" xfId="12286"/>
    <cellStyle name="Style 50 2" xfId="12287"/>
    <cellStyle name="Style 51" xfId="12288"/>
    <cellStyle name="Style 51 2" xfId="12289"/>
    <cellStyle name="Style 51 3" xfId="12290"/>
    <cellStyle name="Style 52" xfId="12291"/>
    <cellStyle name="Style 53" xfId="12292"/>
    <cellStyle name="Style 54" xfId="12293"/>
    <cellStyle name="Style 55" xfId="12294"/>
    <cellStyle name="Style 56" xfId="12295"/>
    <cellStyle name="Style 57" xfId="12296"/>
    <cellStyle name="Style 58" xfId="12297"/>
    <cellStyle name="Style 59" xfId="12298"/>
    <cellStyle name="Style 6" xfId="12299"/>
    <cellStyle name="Style 60" xfId="12300"/>
    <cellStyle name="Style 61" xfId="12301"/>
    <cellStyle name="Style 62" xfId="12302"/>
    <cellStyle name="Style 63" xfId="12303"/>
    <cellStyle name="Style 64" xfId="12304"/>
    <cellStyle name="Style 65" xfId="12305"/>
    <cellStyle name="Style 66" xfId="12306"/>
    <cellStyle name="Style 67" xfId="12307"/>
    <cellStyle name="Style 68" xfId="12308"/>
    <cellStyle name="Style 69" xfId="12309"/>
    <cellStyle name="Style 7" xfId="12310"/>
    <cellStyle name="Style 70" xfId="12311"/>
    <cellStyle name="Style 71" xfId="12312"/>
    <cellStyle name="Style 72" xfId="12313"/>
    <cellStyle name="Style 73" xfId="12314"/>
    <cellStyle name="Style 74" xfId="12315"/>
    <cellStyle name="Style 75" xfId="12316"/>
    <cellStyle name="Style 76" xfId="12317"/>
    <cellStyle name="Style 77" xfId="12318"/>
    <cellStyle name="Style 77 2" xfId="12319"/>
    <cellStyle name="Style 78" xfId="12320"/>
    <cellStyle name="Style 79" xfId="12321"/>
    <cellStyle name="Style 8" xfId="12322"/>
    <cellStyle name="Style 80" xfId="12323"/>
    <cellStyle name="Style 85" xfId="12324"/>
    <cellStyle name="Style 87" xfId="12325"/>
    <cellStyle name="Style 9" xfId="12326"/>
    <cellStyle name="Style 91" xfId="12327"/>
    <cellStyle name="Style 93" xfId="12328"/>
    <cellStyle name="STYLE1" xfId="12329"/>
    <cellStyle name="STYLE1 2" xfId="12330"/>
    <cellStyle name="STYLE10" xfId="12331"/>
    <cellStyle name="STYLE10 2" xfId="12332"/>
    <cellStyle name="STYLE11" xfId="12333"/>
    <cellStyle name="STYLE11 2" xfId="12334"/>
    <cellStyle name="STYLE12" xfId="12335"/>
    <cellStyle name="STYLE12 2" xfId="12336"/>
    <cellStyle name="STYLE13" xfId="12337"/>
    <cellStyle name="STYLE14" xfId="12338"/>
    <cellStyle name="STYLE15" xfId="12339"/>
    <cellStyle name="STYLE2" xfId="12340"/>
    <cellStyle name="STYLE2 2" xfId="12341"/>
    <cellStyle name="STYLE2 3" xfId="12342"/>
    <cellStyle name="STYLE3" xfId="12343"/>
    <cellStyle name="STYLE3 2" xfId="12344"/>
    <cellStyle name="STYLE3 3" xfId="12345"/>
    <cellStyle name="STYLE4" xfId="12346"/>
    <cellStyle name="STYLE4 2" xfId="12347"/>
    <cellStyle name="STYLE4 2 2" xfId="12348"/>
    <cellStyle name="STYLE4 2 2 2" xfId="12349"/>
    <cellStyle name="STYLE4 2 3" xfId="12350"/>
    <cellStyle name="STYLE4 3" xfId="12351"/>
    <cellStyle name="STYLE4 4" xfId="12352"/>
    <cellStyle name="STYLE4_3VR Common Stock Valuation Analysis Version 2" xfId="12353"/>
    <cellStyle name="STYLE5" xfId="12354"/>
    <cellStyle name="STYLE5 2" xfId="12355"/>
    <cellStyle name="STYLE5_BS Jan 05 with Plan 0222" xfId="12356"/>
    <cellStyle name="STYLE6" xfId="12357"/>
    <cellStyle name="STYLE6 2" xfId="12358"/>
    <cellStyle name="STYLE6_BS" xfId="12359"/>
    <cellStyle name="STYLE7" xfId="12360"/>
    <cellStyle name="STYLE7 2" xfId="12361"/>
    <cellStyle name="STYLE7 3" xfId="12362"/>
    <cellStyle name="STYLE7_BS Jan 05 with Plan 0222" xfId="12363"/>
    <cellStyle name="STYLE8" xfId="12364"/>
    <cellStyle name="STYLE8 2" xfId="12365"/>
    <cellStyle name="STYLE8 3" xfId="12366"/>
    <cellStyle name="STYLE8_BS Jan 05 with Plan 0222" xfId="12367"/>
    <cellStyle name="STYLE9" xfId="12368"/>
    <cellStyle name="STYLE9 2" xfId="12369"/>
    <cellStyle name="STYLE9 3" xfId="12370"/>
    <cellStyle name="STYLE9_Exec " xfId="12371"/>
    <cellStyle name="subhead" xfId="12372"/>
    <cellStyle name="Sub-Heading" xfId="12373"/>
    <cellStyle name="Subscribers" xfId="12374"/>
    <cellStyle name="SubScript" xfId="12375"/>
    <cellStyle name="subt1" xfId="12376"/>
    <cellStyle name="Subtitle" xfId="12377"/>
    <cellStyle name="Subtotal" xfId="12378"/>
    <cellStyle name="Summary" xfId="12379"/>
    <cellStyle name="SuperScript" xfId="12380"/>
    <cellStyle name="Table" xfId="12381"/>
    <cellStyle name="Table Bottom" xfId="12382"/>
    <cellStyle name="Table Col Head" xfId="12383"/>
    <cellStyle name="Table Head" xfId="12384"/>
    <cellStyle name="Table Head Aligned" xfId="12385"/>
    <cellStyle name="Table Head Aligned 2" xfId="12386"/>
    <cellStyle name="Table Head Aligned 3" xfId="12387"/>
    <cellStyle name="Table Head Blue" xfId="12388"/>
    <cellStyle name="Table Head Green" xfId="12389"/>
    <cellStyle name="Table Head Green 2" xfId="12390"/>
    <cellStyle name="Table Head Green 3" xfId="12391"/>
    <cellStyle name="Table Head_Cash Flow" xfId="12392"/>
    <cellStyle name="Table Sub Head" xfId="12393"/>
    <cellStyle name="Table Sub Heading" xfId="12394"/>
    <cellStyle name="Table Text" xfId="12395"/>
    <cellStyle name="Table Title" xfId="12396"/>
    <cellStyle name="Table Top" xfId="12397"/>
    <cellStyle name="Table Unites" xfId="12398"/>
    <cellStyle name="Table Units" xfId="12399"/>
    <cellStyle name="Table_Eric CapIQ unlinked v1" xfId="12400"/>
    <cellStyle name="TableBase" xfId="12401"/>
    <cellStyle name="TableColumnHeading" xfId="12402"/>
    <cellStyle name="TableHead" xfId="12403"/>
    <cellStyle name="TableSubTitleItalic" xfId="12404"/>
    <cellStyle name="TableText" xfId="12405"/>
    <cellStyle name="TableTitle" xfId="12406"/>
    <cellStyle name="TABLETXT" xfId="12407"/>
    <cellStyle name="test" xfId="12408"/>
    <cellStyle name="Test [green]" xfId="12409"/>
    <cellStyle name="Text" xfId="12410"/>
    <cellStyle name="Text 1" xfId="12411"/>
    <cellStyle name="Text Head 1" xfId="12412"/>
    <cellStyle name="Text Indent A" xfId="12413"/>
    <cellStyle name="Text Indent B" xfId="12414"/>
    <cellStyle name="Text Indent C" xfId="12415"/>
    <cellStyle name="Text Level 2" xfId="20451"/>
    <cellStyle name="Text Wrap" xfId="12416"/>
    <cellStyle name="TextBold" xfId="12417"/>
    <cellStyle name="TextDys0" xfId="12418"/>
    <cellStyle name="TextNormal" xfId="20303"/>
    <cellStyle name="Title 2" xfId="20304"/>
    <cellStyle name="Total 2" xfId="12419"/>
    <cellStyle name="Warning Text 2" xfId="12420"/>
  </cellStyles>
  <dxfs count="265">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rgb="FF0000FF"/>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font>
    </dxf>
    <dxf>
      <font>
        <b/>
        <i val="0"/>
      </font>
    </dxf>
    <dxf>
      <font>
        <color theme="0"/>
      </font>
    </dxf>
    <dxf>
      <font>
        <b/>
        <i val="0"/>
      </font>
    </dxf>
    <dxf>
      <font>
        <b/>
        <i val="0"/>
      </font>
    </dxf>
    <dxf>
      <font>
        <b/>
        <i val="0"/>
      </font>
    </dxf>
    <dxf>
      <font>
        <color theme="0"/>
      </font>
    </dxf>
    <dxf>
      <font>
        <b/>
        <i val="0"/>
      </font>
    </dxf>
    <dxf>
      <font>
        <b/>
        <i val="0"/>
      </font>
    </dxf>
    <dxf>
      <font>
        <b/>
        <i val="0"/>
        <condense val="0"/>
        <extend val="0"/>
        <color indexed="13"/>
      </font>
      <fill>
        <patternFill>
          <bgColor indexed="12"/>
        </patternFill>
      </fill>
    </dxf>
    <dxf>
      <font>
        <b/>
        <i val="0"/>
      </font>
    </dxf>
    <dxf>
      <font>
        <b/>
        <i val="0"/>
      </font>
    </dxf>
    <dxf>
      <font>
        <b/>
        <i val="0"/>
      </font>
    </dxf>
    <dxf>
      <font>
        <b/>
        <i val="0"/>
      </font>
    </dxf>
    <dxf>
      <fill>
        <patternFill patternType="solid">
          <bgColor rgb="FFFFFF00"/>
        </patternFill>
      </fill>
    </dxf>
    <dxf>
      <font>
        <b/>
        <i val="0"/>
      </font>
    </dxf>
    <dxf>
      <font>
        <b/>
        <i val="0"/>
      </font>
    </dxf>
    <dxf>
      <font>
        <b/>
        <i val="0"/>
      </font>
    </dxf>
    <dxf>
      <font>
        <b/>
        <i val="0"/>
      </font>
    </dxf>
    <dxf>
      <fill>
        <patternFill patternType="solid">
          <bgColor rgb="FFFFFF00"/>
        </patternFill>
      </fill>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sz val="9"/>
      </font>
    </dxf>
    <dxf>
      <font>
        <sz val="9"/>
      </font>
    </dxf>
    <dxf>
      <font>
        <sz val="9"/>
      </font>
    </dxf>
    <dxf>
      <font>
        <sz val="9"/>
      </font>
    </dxf>
    <dxf>
      <font>
        <sz val="9"/>
      </font>
    </dxf>
    <dxf>
      <font>
        <sz val="9"/>
      </font>
    </dxf>
    <dxf>
      <font>
        <sz val="9"/>
      </font>
    </dxf>
  </dxfs>
  <tableStyles count="0" defaultTableStyle="TableStyleMedium9" defaultPivotStyle="PivotStyleLight16"/>
  <colors>
    <mruColors>
      <color rgb="FF008000"/>
      <color rgb="FF0000FF"/>
      <color rgb="FFDCE6F1"/>
      <color rgb="FF009900"/>
      <color rgb="FF000000"/>
      <color rgb="FF80808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07" Type="http://schemas.openxmlformats.org/officeDocument/2006/relationships/theme" Target="theme/theme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externalLink" Target="externalLinks/externalLink2.xml"/><Relationship Id="rId102" Type="http://schemas.openxmlformats.org/officeDocument/2006/relationships/externalLink" Target="externalLinks/externalLink17.xml"/><Relationship Id="rId110"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5.xml"/><Relationship Id="rId95" Type="http://schemas.openxmlformats.org/officeDocument/2006/relationships/externalLink" Target="externalLinks/externalLink10.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externalLink" Target="externalLinks/externalLink15.xml"/><Relationship Id="rId105" Type="http://schemas.openxmlformats.org/officeDocument/2006/relationships/externalLink" Target="externalLinks/externalLink20.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8.xml"/><Relationship Id="rId98" Type="http://schemas.openxmlformats.org/officeDocument/2006/relationships/externalLink" Target="externalLinks/externalLink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externalLink" Target="externalLinks/externalLink18.xml"/><Relationship Id="rId108"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externalLink" Target="externalLinks/externalLink3.xml"/><Relationship Id="rId91" Type="http://schemas.openxmlformats.org/officeDocument/2006/relationships/externalLink" Target="externalLinks/externalLink6.xml"/><Relationship Id="rId96" Type="http://schemas.openxmlformats.org/officeDocument/2006/relationships/externalLink" Target="externalLinks/externalLink11.xml"/><Relationship Id="rId11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externalLink" Target="externalLinks/externalLink1.xml"/><Relationship Id="rId94" Type="http://schemas.openxmlformats.org/officeDocument/2006/relationships/externalLink" Target="externalLinks/externalLink9.xml"/><Relationship Id="rId99" Type="http://schemas.openxmlformats.org/officeDocument/2006/relationships/externalLink" Target="externalLinks/externalLink14.xml"/><Relationship Id="rId101" Type="http://schemas.openxmlformats.org/officeDocument/2006/relationships/externalLink" Target="externalLinks/externalLink1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sharedStrings" Target="sharedStrings.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externalLink" Target="externalLinks/externalLink12.xml"/><Relationship Id="rId104" Type="http://schemas.openxmlformats.org/officeDocument/2006/relationships/externalLink" Target="externalLinks/externalLink19.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667989848376394E-2"/>
          <c:y val="4.1270586790686251E-2"/>
          <c:w val="0.98433201015162364"/>
          <c:h val="0.91307159521726455"/>
        </c:manualLayout>
      </c:layout>
      <c:ofPieChart>
        <c:ofPieType val="pie"/>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2D97-40E8-871E-C189FCF72A4F}"/>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3-2D97-40E8-871E-C189FCF72A4F}"/>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5-2D97-40E8-871E-C189FCF72A4F}"/>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7-2D97-40E8-871E-C189FCF72A4F}"/>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9-2D97-40E8-871E-C189FCF72A4F}"/>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B-2D97-40E8-871E-C189FCF72A4F}"/>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D-2D97-40E8-871E-C189FCF72A4F}"/>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F-2D97-40E8-871E-C189FCF72A4F}"/>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1-2D97-40E8-871E-C189FCF72A4F}"/>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3-2D97-40E8-871E-C189FCF72A4F}"/>
              </c:ext>
            </c:extLst>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5-AB9E-4F80-9918-7B49AD8B71CD}"/>
              </c:ext>
            </c:extLst>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7-AB9E-4F80-9918-7B49AD8B71CD}"/>
              </c:ext>
            </c:extLst>
          </c:dPt>
          <c:dLbls>
            <c:dLbl>
              <c:idx val="9"/>
              <c:layout/>
              <c:tx>
                <c:rich>
                  <a:bodyPr/>
                  <a:lstStyle/>
                  <a:p>
                    <a:r>
                      <a:rPr lang="en-US" baseline="0"/>
                      <a:t>Common &amp; Equivalent
</a:t>
                    </a:r>
                    <a:fld id="{6F9DBA7A-8412-4DF1-8EED-F629AA63B57A}" type="PERCENTAGE">
                      <a:rPr lang="en-US" baseline="0"/>
                      <a:pPr/>
                      <a:t>[PERCENTAGE]</a:t>
                    </a:fld>
                    <a:endParaRPr lang="en-US" baseline="0"/>
                  </a:p>
                </c:rich>
              </c:tx>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13-2D97-40E8-871E-C189FCF72A4F}"/>
                </c:ext>
                <c:ext xmlns:c15="http://schemas.microsoft.com/office/drawing/2012/chart" uri="{CE6537A1-D6FC-4f65-9D91-7224C49458BB}">
                  <c15:layout/>
                  <c15:dlblFieldTable/>
                  <c15:showDataLabelsRange val="0"/>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xmlns:c16r2="http://schemas.microsoft.com/office/drawing/2015/06/chart">
              <c:ext xmlns:c15="http://schemas.microsoft.com/office/drawing/2012/chart" uri="{CE6537A1-D6FC-4f65-9D91-7224C49458BB}">
                <c15:layout/>
              </c:ext>
            </c:extLst>
          </c:dLbls>
          <c:cat>
            <c:strRef>
              <c:f>('Cap Table'!$D$7:$M$7,'Cap Table'!$B$13)</c:f>
              <c:strCache>
                <c:ptCount val="11"/>
                <c:pt idx="0">
                  <c:v>Series A-1</c:v>
                </c:pt>
                <c:pt idx="1">
                  <c:v>Series A-2</c:v>
                </c:pt>
                <c:pt idx="2">
                  <c:v>Series B Tranche I</c:v>
                </c:pt>
                <c:pt idx="3">
                  <c:v>Series B Tranche II</c:v>
                </c:pt>
                <c:pt idx="4">
                  <c:v>Series C Tranche I</c:v>
                </c:pt>
                <c:pt idx="5">
                  <c:v>Series C Tranche II</c:v>
                </c:pt>
                <c:pt idx="6">
                  <c:v>Series D Tranche I</c:v>
                </c:pt>
                <c:pt idx="7">
                  <c:v>Series D Tranche II</c:v>
                </c:pt>
                <c:pt idx="8">
                  <c:v>Series E</c:v>
                </c:pt>
                <c:pt idx="9">
                  <c:v>Common</c:v>
                </c:pt>
                <c:pt idx="10">
                  <c:v>Options Outstanding </c:v>
                </c:pt>
              </c:strCache>
            </c:strRef>
          </c:cat>
          <c:val>
            <c:numRef>
              <c:f>('Cap Table'!$D$16:$M$16,'Cap Table'!$O$13)</c:f>
              <c:numCache>
                <c:formatCode>_(* #,##0.0_);_(* \(#,##0.0\);_(* "-"_);_(@_)</c:formatCode>
                <c:ptCount val="11"/>
                <c:pt idx="0">
                  <c:v>5499.9989999999998</c:v>
                </c:pt>
                <c:pt idx="1">
                  <c:v>20916.409</c:v>
                </c:pt>
                <c:pt idx="2">
                  <c:v>3571.4279999999999</c:v>
                </c:pt>
                <c:pt idx="3">
                  <c:v>3571.4290000000001</c:v>
                </c:pt>
                <c:pt idx="4">
                  <c:v>2384.889986666667</c:v>
                </c:pt>
                <c:pt idx="5">
                  <c:v>2384.889986666667</c:v>
                </c:pt>
                <c:pt idx="6">
                  <c:v>2646.0859999999998</c:v>
                </c:pt>
                <c:pt idx="7">
                  <c:v>1852.702</c:v>
                </c:pt>
                <c:pt idx="8">
                  <c:v>5064.8329999999996</c:v>
                </c:pt>
                <c:pt idx="9">
                  <c:v>15046.911</c:v>
                </c:pt>
                <c:pt idx="10">
                  <c:v>7100.8919999999998</c:v>
                </c:pt>
              </c:numCache>
            </c:numRef>
          </c:val>
          <c:extLst xmlns:c16r2="http://schemas.microsoft.com/office/drawing/2015/06/chart">
            <c:ext xmlns:c16="http://schemas.microsoft.com/office/drawing/2014/chart" uri="{C3380CC4-5D6E-409C-BE32-E72D297353CC}">
              <c16:uniqueId val="{00000014-2D97-40E8-871E-C189FCF72A4F}"/>
            </c:ext>
          </c:extLst>
        </c:ser>
        <c:dLbls>
          <c:showLegendKey val="0"/>
          <c:showVal val="0"/>
          <c:showCatName val="0"/>
          <c:showSerName val="0"/>
          <c:showPercent val="0"/>
          <c:showBubbleSize val="0"/>
          <c:showLeaderLines val="1"/>
        </c:dLbls>
        <c:gapWidth val="24"/>
        <c:splitType val="pos"/>
        <c:splitPos val="2"/>
        <c:secondPieSize val="60"/>
        <c:serLines>
          <c:spPr>
            <a:ln w="9525" cap="flat" cmpd="sng" algn="ctr">
              <a:solidFill>
                <a:schemeClr val="tx1">
                  <a:alpha val="54000"/>
                </a:schemeClr>
              </a:solidFill>
              <a:round/>
            </a:ln>
            <a:effectLst/>
          </c:spPr>
        </c:serLines>
      </c:ofPieChart>
      <c:spPr>
        <a:noFill/>
        <a:ln>
          <a:noFill/>
        </a:ln>
        <a:effectLst/>
      </c:spPr>
    </c:plotArea>
    <c:plotVisOnly val="1"/>
    <c:dispBlanksAs val="gap"/>
    <c:showDLblsOverMax val="0"/>
  </c:chart>
  <c:spPr>
    <a:gradFill flip="none" rotWithShape="1">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gradFill>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spc="0" baseline="0">
                <a:ln w="0"/>
                <a:solidFill>
                  <a:schemeClr val="tx2"/>
                </a:solidFill>
                <a:effectLst>
                  <a:outerShdw blurRad="38100" dist="25400" dir="5400000" algn="ctr" rotWithShape="0">
                    <a:srgbClr val="6E747A">
                      <a:alpha val="43000"/>
                    </a:srgbClr>
                  </a:outerShdw>
                </a:effectLst>
                <a:latin typeface="Times New Roman" panose="02020603050405020304" pitchFamily="18" charset="0"/>
                <a:ea typeface="+mn-ea"/>
                <a:cs typeface="Times New Roman" panose="02020603050405020304" pitchFamily="18" charset="0"/>
              </a:defRPr>
            </a:pPr>
            <a:r>
              <a:rPr lang="en-US" sz="1400" b="1" cap="none" spc="0">
                <a:ln w="0"/>
                <a:solidFill>
                  <a:schemeClr val="tx2"/>
                </a:solidFill>
                <a:effectLst>
                  <a:outerShdw blurRad="38100" dist="25400" dir="5400000" algn="ctr" rotWithShape="0">
                    <a:srgbClr val="6E747A">
                      <a:alpha val="43000"/>
                    </a:srgbClr>
                  </a:outerShdw>
                </a:effectLst>
                <a:latin typeface="Times New Roman" panose="02020603050405020304" pitchFamily="18" charset="0"/>
                <a:ea typeface="+mn-ea"/>
                <a:cs typeface="Times New Roman" panose="02020603050405020304" pitchFamily="18" charset="0"/>
              </a:rPr>
              <a:t>Equity Volatility</a:t>
            </a:r>
            <a:endParaRPr lang="en-US" sz="1400" b="1" cap="none" spc="0">
              <a:ln w="0"/>
              <a:solidFill>
                <a:schemeClr val="tx2"/>
              </a:solidFill>
              <a:effectLst>
                <a:outerShdw blurRad="38100" dist="25400" dir="5400000" algn="ctr" rotWithShape="0">
                  <a:srgbClr val="6E747A">
                    <a:alpha val="43000"/>
                  </a:srgbClr>
                </a:outerShdw>
              </a:effectLst>
              <a:latin typeface="Times New Roman" panose="02020603050405020304" pitchFamily="18" charset="0"/>
              <a:cs typeface="Times New Roman" panose="02020603050405020304" pitchFamily="18" charset="0"/>
            </a:endParaRPr>
          </a:p>
        </c:rich>
      </c:tx>
      <c:layout>
        <c:manualLayout>
          <c:xMode val="edge"/>
          <c:yMode val="edge"/>
          <c:x val="0.33054766983558492"/>
          <c:y val="1.3308151979157587E-2"/>
        </c:manualLayout>
      </c:layout>
      <c:overlay val="0"/>
      <c:spPr>
        <a:solidFill>
          <a:schemeClr val="lt1"/>
        </a:solidFill>
        <a:ln w="25400" cap="flat" cmpd="sng" algn="ctr">
          <a:noFill/>
          <a:prstDash val="solid"/>
        </a:ln>
        <a:effectLst/>
      </c:spPr>
      <c:txPr>
        <a:bodyPr rot="0" spcFirstLastPara="1" vertOverflow="ellipsis" vert="horz" wrap="square" anchor="ctr" anchorCtr="1"/>
        <a:lstStyle/>
        <a:p>
          <a:pPr>
            <a:defRPr sz="1400" b="1" i="0" u="none" strike="noStrike" kern="1200" cap="none" spc="0" baseline="0">
              <a:ln w="0"/>
              <a:solidFill>
                <a:schemeClr val="tx2"/>
              </a:solidFill>
              <a:effectLst>
                <a:outerShdw blurRad="38100" dist="25400" dir="5400000" algn="ctr" rotWithShape="0">
                  <a:srgbClr val="6E747A">
                    <a:alpha val="43000"/>
                  </a:srgbClr>
                </a:outerShdw>
              </a:effectLst>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8.2522669616130764E-2"/>
          <c:y val="0.14550925925925925"/>
          <c:w val="0.62622143803930863"/>
          <c:h val="0.75635061242344703"/>
        </c:manualLayout>
      </c:layout>
      <c:stockChart>
        <c:ser>
          <c:idx val="2"/>
          <c:order val="0"/>
          <c:tx>
            <c:strRef>
              <c:f>'Equity Vol'!$B$52</c:f>
              <c:strCache>
                <c:ptCount val="1"/>
                <c:pt idx="0">
                  <c:v>1st Quartile</c:v>
                </c:pt>
              </c:strCache>
            </c:strRef>
          </c:tx>
          <c:spPr>
            <a:ln w="28575" cap="rnd">
              <a:noFill/>
              <a:round/>
            </a:ln>
            <a:effectLst/>
          </c:spPr>
          <c:marker>
            <c:symbol val="none"/>
          </c:marker>
          <c:cat>
            <c:numRef>
              <c:f>'Equity Vol'!$D$8:$H$8</c:f>
              <c:numCache>
                <c:formatCode>_(* #,##0.00_);_(* \(#,##0.00\);_(* "-"_);_(@_)</c:formatCode>
                <c:ptCount val="5"/>
                <c:pt idx="0">
                  <c:v>1</c:v>
                </c:pt>
                <c:pt idx="1">
                  <c:v>2</c:v>
                </c:pt>
                <c:pt idx="2">
                  <c:v>3</c:v>
                </c:pt>
                <c:pt idx="3">
                  <c:v>4</c:v>
                </c:pt>
                <c:pt idx="4">
                  <c:v>5</c:v>
                </c:pt>
              </c:numCache>
            </c:numRef>
          </c:cat>
          <c:val>
            <c:numRef>
              <c:f>'Equity Vol'!$D$52:$H$52</c:f>
              <c:numCache>
                <c:formatCode>0.0%</c:formatCode>
                <c:ptCount val="5"/>
                <c:pt idx="0">
                  <c:v>0.45507245202265101</c:v>
                </c:pt>
                <c:pt idx="1">
                  <c:v>0.46011894801782688</c:v>
                </c:pt>
                <c:pt idx="2">
                  <c:v>0.51594335718345119</c:v>
                </c:pt>
                <c:pt idx="3">
                  <c:v>0.57622206874852833</c:v>
                </c:pt>
                <c:pt idx="4">
                  <c:v>0.55991745269550841</c:v>
                </c:pt>
              </c:numCache>
            </c:numRef>
          </c:val>
          <c:smooth val="0"/>
          <c:extLst xmlns:c16r2="http://schemas.microsoft.com/office/drawing/2015/06/chart">
            <c:ext xmlns:c16="http://schemas.microsoft.com/office/drawing/2014/chart" uri="{C3380CC4-5D6E-409C-BE32-E72D297353CC}">
              <c16:uniqueId val="{00000000-F03D-48A4-8EE4-F8D30D666BB9}"/>
            </c:ext>
          </c:extLst>
        </c:ser>
        <c:ser>
          <c:idx val="0"/>
          <c:order val="1"/>
          <c:tx>
            <c:strRef>
              <c:f>'Equity Vol'!$B$48</c:f>
              <c:strCache>
                <c:ptCount val="1"/>
                <c:pt idx="0">
                  <c:v>High</c:v>
                </c:pt>
              </c:strCache>
            </c:strRef>
          </c:tx>
          <c:spPr>
            <a:ln w="28575" cap="rnd">
              <a:noFill/>
              <a:round/>
            </a:ln>
            <a:effectLst>
              <a:outerShdw blurRad="50800" dist="88900" dir="5400000" algn="ctr" rotWithShape="0">
                <a:srgbClr val="000000">
                  <a:alpha val="43137"/>
                </a:srgbClr>
              </a:outerShdw>
            </a:effectLst>
          </c:spPr>
          <c:marker>
            <c:symbol val="dash"/>
            <c:size val="7"/>
            <c:spPr>
              <a:solidFill>
                <a:schemeClr val="accent2">
                  <a:lumMod val="75000"/>
                </a:schemeClr>
              </a:solidFill>
              <a:ln w="9525">
                <a:noFill/>
              </a:ln>
              <a:effectLst>
                <a:outerShdw blurRad="50800" dist="88900" dir="5400000" algn="ctr" rotWithShape="0">
                  <a:srgbClr val="000000">
                    <a:alpha val="43137"/>
                  </a:srgbClr>
                </a:outerShdw>
              </a:effectLst>
              <a:scene3d>
                <a:camera prst="orthographicFront"/>
                <a:lightRig rig="twoPt" dir="t"/>
              </a:scene3d>
              <a:sp3d prstMaterial="flat">
                <a:bevelT prst="slope"/>
                <a:bevelB prst="slope"/>
              </a:sp3d>
            </c:spPr>
          </c:marker>
          <c:cat>
            <c:numRef>
              <c:f>'Equity Vol'!$D$8:$H$8</c:f>
              <c:numCache>
                <c:formatCode>_(* #,##0.00_);_(* \(#,##0.00\);_(* "-"_);_(@_)</c:formatCode>
                <c:ptCount val="5"/>
                <c:pt idx="0">
                  <c:v>1</c:v>
                </c:pt>
                <c:pt idx="1">
                  <c:v>2</c:v>
                </c:pt>
                <c:pt idx="2">
                  <c:v>3</c:v>
                </c:pt>
                <c:pt idx="3">
                  <c:v>4</c:v>
                </c:pt>
                <c:pt idx="4">
                  <c:v>5</c:v>
                </c:pt>
              </c:numCache>
            </c:numRef>
          </c:cat>
          <c:val>
            <c:numRef>
              <c:f>'Equity Vol'!$D$48:$H$48</c:f>
              <c:numCache>
                <c:formatCode>0.0%</c:formatCode>
                <c:ptCount val="5"/>
                <c:pt idx="0">
                  <c:v>1.108049474673342</c:v>
                </c:pt>
                <c:pt idx="1">
                  <c:v>1.1830252022901278</c:v>
                </c:pt>
                <c:pt idx="2">
                  <c:v>1.1302394832325817</c:v>
                </c:pt>
                <c:pt idx="3">
                  <c:v>1.1396843049974372</c:v>
                </c:pt>
                <c:pt idx="4">
                  <c:v>1.1176246792128453</c:v>
                </c:pt>
              </c:numCache>
            </c:numRef>
          </c:val>
          <c:smooth val="0"/>
          <c:extLst xmlns:c16r2="http://schemas.microsoft.com/office/drawing/2015/06/chart">
            <c:ext xmlns:c16="http://schemas.microsoft.com/office/drawing/2014/chart" uri="{C3380CC4-5D6E-409C-BE32-E72D297353CC}">
              <c16:uniqueId val="{00000001-F03D-48A4-8EE4-F8D30D666BB9}"/>
            </c:ext>
          </c:extLst>
        </c:ser>
        <c:ser>
          <c:idx val="1"/>
          <c:order val="2"/>
          <c:tx>
            <c:strRef>
              <c:f>'Equity Vol'!$B$53</c:f>
              <c:strCache>
                <c:ptCount val="1"/>
                <c:pt idx="0">
                  <c:v>Low</c:v>
                </c:pt>
              </c:strCache>
            </c:strRef>
          </c:tx>
          <c:spPr>
            <a:ln w="28575" cap="rnd">
              <a:noFill/>
              <a:round/>
            </a:ln>
            <a:effectLst/>
          </c:spPr>
          <c:marker>
            <c:symbol val="dash"/>
            <c:size val="10"/>
            <c:spPr>
              <a:solidFill>
                <a:schemeClr val="accent2">
                  <a:lumMod val="75000"/>
                </a:schemeClr>
              </a:solidFill>
              <a:ln w="9525">
                <a:noFill/>
              </a:ln>
              <a:effectLst/>
              <a:scene3d>
                <a:camera prst="orthographicFront"/>
                <a:lightRig rig="twoPt" dir="t"/>
              </a:scene3d>
              <a:sp3d prstMaterial="flat">
                <a:bevelT prst="slope"/>
                <a:bevelB prst="slope"/>
              </a:sp3d>
            </c:spPr>
          </c:marker>
          <c:cat>
            <c:numRef>
              <c:f>'Equity Vol'!$D$8:$H$8</c:f>
              <c:numCache>
                <c:formatCode>_(* #,##0.00_);_(* \(#,##0.00\);_(* "-"_);_(@_)</c:formatCode>
                <c:ptCount val="5"/>
                <c:pt idx="0">
                  <c:v>1</c:v>
                </c:pt>
                <c:pt idx="1">
                  <c:v>2</c:v>
                </c:pt>
                <c:pt idx="2">
                  <c:v>3</c:v>
                </c:pt>
                <c:pt idx="3">
                  <c:v>4</c:v>
                </c:pt>
                <c:pt idx="4">
                  <c:v>5</c:v>
                </c:pt>
              </c:numCache>
            </c:numRef>
          </c:cat>
          <c:val>
            <c:numRef>
              <c:f>'Equity Vol'!$D$53:$H$53</c:f>
              <c:numCache>
                <c:formatCode>0.0%</c:formatCode>
                <c:ptCount val="5"/>
                <c:pt idx="0">
                  <c:v>0.23337104782440229</c:v>
                </c:pt>
                <c:pt idx="1">
                  <c:v>0.27152222085926869</c:v>
                </c:pt>
                <c:pt idx="2">
                  <c:v>0.27509605137080317</c:v>
                </c:pt>
                <c:pt idx="3">
                  <c:v>0.26647478565178756</c:v>
                </c:pt>
                <c:pt idx="4">
                  <c:v>0.25702694560965095</c:v>
                </c:pt>
              </c:numCache>
            </c:numRef>
          </c:val>
          <c:smooth val="0"/>
          <c:extLst xmlns:c16r2="http://schemas.microsoft.com/office/drawing/2015/06/chart">
            <c:ext xmlns:c16="http://schemas.microsoft.com/office/drawing/2014/chart" uri="{C3380CC4-5D6E-409C-BE32-E72D297353CC}">
              <c16:uniqueId val="{00000002-F03D-48A4-8EE4-F8D30D666BB9}"/>
            </c:ext>
          </c:extLst>
        </c:ser>
        <c:ser>
          <c:idx val="3"/>
          <c:order val="3"/>
          <c:tx>
            <c:strRef>
              <c:f>'Equity Vol'!$B$49</c:f>
              <c:strCache>
                <c:ptCount val="1"/>
                <c:pt idx="0">
                  <c:v>3rd Quartile</c:v>
                </c:pt>
              </c:strCache>
            </c:strRef>
          </c:tx>
          <c:spPr>
            <a:ln w="28575" cap="rnd">
              <a:noFill/>
              <a:round/>
            </a:ln>
            <a:effectLst/>
          </c:spPr>
          <c:marker>
            <c:symbol val="none"/>
          </c:marker>
          <c:cat>
            <c:numRef>
              <c:f>'Equity Vol'!$D$8:$H$8</c:f>
              <c:numCache>
                <c:formatCode>_(* #,##0.00_);_(* \(#,##0.00\);_(* "-"_);_(@_)</c:formatCode>
                <c:ptCount val="5"/>
                <c:pt idx="0">
                  <c:v>1</c:v>
                </c:pt>
                <c:pt idx="1">
                  <c:v>2</c:v>
                </c:pt>
                <c:pt idx="2">
                  <c:v>3</c:v>
                </c:pt>
                <c:pt idx="3">
                  <c:v>4</c:v>
                </c:pt>
                <c:pt idx="4">
                  <c:v>5</c:v>
                </c:pt>
              </c:numCache>
            </c:numRef>
          </c:cat>
          <c:val>
            <c:numRef>
              <c:f>'Equity Vol'!$D$49:$H$49</c:f>
              <c:numCache>
                <c:formatCode>0.0%</c:formatCode>
                <c:ptCount val="5"/>
                <c:pt idx="0">
                  <c:v>0.63742452418074735</c:v>
                </c:pt>
                <c:pt idx="1">
                  <c:v>0.80569706584351064</c:v>
                </c:pt>
                <c:pt idx="2">
                  <c:v>0.83860113416605564</c:v>
                </c:pt>
                <c:pt idx="3">
                  <c:v>0.87361088311090229</c:v>
                </c:pt>
                <c:pt idx="4">
                  <c:v>0.87361088311090229</c:v>
                </c:pt>
              </c:numCache>
            </c:numRef>
          </c:val>
          <c:smooth val="0"/>
          <c:extLst xmlns:c16r2="http://schemas.microsoft.com/office/drawing/2015/06/chart">
            <c:ext xmlns:c16="http://schemas.microsoft.com/office/drawing/2014/chart" uri="{C3380CC4-5D6E-409C-BE32-E72D297353CC}">
              <c16:uniqueId val="{00000003-F03D-48A4-8EE4-F8D30D666BB9}"/>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tx2"/>
              </a:solidFill>
              <a:ln w="9525" cap="flat" cmpd="sng" algn="ctr">
                <a:noFill/>
                <a:round/>
              </a:ln>
              <a:effectLst>
                <a:outerShdw blurRad="50800" dist="38100" dir="16200000" rotWithShape="0">
                  <a:schemeClr val="bg1">
                    <a:lumMod val="65000"/>
                    <a:alpha val="40000"/>
                  </a:schemeClr>
                </a:outerShdw>
              </a:effectLst>
              <a:scene3d>
                <a:camera prst="orthographicFront"/>
                <a:lightRig rig="twoPt" dir="t"/>
              </a:scene3d>
              <a:sp3d prstMaterial="flat">
                <a:bevelT w="165100" prst="coolSlant"/>
                <a:bevelB w="165100" prst="coolSlant"/>
              </a:sp3d>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577776312"/>
        <c:axId val="577775528"/>
      </c:stockChart>
      <c:catAx>
        <c:axId val="577776312"/>
        <c:scaling>
          <c:orientation val="minMax"/>
        </c:scaling>
        <c:delete val="0"/>
        <c:axPos val="b"/>
        <c:numFmt formatCode="_(* #,##0.00_);_(* \(#,##0.0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577775528"/>
        <c:crosses val="autoZero"/>
        <c:auto val="1"/>
        <c:lblAlgn val="ctr"/>
        <c:lblOffset val="100"/>
        <c:noMultiLvlLbl val="0"/>
      </c:catAx>
      <c:valAx>
        <c:axId val="5777755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solidFill>
              <a:schemeClr val="bg1">
                <a:lumMod val="6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577776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1">
            <a:lumMod val="85000"/>
          </a:schemeClr>
        </a:solidFill>
        <a:ln>
          <a:solidFill>
            <a:srgbClr val="000000"/>
          </a:solidFill>
        </a:ln>
        <a:effectLst/>
        <a:sp3d>
          <a:contourClr>
            <a:srgbClr val="000000"/>
          </a:contourClr>
        </a:sp3d>
      </c:spPr>
    </c:floor>
    <c:sideWall>
      <c:thickness val="0"/>
      <c:spPr>
        <a:noFill/>
        <a:ln>
          <a:solidFill>
            <a:schemeClr val="bg1">
              <a:lumMod val="75000"/>
            </a:schemeClr>
          </a:solidFill>
        </a:ln>
        <a:effectLst/>
        <a:sp3d>
          <a:contourClr>
            <a:schemeClr val="bg1">
              <a:lumMod val="75000"/>
            </a:schemeClr>
          </a:contourClr>
        </a:sp3d>
      </c:spPr>
    </c:sideWall>
    <c:backWall>
      <c:thickness val="0"/>
      <c:spPr>
        <a:noFill/>
        <a:ln>
          <a:solidFill>
            <a:schemeClr val="bg1">
              <a:lumMod val="75000"/>
            </a:schemeClr>
          </a:solidFill>
        </a:ln>
        <a:effectLst/>
        <a:sp3d>
          <a:contourClr>
            <a:schemeClr val="bg1">
              <a:lumMod val="75000"/>
            </a:schemeClr>
          </a:contourClr>
        </a:sp3d>
      </c:spPr>
    </c:backWall>
    <c:plotArea>
      <c:layout>
        <c:manualLayout>
          <c:layoutTarget val="inner"/>
          <c:xMode val="edge"/>
          <c:yMode val="edge"/>
          <c:x val="9.8715223097112864E-2"/>
          <c:y val="0.17530256634587343"/>
          <c:w val="0.76527712160979877"/>
          <c:h val="0.74686570428696408"/>
        </c:manualLayout>
      </c:layout>
      <c:bar3DChart>
        <c:barDir val="col"/>
        <c:grouping val="standard"/>
        <c:varyColors val="0"/>
        <c:ser>
          <c:idx val="0"/>
          <c:order val="0"/>
          <c:tx>
            <c:strRef>
              <c:f>'Cost of Capital_Avance'!$B$10</c:f>
              <c:strCache>
                <c:ptCount val="1"/>
                <c:pt idx="0">
                  <c:v>Late- Stage</c:v>
                </c:pt>
              </c:strCache>
            </c:strRef>
          </c:tx>
          <c:spPr>
            <a:solidFill>
              <a:schemeClr val="accent1"/>
            </a:solidFill>
            <a:ln>
              <a:solidFill>
                <a:srgbClr val="000000"/>
              </a:solidFill>
            </a:ln>
            <a:effectLst/>
            <a:sp3d>
              <a:contourClr>
                <a:srgbClr val="000000"/>
              </a:contourClr>
            </a:sp3d>
          </c:spPr>
          <c:invertIfNegative val="0"/>
          <c:dLbls>
            <c:dLbl>
              <c:idx val="0"/>
              <c:layout>
                <c:manualLayout>
                  <c:x val="0"/>
                  <c:y val="8.796296296296288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0332-4416-8459-02CD9B63CB5F}"/>
                </c:ext>
                <c:ext xmlns:c15="http://schemas.microsoft.com/office/drawing/2012/chart" uri="{CE6537A1-D6FC-4f65-9D91-7224C49458BB}"/>
              </c:extLst>
            </c:dLbl>
            <c:dLbl>
              <c:idx val="1"/>
              <c:layout>
                <c:manualLayout>
                  <c:x val="0"/>
                  <c:y val="8.333333333333332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0332-4416-8459-02CD9B63CB5F}"/>
                </c:ext>
                <c:ext xmlns:c15="http://schemas.microsoft.com/office/drawing/2012/chart" uri="{CE6537A1-D6FC-4f65-9D91-7224C49458BB}"/>
              </c:extLst>
            </c:dLbl>
            <c:dLbl>
              <c:idx val="2"/>
              <c:layout>
                <c:manualLayout>
                  <c:x val="-5.0925337632079971E-17"/>
                  <c:y val="7.870370370370362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0332-4416-8459-02CD9B63CB5F}"/>
                </c:ext>
                <c:ext xmlns:c15="http://schemas.microsoft.com/office/drawing/2012/chart" uri="{CE6537A1-D6FC-4f65-9D91-7224C49458BB}"/>
              </c:extLst>
            </c:dLbl>
            <c:dLbl>
              <c:idx val="3"/>
              <c:layout>
                <c:manualLayout>
                  <c:x val="2.777777777777676E-3"/>
                  <c:y val="8.333333333333332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0332-4416-8459-02CD9B63CB5F}"/>
                </c:ext>
                <c:ext xmlns:c15="http://schemas.microsoft.com/office/drawing/2012/chart" uri="{CE6537A1-D6FC-4f65-9D91-7224C49458BB}"/>
              </c:extLst>
            </c:dLbl>
            <c:spPr>
              <a:noFill/>
              <a:ln>
                <a:noFill/>
              </a:ln>
              <a:effectLst/>
            </c:spPr>
            <c:txPr>
              <a:bodyPr rot="0" spcFirstLastPara="1" vertOverflow="clip" horzOverflow="clip" vert="horz" wrap="square" lIns="38100" tIns="19050" rIns="38100" bIns="19050" anchor="t" anchorCtr="0">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of Capital_Avance'!$C$9:$F$9</c:f>
              <c:strCache>
                <c:ptCount val="4"/>
                <c:pt idx="0">
                  <c:v>Europe</c:v>
                </c:pt>
                <c:pt idx="1">
                  <c:v>RoW</c:v>
                </c:pt>
                <c:pt idx="2">
                  <c:v>US</c:v>
                </c:pt>
                <c:pt idx="3">
                  <c:v>Total</c:v>
                </c:pt>
              </c:strCache>
            </c:strRef>
          </c:cat>
          <c:val>
            <c:numRef>
              <c:f>'Cost of Capital_Avance'!$C$10:$F$10</c:f>
              <c:numCache>
                <c:formatCode>0.0%</c:formatCode>
                <c:ptCount val="4"/>
                <c:pt idx="0">
                  <c:v>0.13500000000000001</c:v>
                </c:pt>
                <c:pt idx="1">
                  <c:v>0.13</c:v>
                </c:pt>
                <c:pt idx="2">
                  <c:v>0.13700000000000001</c:v>
                </c:pt>
                <c:pt idx="3">
                  <c:v>0.13600000000000001</c:v>
                </c:pt>
              </c:numCache>
            </c:numRef>
          </c:val>
          <c:extLst xmlns:c16r2="http://schemas.microsoft.com/office/drawing/2015/06/chart">
            <c:ext xmlns:c16="http://schemas.microsoft.com/office/drawing/2014/chart" uri="{C3380CC4-5D6E-409C-BE32-E72D297353CC}">
              <c16:uniqueId val="{00000004-0332-4416-8459-02CD9B63CB5F}"/>
            </c:ext>
          </c:extLst>
        </c:ser>
        <c:ser>
          <c:idx val="1"/>
          <c:order val="1"/>
          <c:tx>
            <c:strRef>
              <c:f>'Cost of Capital_Avance'!$B$11</c:f>
              <c:strCache>
                <c:ptCount val="1"/>
                <c:pt idx="0">
                  <c:v>Mid-Stage</c:v>
                </c:pt>
              </c:strCache>
            </c:strRef>
          </c:tx>
          <c:spPr>
            <a:solidFill>
              <a:schemeClr val="accent2"/>
            </a:solidFill>
            <a:ln>
              <a:solidFill>
                <a:srgbClr val="000000"/>
              </a:solidFill>
            </a:ln>
            <a:effectLst/>
            <a:sp3d>
              <a:contourClr>
                <a:srgbClr val="000000"/>
              </a:contourClr>
            </a:sp3d>
          </c:spPr>
          <c:invertIfNegative val="0"/>
          <c:dLbls>
            <c:dLbl>
              <c:idx val="0"/>
              <c:layout>
                <c:manualLayout>
                  <c:x val="-2.5462668816039986E-17"/>
                  <c:y val="7.407407407407398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0332-4416-8459-02CD9B63CB5F}"/>
                </c:ext>
                <c:ext xmlns:c15="http://schemas.microsoft.com/office/drawing/2012/chart" uri="{CE6537A1-D6FC-4f65-9D91-7224C49458BB}"/>
              </c:extLst>
            </c:dLbl>
            <c:dLbl>
              <c:idx val="1"/>
              <c:layout>
                <c:manualLayout>
                  <c:x val="0"/>
                  <c:y val="6.01851851851851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0332-4416-8459-02CD9B63CB5F}"/>
                </c:ext>
                <c:ext xmlns:c15="http://schemas.microsoft.com/office/drawing/2012/chart" uri="{CE6537A1-D6FC-4f65-9D91-7224C49458BB}"/>
              </c:extLst>
            </c:dLbl>
            <c:dLbl>
              <c:idx val="2"/>
              <c:layout>
                <c:manualLayout>
                  <c:x val="0"/>
                  <c:y val="7.407407407407411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0332-4416-8459-02CD9B63CB5F}"/>
                </c:ext>
                <c:ext xmlns:c15="http://schemas.microsoft.com/office/drawing/2012/chart" uri="{CE6537A1-D6FC-4f65-9D91-7224C49458BB}"/>
              </c:extLst>
            </c:dLbl>
            <c:dLbl>
              <c:idx val="3"/>
              <c:layout>
                <c:manualLayout>
                  <c:x val="0"/>
                  <c:y val="7.407407407407402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0332-4416-8459-02CD9B63CB5F}"/>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of Capital_Avance'!$C$9:$F$9</c:f>
              <c:strCache>
                <c:ptCount val="4"/>
                <c:pt idx="0">
                  <c:v>Europe</c:v>
                </c:pt>
                <c:pt idx="1">
                  <c:v>RoW</c:v>
                </c:pt>
                <c:pt idx="2">
                  <c:v>US</c:v>
                </c:pt>
                <c:pt idx="3">
                  <c:v>Total</c:v>
                </c:pt>
              </c:strCache>
            </c:strRef>
          </c:cat>
          <c:val>
            <c:numRef>
              <c:f>'Cost of Capital_Avance'!$C$11:$F$11</c:f>
              <c:numCache>
                <c:formatCode>0.0%</c:formatCode>
                <c:ptCount val="4"/>
                <c:pt idx="0">
                  <c:v>0.158</c:v>
                </c:pt>
                <c:pt idx="1">
                  <c:v>0.14000000000000001</c:v>
                </c:pt>
                <c:pt idx="2">
                  <c:v>0.16500000000000001</c:v>
                </c:pt>
                <c:pt idx="3">
                  <c:v>0.16</c:v>
                </c:pt>
              </c:numCache>
            </c:numRef>
          </c:val>
          <c:extLst xmlns:c16r2="http://schemas.microsoft.com/office/drawing/2015/06/chart">
            <c:ext xmlns:c16="http://schemas.microsoft.com/office/drawing/2014/chart" uri="{C3380CC4-5D6E-409C-BE32-E72D297353CC}">
              <c16:uniqueId val="{00000009-0332-4416-8459-02CD9B63CB5F}"/>
            </c:ext>
          </c:extLst>
        </c:ser>
        <c:ser>
          <c:idx val="2"/>
          <c:order val="2"/>
          <c:tx>
            <c:strRef>
              <c:f>'Cost of Capital_Avance'!$B$12</c:f>
              <c:strCache>
                <c:ptCount val="1"/>
                <c:pt idx="0">
                  <c:v>Early-Stage</c:v>
                </c:pt>
              </c:strCache>
            </c:strRef>
          </c:tx>
          <c:spPr>
            <a:solidFill>
              <a:schemeClr val="accent3"/>
            </a:solidFill>
            <a:ln>
              <a:solidFill>
                <a:srgbClr val="000000"/>
              </a:solidFill>
            </a:ln>
            <a:effectLst/>
            <a:sp3d>
              <a:contourClr>
                <a:srgbClr val="000000"/>
              </a:contourClr>
            </a:sp3d>
          </c:spPr>
          <c:invertIfNegative val="0"/>
          <c:dLbls>
            <c:dLbl>
              <c:idx val="0"/>
              <c:layout>
                <c:manualLayout>
                  <c:x val="0"/>
                  <c:y val="6.944444444444444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0332-4416-8459-02CD9B63CB5F}"/>
                </c:ext>
                <c:ext xmlns:c15="http://schemas.microsoft.com/office/drawing/2012/chart" uri="{CE6537A1-D6FC-4f65-9D91-7224C49458BB}"/>
              </c:extLst>
            </c:dLbl>
            <c:dLbl>
              <c:idx val="1"/>
              <c:layout>
                <c:manualLayout>
                  <c:x val="0"/>
                  <c:y val="6.944444444444444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0332-4416-8459-02CD9B63CB5F}"/>
                </c:ext>
                <c:ext xmlns:c15="http://schemas.microsoft.com/office/drawing/2012/chart" uri="{CE6537A1-D6FC-4f65-9D91-7224C49458BB}"/>
              </c:extLst>
            </c:dLbl>
            <c:dLbl>
              <c:idx val="2"/>
              <c:layout>
                <c:manualLayout>
                  <c:x val="2.7777777777777779E-3"/>
                  <c:y val="7.407407407407405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C-0332-4416-8459-02CD9B63CB5F}"/>
                </c:ext>
                <c:ext xmlns:c15="http://schemas.microsoft.com/office/drawing/2012/chart" uri="{CE6537A1-D6FC-4f65-9D91-7224C49458BB}"/>
              </c:extLst>
            </c:dLbl>
            <c:dLbl>
              <c:idx val="3"/>
              <c:layout>
                <c:manualLayout>
                  <c:x val="0"/>
                  <c:y val="6.944444444444444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D-0332-4416-8459-02CD9B63CB5F}"/>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of Capital_Avance'!$C$9:$F$9</c:f>
              <c:strCache>
                <c:ptCount val="4"/>
                <c:pt idx="0">
                  <c:v>Europe</c:v>
                </c:pt>
                <c:pt idx="1">
                  <c:v>RoW</c:v>
                </c:pt>
                <c:pt idx="2">
                  <c:v>US</c:v>
                </c:pt>
                <c:pt idx="3">
                  <c:v>Total</c:v>
                </c:pt>
              </c:strCache>
            </c:strRef>
          </c:cat>
          <c:val>
            <c:numRef>
              <c:f>'Cost of Capital_Avance'!$C$12:$F$12</c:f>
              <c:numCache>
                <c:formatCode>0.0%</c:formatCode>
                <c:ptCount val="4"/>
                <c:pt idx="0">
                  <c:v>0.182</c:v>
                </c:pt>
                <c:pt idx="1">
                  <c:v>0.151</c:v>
                </c:pt>
                <c:pt idx="2">
                  <c:v>0.19700000000000001</c:v>
                </c:pt>
                <c:pt idx="3">
                  <c:v>0.186</c:v>
                </c:pt>
              </c:numCache>
            </c:numRef>
          </c:val>
          <c:extLst xmlns:c16r2="http://schemas.microsoft.com/office/drawing/2015/06/chart">
            <c:ext xmlns:c16="http://schemas.microsoft.com/office/drawing/2014/chart" uri="{C3380CC4-5D6E-409C-BE32-E72D297353CC}">
              <c16:uniqueId val="{0000000E-0332-4416-8459-02CD9B63CB5F}"/>
            </c:ext>
          </c:extLst>
        </c:ser>
        <c:dLbls>
          <c:showLegendKey val="0"/>
          <c:showVal val="1"/>
          <c:showCatName val="0"/>
          <c:showSerName val="0"/>
          <c:showPercent val="0"/>
          <c:showBubbleSize val="0"/>
        </c:dLbls>
        <c:gapWidth val="150"/>
        <c:shape val="box"/>
        <c:axId val="577766904"/>
        <c:axId val="468754128"/>
        <c:axId val="587162408"/>
      </c:bar3DChart>
      <c:catAx>
        <c:axId val="5777669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468754128"/>
        <c:crosses val="autoZero"/>
        <c:auto val="1"/>
        <c:lblAlgn val="ctr"/>
        <c:lblOffset val="100"/>
        <c:noMultiLvlLbl val="0"/>
      </c:catAx>
      <c:valAx>
        <c:axId val="4687541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577766904"/>
        <c:crosses val="autoZero"/>
        <c:crossBetween val="between"/>
        <c:majorUnit val="2.0000000000000004E-2"/>
        <c:minorUnit val="1.0000000000000002E-2"/>
      </c:valAx>
      <c:serAx>
        <c:axId val="587162408"/>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468754128"/>
        <c:crosses val="autoZero"/>
      </c:ser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jpeg"/><Relationship Id="rId1" Type="http://schemas.openxmlformats.org/officeDocument/2006/relationships/image" Target="../media/image8.jpeg"/><Relationship Id="rId4" Type="http://schemas.openxmlformats.org/officeDocument/2006/relationships/image" Target="../media/image1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1800225</xdr:colOff>
      <xdr:row>1</xdr:row>
      <xdr:rowOff>57150</xdr:rowOff>
    </xdr:from>
    <xdr:to>
      <xdr:col>3</xdr:col>
      <xdr:colOff>4038600</xdr:colOff>
      <xdr:row>5</xdr:row>
      <xdr:rowOff>57150</xdr:rowOff>
    </xdr:to>
    <xdr:pic>
      <xdr:nvPicPr>
        <xdr:cNvPr id="3" name="Picture 2" descr="http://www.huamedicine.com/images/logo.png">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81350" y="247650"/>
          <a:ext cx="22383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33619</xdr:colOff>
      <xdr:row>11</xdr:row>
      <xdr:rowOff>44824</xdr:rowOff>
    </xdr:from>
    <xdr:to>
      <xdr:col>17</xdr:col>
      <xdr:colOff>11206</xdr:colOff>
      <xdr:row>27</xdr:row>
      <xdr:rowOff>104533</xdr:rowOff>
    </xdr:to>
    <xdr:pic>
      <xdr:nvPicPr>
        <xdr:cNvPr id="3" name="Picture 2">
          <a:extLst>
            <a:ext uri="{FF2B5EF4-FFF2-40B4-BE49-F238E27FC236}">
              <a16:creationId xmlns=""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10264590" y="1905000"/>
          <a:ext cx="4034116" cy="2569827"/>
        </a:xfrm>
        <a:prstGeom prst="rect">
          <a:avLst/>
        </a:prstGeom>
        <a:ln>
          <a:solidFill>
            <a:sysClr val="windowText" lastClr="000000"/>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33618</xdr:colOff>
      <xdr:row>58</xdr:row>
      <xdr:rowOff>78894</xdr:rowOff>
    </xdr:from>
    <xdr:to>
      <xdr:col>11</xdr:col>
      <xdr:colOff>3384177</xdr:colOff>
      <xdr:row>82</xdr:row>
      <xdr:rowOff>32256</xdr:rowOff>
    </xdr:to>
    <xdr:pic>
      <xdr:nvPicPr>
        <xdr:cNvPr id="3" name="Picture 2">
          <a:extLst>
            <a:ext uri="{FF2B5EF4-FFF2-40B4-BE49-F238E27FC236}">
              <a16:creationId xmlns=""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10320618" y="8942747"/>
          <a:ext cx="3350559" cy="3718539"/>
        </a:xfrm>
        <a:prstGeom prst="rect">
          <a:avLst/>
        </a:prstGeom>
        <a:ln>
          <a:solidFill>
            <a:sysClr val="windowText" lastClr="0000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16</xdr:col>
      <xdr:colOff>314325</xdr:colOff>
      <xdr:row>6</xdr:row>
      <xdr:rowOff>9525</xdr:rowOff>
    </xdr:from>
    <xdr:to>
      <xdr:col>25</xdr:col>
      <xdr:colOff>177165</xdr:colOff>
      <xdr:row>20</xdr:row>
      <xdr:rowOff>91440</xdr:rowOff>
    </xdr:to>
    <xdr:graphicFrame macro="">
      <xdr:nvGraphicFramePr>
        <xdr:cNvPr id="2" name="Chart 1">
          <a:extLst>
            <a:ext uri="{FF2B5EF4-FFF2-40B4-BE49-F238E27FC236}">
              <a16:creationId xmlns=""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xdr:col>
      <xdr:colOff>104775</xdr:colOff>
      <xdr:row>57</xdr:row>
      <xdr:rowOff>47625</xdr:rowOff>
    </xdr:from>
    <xdr:to>
      <xdr:col>25</xdr:col>
      <xdr:colOff>466725</xdr:colOff>
      <xdr:row>65</xdr:row>
      <xdr:rowOff>38100</xdr:rowOff>
    </xdr:to>
    <xdr:graphicFrame macro="">
      <xdr:nvGraphicFramePr>
        <xdr:cNvPr id="3" name="Chart 2">
          <a:extLst>
            <a:ext uri="{FF2B5EF4-FFF2-40B4-BE49-F238E27FC236}">
              <a16:creationId xmlns="" xmlns:a16="http://schemas.microsoft.com/office/drawing/2014/main" id="{00000000-0008-0000-2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47625</xdr:colOff>
      <xdr:row>58</xdr:row>
      <xdr:rowOff>0</xdr:rowOff>
    </xdr:from>
    <xdr:to>
      <xdr:col>25</xdr:col>
      <xdr:colOff>314325</xdr:colOff>
      <xdr:row>63</xdr:row>
      <xdr:rowOff>85725</xdr:rowOff>
    </xdr:to>
    <xdr:pic>
      <xdr:nvPicPr>
        <xdr:cNvPr id="5" name="Picture 4">
          <a:extLst>
            <a:ext uri="{FF2B5EF4-FFF2-40B4-BE49-F238E27FC236}">
              <a16:creationId xmlns="" xmlns:a16="http://schemas.microsoft.com/office/drawing/2014/main" id="{00000000-0008-0000-25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782925" y="8810625"/>
          <a:ext cx="1333500" cy="990600"/>
        </a:xfrm>
        <a:prstGeom prst="rect">
          <a:avLst/>
        </a:prstGeom>
        <a:noFill/>
        <a:ln w="3175">
          <a:solidFill>
            <a:schemeClr val="bg1">
              <a:lumMod val="6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1800225</xdr:colOff>
      <xdr:row>1</xdr:row>
      <xdr:rowOff>57150</xdr:rowOff>
    </xdr:from>
    <xdr:to>
      <xdr:col>3</xdr:col>
      <xdr:colOff>4038600</xdr:colOff>
      <xdr:row>5</xdr:row>
      <xdr:rowOff>57150</xdr:rowOff>
    </xdr:to>
    <xdr:pic>
      <xdr:nvPicPr>
        <xdr:cNvPr id="2" name="Picture 1" descr="http://www.huamedicine.com/images/logo.png">
          <a:extLst>
            <a:ext uri="{FF2B5EF4-FFF2-40B4-BE49-F238E27FC236}">
              <a16:creationId xmlns=""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81350" y="247650"/>
          <a:ext cx="22383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295274</xdr:colOff>
      <xdr:row>12</xdr:row>
      <xdr:rowOff>123826</xdr:rowOff>
    </xdr:from>
    <xdr:to>
      <xdr:col>3</xdr:col>
      <xdr:colOff>638175</xdr:colOff>
      <xdr:row>27</xdr:row>
      <xdr:rowOff>130682</xdr:rowOff>
    </xdr:to>
    <xdr:pic>
      <xdr:nvPicPr>
        <xdr:cNvPr id="2" name="Picture 1">
          <a:extLst>
            <a:ext uri="{FF2B5EF4-FFF2-40B4-BE49-F238E27FC236}">
              <a16:creationId xmlns="" xmlns:a16="http://schemas.microsoft.com/office/drawing/2014/main" id="{00000000-0008-0000-2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52449" y="2095501"/>
          <a:ext cx="3924301" cy="2435731"/>
        </a:xfrm>
        <a:prstGeom prst="rect">
          <a:avLst/>
        </a:prstGeom>
        <a:noFill/>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47</xdr:col>
      <xdr:colOff>0</xdr:colOff>
      <xdr:row>5</xdr:row>
      <xdr:rowOff>0</xdr:rowOff>
    </xdr:from>
    <xdr:to>
      <xdr:col>54</xdr:col>
      <xdr:colOff>304799</xdr:colOff>
      <xdr:row>26</xdr:row>
      <xdr:rowOff>146051</xdr:rowOff>
    </xdr:to>
    <xdr:graphicFrame macro="">
      <xdr:nvGraphicFramePr>
        <xdr:cNvPr id="3" name="Chart 2">
          <a:extLst>
            <a:ext uri="{FF2B5EF4-FFF2-40B4-BE49-F238E27FC236}">
              <a16:creationId xmlns="" xmlns:a16="http://schemas.microsoft.com/office/drawing/2014/main" id="{00000000-0008-0000-2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15240</xdr:colOff>
      <xdr:row>41</xdr:row>
      <xdr:rowOff>129540</xdr:rowOff>
    </xdr:from>
    <xdr:to>
      <xdr:col>10</xdr:col>
      <xdr:colOff>529146</xdr:colOff>
      <xdr:row>74</xdr:row>
      <xdr:rowOff>129540</xdr:rowOff>
    </xdr:to>
    <xdr:pic>
      <xdr:nvPicPr>
        <xdr:cNvPr id="2" name="Picture 1">
          <a:extLst>
            <a:ext uri="{FF2B5EF4-FFF2-40B4-BE49-F238E27FC236}">
              <a16:creationId xmlns="" xmlns:a16="http://schemas.microsoft.com/office/drawing/2014/main" id="{00000000-0008-0000-4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5790" y="6835140"/>
          <a:ext cx="9667431" cy="50292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2</xdr:row>
      <xdr:rowOff>891411</xdr:rowOff>
    </xdr:from>
    <xdr:to>
      <xdr:col>1</xdr:col>
      <xdr:colOff>190819</xdr:colOff>
      <xdr:row>2</xdr:row>
      <xdr:rowOff>338961</xdr:rowOff>
    </xdr:to>
    <xdr:pic>
      <xdr:nvPicPr>
        <xdr:cNvPr id="2" name="Picture 1">
          <a:extLst>
            <a:ext uri="{FF2B5EF4-FFF2-40B4-BE49-F238E27FC236}">
              <a16:creationId xmlns="" xmlns:a16="http://schemas.microsoft.com/office/drawing/2014/main" id="{00000000-0008-0000-4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00" y="3291711"/>
          <a:ext cx="190819" cy="0"/>
        </a:xfrm>
        <a:prstGeom prst="rect">
          <a:avLst/>
        </a:prstGeom>
      </xdr:spPr>
    </xdr:pic>
    <xdr:clientData/>
  </xdr:twoCellAnchor>
  <xdr:twoCellAnchor editAs="oneCell">
    <xdr:from>
      <xdr:col>0</xdr:col>
      <xdr:colOff>1102185</xdr:colOff>
      <xdr:row>1</xdr:row>
      <xdr:rowOff>0</xdr:rowOff>
    </xdr:from>
    <xdr:to>
      <xdr:col>0</xdr:col>
      <xdr:colOff>1103743</xdr:colOff>
      <xdr:row>3</xdr:row>
      <xdr:rowOff>100117</xdr:rowOff>
    </xdr:to>
    <xdr:pic>
      <xdr:nvPicPr>
        <xdr:cNvPr id="3" name="Picture 2">
          <a:extLst>
            <a:ext uri="{FF2B5EF4-FFF2-40B4-BE49-F238E27FC236}">
              <a16:creationId xmlns="" xmlns:a16="http://schemas.microsoft.com/office/drawing/2014/main" id="{00000000-0008-0000-4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02185" y="2381250"/>
          <a:ext cx="1558" cy="1014517"/>
        </a:xfrm>
        <a:prstGeom prst="rect">
          <a:avLst/>
        </a:prstGeom>
      </xdr:spPr>
    </xdr:pic>
    <xdr:clientData/>
  </xdr:twoCellAnchor>
  <xdr:twoCellAnchor>
    <xdr:from>
      <xdr:col>2</xdr:col>
      <xdr:colOff>701677</xdr:colOff>
      <xdr:row>0</xdr:row>
      <xdr:rowOff>347436</xdr:rowOff>
    </xdr:from>
    <xdr:to>
      <xdr:col>4</xdr:col>
      <xdr:colOff>1172641</xdr:colOff>
      <xdr:row>0</xdr:row>
      <xdr:rowOff>1037999</xdr:rowOff>
    </xdr:to>
    <xdr:sp macro="" textlink="">
      <xdr:nvSpPr>
        <xdr:cNvPr id="4" name="TextBox 3">
          <a:extLst>
            <a:ext uri="{FF2B5EF4-FFF2-40B4-BE49-F238E27FC236}">
              <a16:creationId xmlns="" xmlns:a16="http://schemas.microsoft.com/office/drawing/2014/main" id="{00000000-0008-0000-4F00-000004000000}"/>
            </a:ext>
          </a:extLst>
        </xdr:cNvPr>
        <xdr:cNvSpPr txBox="1"/>
      </xdr:nvSpPr>
      <xdr:spPr bwMode="auto">
        <a:xfrm>
          <a:off x="5321302" y="347436"/>
          <a:ext cx="3233214" cy="690563"/>
        </a:xfrm>
        <a:prstGeom prst="rect">
          <a:avLst/>
        </a:prstGeom>
        <a:solidFill>
          <a:sysClr val="window" lastClr="FFFFFF"/>
        </a:solidFill>
        <a:ln>
          <a:noFill/>
        </a:ln>
        <a:effectLst/>
      </xdr:spPr>
      <xdr:txBody>
        <a:bodyPr wrap="square" rtlCol="0" anchor="t">
          <a:noAutofit/>
        </a:bodyPr>
        <a:lstStyle/>
        <a:p>
          <a:pPr marL="0" marR="0" lvl="0" indent="0" defTabSz="914400" eaLnBrk="1" fontAlgn="auto" latinLnBrk="0" hangingPunct="1">
            <a:lnSpc>
              <a:spcPct val="100000"/>
            </a:lnSpc>
            <a:spcBef>
              <a:spcPts val="0"/>
            </a:spcBef>
            <a:spcAft>
              <a:spcPts val="300"/>
            </a:spcAft>
            <a:buClrTx/>
            <a:buSzTx/>
            <a:buFontTx/>
            <a:buNone/>
            <a:tabLst/>
            <a:defRPr/>
          </a:pPr>
          <a:endParaRPr kumimoji="0" lang="en-US" sz="1100" b="0" i="0" u="none" strike="noStrike" kern="0" cap="none" spc="0" normalizeH="0" baseline="0" noProof="0">
            <a:ln>
              <a:noFill/>
            </a:ln>
            <a:solidFill>
              <a:srgbClr val="000000"/>
            </a:solidFill>
            <a:effectLst/>
            <a:uLnTx/>
            <a:uFillTx/>
            <a:latin typeface="Arial"/>
            <a:ea typeface="PMingLiU"/>
            <a:cs typeface="+mn-cs"/>
          </a:endParaRPr>
        </a:p>
        <a:p>
          <a:pPr marL="0" marR="0" lvl="0" indent="0" defTabSz="914400" eaLnBrk="1" fontAlgn="auto" latinLnBrk="0" hangingPunct="1">
            <a:lnSpc>
              <a:spcPct val="100000"/>
            </a:lnSpc>
            <a:spcBef>
              <a:spcPts val="0"/>
            </a:spcBef>
            <a:spcAft>
              <a:spcPts val="300"/>
            </a:spcAft>
            <a:buClrTx/>
            <a:buSzTx/>
            <a:buFontTx/>
            <a:buNone/>
            <a:tabLst/>
            <a:defRPr/>
          </a:pPr>
          <a:endParaRPr kumimoji="0" lang="en-US" sz="1100" b="0" i="0" u="none" strike="noStrike" kern="0" cap="none" spc="0" normalizeH="0" baseline="0" noProof="0">
            <a:ln>
              <a:noFill/>
            </a:ln>
            <a:solidFill>
              <a:srgbClr val="000000"/>
            </a:solidFill>
            <a:effectLst/>
            <a:uLnTx/>
            <a:uFillTx/>
            <a:latin typeface="Arial"/>
            <a:ea typeface="PMingLiU"/>
            <a:cs typeface="+mn-cs"/>
          </a:endParaRPr>
        </a:p>
        <a:p>
          <a:pPr marL="0" marR="0" lvl="0" indent="0" defTabSz="914400" eaLnBrk="1" fontAlgn="auto" latinLnBrk="0" hangingPunct="1">
            <a:lnSpc>
              <a:spcPct val="100000"/>
            </a:lnSpc>
            <a:spcBef>
              <a:spcPts val="0"/>
            </a:spcBef>
            <a:spcAft>
              <a:spcPts val="300"/>
            </a:spcAft>
            <a:buClrTx/>
            <a:buSzTx/>
            <a:buFontTx/>
            <a:buNone/>
            <a:tabLst/>
            <a:defRPr/>
          </a:pPr>
          <a:r>
            <a:rPr kumimoji="0" lang="en-US" sz="1200" b="1" i="0" u="none" strike="noStrike" kern="0" cap="none" spc="0" normalizeH="0" baseline="0" noProof="0">
              <a:ln>
                <a:noFill/>
              </a:ln>
              <a:solidFill>
                <a:srgbClr val="000000"/>
              </a:solidFill>
              <a:effectLst/>
              <a:uLnTx/>
              <a:uFillTx/>
              <a:latin typeface="Arial"/>
              <a:ea typeface="PMingLiU"/>
              <a:cs typeface="+mn-cs"/>
            </a:rPr>
            <a:t>Legend</a:t>
          </a:r>
          <a:endParaRPr kumimoji="0" lang="en-US" sz="1200" b="1" i="0" u="none" strike="noStrike" kern="0" cap="none" spc="0" normalizeH="0" baseline="0" noProof="0">
            <a:ln>
              <a:noFill/>
            </a:ln>
            <a:solidFill>
              <a:sysClr val="windowText" lastClr="000000"/>
            </a:solidFill>
            <a:effectLst/>
            <a:uLnTx/>
            <a:uFillTx/>
            <a:latin typeface="Times New Roman"/>
            <a:ea typeface="PMingLiU"/>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FF0000"/>
              </a:solidFill>
              <a:effectLst/>
              <a:uLnTx/>
              <a:uFillTx/>
              <a:latin typeface="Arial"/>
              <a:ea typeface="PMingLiU"/>
              <a:cs typeface="+mn-cs"/>
            </a:rPr>
            <a:t>         </a:t>
          </a:r>
          <a:r>
            <a:rPr kumimoji="0" lang="en-US" sz="1100" b="0" i="0" u="none" strike="noStrike" kern="0" cap="none" spc="0" normalizeH="0" baseline="0" noProof="0">
              <a:ln>
                <a:noFill/>
              </a:ln>
              <a:solidFill>
                <a:srgbClr val="000000"/>
              </a:solidFill>
              <a:effectLst/>
              <a:uLnTx/>
              <a:uFillTx/>
              <a:latin typeface="Arial"/>
              <a:ea typeface="PMingLiU"/>
              <a:cs typeface="+mn-cs"/>
            </a:rPr>
            <a:t>   Data obtained directly from sources</a:t>
          </a:r>
          <a:endParaRPr kumimoji="0" lang="en-US" sz="1200" b="0" i="0" u="none" strike="noStrike" kern="0" cap="none" spc="0" normalizeH="0" baseline="0" noProof="0">
            <a:ln>
              <a:noFill/>
            </a:ln>
            <a:solidFill>
              <a:sysClr val="windowText" lastClr="000000"/>
            </a:solidFill>
            <a:effectLst/>
            <a:uLnTx/>
            <a:uFillTx/>
            <a:latin typeface="Times New Roman"/>
            <a:ea typeface="PMingLiU"/>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000000"/>
              </a:solidFill>
              <a:effectLst/>
              <a:uLnTx/>
              <a:uFillTx/>
              <a:latin typeface="Arial"/>
              <a:ea typeface="PMingLiU"/>
              <a:cs typeface="+mn-cs"/>
            </a:rPr>
            <a:t>            Data calculated</a:t>
          </a:r>
          <a:endParaRPr kumimoji="0" lang="en-US" sz="1200" b="0" i="0" u="none" strike="noStrike" kern="0" cap="none" spc="0" normalizeH="0" baseline="0" noProof="0">
            <a:ln>
              <a:noFill/>
            </a:ln>
            <a:solidFill>
              <a:sysClr val="windowText" lastClr="000000"/>
            </a:solidFill>
            <a:effectLst/>
            <a:uLnTx/>
            <a:uFillTx/>
            <a:latin typeface="Times New Roman"/>
            <a:ea typeface="PMingLiU"/>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000000"/>
              </a:solidFill>
              <a:effectLst/>
              <a:uLnTx/>
              <a:uFillTx/>
              <a:latin typeface="Arial"/>
              <a:ea typeface="PMingLiU"/>
              <a:cs typeface="+mn-cs"/>
            </a:rPr>
            <a:t>            Data obtained from Key Opinion Leaders </a:t>
          </a:r>
          <a:endParaRPr kumimoji="0" lang="en-US" sz="1200" b="0" i="0" u="none" strike="noStrike" kern="0" cap="none" spc="0" normalizeH="0" baseline="0" noProof="0">
            <a:ln>
              <a:noFill/>
            </a:ln>
            <a:solidFill>
              <a:sysClr val="windowText" lastClr="000000"/>
            </a:solidFill>
            <a:effectLst/>
            <a:uLnTx/>
            <a:uFillTx/>
            <a:latin typeface="Times New Roman"/>
            <a:ea typeface="PMingLiU"/>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000000"/>
              </a:solidFill>
              <a:effectLst/>
              <a:uLnTx/>
              <a:uFillTx/>
              <a:latin typeface="Arial"/>
              <a:ea typeface="PMingLiU"/>
              <a:cs typeface="+mn-cs"/>
            </a:rPr>
            <a:t>            Assumed values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000000"/>
              </a:solidFill>
              <a:effectLst/>
              <a:uLnTx/>
              <a:uFillTx/>
              <a:latin typeface="Arial"/>
              <a:ea typeface="PMingLiU"/>
              <a:cs typeface="+mn-cs"/>
            </a:rPr>
            <a:t>            Therapy launches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rgbClr val="000000"/>
              </a:solidFill>
              <a:effectLst/>
              <a:uLnTx/>
              <a:uFillTx/>
              <a:latin typeface="Arial"/>
              <a:ea typeface="PMingLiU"/>
              <a:cs typeface="+mn-cs"/>
            </a:rPr>
            <a:t>            Patent expiries</a:t>
          </a:r>
          <a:endParaRPr kumimoji="0" lang="en-US" sz="1200" b="0" i="0" u="none" strike="noStrike" kern="0" cap="none" spc="0" normalizeH="0" baseline="0" noProof="0">
            <a:ln>
              <a:noFill/>
            </a:ln>
            <a:solidFill>
              <a:sysClr val="windowText" lastClr="000000"/>
            </a:solidFill>
            <a:effectLst/>
            <a:uLnTx/>
            <a:uFillTx/>
            <a:latin typeface="Times New Roman"/>
            <a:ea typeface="PMingLiU"/>
            <a:cs typeface="+mn-cs"/>
          </a:endParaRPr>
        </a:p>
      </xdr:txBody>
    </xdr:sp>
    <xdr:clientData/>
  </xdr:twoCellAnchor>
  <xdr:twoCellAnchor>
    <xdr:from>
      <xdr:col>2</xdr:col>
      <xdr:colOff>685263</xdr:colOff>
      <xdr:row>0</xdr:row>
      <xdr:rowOff>1025754</xdr:rowOff>
    </xdr:from>
    <xdr:to>
      <xdr:col>2</xdr:col>
      <xdr:colOff>1194987</xdr:colOff>
      <xdr:row>0</xdr:row>
      <xdr:rowOff>1181202</xdr:rowOff>
    </xdr:to>
    <xdr:sp macro="" textlink="">
      <xdr:nvSpPr>
        <xdr:cNvPr id="5" name="Rectangle 4">
          <a:extLst>
            <a:ext uri="{FF2B5EF4-FFF2-40B4-BE49-F238E27FC236}">
              <a16:creationId xmlns="" xmlns:a16="http://schemas.microsoft.com/office/drawing/2014/main" id="{00000000-0008-0000-4F00-000005000000}"/>
            </a:ext>
          </a:extLst>
        </xdr:cNvPr>
        <xdr:cNvSpPr/>
      </xdr:nvSpPr>
      <xdr:spPr bwMode="auto">
        <a:xfrm>
          <a:off x="5304888" y="1025754"/>
          <a:ext cx="509724" cy="155448"/>
        </a:xfrm>
        <a:prstGeom prst="rect">
          <a:avLst/>
        </a:prstGeom>
        <a:solidFill>
          <a:srgbClr val="0F3F76"/>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2</xdr:col>
      <xdr:colOff>685264</xdr:colOff>
      <xdr:row>0</xdr:row>
      <xdr:rowOff>1176883</xdr:rowOff>
    </xdr:from>
    <xdr:to>
      <xdr:col>2</xdr:col>
      <xdr:colOff>1194988</xdr:colOff>
      <xdr:row>0</xdr:row>
      <xdr:rowOff>1332331</xdr:rowOff>
    </xdr:to>
    <xdr:sp macro="" textlink="">
      <xdr:nvSpPr>
        <xdr:cNvPr id="6" name="Rectangle 5">
          <a:extLst>
            <a:ext uri="{FF2B5EF4-FFF2-40B4-BE49-F238E27FC236}">
              <a16:creationId xmlns="" xmlns:a16="http://schemas.microsoft.com/office/drawing/2014/main" id="{00000000-0008-0000-4F00-000006000000}"/>
            </a:ext>
          </a:extLst>
        </xdr:cNvPr>
        <xdr:cNvSpPr/>
      </xdr:nvSpPr>
      <xdr:spPr bwMode="auto">
        <a:xfrm>
          <a:off x="5304889" y="1176883"/>
          <a:ext cx="509724" cy="155448"/>
        </a:xfrm>
        <a:prstGeom prst="rect">
          <a:avLst/>
        </a:prstGeom>
        <a:solidFill>
          <a:srgbClr val="D1D3D4"/>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2</xdr:col>
      <xdr:colOff>685263</xdr:colOff>
      <xdr:row>0</xdr:row>
      <xdr:rowOff>1328014</xdr:rowOff>
    </xdr:from>
    <xdr:to>
      <xdr:col>2</xdr:col>
      <xdr:colOff>1194987</xdr:colOff>
      <xdr:row>0</xdr:row>
      <xdr:rowOff>1483462</xdr:rowOff>
    </xdr:to>
    <xdr:sp macro="" textlink="">
      <xdr:nvSpPr>
        <xdr:cNvPr id="7" name="Rectangle 6">
          <a:extLst>
            <a:ext uri="{FF2B5EF4-FFF2-40B4-BE49-F238E27FC236}">
              <a16:creationId xmlns="" xmlns:a16="http://schemas.microsoft.com/office/drawing/2014/main" id="{00000000-0008-0000-4F00-000007000000}"/>
            </a:ext>
          </a:extLst>
        </xdr:cNvPr>
        <xdr:cNvSpPr/>
      </xdr:nvSpPr>
      <xdr:spPr bwMode="auto">
        <a:xfrm>
          <a:off x="5304888" y="1328014"/>
          <a:ext cx="509724" cy="155448"/>
        </a:xfrm>
        <a:prstGeom prst="rect">
          <a:avLst/>
        </a:prstGeom>
        <a:solidFill>
          <a:srgbClr val="3777BC"/>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2</xdr:col>
      <xdr:colOff>685264</xdr:colOff>
      <xdr:row>0</xdr:row>
      <xdr:rowOff>1480731</xdr:rowOff>
    </xdr:from>
    <xdr:to>
      <xdr:col>2</xdr:col>
      <xdr:colOff>1194988</xdr:colOff>
      <xdr:row>0</xdr:row>
      <xdr:rowOff>1636179</xdr:rowOff>
    </xdr:to>
    <xdr:sp macro="" textlink="">
      <xdr:nvSpPr>
        <xdr:cNvPr id="8" name="Rectangle 7">
          <a:extLst>
            <a:ext uri="{FF2B5EF4-FFF2-40B4-BE49-F238E27FC236}">
              <a16:creationId xmlns="" xmlns:a16="http://schemas.microsoft.com/office/drawing/2014/main" id="{00000000-0008-0000-4F00-000008000000}"/>
            </a:ext>
          </a:extLst>
        </xdr:cNvPr>
        <xdr:cNvSpPr/>
      </xdr:nvSpPr>
      <xdr:spPr bwMode="auto">
        <a:xfrm>
          <a:off x="5304889" y="1480731"/>
          <a:ext cx="509724" cy="155448"/>
        </a:xfrm>
        <a:prstGeom prst="rect">
          <a:avLst/>
        </a:prstGeom>
        <a:solidFill>
          <a:srgbClr val="C3E6EF"/>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xdr:from>
      <xdr:col>2</xdr:col>
      <xdr:colOff>685263</xdr:colOff>
      <xdr:row>0</xdr:row>
      <xdr:rowOff>1643291</xdr:rowOff>
    </xdr:from>
    <xdr:to>
      <xdr:col>2</xdr:col>
      <xdr:colOff>1194987</xdr:colOff>
      <xdr:row>0</xdr:row>
      <xdr:rowOff>1798739</xdr:rowOff>
    </xdr:to>
    <xdr:sp macro="" textlink="">
      <xdr:nvSpPr>
        <xdr:cNvPr id="9" name="Rectangle 8">
          <a:extLst>
            <a:ext uri="{FF2B5EF4-FFF2-40B4-BE49-F238E27FC236}">
              <a16:creationId xmlns="" xmlns:a16="http://schemas.microsoft.com/office/drawing/2014/main" id="{00000000-0008-0000-4F00-000009000000}"/>
            </a:ext>
          </a:extLst>
        </xdr:cNvPr>
        <xdr:cNvSpPr/>
      </xdr:nvSpPr>
      <xdr:spPr bwMode="auto">
        <a:xfrm>
          <a:off x="5304888" y="1643291"/>
          <a:ext cx="509724" cy="155448"/>
        </a:xfrm>
        <a:prstGeom prst="rect">
          <a:avLst/>
        </a:prstGeom>
        <a:solidFill>
          <a:srgbClr val="92D050"/>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editAs="oneCell">
    <xdr:from>
      <xdr:col>6</xdr:col>
      <xdr:colOff>28575</xdr:colOff>
      <xdr:row>0</xdr:row>
      <xdr:rowOff>581025</xdr:rowOff>
    </xdr:from>
    <xdr:to>
      <xdr:col>10</xdr:col>
      <xdr:colOff>781050</xdr:colOff>
      <xdr:row>0</xdr:row>
      <xdr:rowOff>1397000</xdr:rowOff>
    </xdr:to>
    <xdr:pic>
      <xdr:nvPicPr>
        <xdr:cNvPr id="10" name="Picture 17">
          <a:extLst>
            <a:ext uri="{FF2B5EF4-FFF2-40B4-BE49-F238E27FC236}">
              <a16:creationId xmlns="" xmlns:a16="http://schemas.microsoft.com/office/drawing/2014/main" id="{00000000-0008-0000-4F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72700" y="581025"/>
          <a:ext cx="6276975" cy="815975"/>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lientData/>
  </xdr:twoCellAnchor>
  <xdr:twoCellAnchor>
    <xdr:from>
      <xdr:col>2</xdr:col>
      <xdr:colOff>685263</xdr:colOff>
      <xdr:row>0</xdr:row>
      <xdr:rowOff>1795691</xdr:rowOff>
    </xdr:from>
    <xdr:to>
      <xdr:col>2</xdr:col>
      <xdr:colOff>1194987</xdr:colOff>
      <xdr:row>0</xdr:row>
      <xdr:rowOff>1951139</xdr:rowOff>
    </xdr:to>
    <xdr:sp macro="" textlink="">
      <xdr:nvSpPr>
        <xdr:cNvPr id="11" name="Rectangle 10">
          <a:extLst>
            <a:ext uri="{FF2B5EF4-FFF2-40B4-BE49-F238E27FC236}">
              <a16:creationId xmlns="" xmlns:a16="http://schemas.microsoft.com/office/drawing/2014/main" id="{00000000-0008-0000-4F00-00000B000000}"/>
            </a:ext>
          </a:extLst>
        </xdr:cNvPr>
        <xdr:cNvSpPr/>
      </xdr:nvSpPr>
      <xdr:spPr bwMode="auto">
        <a:xfrm>
          <a:off x="5304888" y="1795691"/>
          <a:ext cx="509724" cy="155448"/>
        </a:xfrm>
        <a:prstGeom prst="rect">
          <a:avLst/>
        </a:prstGeom>
        <a:solidFill>
          <a:srgbClr val="FDD226"/>
        </a:solidFill>
        <a:ln w="3175" cap="flat" cmpd="sng" algn="ctr">
          <a:solidFill>
            <a:sysClr val="windowText" lastClr="000000"/>
          </a:solidFill>
          <a:prstDash val="solid"/>
        </a:ln>
        <a:effectLst/>
      </xdr:spPr>
      <xdr:txBody>
        <a:bodyPr wrap="square" rtlCol="0" anchor="t"/>
        <a:lstStyle/>
        <a:p>
          <a:pPr marL="0" marR="0" lvl="0" indent="0" defTabSz="914400" eaLnBrk="1" fontAlgn="auto" latinLnBrk="0" hangingPunct="1">
            <a:lnSpc>
              <a:spcPct val="115000"/>
            </a:lnSpc>
            <a:spcBef>
              <a:spcPts val="0"/>
            </a:spcBef>
            <a:spcAft>
              <a:spcPts val="100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Times New Roman"/>
              <a:cs typeface="Times New Roman"/>
            </a:rPr>
            <a:t> </a:t>
          </a:r>
          <a:endParaRPr kumimoji="0" lang="en-US" sz="1100" b="0" i="0" u="none" strike="noStrike" kern="0" cap="none" spc="0" normalizeH="0" baseline="0" noProof="0">
            <a:ln>
              <a:noFill/>
            </a:ln>
            <a:solidFill>
              <a:sysClr val="window" lastClr="FFFFFF"/>
            </a:solidFill>
            <a:effectLst/>
            <a:uLnTx/>
            <a:uFillTx/>
            <a:latin typeface="Calibri"/>
            <a:ea typeface="PMingLiU"/>
            <a:cs typeface="Times New Roman"/>
          </a:endParaRPr>
        </a:p>
      </xdr:txBody>
    </xdr:sp>
    <xdr:clientData/>
  </xdr:twoCellAnchor>
  <xdr:twoCellAnchor editAs="oneCell">
    <xdr:from>
      <xdr:col>0</xdr:col>
      <xdr:colOff>762000</xdr:colOff>
      <xdr:row>0</xdr:row>
      <xdr:rowOff>927100</xdr:rowOff>
    </xdr:from>
    <xdr:to>
      <xdr:col>0</xdr:col>
      <xdr:colOff>2559756</xdr:colOff>
      <xdr:row>0</xdr:row>
      <xdr:rowOff>2082800</xdr:rowOff>
    </xdr:to>
    <xdr:pic>
      <xdr:nvPicPr>
        <xdr:cNvPr id="12" name="Picture 10">
          <a:extLst>
            <a:ext uri="{FF2B5EF4-FFF2-40B4-BE49-F238E27FC236}">
              <a16:creationId xmlns="" xmlns:a16="http://schemas.microsoft.com/office/drawing/2014/main" id="{00000000-0008-0000-4F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62000" y="927100"/>
          <a:ext cx="1797756" cy="1155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c_oa2\netgear\finance\AUDIT\bridge\quarterly%20trends%20for%20d%20&amp;%20t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Kw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USNY057\groupdirs\M&amp;A\Presentations\04\9040832n\9040832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Transfer\02-tues\book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gb24166\PDMSdirs\Current%20Work\PC\9-05\9-05046\9-05046L.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model.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upasak/AppData/Local/Microsoft/Windows/Temporary%20Internet%20Files/Content.Outlook/O6MXOXOL/model.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alizhang\AppData\Local\Deloitte.DA4\Docs\Temp\5000048509\2447497390400000501\28400.05%20Winner_Financial%20Model_v93%20(PFM).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2004%2005%20SCS%20UK%20management%20account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F:\Users\jc3\Dropbox\C:\C\HNH%20-%20Holy%20Name%20Hospital\HNH-02%20Holy%20Name%20Medical%20Center%20Dialysis%20Program%20(PHC-BV)\HNH-02%20HNMC's%20Dialysis%20Program%20Financial%20Model%20DRAFT%2008-25-2011.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S4\psdb\Valuation\RNA%20Advisors\Kiromic\409A%20VD%2005.31.2017\6%20-%20Analysis\Kiromic,%20Inc.%20IRC%20409a%20VD%2005.31.17%20Draft%20Exhibits%202017.08.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Valuation\RNA%20Advisors\Kiromic\409A%20VD%2005.31.2017\6%20-%20Analysis\Kiromic,%20Inc.%20IRC%20409a%20VD%2005.31.17%20Draft%20Exhibits%202017.08.0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Users\jennyhe\AppData\Local\Deloitte.DA4\Docs\5000122501\2712934646500000972\30541.04%202017%20Biologics%20cashflow%20fcs%20source%20data%20and%20review%20work.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Users\pagrawal\Desktop\Aduro%20409A%202014.09.30%20VD%20Exhibits%20DRAFT%202014.11.16.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Users/pagrawal/Desktop/Aduro%20409A%202014.09.30%20VD%20Exhibits%20DRAFT%202014.11.16.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Valuation/RNA%20Advisors/4D%20Molecular%20Therapeutics/409A%20VD%2001.15.2016/7%20-%20Audit/Option%20Simulation%20&amp;%20Volatility%20Computation.xlsx"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Valuation\RNA%20Advisors\4D%20Molecular%20Therapeutics\409A%20VD%2001.15.2016\7%20-%20Audit\Option%20Simulation%20&amp;%20Volatility%20Computation.xlsx"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Projects_HK\C\Century\A1%20Pack\Old\Back%20up\Century%20-%20Offering%20Statistics%20v8.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Users\zk0hqca\AppData\Local\Microsoft\Windows\Temporary%20Internet%20Files\Content.Outlook\H0AK0FPT\Consol%20Report%20FY13-15_12032016.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Users\cljin\Desktop\Budget\Forecast%205.21\Copy%20of%20Hua_Forecast_2018053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Sheet2"/>
      <sheetName val="Sheet3"/>
      <sheetName val="Sheet4"/>
      <sheetName val="Sheet1"/>
      <sheetName val="Tickmarks"/>
      <sheetName val="Sheet5"/>
      <sheetName val="FAB별"/>
      <sheetName val="Credit Calc"/>
      <sheetName val="Capital IQ Sheet-GPC"/>
    </sheetNames>
    <sheetDataSet>
      <sheetData sheetId="0" refreshError="1">
        <row r="3">
          <cell r="H3" t="str">
            <v>Q1 97</v>
          </cell>
          <cell r="I3" t="str">
            <v>Q2 97</v>
          </cell>
          <cell r="J3" t="str">
            <v>Q3 97</v>
          </cell>
          <cell r="K3" t="str">
            <v>Q4 97</v>
          </cell>
          <cell r="M3" t="str">
            <v>Q1 98</v>
          </cell>
          <cell r="N3" t="str">
            <v>Q2 98</v>
          </cell>
          <cell r="O3" t="str">
            <v>Q3 98</v>
          </cell>
          <cell r="P3" t="str">
            <v>Q4 98</v>
          </cell>
        </row>
        <row r="15">
          <cell r="H15">
            <v>-2123303.52</v>
          </cell>
          <cell r="I15">
            <v>-1253290.3699999999</v>
          </cell>
          <cell r="J15">
            <v>-162269.43</v>
          </cell>
          <cell r="K15">
            <v>146899.29000000033</v>
          </cell>
          <cell r="M15">
            <v>-246014.77000000002</v>
          </cell>
          <cell r="N15">
            <v>-1799602.0100000002</v>
          </cell>
          <cell r="O15">
            <v>-1013013.5800000001</v>
          </cell>
        </row>
        <row r="20">
          <cell r="H20">
            <v>0.19236638472376649</v>
          </cell>
          <cell r="I20">
            <v>0.17160343737293951</v>
          </cell>
          <cell r="J20">
            <v>0.22329840583258154</v>
          </cell>
          <cell r="K20">
            <v>0.2622241607330375</v>
          </cell>
          <cell r="M20">
            <v>0.22868601654276952</v>
          </cell>
          <cell r="N20">
            <v>0.13886160439354986</v>
          </cell>
          <cell r="O20">
            <v>0.16937325540860795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rica"/>
      <sheetName val="Ocean"/>
      <sheetName val="S Amer"/>
      <sheetName val="W Eur"/>
      <sheetName val="C Amer"/>
      <sheetName val="E Eur"/>
      <sheetName val="E Asia"/>
      <sheetName val="Mideast"/>
      <sheetName val="TOC"/>
      <sheetName val="Demand Data"/>
      <sheetName val="Supply Data"/>
      <sheetName val="Price Fcsts"/>
      <sheetName val="World"/>
      <sheetName val="N Amer"/>
      <sheetName val="FSU"/>
      <sheetName val="S Asia"/>
      <sheetName val="Soc As"/>
    </sheetNames>
    <sheetDataSet>
      <sheetData sheetId="0"/>
      <sheetData sheetId="1"/>
      <sheetData sheetId="2"/>
      <sheetData sheetId="3"/>
      <sheetData sheetId="4" refreshError="1"/>
      <sheetData sheetId="5" refreshError="1"/>
      <sheetData sheetId="6"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503.6</v>
          </cell>
          <cell r="C19">
            <v>489.4</v>
          </cell>
          <cell r="D19">
            <v>510.8</v>
          </cell>
          <cell r="E19">
            <v>518.29999999999995</v>
          </cell>
          <cell r="F19">
            <v>568.4</v>
          </cell>
          <cell r="G19">
            <v>508.3</v>
          </cell>
          <cell r="H19">
            <v>516.29999999999995</v>
          </cell>
          <cell r="I19">
            <v>537.6</v>
          </cell>
          <cell r="J19">
            <v>582.6</v>
          </cell>
          <cell r="K19">
            <v>522.5</v>
          </cell>
          <cell r="L19">
            <v>533.9</v>
          </cell>
          <cell r="M19">
            <v>556.4</v>
          </cell>
          <cell r="N19">
            <v>555.4</v>
          </cell>
          <cell r="O19">
            <v>560</v>
          </cell>
          <cell r="P19">
            <v>568.4</v>
          </cell>
          <cell r="Q19">
            <v>576.92599999999993</v>
          </cell>
          <cell r="R19">
            <v>585.57988999999986</v>
          </cell>
          <cell r="S19">
            <v>594.36358834999976</v>
          </cell>
          <cell r="T19">
            <v>603.27904217524974</v>
          </cell>
          <cell r="U19">
            <v>612.32822780787842</v>
          </cell>
          <cell r="V19">
            <v>621.51315122499659</v>
          </cell>
        </row>
        <row r="21">
          <cell r="B21">
            <v>9.3691469287980365</v>
          </cell>
          <cell r="C21">
            <v>9.4162280691437559</v>
          </cell>
          <cell r="D21">
            <v>9.4635457981344278</v>
          </cell>
          <cell r="E21">
            <v>9.511101304657716</v>
          </cell>
          <cell r="F21">
            <v>9.5588957835755934</v>
          </cell>
          <cell r="G21">
            <v>9.6069304357543661</v>
          </cell>
          <cell r="H21">
            <v>9.6552064680948408</v>
          </cell>
          <cell r="I21">
            <v>9.7037250935626549</v>
          </cell>
          <cell r="J21">
            <v>9.7524875312187493</v>
          </cell>
          <cell r="K21">
            <v>9.8014950062499988</v>
          </cell>
          <cell r="L21">
            <v>9.8507487499999993</v>
          </cell>
          <cell r="M21">
            <v>9.9002499999999998</v>
          </cell>
          <cell r="N21">
            <v>9.9499999999999993</v>
          </cell>
          <cell r="O21">
            <v>10</v>
          </cell>
          <cell r="P21">
            <v>10.049999999999999</v>
          </cell>
          <cell r="Q21">
            <v>10.100249999999997</v>
          </cell>
          <cell r="R21">
            <v>10.150751249999995</v>
          </cell>
          <cell r="S21">
            <v>10.201505006249995</v>
          </cell>
          <cell r="T21">
            <v>10.252512531281244</v>
          </cell>
          <cell r="U21">
            <v>10.303775093937649</v>
          </cell>
          <cell r="V21">
            <v>10.355293969407336</v>
          </cell>
        </row>
        <row r="28">
          <cell r="B28">
            <v>-528.35822133666204</v>
          </cell>
          <cell r="C28">
            <v>-513.78071491121807</v>
          </cell>
          <cell r="D28">
            <v>-535.87145217207853</v>
          </cell>
          <cell r="E28">
            <v>-543.64543434379743</v>
          </cell>
          <cell r="F28">
            <v>-595.29766265708281</v>
          </cell>
          <cell r="G28">
            <v>-533.44413834882698</v>
          </cell>
          <cell r="H28">
            <v>-541.73386266213765</v>
          </cell>
          <cell r="I28">
            <v>-563.72283684636955</v>
          </cell>
          <cell r="J28">
            <v>-610.12306215715535</v>
          </cell>
          <cell r="K28">
            <v>-548.27053985643749</v>
          </cell>
          <cell r="L28">
            <v>-560.06327121250001</v>
          </cell>
          <cell r="M28">
            <v>-583.28925749999996</v>
          </cell>
          <cell r="N28">
            <v>-582.31050000000005</v>
          </cell>
          <cell r="O28">
            <v>-587.1</v>
          </cell>
          <cell r="P28">
            <v>-595.80349999999999</v>
          </cell>
          <cell r="Q28">
            <v>-604.63703749999991</v>
          </cell>
          <cell r="R28">
            <v>-613.60256048749989</v>
          </cell>
          <cell r="S28">
            <v>-622.70204615693729</v>
          </cell>
          <cell r="T28">
            <v>-631.93750134772688</v>
          </cell>
          <cell r="U28">
            <v>-641.31096298887064</v>
          </cell>
          <cell r="V28">
            <v>-650.82449855023594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7"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414.7</v>
          </cell>
          <cell r="C19">
            <v>273</v>
          </cell>
          <cell r="D19">
            <v>269.8</v>
          </cell>
          <cell r="E19">
            <v>245</v>
          </cell>
          <cell r="F19">
            <v>253.6</v>
          </cell>
          <cell r="G19">
            <v>297</v>
          </cell>
          <cell r="H19">
            <v>378.8</v>
          </cell>
          <cell r="I19">
            <v>479.3</v>
          </cell>
          <cell r="J19">
            <v>421.5</v>
          </cell>
          <cell r="K19">
            <v>430.6</v>
          </cell>
          <cell r="L19">
            <v>421.3</v>
          </cell>
          <cell r="M19">
            <v>431.3</v>
          </cell>
          <cell r="N19">
            <v>443.1</v>
          </cell>
          <cell r="O19">
            <v>450</v>
          </cell>
          <cell r="P19">
            <v>456.74999999999994</v>
          </cell>
          <cell r="Q19">
            <v>463.60124999999988</v>
          </cell>
          <cell r="R19">
            <v>470.55526874999981</v>
          </cell>
          <cell r="S19">
            <v>477.61359778124978</v>
          </cell>
          <cell r="T19">
            <v>484.77780174796845</v>
          </cell>
          <cell r="U19">
            <v>492.04946877418791</v>
          </cell>
          <cell r="V19">
            <v>499.4302108058007</v>
          </cell>
        </row>
        <row r="21">
          <cell r="B21">
            <v>24.199576476360555</v>
          </cell>
          <cell r="C21">
            <v>24.260227043970481</v>
          </cell>
          <cell r="D21">
            <v>24.321029618015519</v>
          </cell>
          <cell r="E21">
            <v>24.381984579464177</v>
          </cell>
          <cell r="F21">
            <v>24.443092310239777</v>
          </cell>
          <cell r="G21">
            <v>24.504353193222833</v>
          </cell>
          <cell r="H21">
            <v>24.565767612253467</v>
          </cell>
          <cell r="I21">
            <v>24.627335952133802</v>
          </cell>
          <cell r="J21">
            <v>24.689058598630375</v>
          </cell>
          <cell r="K21">
            <v>24.750935938476566</v>
          </cell>
          <cell r="L21">
            <v>24.812968359375002</v>
          </cell>
          <cell r="M21">
            <v>24.87515625</v>
          </cell>
          <cell r="N21">
            <v>24.9375</v>
          </cell>
          <cell r="O21">
            <v>25</v>
          </cell>
          <cell r="P21">
            <v>25.0625</v>
          </cell>
          <cell r="Q21">
            <v>25.12515625</v>
          </cell>
          <cell r="R21">
            <v>25.187969140624997</v>
          </cell>
          <cell r="S21">
            <v>25.250939063476558</v>
          </cell>
          <cell r="T21">
            <v>25.314066411135247</v>
          </cell>
          <cell r="U21">
            <v>25.377351577163083</v>
          </cell>
          <cell r="V21">
            <v>25.440794956105989</v>
          </cell>
        </row>
        <row r="28">
          <cell r="B28">
            <v>-452.06656377065138</v>
          </cell>
          <cell r="C28">
            <v>-306.17803385528958</v>
          </cell>
          <cell r="D28">
            <v>-302.94466050655603</v>
          </cell>
          <cell r="E28">
            <v>-277.46344411684811</v>
          </cell>
          <cell r="F28">
            <v>-286.38438507954697</v>
          </cell>
          <cell r="G28">
            <v>-331.14948378901948</v>
          </cell>
          <cell r="H28">
            <v>-415.46674064062108</v>
          </cell>
          <cell r="I28">
            <v>-519.04515603069785</v>
          </cell>
          <cell r="J28">
            <v>-459.57473035658927</v>
          </cell>
          <cell r="K28">
            <v>-469.0114640166309</v>
          </cell>
          <cell r="L28">
            <v>-459.49635741015629</v>
          </cell>
          <cell r="M28">
            <v>-469.86041093749998</v>
          </cell>
          <cell r="N28">
            <v>-482.07862500000005</v>
          </cell>
          <cell r="O28">
            <v>-489.25</v>
          </cell>
          <cell r="P28">
            <v>-496.26687499999991</v>
          </cell>
          <cell r="Q28">
            <v>-503.38819843749985</v>
          </cell>
          <cell r="R28">
            <v>-510.61553502734358</v>
          </cell>
          <cell r="S28">
            <v>-517.95047295006816</v>
          </cell>
          <cell r="T28">
            <v>-525.39462420387679</v>
          </cell>
          <cell r="U28">
            <v>-532.94962496189157</v>
          </cell>
          <cell r="V28">
            <v>-540.61713593476384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tock Price"/>
      <sheetName val="Price of Comps-1yr (UHS)"/>
      <sheetName val="Price of Comps-1yr (UNH)"/>
      <sheetName val="Price of Comps-3yrs (UHS)"/>
      <sheetName val="Price of Comps-3yrs (UNH)"/>
      <sheetName val="critical"/>
      <sheetName val="medical"/>
      <sheetName val="manor"/>
      <sheetName val="Stock Price (4)"/>
      <sheetName val="Shareholder Value"/>
      <sheetName val="Shareholder Value (2)"/>
      <sheetName val="Shareholder Value (3)"/>
      <sheetName val="theatre"/>
      <sheetName val="StockPrice"/>
      <sheetName val="Total"/>
      <sheetName val="Stock_Price"/>
      <sheetName val="Price_of_Comps-1yr_(UHS)"/>
      <sheetName val="Price_of_Comps-1yr_(UNH)"/>
      <sheetName val="Price_of_Comps-3yrs_(UHS)"/>
      <sheetName val="Price_of_Comps-3yrs_(UNH)"/>
      <sheetName val="Stock_Price_(4)"/>
      <sheetName val="Shareholder_Value"/>
      <sheetName val="Shareholder_Value_(2)"/>
      <sheetName val="Shareholder_Value_(3)"/>
      <sheetName val="Graph"/>
      <sheetName val="Clec_Comp"/>
      <sheetName val="Assump"/>
      <sheetName val="DCF_Rider_Term_Mult"/>
      <sheetName val="Horus_P&amp;L"/>
      <sheetName val="Assumptions"/>
      <sheetName val="sales_vol_"/>
      <sheetName val="NewGLP_Assumptions"/>
      <sheetName val="Revenue"/>
      <sheetName val="3"/>
      <sheetName val="Acc_Dil"/>
      <sheetName val="6b"/>
      <sheetName val="ValMatrix"/>
      <sheetName val="Overview_1"/>
      <sheetName val="Value_Creation"/>
      <sheetName val="Controls"/>
      <sheetName val="budg_act"/>
      <sheetName val="1"/>
      <sheetName val="Admin"/>
      <sheetName val="Constants"/>
      <sheetName val="Model"/>
      <sheetName val="MOE"/>
      <sheetName val="Financials_Old"/>
      <sheetName val="5a"/>
      <sheetName val="Side_by_Side"/>
      <sheetName val="CA"/>
      <sheetName val="Overview_2"/>
      <sheetName val="Value_Creation_Chart"/>
      <sheetName val="PF__Cash_EPS_Graph"/>
      <sheetName val="Cash_Flow"/>
      <sheetName val="4"/>
      <sheetName val="Contribution"/>
      <sheetName val="middle-market_-_new"/>
      <sheetName val="7"/>
      <sheetName val="DRDs"/>
      <sheetName val="SX3"/>
      <sheetName val="QuickMerge"/>
      <sheetName val="CONTROL"/>
      <sheetName val="Parameters"/>
      <sheetName val="NOPAT_VDF"/>
      <sheetName val="RC"/>
      <sheetName val="Chapter_7"/>
      <sheetName val="Invested_capital_VDF"/>
      <sheetName val="DCF_VDF"/>
      <sheetName val="MWV-BAL"/>
      <sheetName val="Balance_Sheet"/>
      <sheetName val="US_dollar_mkt"/>
      <sheetName val="riderF"/>
      <sheetName val="cd_Data"/>
      <sheetName val="Colour_Hierarchy"/>
      <sheetName val="graphdialog"/>
      <sheetName val="CID"/>
      <sheetName val="Inputs"/>
      <sheetName val="Customers"/>
      <sheetName val="WEEKLYVLS"/>
      <sheetName val="Data"/>
      <sheetName val="Market_Share"/>
      <sheetName val="DCF"/>
      <sheetName val="lev_loan_raw_data"/>
      <sheetName val="Valuation_Matrix"/>
      <sheetName val="MLP_IPO_Yields_vs_MLP_Index"/>
      <sheetName val="Forecast"/>
      <sheetName val="Financing_Memo"/>
      <sheetName val="Force_Count"/>
      <sheetName val="Instructions"/>
      <sheetName val="MWV-FUN"/>
      <sheetName val="FX_Rates"/>
      <sheetName val="Delhaize"/>
      <sheetName val="Income_Stmt"/>
      <sheetName val="Income_Statement"/>
      <sheetName val="Input"/>
      <sheetName val="Accretion_SensitivityOutput"/>
      <sheetName val="Summary"/>
      <sheetName val="IRR"/>
      <sheetName val="Lookup"/>
      <sheetName val="Budget"/>
      <sheetName val="WACC_VDF"/>
      <sheetName val="Minutes"/>
      <sheetName val="Monthly_IS"/>
      <sheetName val="Scenario_Manager"/>
      <sheetName val="PV_of_Op_Leases_VDF"/>
      <sheetName val="Sensitivity"/>
      <sheetName val="LBO_Model"/>
      <sheetName val="1991_-_1999_Drilling_Type"/>
      <sheetName val="MWV-QTR1"/>
      <sheetName val="LookupRanges"/>
      <sheetName val="Ali_Synergy_Est_(2)"/>
      <sheetName val="Summary_Inc_Stmt"/>
      <sheetName val="f3"/>
      <sheetName val="MarketData"/>
      <sheetName val="Definitions"/>
      <sheetName val="Team_Award"/>
      <sheetName val="Income_Statement_VDF"/>
      <sheetName val="Neste_Oy"/>
      <sheetName val="yc_Formula"/>
      <sheetName val="SEP"/>
      <sheetName val="Stock_Price1"/>
      <sheetName val="Price_of_Comps-1yr_(UHS)1"/>
      <sheetName val="Price_of_Comps-1yr_(UNH)1"/>
      <sheetName val="Price_of_Comps-3yrs_(UHS)1"/>
      <sheetName val="Price_of_Comps-3yrs_(UNH)1"/>
      <sheetName val="Stock_Price_(4)1"/>
      <sheetName val="Shareholder_Value1"/>
      <sheetName val="Shareholder_Value_(2)1"/>
      <sheetName val="Shareholder_Value_(3)1"/>
      <sheetName val="Stock_Price2"/>
      <sheetName val="Price_of_Comps-1yr_(UHS)2"/>
      <sheetName val="Price_of_Comps-1yr_(UNH)2"/>
      <sheetName val="Price_of_Comps-3yrs_(UHS)2"/>
      <sheetName val="Price_of_Comps-3yrs_(UNH)2"/>
      <sheetName val="Stock_Price_(4)2"/>
      <sheetName val="Shareholder_Value2"/>
      <sheetName val="Shareholder_Value_(2)2"/>
      <sheetName val="Shareholder_Value_(3)2"/>
      <sheetName val="Stock_Price3"/>
      <sheetName val="Price_of_Comps-1yr_(UHS)3"/>
      <sheetName val="Price_of_Comps-1yr_(UNH)3"/>
      <sheetName val="Price_of_Comps-3yrs_(UHS)3"/>
      <sheetName val="Price_of_Comps-3yrs_(UNH)3"/>
      <sheetName val="Stock_Price_(4)3"/>
      <sheetName val="Shareholder_Value3"/>
      <sheetName val="Shareholder_Value_(2)3"/>
      <sheetName val="Shareholder_Value_(3)3"/>
      <sheetName val="EuroInputs"/>
      <sheetName val="Price_of_Compsjà_x0013__x0000_¤ß_x0013__x0000_lâ_x0013_"/>
      <sheetName val="9040832n"/>
      <sheetName val="oldSEG"/>
      <sheetName val="Quarters"/>
      <sheetName val="sales vol."/>
      <sheetName val="Entry data"/>
      <sheetName val="Refunds Weekly"/>
      <sheetName val="Final Payments"/>
      <sheetName val="FootballField"/>
      <sheetName val="CNST"/>
      <sheetName val="AL &amp; NHY"/>
      <sheetName val="SEE"/>
      <sheetName val="P&amp;L"/>
      <sheetName val="company"/>
      <sheetName val="99 JULY SALE"/>
    </sheetNames>
    <sheetDataSet>
      <sheetData sheetId="0"/>
      <sheetData sheetId="1" refreshError="1">
        <row r="4">
          <cell r="A4">
            <v>35464</v>
          </cell>
          <cell r="B4">
            <v>1</v>
          </cell>
          <cell r="C4">
            <v>1</v>
          </cell>
          <cell r="D4">
            <v>1</v>
          </cell>
          <cell r="E4">
            <v>1</v>
          </cell>
          <cell r="F4">
            <v>1</v>
          </cell>
          <cell r="G4">
            <v>1</v>
          </cell>
        </row>
        <row r="5">
          <cell r="A5">
            <v>35465</v>
          </cell>
          <cell r="B5">
            <v>0.99669966996699666</v>
          </cell>
          <cell r="C5">
            <v>1.0280811232449298</v>
          </cell>
          <cell r="D5">
            <v>1</v>
          </cell>
          <cell r="E5">
            <v>0.99328859060402686</v>
          </cell>
          <cell r="F5">
            <v>0.97093023255813948</v>
          </cell>
          <cell r="G5">
            <v>1.0113636363636365</v>
          </cell>
        </row>
        <row r="6">
          <cell r="A6">
            <v>35466</v>
          </cell>
          <cell r="B6">
            <v>0.97689768976897695</v>
          </cell>
          <cell r="C6">
            <v>0.97347893915756634</v>
          </cell>
          <cell r="D6">
            <v>1.0112781954887218</v>
          </cell>
          <cell r="E6">
            <v>0.96644295302013428</v>
          </cell>
          <cell r="F6">
            <v>0.95813953488372094</v>
          </cell>
          <cell r="G6">
            <v>0.96590909090909094</v>
          </cell>
        </row>
        <row r="7">
          <cell r="A7">
            <v>35467</v>
          </cell>
          <cell r="B7">
            <v>0.99339933993399343</v>
          </cell>
          <cell r="C7">
            <v>0.96567862714508579</v>
          </cell>
          <cell r="D7">
            <v>1.0263157894736843</v>
          </cell>
          <cell r="E7">
            <v>0.95302013422818788</v>
          </cell>
          <cell r="F7">
            <v>0.92093023255813955</v>
          </cell>
          <cell r="G7">
            <v>0.95454545454545459</v>
          </cell>
        </row>
        <row r="8">
          <cell r="A8">
            <v>35468</v>
          </cell>
          <cell r="B8">
            <v>1.0297029702970297</v>
          </cell>
          <cell r="C8">
            <v>0.97347893915756634</v>
          </cell>
          <cell r="D8">
            <v>1.0413533834586466</v>
          </cell>
          <cell r="E8">
            <v>0.97315436241610742</v>
          </cell>
          <cell r="F8">
            <v>0.95581395348837206</v>
          </cell>
          <cell r="G8">
            <v>0.96590909090909094</v>
          </cell>
        </row>
        <row r="9">
          <cell r="A9">
            <v>35471</v>
          </cell>
          <cell r="B9">
            <v>1.033003300330033</v>
          </cell>
          <cell r="C9">
            <v>0.99375975039001563</v>
          </cell>
          <cell r="D9">
            <v>1.0883458646616542</v>
          </cell>
          <cell r="E9">
            <v>0.98657718120805371</v>
          </cell>
          <cell r="F9">
            <v>0.94883720930232562</v>
          </cell>
          <cell r="G9">
            <v>0.95454545454545459</v>
          </cell>
        </row>
        <row r="10">
          <cell r="A10">
            <v>35472</v>
          </cell>
          <cell r="B10">
            <v>1.0594059405940595</v>
          </cell>
          <cell r="C10">
            <v>0.99843993759750393</v>
          </cell>
          <cell r="D10">
            <v>1.0676691729323309</v>
          </cell>
          <cell r="E10">
            <v>1.0067114093959733</v>
          </cell>
          <cell r="F10">
            <v>0.96976744186046515</v>
          </cell>
          <cell r="G10">
            <v>0.95454545454545459</v>
          </cell>
        </row>
        <row r="11">
          <cell r="A11">
            <v>35473</v>
          </cell>
          <cell r="B11">
            <v>1.0734323432343233</v>
          </cell>
          <cell r="C11">
            <v>1.0265210608424338</v>
          </cell>
          <cell r="D11">
            <v>1.0864661654135339</v>
          </cell>
          <cell r="E11">
            <v>1.0067114093959733</v>
          </cell>
          <cell r="F11">
            <v>1.0418604651162791</v>
          </cell>
          <cell r="G11">
            <v>0.96590909090909094</v>
          </cell>
        </row>
        <row r="12">
          <cell r="A12">
            <v>35474</v>
          </cell>
          <cell r="B12">
            <v>1.0981848184818481</v>
          </cell>
          <cell r="C12">
            <v>1.0733229329173166</v>
          </cell>
          <cell r="D12">
            <v>1.1165413533834587</v>
          </cell>
          <cell r="E12">
            <v>1.0536912751677852</v>
          </cell>
          <cell r="F12">
            <v>1.1046511627906976</v>
          </cell>
          <cell r="G12">
            <v>0.98863636363636365</v>
          </cell>
        </row>
        <row r="13">
          <cell r="A13">
            <v>35475</v>
          </cell>
          <cell r="B13">
            <v>1.1056105610561056</v>
          </cell>
          <cell r="C13">
            <v>1.0795631825273011</v>
          </cell>
          <cell r="D13">
            <v>1.131578947368421</v>
          </cell>
          <cell r="E13">
            <v>1.0738255033557047</v>
          </cell>
          <cell r="F13">
            <v>1.1441860465116278</v>
          </cell>
          <cell r="G13">
            <v>1.2159090909090908</v>
          </cell>
        </row>
        <row r="14">
          <cell r="A14">
            <v>35478</v>
          </cell>
          <cell r="B14">
            <v>1.1056105610561056</v>
          </cell>
          <cell r="C14">
            <v>1.0795631825273011</v>
          </cell>
          <cell r="D14">
            <v>1.131578947368421</v>
          </cell>
          <cell r="E14">
            <v>1.0738255033557047</v>
          </cell>
          <cell r="F14">
            <v>1.1441860465116278</v>
          </cell>
          <cell r="G14">
            <v>1.2159090909090908</v>
          </cell>
        </row>
        <row r="15">
          <cell r="A15">
            <v>35479</v>
          </cell>
          <cell r="B15">
            <v>1.0990099009900991</v>
          </cell>
          <cell r="C15">
            <v>1.0608424336973479</v>
          </cell>
          <cell r="D15">
            <v>1.1090225563909775</v>
          </cell>
          <cell r="E15">
            <v>1.0738255033557047</v>
          </cell>
          <cell r="F15">
            <v>1.1000000000000001</v>
          </cell>
          <cell r="G15">
            <v>1.2159090909090908</v>
          </cell>
        </row>
        <row r="16">
          <cell r="A16">
            <v>35480</v>
          </cell>
          <cell r="B16">
            <v>1.1122112211221122</v>
          </cell>
          <cell r="C16">
            <v>1.0717628705148206</v>
          </cell>
          <cell r="D16">
            <v>1.131578947368421</v>
          </cell>
          <cell r="E16">
            <v>1.0268456375838926</v>
          </cell>
          <cell r="F16">
            <v>1.1046511627906976</v>
          </cell>
          <cell r="G16">
            <v>1.2159090909090908</v>
          </cell>
        </row>
        <row r="17">
          <cell r="A17">
            <v>35481</v>
          </cell>
          <cell r="B17">
            <v>1.1056105610561056</v>
          </cell>
          <cell r="C17">
            <v>1.0592823712948518</v>
          </cell>
          <cell r="D17">
            <v>1.1099624060150375</v>
          </cell>
          <cell r="E17">
            <v>1.0671140939597314</v>
          </cell>
          <cell r="F17">
            <v>1.0930232558139534</v>
          </cell>
          <cell r="G17">
            <v>1.2045454545454546</v>
          </cell>
        </row>
        <row r="18">
          <cell r="A18">
            <v>35482</v>
          </cell>
          <cell r="B18">
            <v>1.0990099009900991</v>
          </cell>
          <cell r="C18">
            <v>1.0608424336973479</v>
          </cell>
          <cell r="D18">
            <v>1.1353383458646618</v>
          </cell>
          <cell r="E18">
            <v>1.0738255033557047</v>
          </cell>
          <cell r="F18">
            <v>1.0953488372093023</v>
          </cell>
          <cell r="G18">
            <v>1.2159090909090908</v>
          </cell>
        </row>
        <row r="19">
          <cell r="A19">
            <v>35485</v>
          </cell>
          <cell r="B19">
            <v>1.0808580858085808</v>
          </cell>
          <cell r="C19">
            <v>1.0702028081123245</v>
          </cell>
          <cell r="D19">
            <v>1.1390977443609023</v>
          </cell>
          <cell r="E19">
            <v>1.0604026845637584</v>
          </cell>
          <cell r="F19">
            <v>1.0627906976744186</v>
          </cell>
          <cell r="G19">
            <v>1.2045454545454546</v>
          </cell>
        </row>
        <row r="20">
          <cell r="A20">
            <v>35486</v>
          </cell>
          <cell r="B20">
            <v>1.0990099009900991</v>
          </cell>
          <cell r="C20">
            <v>1.0670826833073324</v>
          </cell>
          <cell r="D20">
            <v>1.1503759398496241</v>
          </cell>
          <cell r="E20">
            <v>1.0738255033557047</v>
          </cell>
          <cell r="F20">
            <v>1.069767441860465</v>
          </cell>
          <cell r="G20">
            <v>1.2045454545454546</v>
          </cell>
        </row>
        <row r="21">
          <cell r="A21">
            <v>35487</v>
          </cell>
          <cell r="B21">
            <v>1.0940594059405941</v>
          </cell>
          <cell r="C21">
            <v>1.0405616224648986</v>
          </cell>
          <cell r="D21">
            <v>1.1503759398496241</v>
          </cell>
          <cell r="E21">
            <v>1.0134228187919463</v>
          </cell>
          <cell r="F21">
            <v>1.0488372093023255</v>
          </cell>
          <cell r="G21">
            <v>1.2045454545454546</v>
          </cell>
        </row>
        <row r="22">
          <cell r="A22">
            <v>35488</v>
          </cell>
          <cell r="B22">
            <v>1.0990099009900991</v>
          </cell>
          <cell r="C22">
            <v>1.0468018720748831</v>
          </cell>
          <cell r="D22">
            <v>1.1390977443609023</v>
          </cell>
          <cell r="E22">
            <v>1.0201342281879195</v>
          </cell>
          <cell r="F22">
            <v>1.0372093023255815</v>
          </cell>
          <cell r="G22">
            <v>1.2045454545454546</v>
          </cell>
        </row>
        <row r="23">
          <cell r="A23">
            <v>35489</v>
          </cell>
          <cell r="B23">
            <v>1.1056105610561056</v>
          </cell>
          <cell r="C23">
            <v>1.0374414976599065</v>
          </cell>
          <cell r="D23">
            <v>1.1353383458646618</v>
          </cell>
          <cell r="E23">
            <v>1.0536912751677852</v>
          </cell>
          <cell r="F23">
            <v>1.0372093023255815</v>
          </cell>
          <cell r="G23">
            <v>1.1931818181818181</v>
          </cell>
        </row>
        <row r="24">
          <cell r="A24">
            <v>35492</v>
          </cell>
          <cell r="B24">
            <v>1.0965346534653466</v>
          </cell>
          <cell r="C24">
            <v>1.0577223088923557</v>
          </cell>
          <cell r="D24">
            <v>1.1390977443609023</v>
          </cell>
          <cell r="E24">
            <v>1.1342281879194631</v>
          </cell>
          <cell r="F24">
            <v>1.0325581395348837</v>
          </cell>
          <cell r="G24">
            <v>1.2159090909090908</v>
          </cell>
        </row>
        <row r="25">
          <cell r="A25">
            <v>35493</v>
          </cell>
          <cell r="B25">
            <v>1.0973597359735974</v>
          </cell>
          <cell r="C25">
            <v>1.06396255850234</v>
          </cell>
          <cell r="D25">
            <v>1.1353383458646618</v>
          </cell>
          <cell r="E25">
            <v>1.1610738255033557</v>
          </cell>
          <cell r="F25">
            <v>1.069767441860465</v>
          </cell>
          <cell r="G25">
            <v>1.2159090909090908</v>
          </cell>
        </row>
        <row r="26">
          <cell r="A26">
            <v>35494</v>
          </cell>
          <cell r="B26">
            <v>1.113861386138614</v>
          </cell>
          <cell r="C26">
            <v>1.076443057722309</v>
          </cell>
          <cell r="D26">
            <v>1.1278195488721805</v>
          </cell>
          <cell r="E26">
            <v>1.174496644295302</v>
          </cell>
          <cell r="F26">
            <v>1.1255813953488372</v>
          </cell>
          <cell r="G26">
            <v>1.2727272727272727</v>
          </cell>
        </row>
        <row r="27">
          <cell r="A27">
            <v>35495</v>
          </cell>
          <cell r="B27">
            <v>1.1460396039603959</v>
          </cell>
          <cell r="C27">
            <v>1.0717628705148206</v>
          </cell>
          <cell r="D27">
            <v>1.1090225563909775</v>
          </cell>
          <cell r="E27">
            <v>1.1208053691275168</v>
          </cell>
          <cell r="F27">
            <v>1.1093023255813954</v>
          </cell>
          <cell r="G27">
            <v>1.2272727272727273</v>
          </cell>
        </row>
        <row r="28">
          <cell r="A28">
            <v>35496</v>
          </cell>
          <cell r="B28">
            <v>1.165016501650165</v>
          </cell>
          <cell r="C28">
            <v>1.1216848673946958</v>
          </cell>
          <cell r="D28">
            <v>1.1541353383458646</v>
          </cell>
          <cell r="E28">
            <v>1.2147651006711409</v>
          </cell>
          <cell r="F28">
            <v>1.1511627906976745</v>
          </cell>
          <cell r="G28">
            <v>1.2386363636363635</v>
          </cell>
        </row>
        <row r="29">
          <cell r="A29">
            <v>35499</v>
          </cell>
          <cell r="B29">
            <v>1.165016501650165</v>
          </cell>
          <cell r="C29">
            <v>1.1372854914196568</v>
          </cell>
          <cell r="D29">
            <v>1.1766917293233083</v>
          </cell>
          <cell r="E29">
            <v>1.2348993288590604</v>
          </cell>
          <cell r="F29">
            <v>1.2069767441860466</v>
          </cell>
          <cell r="G29">
            <v>1.3068181818181819</v>
          </cell>
        </row>
        <row r="30">
          <cell r="A30">
            <v>35500</v>
          </cell>
          <cell r="B30">
            <v>1.1452145214521452</v>
          </cell>
          <cell r="C30">
            <v>1.1528861154446177</v>
          </cell>
          <cell r="D30">
            <v>1.1766917293233083</v>
          </cell>
          <cell r="E30">
            <v>1.2348993288590604</v>
          </cell>
          <cell r="F30">
            <v>1.2255813953488373</v>
          </cell>
          <cell r="G30">
            <v>1.2954545454545454</v>
          </cell>
        </row>
        <row r="31">
          <cell r="A31">
            <v>35501</v>
          </cell>
          <cell r="B31">
            <v>1.1386138613861385</v>
          </cell>
          <cell r="C31">
            <v>1.1591263650546022</v>
          </cell>
          <cell r="D31">
            <v>1.1879699248120301</v>
          </cell>
          <cell r="E31">
            <v>1.2214765100671141</v>
          </cell>
          <cell r="F31">
            <v>1.213953488372093</v>
          </cell>
          <cell r="G31">
            <v>1.2954545454545454</v>
          </cell>
        </row>
        <row r="32">
          <cell r="A32">
            <v>35502</v>
          </cell>
          <cell r="B32">
            <v>1.1353135313531353</v>
          </cell>
          <cell r="C32">
            <v>1.1232449297971918</v>
          </cell>
          <cell r="D32">
            <v>1.1766917293233083</v>
          </cell>
          <cell r="E32">
            <v>1.1879194630872483</v>
          </cell>
          <cell r="F32">
            <v>1.1895348837209303</v>
          </cell>
          <cell r="G32">
            <v>1.2954545454545454</v>
          </cell>
        </row>
        <row r="33">
          <cell r="A33">
            <v>35503</v>
          </cell>
          <cell r="B33">
            <v>1.1353135313531353</v>
          </cell>
          <cell r="C33">
            <v>1.1341653666146645</v>
          </cell>
          <cell r="D33">
            <v>1.1691729323308271</v>
          </cell>
          <cell r="E33">
            <v>1.2281879194630871</v>
          </cell>
          <cell r="F33">
            <v>1.1837209302325582</v>
          </cell>
          <cell r="G33">
            <v>1.2954545454545454</v>
          </cell>
        </row>
        <row r="34">
          <cell r="A34">
            <v>35506</v>
          </cell>
          <cell r="B34">
            <v>1.1377887788778878</v>
          </cell>
          <cell r="C34">
            <v>1.1216848673946958</v>
          </cell>
          <cell r="D34">
            <v>1.1541353383458646</v>
          </cell>
          <cell r="E34">
            <v>1.1946308724832215</v>
          </cell>
          <cell r="F34">
            <v>1.1348837209302325</v>
          </cell>
          <cell r="G34">
            <v>1.2954545454545454</v>
          </cell>
        </row>
        <row r="35">
          <cell r="A35">
            <v>35507</v>
          </cell>
          <cell r="B35">
            <v>1.1287128712871286</v>
          </cell>
          <cell r="C35">
            <v>1.1154446177847115</v>
          </cell>
          <cell r="D35">
            <v>1.1428571428571428</v>
          </cell>
          <cell r="E35">
            <v>1.1946308724832215</v>
          </cell>
          <cell r="F35">
            <v>1.1093023255813954</v>
          </cell>
          <cell r="G35">
            <v>1.3068181818181819</v>
          </cell>
        </row>
        <row r="36">
          <cell r="A36">
            <v>35508</v>
          </cell>
          <cell r="B36">
            <v>1.1287128712871286</v>
          </cell>
          <cell r="C36">
            <v>1.0936037441497659</v>
          </cell>
          <cell r="D36">
            <v>1.1466165413533835</v>
          </cell>
          <cell r="E36">
            <v>1.174496644295302</v>
          </cell>
          <cell r="F36">
            <v>1.1232558139534883</v>
          </cell>
          <cell r="G36">
            <v>1.2954545454545454</v>
          </cell>
        </row>
        <row r="37">
          <cell r="A37">
            <v>35509</v>
          </cell>
          <cell r="B37">
            <v>1.1303630363036303</v>
          </cell>
          <cell r="C37">
            <v>1.0998439937597504</v>
          </cell>
          <cell r="D37">
            <v>1.1503759398496241</v>
          </cell>
          <cell r="E37">
            <v>1.1677852348993289</v>
          </cell>
          <cell r="F37">
            <v>1.155813953488372</v>
          </cell>
          <cell r="G37">
            <v>1.2954545454545454</v>
          </cell>
        </row>
        <row r="38">
          <cell r="A38">
            <v>35510</v>
          </cell>
          <cell r="B38">
            <v>1.1221122112211221</v>
          </cell>
          <cell r="C38">
            <v>1.1014040561622465</v>
          </cell>
          <cell r="D38">
            <v>1.1466165413533835</v>
          </cell>
          <cell r="E38">
            <v>1.1812080536912752</v>
          </cell>
          <cell r="F38">
            <v>1.1441860465116278</v>
          </cell>
          <cell r="G38">
            <v>1.2954545454545454</v>
          </cell>
        </row>
        <row r="39">
          <cell r="A39">
            <v>35513</v>
          </cell>
          <cell r="B39">
            <v>1.0965346534653466</v>
          </cell>
          <cell r="C39">
            <v>1.0951638065522622</v>
          </cell>
          <cell r="D39">
            <v>1.1353383458646618</v>
          </cell>
          <cell r="E39">
            <v>1.1677852348993289</v>
          </cell>
          <cell r="F39">
            <v>1.1441860465116278</v>
          </cell>
          <cell r="G39">
            <v>1.2954545454545454</v>
          </cell>
        </row>
        <row r="40">
          <cell r="A40">
            <v>35514</v>
          </cell>
          <cell r="B40">
            <v>1.1221122112211221</v>
          </cell>
          <cell r="C40">
            <v>1.1232449297971918</v>
          </cell>
          <cell r="D40">
            <v>1.131578947368421</v>
          </cell>
          <cell r="E40">
            <v>1.1812080536912752</v>
          </cell>
          <cell r="F40">
            <v>1.1790697674418604</v>
          </cell>
          <cell r="G40">
            <v>1.2954545454545454</v>
          </cell>
        </row>
        <row r="41">
          <cell r="A41">
            <v>35515</v>
          </cell>
          <cell r="B41">
            <v>1.1435643564356435</v>
          </cell>
          <cell r="C41">
            <v>1.1185647425897036</v>
          </cell>
          <cell r="D41">
            <v>1.112781954887218</v>
          </cell>
          <cell r="E41">
            <v>1.2013422818791946</v>
          </cell>
          <cell r="F41">
            <v>1.1697674418604651</v>
          </cell>
          <cell r="G41">
            <v>1.2954545454545454</v>
          </cell>
        </row>
        <row r="42">
          <cell r="A42">
            <v>35516</v>
          </cell>
          <cell r="B42">
            <v>1.141914191419142</v>
          </cell>
          <cell r="C42">
            <v>1.0904836193447738</v>
          </cell>
          <cell r="D42">
            <v>1.1052631578947369</v>
          </cell>
          <cell r="E42">
            <v>1.174496644295302</v>
          </cell>
          <cell r="F42">
            <v>1.1372093023255814</v>
          </cell>
          <cell r="G42">
            <v>1.2954545454545454</v>
          </cell>
        </row>
        <row r="43">
          <cell r="A43">
            <v>35517</v>
          </cell>
          <cell r="B43">
            <v>1.141914191419142</v>
          </cell>
          <cell r="C43">
            <v>1.0904836193447738</v>
          </cell>
          <cell r="D43">
            <v>1.1052631578947369</v>
          </cell>
          <cell r="E43">
            <v>1.174496644295302</v>
          </cell>
          <cell r="F43">
            <v>1.1372093023255814</v>
          </cell>
          <cell r="G43">
            <v>1.2954545454545454</v>
          </cell>
        </row>
        <row r="44">
          <cell r="A44">
            <v>35520</v>
          </cell>
          <cell r="B44">
            <v>1.1386138613861385</v>
          </cell>
          <cell r="C44">
            <v>1.0717628705148206</v>
          </cell>
          <cell r="D44">
            <v>1.0977443609022557</v>
          </cell>
          <cell r="E44">
            <v>1.1812080536912752</v>
          </cell>
          <cell r="F44">
            <v>1.0906976744186045</v>
          </cell>
          <cell r="G44">
            <v>1.2954545454545454</v>
          </cell>
        </row>
        <row r="45">
          <cell r="A45">
            <v>35521</v>
          </cell>
          <cell r="B45">
            <v>1.1056105610561056</v>
          </cell>
          <cell r="C45">
            <v>1.0748829953198127</v>
          </cell>
          <cell r="D45">
            <v>1.1090225563909775</v>
          </cell>
          <cell r="E45">
            <v>1.1342281879194631</v>
          </cell>
          <cell r="F45">
            <v>1.0604651162790697</v>
          </cell>
          <cell r="G45">
            <v>1.2954545454545454</v>
          </cell>
        </row>
        <row r="46">
          <cell r="A46">
            <v>35522</v>
          </cell>
          <cell r="B46">
            <v>1.0973597359735974</v>
          </cell>
          <cell r="C46">
            <v>1.0748829953198127</v>
          </cell>
          <cell r="D46">
            <v>0.84586466165413532</v>
          </cell>
          <cell r="E46">
            <v>1.1140939597315436</v>
          </cell>
          <cell r="F46">
            <v>1.0511627906976744</v>
          </cell>
          <cell r="G46">
            <v>1.2954545454545454</v>
          </cell>
        </row>
        <row r="47">
          <cell r="A47">
            <v>35523</v>
          </cell>
          <cell r="B47">
            <v>1.0957095709570956</v>
          </cell>
          <cell r="C47">
            <v>1.0842433697347893</v>
          </cell>
          <cell r="D47">
            <v>0.82330827067669177</v>
          </cell>
          <cell r="E47">
            <v>1.1342281879194631</v>
          </cell>
          <cell r="F47">
            <v>1.0813953488372092</v>
          </cell>
          <cell r="G47">
            <v>1.2840909090909092</v>
          </cell>
        </row>
        <row r="48">
          <cell r="A48">
            <v>35524</v>
          </cell>
          <cell r="B48">
            <v>1.1023102310231023</v>
          </cell>
          <cell r="C48">
            <v>1.076443057722309</v>
          </cell>
          <cell r="D48">
            <v>0.83082706766917291</v>
          </cell>
          <cell r="E48">
            <v>1.1342281879194631</v>
          </cell>
          <cell r="F48">
            <v>1.0790697674418606</v>
          </cell>
          <cell r="G48">
            <v>1.2954545454545454</v>
          </cell>
        </row>
        <row r="49">
          <cell r="A49">
            <v>35527</v>
          </cell>
          <cell r="B49">
            <v>1.0907590759075907</v>
          </cell>
          <cell r="C49">
            <v>1.0670826833073324</v>
          </cell>
          <cell r="D49">
            <v>0.82706766917293228</v>
          </cell>
          <cell r="E49">
            <v>1.1677852348993289</v>
          </cell>
          <cell r="F49">
            <v>1.1093023255813954</v>
          </cell>
          <cell r="G49">
            <v>1.2954545454545454</v>
          </cell>
        </row>
        <row r="50">
          <cell r="A50">
            <v>35528</v>
          </cell>
          <cell r="B50">
            <v>1.0907590759075907</v>
          </cell>
          <cell r="C50">
            <v>1.0686427457098284</v>
          </cell>
          <cell r="D50">
            <v>0.81578947368421051</v>
          </cell>
          <cell r="E50">
            <v>1.1610738255033557</v>
          </cell>
          <cell r="F50">
            <v>1.1418604651162791</v>
          </cell>
          <cell r="G50">
            <v>1.2840909090909092</v>
          </cell>
        </row>
        <row r="51">
          <cell r="A51">
            <v>35529</v>
          </cell>
          <cell r="B51">
            <v>1.0874587458745875</v>
          </cell>
          <cell r="C51">
            <v>1.0655226209048363</v>
          </cell>
          <cell r="D51">
            <v>0.83834586466165417</v>
          </cell>
          <cell r="E51">
            <v>1.1208053691275168</v>
          </cell>
          <cell r="F51">
            <v>1.1744186046511629</v>
          </cell>
          <cell r="G51">
            <v>1.3068181818181819</v>
          </cell>
        </row>
        <row r="52">
          <cell r="A52">
            <v>35530</v>
          </cell>
          <cell r="B52">
            <v>1.0891089108910892</v>
          </cell>
          <cell r="C52">
            <v>1.076443057722309</v>
          </cell>
          <cell r="D52">
            <v>0.83458646616541354</v>
          </cell>
          <cell r="E52">
            <v>1.1409395973154361</v>
          </cell>
          <cell r="F52">
            <v>1.1976744186046511</v>
          </cell>
          <cell r="G52">
            <v>1.2954545454545454</v>
          </cell>
        </row>
        <row r="53">
          <cell r="A53">
            <v>35531</v>
          </cell>
          <cell r="B53">
            <v>1.0577557755775577</v>
          </cell>
          <cell r="C53">
            <v>1.0436817472698907</v>
          </cell>
          <cell r="D53">
            <v>0.81203007518796988</v>
          </cell>
          <cell r="E53">
            <v>1.1140939597315436</v>
          </cell>
          <cell r="F53">
            <v>1.1232558139534883</v>
          </cell>
          <cell r="G53">
            <v>1.2840909090909092</v>
          </cell>
        </row>
        <row r="54">
          <cell r="A54">
            <v>35534</v>
          </cell>
          <cell r="B54">
            <v>1.0379537953795379</v>
          </cell>
          <cell r="C54">
            <v>1.0748829953198127</v>
          </cell>
          <cell r="D54">
            <v>0.82330827067669177</v>
          </cell>
          <cell r="E54">
            <v>1.1275167785234899</v>
          </cell>
          <cell r="F54">
            <v>1.1534883720930234</v>
          </cell>
          <cell r="G54">
            <v>1.2727272727272727</v>
          </cell>
        </row>
        <row r="55">
          <cell r="A55">
            <v>35535</v>
          </cell>
          <cell r="B55">
            <v>1.0742574257425743</v>
          </cell>
          <cell r="C55">
            <v>1.1045241809672386</v>
          </cell>
          <cell r="D55">
            <v>0.84586466165413532</v>
          </cell>
          <cell r="E55">
            <v>1.1476510067114094</v>
          </cell>
          <cell r="F55">
            <v>1.1767441860465115</v>
          </cell>
          <cell r="G55">
            <v>1.2727272727272727</v>
          </cell>
        </row>
        <row r="56">
          <cell r="A56">
            <v>35536</v>
          </cell>
          <cell r="B56">
            <v>1.1039603960396041</v>
          </cell>
          <cell r="C56">
            <v>1.1201248049921997</v>
          </cell>
          <cell r="D56">
            <v>0.86466165413533835</v>
          </cell>
          <cell r="E56">
            <v>1.1476510067114094</v>
          </cell>
          <cell r="F56">
            <v>1.1476744186046512</v>
          </cell>
          <cell r="G56">
            <v>1.2840909090909092</v>
          </cell>
        </row>
        <row r="57">
          <cell r="A57">
            <v>35537</v>
          </cell>
          <cell r="B57">
            <v>1.0990099009900991</v>
          </cell>
          <cell r="C57">
            <v>1.0982839313572543</v>
          </cell>
          <cell r="D57">
            <v>0.84962406015037595</v>
          </cell>
          <cell r="E57">
            <v>1.1409395973154361</v>
          </cell>
          <cell r="F57">
            <v>1.1627906976744187</v>
          </cell>
          <cell r="G57">
            <v>1.2840909090909092</v>
          </cell>
        </row>
        <row r="58">
          <cell r="A58">
            <v>35538</v>
          </cell>
          <cell r="B58">
            <v>1.0577557755775577</v>
          </cell>
          <cell r="C58">
            <v>1.0717628705148206</v>
          </cell>
          <cell r="D58">
            <v>0.80451127819548873</v>
          </cell>
          <cell r="E58">
            <v>1.080536912751678</v>
          </cell>
          <cell r="F58">
            <v>1.1232558139534883</v>
          </cell>
          <cell r="G58">
            <v>1.2840909090909092</v>
          </cell>
        </row>
        <row r="59">
          <cell r="A59">
            <v>35541</v>
          </cell>
          <cell r="B59">
            <v>1.0445544554455446</v>
          </cell>
          <cell r="C59">
            <v>1.0624024960998439</v>
          </cell>
          <cell r="D59">
            <v>0.77819548872180455</v>
          </cell>
          <cell r="E59">
            <v>1.0939597315436242</v>
          </cell>
          <cell r="F59">
            <v>1.1232558139534883</v>
          </cell>
          <cell r="G59">
            <v>1.2727272727272727</v>
          </cell>
        </row>
        <row r="60">
          <cell r="A60">
            <v>35542</v>
          </cell>
          <cell r="B60">
            <v>1.0297029702970297</v>
          </cell>
          <cell r="C60">
            <v>1.0702028081123245</v>
          </cell>
          <cell r="D60">
            <v>0.76691729323308266</v>
          </cell>
          <cell r="E60">
            <v>1.1073825503355705</v>
          </cell>
          <cell r="F60">
            <v>1.1418604651162791</v>
          </cell>
          <cell r="G60">
            <v>1.2727272727272727</v>
          </cell>
        </row>
        <row r="61">
          <cell r="A61">
            <v>35543</v>
          </cell>
          <cell r="B61">
            <v>1.0148514851485149</v>
          </cell>
          <cell r="C61">
            <v>1.0686427457098284</v>
          </cell>
          <cell r="D61">
            <v>0.75563909774436089</v>
          </cell>
          <cell r="E61">
            <v>1.1208053691275168</v>
          </cell>
          <cell r="F61">
            <v>1.1488372093023256</v>
          </cell>
          <cell r="G61">
            <v>1.2727272727272727</v>
          </cell>
        </row>
        <row r="62">
          <cell r="A62">
            <v>35544</v>
          </cell>
          <cell r="B62">
            <v>1.0198019801980198</v>
          </cell>
          <cell r="C62">
            <v>1.0530421216848673</v>
          </cell>
          <cell r="D62">
            <v>0.75939849624060152</v>
          </cell>
          <cell r="E62">
            <v>1.080536912751678</v>
          </cell>
          <cell r="F62">
            <v>1.1395348837209303</v>
          </cell>
          <cell r="G62">
            <v>1.2727272727272727</v>
          </cell>
        </row>
        <row r="63">
          <cell r="A63">
            <v>35545</v>
          </cell>
          <cell r="B63">
            <v>1.0156765676567656</v>
          </cell>
          <cell r="C63">
            <v>1.0483619344773791</v>
          </cell>
          <cell r="D63">
            <v>0.74060150375939848</v>
          </cell>
          <cell r="E63">
            <v>1.0939597315436242</v>
          </cell>
          <cell r="F63">
            <v>1.1046511627906976</v>
          </cell>
          <cell r="G63">
            <v>1.2727272727272727</v>
          </cell>
        </row>
        <row r="64">
          <cell r="A64">
            <v>35548</v>
          </cell>
          <cell r="B64">
            <v>1.0099009900990099</v>
          </cell>
          <cell r="C64">
            <v>1.0468018720748831</v>
          </cell>
          <cell r="D64">
            <v>0.73308270676691734</v>
          </cell>
          <cell r="E64">
            <v>1.087248322147651</v>
          </cell>
          <cell r="F64">
            <v>1.0976744186046512</v>
          </cell>
          <cell r="G64">
            <v>1.2613636363636365</v>
          </cell>
        </row>
        <row r="65">
          <cell r="A65">
            <v>35549</v>
          </cell>
          <cell r="B65">
            <v>1.033003300330033</v>
          </cell>
          <cell r="C65">
            <v>1.1185647425897036</v>
          </cell>
          <cell r="D65">
            <v>0.77067669172932329</v>
          </cell>
          <cell r="E65">
            <v>1.1543624161073827</v>
          </cell>
          <cell r="F65">
            <v>1.1674418604651162</v>
          </cell>
          <cell r="G65">
            <v>1.2613636363636365</v>
          </cell>
        </row>
        <row r="66">
          <cell r="A66">
            <v>35550</v>
          </cell>
          <cell r="B66">
            <v>1.0594059405940595</v>
          </cell>
          <cell r="C66">
            <v>1.1372854914196568</v>
          </cell>
          <cell r="D66">
            <v>0.81203007518796988</v>
          </cell>
          <cell r="E66">
            <v>1.1677852348993289</v>
          </cell>
          <cell r="F66">
            <v>1.2255813953488373</v>
          </cell>
          <cell r="G66">
            <v>1.2613636363636365</v>
          </cell>
        </row>
        <row r="67">
          <cell r="A67">
            <v>35551</v>
          </cell>
          <cell r="B67">
            <v>1.0148514851485149</v>
          </cell>
          <cell r="C67">
            <v>1.1216848673946958</v>
          </cell>
          <cell r="D67">
            <v>0.80451127819548873</v>
          </cell>
          <cell r="E67">
            <v>1.1610738255033557</v>
          </cell>
          <cell r="F67">
            <v>1.213953488372093</v>
          </cell>
          <cell r="G67">
            <v>1.2727272727272727</v>
          </cell>
        </row>
        <row r="68">
          <cell r="A68">
            <v>35552</v>
          </cell>
          <cell r="B68">
            <v>1.0181518151815181</v>
          </cell>
          <cell r="C68">
            <v>1.1216848673946958</v>
          </cell>
          <cell r="D68">
            <v>0.82330827067669177</v>
          </cell>
          <cell r="E68">
            <v>1.174496644295302</v>
          </cell>
          <cell r="F68">
            <v>1.2720930232558139</v>
          </cell>
          <cell r="G68">
            <v>1.2727272727272727</v>
          </cell>
        </row>
        <row r="69">
          <cell r="A69">
            <v>35555</v>
          </cell>
          <cell r="B69">
            <v>1.0396039603960396</v>
          </cell>
          <cell r="C69">
            <v>1.1310452418096724</v>
          </cell>
          <cell r="D69">
            <v>0.83458646616541354</v>
          </cell>
          <cell r="E69">
            <v>1.1543624161073827</v>
          </cell>
          <cell r="F69">
            <v>1.2</v>
          </cell>
          <cell r="G69">
            <v>1.2954545454545454</v>
          </cell>
        </row>
        <row r="70">
          <cell r="A70">
            <v>35556</v>
          </cell>
          <cell r="B70">
            <v>1.056930693069307</v>
          </cell>
          <cell r="C70">
            <v>1.1965678627145087</v>
          </cell>
          <cell r="D70">
            <v>0.81203007518796988</v>
          </cell>
          <cell r="E70">
            <v>1.1543624161073827</v>
          </cell>
          <cell r="F70">
            <v>1.2441860465116279</v>
          </cell>
          <cell r="G70">
            <v>1.2727272727272727</v>
          </cell>
        </row>
        <row r="71">
          <cell r="A71">
            <v>35557</v>
          </cell>
          <cell r="B71">
            <v>1.0627062706270627</v>
          </cell>
          <cell r="C71">
            <v>1.2059282371294853</v>
          </cell>
          <cell r="D71">
            <v>0.81203007518796988</v>
          </cell>
          <cell r="E71">
            <v>1.1610738255033557</v>
          </cell>
          <cell r="F71">
            <v>1.2511627906976743</v>
          </cell>
          <cell r="G71">
            <v>1.2840909090909092</v>
          </cell>
        </row>
        <row r="72">
          <cell r="A72">
            <v>35558</v>
          </cell>
          <cell r="B72">
            <v>1.0412541254125414</v>
          </cell>
          <cell r="C72">
            <v>1.2246489859594383</v>
          </cell>
          <cell r="D72">
            <v>0.80451127819548873</v>
          </cell>
          <cell r="E72">
            <v>1.1476510067114094</v>
          </cell>
          <cell r="F72">
            <v>1.2279069767441861</v>
          </cell>
          <cell r="G72">
            <v>1.2727272727272727</v>
          </cell>
        </row>
        <row r="73">
          <cell r="A73">
            <v>35559</v>
          </cell>
          <cell r="B73">
            <v>1.028052805280528</v>
          </cell>
          <cell r="C73">
            <v>1.2293291731669267</v>
          </cell>
          <cell r="D73">
            <v>0.81578947368421051</v>
          </cell>
          <cell r="E73">
            <v>1.1409395973154361</v>
          </cell>
          <cell r="F73">
            <v>1.2069767441860466</v>
          </cell>
          <cell r="G73">
            <v>1.2840909090909092</v>
          </cell>
        </row>
        <row r="74">
          <cell r="A74">
            <v>35562</v>
          </cell>
          <cell r="B74">
            <v>1.033003300330033</v>
          </cell>
          <cell r="C74">
            <v>1.2402496099843994</v>
          </cell>
          <cell r="D74">
            <v>0.83834586466165417</v>
          </cell>
          <cell r="E74">
            <v>1.174496644295302</v>
          </cell>
          <cell r="F74">
            <v>1.2279069767441861</v>
          </cell>
          <cell r="G74">
            <v>1.2840909090909092</v>
          </cell>
        </row>
        <row r="75">
          <cell r="A75">
            <v>35563</v>
          </cell>
          <cell r="B75">
            <v>0.98844884488448848</v>
          </cell>
          <cell r="C75">
            <v>1.2308892355694228</v>
          </cell>
          <cell r="D75">
            <v>0.83458646616541354</v>
          </cell>
          <cell r="E75">
            <v>1.2013422818791946</v>
          </cell>
          <cell r="F75">
            <v>1.2127906976744185</v>
          </cell>
          <cell r="G75">
            <v>1.2840909090909092</v>
          </cell>
        </row>
        <row r="76">
          <cell r="A76">
            <v>35564</v>
          </cell>
          <cell r="B76">
            <v>0.95379537953795379</v>
          </cell>
          <cell r="C76">
            <v>1.218408736349454</v>
          </cell>
          <cell r="D76">
            <v>0.83458646616541354</v>
          </cell>
          <cell r="E76">
            <v>1.1543624161073827</v>
          </cell>
          <cell r="F76">
            <v>1.1883720930232557</v>
          </cell>
          <cell r="G76">
            <v>1.2727272727272727</v>
          </cell>
        </row>
        <row r="77">
          <cell r="A77">
            <v>35565</v>
          </cell>
          <cell r="B77">
            <v>0.96039603960396036</v>
          </cell>
          <cell r="C77">
            <v>1.2090483619344774</v>
          </cell>
          <cell r="D77">
            <v>0.83834586466165417</v>
          </cell>
          <cell r="E77">
            <v>1.1610738255033557</v>
          </cell>
          <cell r="F77">
            <v>1.1744186046511629</v>
          </cell>
          <cell r="G77">
            <v>1.2840909090909092</v>
          </cell>
        </row>
        <row r="78">
          <cell r="A78">
            <v>35566</v>
          </cell>
          <cell r="B78">
            <v>0.97029702970297027</v>
          </cell>
          <cell r="C78">
            <v>1.1825273010920436</v>
          </cell>
          <cell r="D78">
            <v>0.83834586466165417</v>
          </cell>
          <cell r="E78">
            <v>1.1409395973154361</v>
          </cell>
          <cell r="F78">
            <v>1.1790697674418604</v>
          </cell>
          <cell r="G78">
            <v>1.2840909090909092</v>
          </cell>
        </row>
        <row r="79">
          <cell r="A79">
            <v>35569</v>
          </cell>
          <cell r="B79">
            <v>0.97854785478547857</v>
          </cell>
          <cell r="C79">
            <v>1.204368174726989</v>
          </cell>
          <cell r="D79">
            <v>0.84210526315789469</v>
          </cell>
          <cell r="E79">
            <v>1.1610738255033557</v>
          </cell>
          <cell r="F79">
            <v>1.2186046511627906</v>
          </cell>
          <cell r="G79">
            <v>1.2840909090909092</v>
          </cell>
        </row>
        <row r="80">
          <cell r="A80">
            <v>35570</v>
          </cell>
          <cell r="B80">
            <v>0.98679867986798675</v>
          </cell>
          <cell r="C80">
            <v>1.204368174726989</v>
          </cell>
          <cell r="D80">
            <v>0.83834586466165417</v>
          </cell>
          <cell r="E80">
            <v>1.1677852348993289</v>
          </cell>
          <cell r="F80">
            <v>1.2488372093023257</v>
          </cell>
          <cell r="G80">
            <v>1.2840909090909092</v>
          </cell>
        </row>
        <row r="81">
          <cell r="A81">
            <v>35571</v>
          </cell>
          <cell r="B81">
            <v>0.98514851485148514</v>
          </cell>
          <cell r="C81">
            <v>1.1778471138845554</v>
          </cell>
          <cell r="D81">
            <v>0.84586466165413532</v>
          </cell>
          <cell r="E81">
            <v>1.1409395973154361</v>
          </cell>
          <cell r="F81">
            <v>1.2244186046511627</v>
          </cell>
          <cell r="G81">
            <v>1.2840909090909092</v>
          </cell>
        </row>
        <row r="82">
          <cell r="A82">
            <v>35572</v>
          </cell>
          <cell r="B82">
            <v>1.0148514851485149</v>
          </cell>
          <cell r="C82">
            <v>1.1825273010920436</v>
          </cell>
          <cell r="D82">
            <v>0.84962406015037595</v>
          </cell>
          <cell r="E82">
            <v>1.1342281879194631</v>
          </cell>
          <cell r="F82">
            <v>1.2116279069767442</v>
          </cell>
          <cell r="G82">
            <v>1.3068181818181819</v>
          </cell>
        </row>
        <row r="83">
          <cell r="A83">
            <v>35573</v>
          </cell>
          <cell r="B83">
            <v>1.0066006600660067</v>
          </cell>
          <cell r="C83">
            <v>1.1887675507020281</v>
          </cell>
          <cell r="D83">
            <v>0.8571428571428571</v>
          </cell>
          <cell r="E83">
            <v>1.1677852348993289</v>
          </cell>
          <cell r="F83">
            <v>1.2116279069767442</v>
          </cell>
          <cell r="G83">
            <v>1.2954545454545454</v>
          </cell>
        </row>
        <row r="84">
          <cell r="A84">
            <v>35576</v>
          </cell>
          <cell r="B84">
            <v>1.0066006600660067</v>
          </cell>
          <cell r="C84">
            <v>1.1887675507020281</v>
          </cell>
          <cell r="D84">
            <v>0.8571428571428571</v>
          </cell>
          <cell r="E84">
            <v>1.1677852348993289</v>
          </cell>
          <cell r="F84">
            <v>1.2116279069767442</v>
          </cell>
          <cell r="G84">
            <v>1.2954545454545454</v>
          </cell>
        </row>
        <row r="85">
          <cell r="A85">
            <v>35577</v>
          </cell>
          <cell r="B85">
            <v>1.0066006600660067</v>
          </cell>
          <cell r="C85">
            <v>1.1903276131045242</v>
          </cell>
          <cell r="D85">
            <v>0.8721804511278195</v>
          </cell>
          <cell r="E85">
            <v>1.1543624161073827</v>
          </cell>
          <cell r="F85">
            <v>1.2232558139534884</v>
          </cell>
          <cell r="G85">
            <v>1.3068181818181819</v>
          </cell>
        </row>
        <row r="86">
          <cell r="A86">
            <v>35578</v>
          </cell>
          <cell r="B86">
            <v>1.0066006600660067</v>
          </cell>
          <cell r="C86">
            <v>1.1825273010920436</v>
          </cell>
          <cell r="D86">
            <v>0.88345864661654139</v>
          </cell>
          <cell r="E86">
            <v>1.1342281879194631</v>
          </cell>
          <cell r="F86">
            <v>1.2093023255813953</v>
          </cell>
          <cell r="G86">
            <v>1.3068181818181819</v>
          </cell>
        </row>
        <row r="87">
          <cell r="A87">
            <v>35579</v>
          </cell>
          <cell r="B87">
            <v>1.0297029702970297</v>
          </cell>
          <cell r="C87">
            <v>1.1965678627145087</v>
          </cell>
          <cell r="D87">
            <v>0.86842105263157898</v>
          </cell>
          <cell r="E87">
            <v>1.1543624161073827</v>
          </cell>
          <cell r="F87">
            <v>1.2116279069767442</v>
          </cell>
          <cell r="G87">
            <v>1.3068181818181819</v>
          </cell>
        </row>
        <row r="88">
          <cell r="A88">
            <v>35580</v>
          </cell>
          <cell r="B88">
            <v>1.0462046204620461</v>
          </cell>
          <cell r="C88">
            <v>1.2605304212168487</v>
          </cell>
          <cell r="D88">
            <v>0.89849624060150379</v>
          </cell>
          <cell r="E88">
            <v>1.2214765100671141</v>
          </cell>
          <cell r="F88">
            <v>1.3116279069767443</v>
          </cell>
          <cell r="G88">
            <v>1.3181818181818181</v>
          </cell>
        </row>
        <row r="89">
          <cell r="A89">
            <v>35583</v>
          </cell>
          <cell r="B89">
            <v>1.0511551155115511</v>
          </cell>
          <cell r="C89">
            <v>1.2480499219968799</v>
          </cell>
          <cell r="D89">
            <v>0.90225563909774431</v>
          </cell>
          <cell r="E89">
            <v>1.2483221476510067</v>
          </cell>
          <cell r="F89">
            <v>1.344186046511628</v>
          </cell>
          <cell r="G89">
            <v>1.3068181818181819</v>
          </cell>
        </row>
        <row r="90">
          <cell r="A90">
            <v>35584</v>
          </cell>
          <cell r="B90">
            <v>1.056105610561056</v>
          </cell>
          <cell r="C90">
            <v>1.2371294851794072</v>
          </cell>
          <cell r="D90">
            <v>0.92481203007518797</v>
          </cell>
          <cell r="E90">
            <v>1.2684563758389262</v>
          </cell>
          <cell r="F90">
            <v>1.35</v>
          </cell>
          <cell r="G90">
            <v>1.3068181818181819</v>
          </cell>
        </row>
        <row r="91">
          <cell r="A91">
            <v>35585</v>
          </cell>
          <cell r="B91">
            <v>1.0833333333333333</v>
          </cell>
          <cell r="C91">
            <v>1.2605304212168487</v>
          </cell>
          <cell r="D91">
            <v>0.9135338345864662</v>
          </cell>
          <cell r="E91">
            <v>1.2483221476510067</v>
          </cell>
          <cell r="F91">
            <v>1.3779069767441861</v>
          </cell>
          <cell r="G91">
            <v>1.3181818181818181</v>
          </cell>
        </row>
        <row r="92">
          <cell r="A92">
            <v>35586</v>
          </cell>
          <cell r="B92">
            <v>1.0891089108910892</v>
          </cell>
          <cell r="C92">
            <v>1.2854914196567864</v>
          </cell>
          <cell r="D92">
            <v>0.90977443609022557</v>
          </cell>
          <cell r="E92">
            <v>1.2550335570469799</v>
          </cell>
          <cell r="F92">
            <v>1.3395348837209302</v>
          </cell>
          <cell r="G92">
            <v>1.3068181818181819</v>
          </cell>
        </row>
        <row r="93">
          <cell r="A93">
            <v>35587</v>
          </cell>
          <cell r="B93">
            <v>1.0726072607260726</v>
          </cell>
          <cell r="C93">
            <v>1.313572542901716</v>
          </cell>
          <cell r="D93">
            <v>0.93233082706766912</v>
          </cell>
          <cell r="E93">
            <v>1.2416107382550337</v>
          </cell>
          <cell r="F93">
            <v>1.3162790697674418</v>
          </cell>
          <cell r="G93">
            <v>1.3068181818181819</v>
          </cell>
        </row>
        <row r="94">
          <cell r="A94">
            <v>35590</v>
          </cell>
          <cell r="B94">
            <v>1.0874587458745875</v>
          </cell>
          <cell r="C94">
            <v>1.3494539781591264</v>
          </cell>
          <cell r="D94">
            <v>0.94360902255639101</v>
          </cell>
          <cell r="E94">
            <v>1.2818791946308725</v>
          </cell>
          <cell r="F94">
            <v>1.3523255813953488</v>
          </cell>
          <cell r="G94">
            <v>1.3068181818181819</v>
          </cell>
        </row>
        <row r="95">
          <cell r="A95">
            <v>35591</v>
          </cell>
          <cell r="B95">
            <v>1.0808580858085808</v>
          </cell>
          <cell r="C95">
            <v>1.3416536661466458</v>
          </cell>
          <cell r="D95">
            <v>0.96240601503759393</v>
          </cell>
          <cell r="E95">
            <v>1.3020134228187918</v>
          </cell>
          <cell r="F95">
            <v>1.3383720930232559</v>
          </cell>
          <cell r="G95">
            <v>1.3295454545454546</v>
          </cell>
        </row>
        <row r="96">
          <cell r="A96">
            <v>35592</v>
          </cell>
          <cell r="B96">
            <v>1.1105610561056105</v>
          </cell>
          <cell r="C96">
            <v>1.3541341653666146</v>
          </cell>
          <cell r="D96">
            <v>0.98496240601503759</v>
          </cell>
          <cell r="E96">
            <v>1.2953020134228188</v>
          </cell>
          <cell r="F96">
            <v>1.3395348837209302</v>
          </cell>
          <cell r="G96">
            <v>1.3181818181818181</v>
          </cell>
        </row>
        <row r="97">
          <cell r="A97">
            <v>35593</v>
          </cell>
          <cell r="B97">
            <v>1.1468646864686469</v>
          </cell>
          <cell r="C97">
            <v>1.3884555382215289</v>
          </cell>
          <cell r="D97">
            <v>0.96992481203007519</v>
          </cell>
          <cell r="E97">
            <v>1.2818791946308725</v>
          </cell>
          <cell r="F97">
            <v>1.3209302325581396</v>
          </cell>
          <cell r="G97">
            <v>1.3181818181818181</v>
          </cell>
        </row>
        <row r="98">
          <cell r="A98">
            <v>35594</v>
          </cell>
          <cell r="B98">
            <v>1.1534653465346534</v>
          </cell>
          <cell r="C98">
            <v>1.4071762870514821</v>
          </cell>
          <cell r="D98">
            <v>0.97744360902255634</v>
          </cell>
          <cell r="E98">
            <v>1.3020134228187918</v>
          </cell>
          <cell r="F98">
            <v>1.3186046511627907</v>
          </cell>
          <cell r="G98">
            <v>1.3181818181818181</v>
          </cell>
        </row>
        <row r="99">
          <cell r="A99">
            <v>35597</v>
          </cell>
          <cell r="B99">
            <v>1.136138613861386</v>
          </cell>
          <cell r="C99">
            <v>1.3666146645865835</v>
          </cell>
          <cell r="D99">
            <v>0.96240601503759393</v>
          </cell>
          <cell r="E99">
            <v>1.2751677852348993</v>
          </cell>
          <cell r="F99">
            <v>1.2872093023255815</v>
          </cell>
          <cell r="G99">
            <v>1.3181818181818181</v>
          </cell>
        </row>
        <row r="100">
          <cell r="A100">
            <v>35598</v>
          </cell>
          <cell r="B100">
            <v>1.1303630363036303</v>
          </cell>
          <cell r="C100">
            <v>1.3650546021840875</v>
          </cell>
          <cell r="D100">
            <v>0.93984962406015038</v>
          </cell>
          <cell r="E100">
            <v>1.2818791946308725</v>
          </cell>
          <cell r="F100">
            <v>1.286046511627907</v>
          </cell>
          <cell r="G100">
            <v>1.3181818181818181</v>
          </cell>
        </row>
        <row r="101">
          <cell r="A101">
            <v>35599</v>
          </cell>
          <cell r="B101">
            <v>1.0973597359735974</v>
          </cell>
          <cell r="C101">
            <v>1.3338533541341653</v>
          </cell>
          <cell r="D101">
            <v>0.94360902255639101</v>
          </cell>
          <cell r="E101">
            <v>1.2751677852348993</v>
          </cell>
          <cell r="F101">
            <v>1.2790697674418605</v>
          </cell>
          <cell r="G101">
            <v>1.3181818181818181</v>
          </cell>
        </row>
        <row r="102">
          <cell r="A102">
            <v>35600</v>
          </cell>
          <cell r="B102">
            <v>1.1171617161716172</v>
          </cell>
          <cell r="C102">
            <v>1.3634945397815912</v>
          </cell>
          <cell r="D102">
            <v>0.97744360902255634</v>
          </cell>
          <cell r="E102">
            <v>1.2885906040268456</v>
          </cell>
          <cell r="F102">
            <v>1.3813953488372093</v>
          </cell>
          <cell r="G102">
            <v>1.3295454545454546</v>
          </cell>
        </row>
        <row r="103">
          <cell r="A103">
            <v>35601</v>
          </cell>
          <cell r="B103">
            <v>1.1320132013201321</v>
          </cell>
          <cell r="C103">
            <v>1.3494539781591264</v>
          </cell>
          <cell r="D103">
            <v>0.98496240601503759</v>
          </cell>
          <cell r="E103">
            <v>1.2751677852348993</v>
          </cell>
          <cell r="F103">
            <v>1.3651162790697675</v>
          </cell>
          <cell r="G103">
            <v>1.3295454545454546</v>
          </cell>
        </row>
        <row r="104">
          <cell r="A104">
            <v>35604</v>
          </cell>
          <cell r="B104">
            <v>1.1287128712871286</v>
          </cell>
          <cell r="C104">
            <v>1.3354134165366616</v>
          </cell>
          <cell r="D104">
            <v>0.97368421052631582</v>
          </cell>
          <cell r="E104">
            <v>1.2550335570469799</v>
          </cell>
          <cell r="F104">
            <v>1.3616279069767443</v>
          </cell>
          <cell r="G104">
            <v>1.3295454545454546</v>
          </cell>
        </row>
        <row r="105">
          <cell r="A105">
            <v>35605</v>
          </cell>
          <cell r="B105">
            <v>0.88118811881188119</v>
          </cell>
          <cell r="C105">
            <v>1.3494539781591264</v>
          </cell>
          <cell r="D105">
            <v>0.94736842105263153</v>
          </cell>
          <cell r="E105">
            <v>1.2483221476510067</v>
          </cell>
          <cell r="F105">
            <v>1.3651162790697675</v>
          </cell>
          <cell r="G105">
            <v>1.3295454545454546</v>
          </cell>
        </row>
        <row r="106">
          <cell r="A106">
            <v>35606</v>
          </cell>
          <cell r="B106">
            <v>0.92409240924092406</v>
          </cell>
          <cell r="C106">
            <v>1.3361934477379096</v>
          </cell>
          <cell r="D106">
            <v>0.94360902255639101</v>
          </cell>
          <cell r="E106">
            <v>1.2449664429530201</v>
          </cell>
          <cell r="F106">
            <v>1.3813953488372093</v>
          </cell>
          <cell r="G106">
            <v>1.3295454545454546</v>
          </cell>
        </row>
        <row r="107">
          <cell r="A107">
            <v>35607</v>
          </cell>
          <cell r="B107">
            <v>0.91171617161716167</v>
          </cell>
          <cell r="C107">
            <v>1.3299531981279251</v>
          </cell>
          <cell r="D107">
            <v>0.93609022556390975</v>
          </cell>
          <cell r="E107">
            <v>1.2315436241610738</v>
          </cell>
          <cell r="F107">
            <v>1.3744186046511628</v>
          </cell>
          <cell r="G107">
            <v>1.3238636363636365</v>
          </cell>
        </row>
        <row r="108">
          <cell r="A108">
            <v>35608</v>
          </cell>
          <cell r="B108">
            <v>0.83003300330033003</v>
          </cell>
          <cell r="C108">
            <v>1.2971918876755071</v>
          </cell>
          <cell r="D108">
            <v>0.93984962406015038</v>
          </cell>
          <cell r="E108">
            <v>1.2281879194630871</v>
          </cell>
          <cell r="F108">
            <v>1.3581395348837209</v>
          </cell>
          <cell r="G108">
            <v>1.3295454545454546</v>
          </cell>
        </row>
        <row r="109">
          <cell r="A109">
            <v>35611</v>
          </cell>
          <cell r="B109">
            <v>0.84323432343234328</v>
          </cell>
          <cell r="C109">
            <v>1.2776911076443058</v>
          </cell>
          <cell r="D109">
            <v>0.91165413533834583</v>
          </cell>
          <cell r="E109">
            <v>1.2416107382550337</v>
          </cell>
          <cell r="F109">
            <v>1.3348837209302327</v>
          </cell>
          <cell r="G109">
            <v>1.3295454545454546</v>
          </cell>
        </row>
        <row r="110">
          <cell r="A110">
            <v>35612</v>
          </cell>
          <cell r="B110">
            <v>0.84818481848184824</v>
          </cell>
          <cell r="C110">
            <v>1.2761310452418098</v>
          </cell>
          <cell r="D110">
            <v>0.9285714285714286</v>
          </cell>
          <cell r="E110">
            <v>1.238255033557047</v>
          </cell>
          <cell r="F110">
            <v>1.3837209302325582</v>
          </cell>
          <cell r="G110">
            <v>1.3295454545454546</v>
          </cell>
        </row>
        <row r="111">
          <cell r="A111">
            <v>35613</v>
          </cell>
          <cell r="B111">
            <v>0.8366336633663366</v>
          </cell>
          <cell r="C111">
            <v>1.2901716068642746</v>
          </cell>
          <cell r="D111">
            <v>0.9285714285714286</v>
          </cell>
          <cell r="E111">
            <v>1.2449664429530201</v>
          </cell>
          <cell r="F111">
            <v>1.4116279069767441</v>
          </cell>
          <cell r="G111">
            <v>1.3181818181818181</v>
          </cell>
        </row>
        <row r="112">
          <cell r="A112">
            <v>35614</v>
          </cell>
          <cell r="B112">
            <v>0.84570957095709576</v>
          </cell>
          <cell r="C112">
            <v>1.3151326053042123</v>
          </cell>
          <cell r="D112">
            <v>0.93421052631578949</v>
          </cell>
          <cell r="E112">
            <v>1.2348993288590604</v>
          </cell>
          <cell r="F112">
            <v>1.4290697674418604</v>
          </cell>
          <cell r="G112">
            <v>1.3125</v>
          </cell>
        </row>
        <row r="113">
          <cell r="A113">
            <v>35615</v>
          </cell>
          <cell r="B113">
            <v>0.84570957095709576</v>
          </cell>
          <cell r="C113">
            <v>1.3151326053042123</v>
          </cell>
          <cell r="D113">
            <v>0.93421052631578949</v>
          </cell>
          <cell r="E113">
            <v>1.2348993288590604</v>
          </cell>
          <cell r="F113">
            <v>1.4290697674418604</v>
          </cell>
          <cell r="G113">
            <v>1.3125</v>
          </cell>
        </row>
        <row r="114">
          <cell r="A114">
            <v>35618</v>
          </cell>
          <cell r="B114">
            <v>0.84158415841584155</v>
          </cell>
          <cell r="C114">
            <v>1.3018720748829953</v>
          </cell>
          <cell r="D114">
            <v>0.93984962406015038</v>
          </cell>
          <cell r="E114">
            <v>1.238255033557047</v>
          </cell>
          <cell r="F114">
            <v>1.4162790697674419</v>
          </cell>
          <cell r="G114">
            <v>1.3181818181818181</v>
          </cell>
        </row>
        <row r="115">
          <cell r="A115">
            <v>35619</v>
          </cell>
          <cell r="B115">
            <v>0.85808580858085803</v>
          </cell>
          <cell r="C115">
            <v>1.3112324492979719</v>
          </cell>
          <cell r="D115">
            <v>0.9285714285714286</v>
          </cell>
          <cell r="E115">
            <v>1.2315436241610738</v>
          </cell>
          <cell r="F115">
            <v>1.4953488372093022</v>
          </cell>
          <cell r="G115">
            <v>1.3181818181818181</v>
          </cell>
        </row>
        <row r="116">
          <cell r="A116">
            <v>35620</v>
          </cell>
          <cell r="B116">
            <v>0.86303630363036299</v>
          </cell>
          <cell r="C116">
            <v>1.2893915756630265</v>
          </cell>
          <cell r="D116">
            <v>0.90977443609022557</v>
          </cell>
          <cell r="E116">
            <v>1.2348993288590604</v>
          </cell>
          <cell r="F116">
            <v>1.4441860465116279</v>
          </cell>
          <cell r="G116">
            <v>1.3295454545454546</v>
          </cell>
        </row>
        <row r="117">
          <cell r="A117">
            <v>35621</v>
          </cell>
          <cell r="B117">
            <v>0.86138613861386137</v>
          </cell>
          <cell r="C117">
            <v>1.2901716068642746</v>
          </cell>
          <cell r="D117">
            <v>0.91917293233082709</v>
          </cell>
          <cell r="E117">
            <v>1.261744966442953</v>
          </cell>
          <cell r="F117">
            <v>1.4744186046511627</v>
          </cell>
          <cell r="G117">
            <v>1.3295454545454546</v>
          </cell>
        </row>
        <row r="118">
          <cell r="A118">
            <v>35622</v>
          </cell>
          <cell r="B118">
            <v>0.83333333333333337</v>
          </cell>
          <cell r="C118">
            <v>1.3096723868954758</v>
          </cell>
          <cell r="D118">
            <v>0.9135338345864662</v>
          </cell>
          <cell r="E118">
            <v>1.2751677852348993</v>
          </cell>
          <cell r="F118">
            <v>1.5069767441860464</v>
          </cell>
          <cell r="G118">
            <v>1.3181818181818181</v>
          </cell>
        </row>
        <row r="119">
          <cell r="A119">
            <v>35625</v>
          </cell>
          <cell r="B119">
            <v>0.84818481848184824</v>
          </cell>
          <cell r="C119">
            <v>1.3010920436817472</v>
          </cell>
          <cell r="D119">
            <v>0.92293233082706772</v>
          </cell>
          <cell r="E119">
            <v>1.261744966442953</v>
          </cell>
          <cell r="F119">
            <v>1.4697674418604652</v>
          </cell>
          <cell r="G119">
            <v>1.3295454545454546</v>
          </cell>
        </row>
        <row r="120">
          <cell r="A120">
            <v>35626</v>
          </cell>
          <cell r="B120">
            <v>0.85231023102310233</v>
          </cell>
          <cell r="C120">
            <v>1.3042121684867394</v>
          </cell>
          <cell r="D120">
            <v>0.93045112781954886</v>
          </cell>
          <cell r="E120">
            <v>1.2651006711409396</v>
          </cell>
          <cell r="F120">
            <v>1.5139534883720931</v>
          </cell>
          <cell r="G120">
            <v>1.3181818181818181</v>
          </cell>
        </row>
        <row r="121">
          <cell r="A121">
            <v>35627</v>
          </cell>
          <cell r="B121">
            <v>0.84983498349834985</v>
          </cell>
          <cell r="C121">
            <v>1.3424336973478939</v>
          </cell>
          <cell r="D121">
            <v>0.9135338345864662</v>
          </cell>
          <cell r="E121">
            <v>1.2885906040268456</v>
          </cell>
          <cell r="F121">
            <v>1.569767441860465</v>
          </cell>
          <cell r="G121">
            <v>1.2954545454545454</v>
          </cell>
        </row>
        <row r="122">
          <cell r="A122">
            <v>35628</v>
          </cell>
          <cell r="B122">
            <v>0.85313531353135319</v>
          </cell>
          <cell r="C122">
            <v>1.3338533541341653</v>
          </cell>
          <cell r="D122">
            <v>0.91541353383458646</v>
          </cell>
          <cell r="E122">
            <v>1.2684563758389262</v>
          </cell>
          <cell r="F122">
            <v>1.6069767441860465</v>
          </cell>
          <cell r="G122">
            <v>1.3068181818181819</v>
          </cell>
        </row>
        <row r="123">
          <cell r="A123">
            <v>35629</v>
          </cell>
          <cell r="B123">
            <v>0.84653465346534651</v>
          </cell>
          <cell r="C123">
            <v>1.3018720748829953</v>
          </cell>
          <cell r="D123">
            <v>0.91541353383458646</v>
          </cell>
          <cell r="E123">
            <v>1.2583892617449663</v>
          </cell>
          <cell r="F123">
            <v>1.6046511627906976</v>
          </cell>
          <cell r="G123">
            <v>1.2954545454545454</v>
          </cell>
        </row>
        <row r="124">
          <cell r="A124">
            <v>35632</v>
          </cell>
          <cell r="B124">
            <v>0.83993399339933994</v>
          </cell>
          <cell r="C124">
            <v>1.3252730109204369</v>
          </cell>
          <cell r="D124">
            <v>0.90037593984962405</v>
          </cell>
          <cell r="E124">
            <v>1.2483221476510067</v>
          </cell>
          <cell r="F124">
            <v>1.5488372093023255</v>
          </cell>
          <cell r="G124">
            <v>1.3125</v>
          </cell>
        </row>
        <row r="125">
          <cell r="A125">
            <v>35633</v>
          </cell>
          <cell r="B125">
            <v>0.84488448844884489</v>
          </cell>
          <cell r="C125">
            <v>1.3400936037441498</v>
          </cell>
          <cell r="D125">
            <v>0.90413533834586468</v>
          </cell>
          <cell r="E125">
            <v>1.2751677852348993</v>
          </cell>
          <cell r="F125">
            <v>1.5813953488372092</v>
          </cell>
          <cell r="G125">
            <v>1.3238636363636365</v>
          </cell>
        </row>
        <row r="126">
          <cell r="A126">
            <v>35634</v>
          </cell>
          <cell r="B126">
            <v>0.84158415841584155</v>
          </cell>
          <cell r="C126">
            <v>1.3837753510140405</v>
          </cell>
          <cell r="D126">
            <v>0.90601503759398494</v>
          </cell>
          <cell r="E126">
            <v>1.2483221476510067</v>
          </cell>
          <cell r="F126">
            <v>1.5930232558139534</v>
          </cell>
          <cell r="G126">
            <v>1.3238636363636365</v>
          </cell>
        </row>
        <row r="127">
          <cell r="A127">
            <v>35635</v>
          </cell>
          <cell r="B127">
            <v>0.86551155115511547</v>
          </cell>
          <cell r="C127">
            <v>1.43603744149766</v>
          </cell>
          <cell r="D127">
            <v>0.95676691729323304</v>
          </cell>
          <cell r="E127">
            <v>1.3154362416107384</v>
          </cell>
          <cell r="F127">
            <v>1.6279069767441861</v>
          </cell>
          <cell r="G127">
            <v>1.3238636363636365</v>
          </cell>
        </row>
        <row r="128">
          <cell r="A128">
            <v>35636</v>
          </cell>
          <cell r="B128">
            <v>0.86963696369636967</v>
          </cell>
          <cell r="C128">
            <v>1.4056162246489861</v>
          </cell>
          <cell r="D128">
            <v>0.9285714285714286</v>
          </cell>
          <cell r="E128">
            <v>1.2651006711409396</v>
          </cell>
          <cell r="F128">
            <v>1.5837209302325581</v>
          </cell>
          <cell r="G128">
            <v>1.3238636363636365</v>
          </cell>
        </row>
        <row r="129">
          <cell r="A129">
            <v>35639</v>
          </cell>
          <cell r="B129">
            <v>0.85643564356435642</v>
          </cell>
          <cell r="C129">
            <v>1.3759750390015602</v>
          </cell>
          <cell r="D129">
            <v>0.9285714285714286</v>
          </cell>
          <cell r="E129">
            <v>1.2416107382550337</v>
          </cell>
          <cell r="F129">
            <v>1.5418604651162791</v>
          </cell>
          <cell r="G129">
            <v>1.3181818181818181</v>
          </cell>
        </row>
        <row r="130">
          <cell r="A130">
            <v>35640</v>
          </cell>
          <cell r="B130">
            <v>0.8729372937293729</v>
          </cell>
          <cell r="C130">
            <v>1.4149765990639624</v>
          </cell>
          <cell r="D130">
            <v>0.94360902255639101</v>
          </cell>
          <cell r="E130">
            <v>1.2550335570469799</v>
          </cell>
          <cell r="F130">
            <v>1.5441860465116279</v>
          </cell>
          <cell r="G130">
            <v>1.3125</v>
          </cell>
        </row>
        <row r="131">
          <cell r="A131">
            <v>35641</v>
          </cell>
          <cell r="B131">
            <v>0.9455445544554455</v>
          </cell>
          <cell r="C131">
            <v>1.4266770670826834</v>
          </cell>
          <cell r="D131">
            <v>0.96804511278195493</v>
          </cell>
          <cell r="E131">
            <v>1.2751677852348993</v>
          </cell>
          <cell r="F131">
            <v>1.5767441860465117</v>
          </cell>
          <cell r="G131">
            <v>1.3181818181818181</v>
          </cell>
        </row>
        <row r="132">
          <cell r="A132">
            <v>35642</v>
          </cell>
          <cell r="B132">
            <v>0.93399339933993397</v>
          </cell>
          <cell r="C132">
            <v>1.421996879875195</v>
          </cell>
          <cell r="D132">
            <v>0.97368421052631582</v>
          </cell>
          <cell r="E132">
            <v>1.3087248322147651</v>
          </cell>
          <cell r="F132">
            <v>1.5639534883720929</v>
          </cell>
          <cell r="G132">
            <v>1.3181818181818181</v>
          </cell>
        </row>
        <row r="133">
          <cell r="A133">
            <v>35643</v>
          </cell>
          <cell r="B133">
            <v>0.8910891089108911</v>
          </cell>
          <cell r="C133">
            <v>1.422776911076443</v>
          </cell>
          <cell r="D133">
            <v>0.96240601503759393</v>
          </cell>
          <cell r="E133">
            <v>1.2852348993288591</v>
          </cell>
          <cell r="F133">
            <v>1.5488372093023255</v>
          </cell>
          <cell r="G133">
            <v>1.3181818181818181</v>
          </cell>
        </row>
        <row r="134">
          <cell r="A134">
            <v>35646</v>
          </cell>
          <cell r="B134">
            <v>0.90594059405940597</v>
          </cell>
          <cell r="C134">
            <v>1.4602184087363494</v>
          </cell>
          <cell r="D134">
            <v>0.99436090225563911</v>
          </cell>
          <cell r="E134">
            <v>1.3087248322147651</v>
          </cell>
          <cell r="F134">
            <v>1.5965116279069766</v>
          </cell>
          <cell r="G134">
            <v>1.3181818181818181</v>
          </cell>
        </row>
        <row r="135">
          <cell r="A135">
            <v>35647</v>
          </cell>
          <cell r="B135">
            <v>0.8952145214521452</v>
          </cell>
          <cell r="C135">
            <v>1.282371294851794</v>
          </cell>
          <cell r="D135">
            <v>0.97556390977443608</v>
          </cell>
          <cell r="E135">
            <v>1.2885906040268456</v>
          </cell>
          <cell r="F135">
            <v>1.527906976744186</v>
          </cell>
          <cell r="G135">
            <v>1.3238636363636365</v>
          </cell>
        </row>
        <row r="136">
          <cell r="A136">
            <v>35648</v>
          </cell>
          <cell r="B136">
            <v>0.8910891089108911</v>
          </cell>
          <cell r="C136">
            <v>1.2730109204368174</v>
          </cell>
          <cell r="D136">
            <v>0.94736842105263153</v>
          </cell>
          <cell r="E136">
            <v>1.3154362416107384</v>
          </cell>
          <cell r="F136">
            <v>1.4744186046511627</v>
          </cell>
          <cell r="G136">
            <v>1.3125</v>
          </cell>
        </row>
        <row r="137">
          <cell r="A137">
            <v>35649</v>
          </cell>
          <cell r="B137">
            <v>0.88778877887788776</v>
          </cell>
          <cell r="C137">
            <v>1.2074882995319813</v>
          </cell>
          <cell r="D137">
            <v>0.91165413533834583</v>
          </cell>
          <cell r="E137">
            <v>1.2751677852348993</v>
          </cell>
          <cell r="F137">
            <v>1.3767441860465117</v>
          </cell>
          <cell r="G137">
            <v>1.2954545454545454</v>
          </cell>
        </row>
        <row r="138">
          <cell r="A138">
            <v>35650</v>
          </cell>
          <cell r="B138">
            <v>0.91089108910891092</v>
          </cell>
          <cell r="C138">
            <v>1.218408736349454</v>
          </cell>
          <cell r="D138">
            <v>0.91729323308270672</v>
          </cell>
          <cell r="E138">
            <v>1.2583892617449663</v>
          </cell>
          <cell r="F138">
            <v>1.3767441860465117</v>
          </cell>
          <cell r="G138">
            <v>1.3125</v>
          </cell>
        </row>
        <row r="139">
          <cell r="A139">
            <v>35653</v>
          </cell>
          <cell r="B139">
            <v>0.91749174917491749</v>
          </cell>
          <cell r="C139">
            <v>1.2199687987519501</v>
          </cell>
          <cell r="D139">
            <v>0.9135338345864662</v>
          </cell>
          <cell r="E139">
            <v>1.2818791946308725</v>
          </cell>
          <cell r="F139">
            <v>1.3813953488372093</v>
          </cell>
          <cell r="G139">
            <v>1.3295454545454546</v>
          </cell>
        </row>
        <row r="140">
          <cell r="A140">
            <v>35654</v>
          </cell>
          <cell r="B140">
            <v>0.91254125412541254</v>
          </cell>
          <cell r="C140">
            <v>1.217628705148206</v>
          </cell>
          <cell r="D140">
            <v>0.90789473684210531</v>
          </cell>
          <cell r="E140">
            <v>1.2550335570469799</v>
          </cell>
          <cell r="F140">
            <v>1.386046511627907</v>
          </cell>
          <cell r="G140">
            <v>1.3295454545454546</v>
          </cell>
        </row>
        <row r="141">
          <cell r="A141">
            <v>35655</v>
          </cell>
          <cell r="B141">
            <v>0.93399339933993397</v>
          </cell>
          <cell r="C141">
            <v>1.2012480499219969</v>
          </cell>
          <cell r="D141">
            <v>0.9135338345864662</v>
          </cell>
          <cell r="E141">
            <v>1.2248322147651007</v>
          </cell>
          <cell r="F141">
            <v>1.3558139534883722</v>
          </cell>
          <cell r="G141">
            <v>1.3295454545454546</v>
          </cell>
        </row>
        <row r="142">
          <cell r="A142">
            <v>35656</v>
          </cell>
          <cell r="B142">
            <v>0.95132013201320131</v>
          </cell>
          <cell r="C142">
            <v>1.2082683307332294</v>
          </cell>
          <cell r="D142">
            <v>0.9135338345864662</v>
          </cell>
          <cell r="E142">
            <v>1.2483221476510067</v>
          </cell>
          <cell r="F142">
            <v>1.3953488372093024</v>
          </cell>
          <cell r="G142">
            <v>1.3295454545454546</v>
          </cell>
        </row>
        <row r="143">
          <cell r="A143">
            <v>35657</v>
          </cell>
          <cell r="B143">
            <v>0.94884488448844884</v>
          </cell>
          <cell r="C143">
            <v>1.1950078003120126</v>
          </cell>
          <cell r="D143">
            <v>0.90977443609022557</v>
          </cell>
          <cell r="E143">
            <v>1.2684563758389262</v>
          </cell>
          <cell r="F143">
            <v>1.4</v>
          </cell>
          <cell r="G143">
            <v>1.3295454545454546</v>
          </cell>
        </row>
        <row r="144">
          <cell r="A144">
            <v>35660</v>
          </cell>
          <cell r="B144">
            <v>0.9356435643564357</v>
          </cell>
          <cell r="C144">
            <v>1.1895475819032761</v>
          </cell>
          <cell r="D144">
            <v>0.90601503759398494</v>
          </cell>
          <cell r="E144">
            <v>1.2651006711409396</v>
          </cell>
          <cell r="F144">
            <v>1.413953488372093</v>
          </cell>
          <cell r="G144">
            <v>1.3352272727272727</v>
          </cell>
        </row>
        <row r="145">
          <cell r="A145">
            <v>35661</v>
          </cell>
          <cell r="B145">
            <v>0.94224422442244227</v>
          </cell>
          <cell r="C145">
            <v>1.1770670826833074</v>
          </cell>
          <cell r="D145">
            <v>0.92481203007518797</v>
          </cell>
          <cell r="E145">
            <v>1.2986577181208054</v>
          </cell>
          <cell r="F145">
            <v>1.4604651162790698</v>
          </cell>
          <cell r="G145">
            <v>1.3522727272727273</v>
          </cell>
        </row>
        <row r="146">
          <cell r="A146">
            <v>35662</v>
          </cell>
          <cell r="B146">
            <v>0.95049504950495045</v>
          </cell>
          <cell r="C146">
            <v>1.173166926677067</v>
          </cell>
          <cell r="D146">
            <v>0.9135338345864662</v>
          </cell>
          <cell r="E146">
            <v>1.2986577181208054</v>
          </cell>
          <cell r="F146">
            <v>1.4767441860465116</v>
          </cell>
          <cell r="G146">
            <v>1.3522727272727273</v>
          </cell>
        </row>
        <row r="147">
          <cell r="A147">
            <v>35663</v>
          </cell>
          <cell r="B147">
            <v>0.92904290429042902</v>
          </cell>
          <cell r="C147">
            <v>1.1669266770670828</v>
          </cell>
          <cell r="D147">
            <v>0.91165413533834583</v>
          </cell>
          <cell r="E147">
            <v>1.2684563758389262</v>
          </cell>
          <cell r="F147">
            <v>1.4279069767441861</v>
          </cell>
          <cell r="G147">
            <v>1.3522727272727273</v>
          </cell>
        </row>
        <row r="148">
          <cell r="A148">
            <v>35664</v>
          </cell>
          <cell r="B148">
            <v>0.93894389438943893</v>
          </cell>
          <cell r="C148">
            <v>1.1653666146645867</v>
          </cell>
          <cell r="D148">
            <v>0.93984962406015038</v>
          </cell>
          <cell r="E148">
            <v>1.261744966442953</v>
          </cell>
          <cell r="F148">
            <v>1.430232558139535</v>
          </cell>
          <cell r="G148">
            <v>1.3522727272727273</v>
          </cell>
        </row>
        <row r="149">
          <cell r="A149">
            <v>35667</v>
          </cell>
          <cell r="B149">
            <v>0.91584158415841588</v>
          </cell>
          <cell r="C149">
            <v>1.187207488299532</v>
          </cell>
          <cell r="D149">
            <v>0.94548872180451127</v>
          </cell>
          <cell r="E149">
            <v>1.2919463087248322</v>
          </cell>
          <cell r="F149">
            <v>1.4244186046511629</v>
          </cell>
          <cell r="G149">
            <v>1.3465909090909092</v>
          </cell>
        </row>
        <row r="150">
          <cell r="A150">
            <v>35668</v>
          </cell>
          <cell r="B150">
            <v>0.92409240924092406</v>
          </cell>
          <cell r="C150">
            <v>1.1981279251170047</v>
          </cell>
          <cell r="D150">
            <v>0.92669172932330823</v>
          </cell>
          <cell r="E150">
            <v>1.2953020134228188</v>
          </cell>
          <cell r="F150">
            <v>1.4162790697674419</v>
          </cell>
          <cell r="G150">
            <v>1.3465909090909092</v>
          </cell>
        </row>
        <row r="151">
          <cell r="A151">
            <v>35669</v>
          </cell>
          <cell r="B151">
            <v>0.91254125412541254</v>
          </cell>
          <cell r="C151">
            <v>1.2098283931357254</v>
          </cell>
          <cell r="D151">
            <v>0.94736842105263153</v>
          </cell>
          <cell r="E151">
            <v>1.2818791946308725</v>
          </cell>
          <cell r="F151">
            <v>1.3930232558139535</v>
          </cell>
          <cell r="G151">
            <v>1.3522727272727273</v>
          </cell>
        </row>
        <row r="152">
          <cell r="A152">
            <v>35670</v>
          </cell>
          <cell r="B152">
            <v>0.9092409240924092</v>
          </cell>
          <cell r="C152">
            <v>1.1989079563182528</v>
          </cell>
          <cell r="D152">
            <v>0.95864661654135341</v>
          </cell>
          <cell r="E152">
            <v>1.2785234899328859</v>
          </cell>
          <cell r="F152">
            <v>1.3651162790697675</v>
          </cell>
          <cell r="G152">
            <v>1.3522727272727273</v>
          </cell>
        </row>
        <row r="153">
          <cell r="A153">
            <v>35671</v>
          </cell>
          <cell r="B153">
            <v>0.90264026402640263</v>
          </cell>
          <cell r="C153">
            <v>1.1911076443057722</v>
          </cell>
          <cell r="D153">
            <v>0.95676691729323304</v>
          </cell>
          <cell r="E153">
            <v>1.2651006711409396</v>
          </cell>
          <cell r="F153">
            <v>1.3604651162790697</v>
          </cell>
          <cell r="G153">
            <v>1.3522727272727273</v>
          </cell>
        </row>
        <row r="154">
          <cell r="A154">
            <v>35674</v>
          </cell>
          <cell r="B154">
            <v>0.90264026402640263</v>
          </cell>
          <cell r="C154">
            <v>1.1911076443057722</v>
          </cell>
          <cell r="D154">
            <v>0.95676691729323304</v>
          </cell>
          <cell r="E154">
            <v>1.2651006711409396</v>
          </cell>
          <cell r="F154">
            <v>1.3604651162790697</v>
          </cell>
          <cell r="G154">
            <v>1.3522727272727273</v>
          </cell>
        </row>
        <row r="155">
          <cell r="A155">
            <v>35675</v>
          </cell>
          <cell r="B155">
            <v>0.94801980198019797</v>
          </cell>
          <cell r="C155">
            <v>1.2207488299531981</v>
          </cell>
          <cell r="D155">
            <v>0.97368421052631582</v>
          </cell>
          <cell r="E155">
            <v>1.2516778523489933</v>
          </cell>
          <cell r="F155">
            <v>1.3813953488372093</v>
          </cell>
          <cell r="G155">
            <v>1.3579545454545454</v>
          </cell>
        </row>
        <row r="156">
          <cell r="A156">
            <v>35676</v>
          </cell>
          <cell r="B156">
            <v>0.95049504950495045</v>
          </cell>
          <cell r="C156">
            <v>1.2394695787831513</v>
          </cell>
          <cell r="D156">
            <v>0.98872180451127822</v>
          </cell>
          <cell r="E156">
            <v>1.3087248322147651</v>
          </cell>
          <cell r="F156">
            <v>1.4075581395348837</v>
          </cell>
          <cell r="G156">
            <v>1.3636363636363635</v>
          </cell>
        </row>
        <row r="157">
          <cell r="A157">
            <v>35677</v>
          </cell>
          <cell r="B157">
            <v>0.94059405940594054</v>
          </cell>
          <cell r="C157">
            <v>1.2464898595943839</v>
          </cell>
          <cell r="D157">
            <v>0.97744360902255634</v>
          </cell>
          <cell r="E157">
            <v>1.2885906040268456</v>
          </cell>
          <cell r="F157">
            <v>1.4046511627906977</v>
          </cell>
          <cell r="G157">
            <v>1.3522727272727273</v>
          </cell>
        </row>
        <row r="158">
          <cell r="A158">
            <v>35678</v>
          </cell>
          <cell r="B158">
            <v>0.94884488448844884</v>
          </cell>
          <cell r="C158">
            <v>1.2636505460218408</v>
          </cell>
          <cell r="D158">
            <v>0.99812030075187974</v>
          </cell>
          <cell r="E158">
            <v>1.3120805369127517</v>
          </cell>
          <cell r="F158">
            <v>1.4395348837209303</v>
          </cell>
          <cell r="G158">
            <v>1.3522727272727273</v>
          </cell>
        </row>
        <row r="159">
          <cell r="A159">
            <v>35681</v>
          </cell>
          <cell r="B159">
            <v>0.94636963696369636</v>
          </cell>
          <cell r="C159">
            <v>1.2659906396255851</v>
          </cell>
          <cell r="D159">
            <v>0.99248120300751874</v>
          </cell>
          <cell r="E159">
            <v>1.2818791946308725</v>
          </cell>
          <cell r="F159">
            <v>1.4186046511627908</v>
          </cell>
          <cell r="G159">
            <v>1.3636363636363635</v>
          </cell>
        </row>
        <row r="160">
          <cell r="A160">
            <v>35682</v>
          </cell>
          <cell r="B160">
            <v>0.95049504950495045</v>
          </cell>
          <cell r="C160">
            <v>1.2730109204368174</v>
          </cell>
          <cell r="D160">
            <v>0.99624060150375937</v>
          </cell>
          <cell r="E160">
            <v>1.2953020134228188</v>
          </cell>
          <cell r="F160">
            <v>1.4209302325581394</v>
          </cell>
          <cell r="G160">
            <v>1.3579545454545454</v>
          </cell>
        </row>
        <row r="161">
          <cell r="A161">
            <v>35683</v>
          </cell>
          <cell r="B161">
            <v>0.95379537953795379</v>
          </cell>
          <cell r="C161">
            <v>1.2652106084243371</v>
          </cell>
          <cell r="D161">
            <v>0.99624060150375937</v>
          </cell>
          <cell r="E161">
            <v>1.2953020134228188</v>
          </cell>
          <cell r="F161">
            <v>1.4162790697674419</v>
          </cell>
          <cell r="G161">
            <v>1.3636363636363635</v>
          </cell>
        </row>
        <row r="162">
          <cell r="A162">
            <v>35684</v>
          </cell>
          <cell r="B162">
            <v>0.95049504950495045</v>
          </cell>
          <cell r="C162">
            <v>1.2480499219968799</v>
          </cell>
          <cell r="D162">
            <v>0.99060150375939848</v>
          </cell>
          <cell r="E162">
            <v>1.2785234899328859</v>
          </cell>
          <cell r="F162">
            <v>1.4395348837209303</v>
          </cell>
          <cell r="G162">
            <v>1.3579545454545454</v>
          </cell>
        </row>
        <row r="163">
          <cell r="A163">
            <v>35685</v>
          </cell>
          <cell r="B163">
            <v>0.98679867986798675</v>
          </cell>
          <cell r="C163">
            <v>1.2730109204368174</v>
          </cell>
          <cell r="D163">
            <v>1.013157894736842</v>
          </cell>
          <cell r="E163">
            <v>1.3389261744966443</v>
          </cell>
          <cell r="F163">
            <v>1.45</v>
          </cell>
          <cell r="G163">
            <v>1.3579545454545454</v>
          </cell>
        </row>
        <row r="164">
          <cell r="A164">
            <v>35688</v>
          </cell>
          <cell r="B164">
            <v>0.97689768976897695</v>
          </cell>
          <cell r="C164">
            <v>1.2862714508580344</v>
          </cell>
          <cell r="D164">
            <v>1.0018796992481203</v>
          </cell>
          <cell r="E164">
            <v>1.2885906040268456</v>
          </cell>
          <cell r="F164">
            <v>1.413953488372093</v>
          </cell>
          <cell r="G164">
            <v>1.3522727272727273</v>
          </cell>
        </row>
        <row r="165">
          <cell r="A165">
            <v>35689</v>
          </cell>
          <cell r="B165">
            <v>0.96534653465346532</v>
          </cell>
          <cell r="C165">
            <v>1.3213728549141965</v>
          </cell>
          <cell r="D165">
            <v>1.005639097744361</v>
          </cell>
          <cell r="E165">
            <v>1.3355704697986577</v>
          </cell>
          <cell r="F165">
            <v>1.4511627906976745</v>
          </cell>
          <cell r="G165">
            <v>1.3579545454545454</v>
          </cell>
        </row>
        <row r="166">
          <cell r="A166">
            <v>35690</v>
          </cell>
          <cell r="B166">
            <v>0.9636963696369637</v>
          </cell>
          <cell r="C166">
            <v>1.3237129485179406</v>
          </cell>
          <cell r="D166">
            <v>0.99436090225563911</v>
          </cell>
          <cell r="E166">
            <v>1.3355704697986577</v>
          </cell>
          <cell r="F166">
            <v>1.4279069767441861</v>
          </cell>
          <cell r="G166">
            <v>1.3636363636363635</v>
          </cell>
        </row>
        <row r="167">
          <cell r="A167">
            <v>35691</v>
          </cell>
          <cell r="B167">
            <v>0.96039603960396036</v>
          </cell>
          <cell r="C167">
            <v>1.3244929797191887</v>
          </cell>
          <cell r="D167">
            <v>1.0075187969924813</v>
          </cell>
          <cell r="E167">
            <v>1.3288590604026846</v>
          </cell>
          <cell r="F167">
            <v>1.430232558139535</v>
          </cell>
          <cell r="G167">
            <v>1.3636363636363635</v>
          </cell>
        </row>
        <row r="168">
          <cell r="A168">
            <v>35692</v>
          </cell>
          <cell r="B168">
            <v>0.96204620462046209</v>
          </cell>
          <cell r="C168">
            <v>1.3057722308892357</v>
          </cell>
          <cell r="D168">
            <v>1.0093984962406015</v>
          </cell>
          <cell r="E168">
            <v>1.3154362416107384</v>
          </cell>
          <cell r="F168">
            <v>1.4232558139534883</v>
          </cell>
          <cell r="G168">
            <v>1.3636363636363635</v>
          </cell>
        </row>
        <row r="169">
          <cell r="A169">
            <v>35695</v>
          </cell>
          <cell r="B169">
            <v>0.95709570957095713</v>
          </cell>
          <cell r="C169">
            <v>1.282371294851794</v>
          </cell>
          <cell r="D169">
            <v>1.0075187969924813</v>
          </cell>
          <cell r="E169">
            <v>1.3020134228187918</v>
          </cell>
          <cell r="F169">
            <v>1.4476744186046511</v>
          </cell>
          <cell r="G169">
            <v>1.3636363636363635</v>
          </cell>
        </row>
        <row r="170">
          <cell r="A170">
            <v>35696</v>
          </cell>
          <cell r="B170">
            <v>0.92574257425742579</v>
          </cell>
          <cell r="C170">
            <v>1.1692667706708268</v>
          </cell>
          <cell r="D170">
            <v>0.99812030075187974</v>
          </cell>
          <cell r="E170">
            <v>1.2785234899328859</v>
          </cell>
          <cell r="F170">
            <v>1.4313953488372093</v>
          </cell>
          <cell r="G170">
            <v>1.3636363636363635</v>
          </cell>
        </row>
        <row r="171">
          <cell r="A171">
            <v>35697</v>
          </cell>
          <cell r="B171">
            <v>0.92409240924092406</v>
          </cell>
          <cell r="C171">
            <v>1.1560062402496101</v>
          </cell>
          <cell r="D171">
            <v>0.98872180451127822</v>
          </cell>
          <cell r="E171">
            <v>1.2684563758389262</v>
          </cell>
          <cell r="F171">
            <v>1.4162790697674419</v>
          </cell>
          <cell r="G171">
            <v>1.3636363636363635</v>
          </cell>
        </row>
        <row r="172">
          <cell r="A172">
            <v>35698</v>
          </cell>
          <cell r="B172">
            <v>0.92079207920792083</v>
          </cell>
          <cell r="C172">
            <v>1.1248049921996879</v>
          </cell>
          <cell r="D172">
            <v>0.99436090225563911</v>
          </cell>
          <cell r="E172">
            <v>1.238255033557047</v>
          </cell>
          <cell r="F172">
            <v>1.3941860465116278</v>
          </cell>
          <cell r="G172">
            <v>1.3636363636363635</v>
          </cell>
        </row>
        <row r="173">
          <cell r="A173">
            <v>35699</v>
          </cell>
          <cell r="B173">
            <v>0.8952145214521452</v>
          </cell>
          <cell r="C173">
            <v>1.1294851794071763</v>
          </cell>
          <cell r="D173">
            <v>0.97556390977443608</v>
          </cell>
          <cell r="E173">
            <v>1.2550335570469799</v>
          </cell>
          <cell r="F173">
            <v>1.4511627906976745</v>
          </cell>
          <cell r="G173">
            <v>1.3636363636363635</v>
          </cell>
        </row>
        <row r="174">
          <cell r="A174">
            <v>35702</v>
          </cell>
          <cell r="B174">
            <v>0.88778877887788776</v>
          </cell>
          <cell r="C174">
            <v>1.0109204368174727</v>
          </cell>
          <cell r="D174">
            <v>0.96052631578947367</v>
          </cell>
          <cell r="E174">
            <v>1.2550335570469799</v>
          </cell>
          <cell r="F174">
            <v>1.4116279069767441</v>
          </cell>
          <cell r="G174">
            <v>1.3636363636363635</v>
          </cell>
        </row>
        <row r="175">
          <cell r="A175">
            <v>35703</v>
          </cell>
          <cell r="B175">
            <v>0.89933993399339929</v>
          </cell>
          <cell r="C175">
            <v>1.0163806552262091</v>
          </cell>
          <cell r="D175">
            <v>0.96240601503759393</v>
          </cell>
          <cell r="E175">
            <v>1.2785234899328859</v>
          </cell>
          <cell r="F175">
            <v>1.3930232558139535</v>
          </cell>
          <cell r="G175">
            <v>1.3636363636363635</v>
          </cell>
        </row>
        <row r="176">
          <cell r="A176">
            <v>35704</v>
          </cell>
          <cell r="B176">
            <v>0.88448844884488453</v>
          </cell>
          <cell r="C176">
            <v>0.99531981279251169</v>
          </cell>
          <cell r="D176">
            <v>0.97932330827067671</v>
          </cell>
          <cell r="E176">
            <v>1.2550335570469799</v>
          </cell>
          <cell r="F176">
            <v>1.336046511627907</v>
          </cell>
          <cell r="G176">
            <v>1.3636363636363635</v>
          </cell>
        </row>
        <row r="177">
          <cell r="A177">
            <v>35705</v>
          </cell>
          <cell r="B177">
            <v>0.88531353135313529</v>
          </cell>
          <cell r="C177">
            <v>0.97659906396255847</v>
          </cell>
          <cell r="D177">
            <v>0.96240601503759393</v>
          </cell>
          <cell r="E177">
            <v>1.1946308724832215</v>
          </cell>
          <cell r="F177">
            <v>1.3255813953488371</v>
          </cell>
          <cell r="G177">
            <v>1.3636363636363635</v>
          </cell>
        </row>
        <row r="178">
          <cell r="A178">
            <v>35706</v>
          </cell>
          <cell r="B178">
            <v>0.89603960396039606</v>
          </cell>
          <cell r="C178">
            <v>0.9726989079563183</v>
          </cell>
          <cell r="D178">
            <v>0.96240601503759393</v>
          </cell>
          <cell r="E178">
            <v>1.2516778523489933</v>
          </cell>
          <cell r="F178">
            <v>1.3720930232558139</v>
          </cell>
          <cell r="G178">
            <v>1.3636363636363635</v>
          </cell>
        </row>
        <row r="179">
          <cell r="A179">
            <v>35709</v>
          </cell>
          <cell r="B179">
            <v>0.90594059405940597</v>
          </cell>
          <cell r="C179">
            <v>0.9726989079563183</v>
          </cell>
          <cell r="D179">
            <v>0.95676691729323304</v>
          </cell>
          <cell r="E179">
            <v>1.2348993288590604</v>
          </cell>
          <cell r="F179">
            <v>1.3232558139534885</v>
          </cell>
          <cell r="G179">
            <v>1.3636363636363635</v>
          </cell>
        </row>
        <row r="180">
          <cell r="A180">
            <v>35710</v>
          </cell>
          <cell r="B180">
            <v>0.94059405940594054</v>
          </cell>
          <cell r="C180">
            <v>1.0015600624024961</v>
          </cell>
          <cell r="D180">
            <v>1.0037593984962405</v>
          </cell>
          <cell r="E180">
            <v>1.3154362416107384</v>
          </cell>
          <cell r="F180">
            <v>1.4267441860465115</v>
          </cell>
          <cell r="G180">
            <v>1.3636363636363635</v>
          </cell>
        </row>
        <row r="181">
          <cell r="A181">
            <v>35711</v>
          </cell>
          <cell r="B181">
            <v>0.92904290429042902</v>
          </cell>
          <cell r="C181">
            <v>0.98751950078003126</v>
          </cell>
          <cell r="D181">
            <v>0.99812030075187974</v>
          </cell>
          <cell r="E181">
            <v>1.2718120805369129</v>
          </cell>
          <cell r="F181">
            <v>1.4488372093023256</v>
          </cell>
          <cell r="G181">
            <v>1.3636363636363635</v>
          </cell>
        </row>
        <row r="182">
          <cell r="A182">
            <v>35712</v>
          </cell>
          <cell r="B182">
            <v>0.93234323432343236</v>
          </cell>
          <cell r="C182">
            <v>0.98595943837753508</v>
          </cell>
          <cell r="D182">
            <v>0.98308270676691734</v>
          </cell>
          <cell r="E182">
            <v>1.2785234899328859</v>
          </cell>
          <cell r="F182">
            <v>1.430232558139535</v>
          </cell>
          <cell r="G182">
            <v>1.3636363636363635</v>
          </cell>
        </row>
        <row r="183">
          <cell r="A183">
            <v>35713</v>
          </cell>
          <cell r="B183">
            <v>0.92079207920792083</v>
          </cell>
          <cell r="C183">
            <v>0.98049921996879874</v>
          </cell>
          <cell r="D183">
            <v>0.98308270676691734</v>
          </cell>
          <cell r="E183">
            <v>1.2651006711409396</v>
          </cell>
          <cell r="F183">
            <v>1.3720930232558139</v>
          </cell>
          <cell r="G183">
            <v>1.3636363636363635</v>
          </cell>
        </row>
        <row r="184">
          <cell r="A184">
            <v>35716</v>
          </cell>
          <cell r="B184">
            <v>0.91419141914191415</v>
          </cell>
          <cell r="C184">
            <v>0.99687987519500776</v>
          </cell>
          <cell r="D184">
            <v>0.98684210526315785</v>
          </cell>
          <cell r="E184">
            <v>1.2885906040268456</v>
          </cell>
          <cell r="F184">
            <v>1.4162790697674419</v>
          </cell>
          <cell r="G184">
            <v>1.3636363636363635</v>
          </cell>
        </row>
        <row r="185">
          <cell r="A185">
            <v>35717</v>
          </cell>
          <cell r="B185">
            <v>0.91914191419141911</v>
          </cell>
          <cell r="C185">
            <v>0.98985959438377535</v>
          </cell>
          <cell r="D185">
            <v>0.99248120300751874</v>
          </cell>
          <cell r="E185">
            <v>1.2818791946308725</v>
          </cell>
          <cell r="F185">
            <v>1.3767441860465117</v>
          </cell>
          <cell r="G185">
            <v>1.3636363636363635</v>
          </cell>
        </row>
        <row r="186">
          <cell r="A186">
            <v>35718</v>
          </cell>
          <cell r="B186">
            <v>0.91089108910891092</v>
          </cell>
          <cell r="C186">
            <v>0.98361934477379098</v>
          </cell>
          <cell r="D186">
            <v>0.98308270676691734</v>
          </cell>
          <cell r="E186">
            <v>1.2919463087248322</v>
          </cell>
          <cell r="F186">
            <v>1.3674418604651162</v>
          </cell>
          <cell r="G186">
            <v>1.3636363636363635</v>
          </cell>
        </row>
        <row r="187">
          <cell r="A187">
            <v>35719</v>
          </cell>
          <cell r="B187">
            <v>0.91419141914191415</v>
          </cell>
          <cell r="C187">
            <v>0.95865834633385338</v>
          </cell>
          <cell r="D187">
            <v>0.95864661654135341</v>
          </cell>
          <cell r="E187">
            <v>1.2651006711409396</v>
          </cell>
          <cell r="F187">
            <v>1.3465116279069766</v>
          </cell>
          <cell r="G187">
            <v>1.3636363636363635</v>
          </cell>
        </row>
        <row r="188">
          <cell r="A188">
            <v>35720</v>
          </cell>
          <cell r="B188">
            <v>0.90594059405940597</v>
          </cell>
          <cell r="C188">
            <v>0.93369734789391579</v>
          </cell>
          <cell r="D188">
            <v>0.96804511278195493</v>
          </cell>
          <cell r="E188">
            <v>1.2718120805369129</v>
          </cell>
          <cell r="F188">
            <v>1.3104651162790697</v>
          </cell>
          <cell r="G188">
            <v>1.3636363636363635</v>
          </cell>
        </row>
        <row r="189">
          <cell r="A189">
            <v>35723</v>
          </cell>
          <cell r="B189">
            <v>0.91584158415841588</v>
          </cell>
          <cell r="C189">
            <v>0.9430577223088924</v>
          </cell>
          <cell r="D189">
            <v>0.99624060150375937</v>
          </cell>
          <cell r="E189">
            <v>1.2986577181208054</v>
          </cell>
          <cell r="F189">
            <v>1.3511627906976744</v>
          </cell>
          <cell r="G189">
            <v>1.3636363636363635</v>
          </cell>
        </row>
        <row r="190">
          <cell r="A190">
            <v>35724</v>
          </cell>
          <cell r="B190">
            <v>0.94059405940594054</v>
          </cell>
          <cell r="C190">
            <v>0.96567862714508579</v>
          </cell>
          <cell r="D190">
            <v>0.98308270676691734</v>
          </cell>
          <cell r="E190">
            <v>1.3221476510067114</v>
          </cell>
          <cell r="F190">
            <v>1.3604651162790697</v>
          </cell>
          <cell r="G190">
            <v>1.3636363636363635</v>
          </cell>
        </row>
        <row r="191">
          <cell r="A191">
            <v>35725</v>
          </cell>
          <cell r="B191">
            <v>0.93151815181518149</v>
          </cell>
          <cell r="C191">
            <v>0.95865834633385338</v>
          </cell>
          <cell r="D191">
            <v>0.96992481203007519</v>
          </cell>
          <cell r="E191">
            <v>1.2818791946308725</v>
          </cell>
          <cell r="F191">
            <v>1.3627906976744186</v>
          </cell>
          <cell r="G191">
            <v>1.3636363636363635</v>
          </cell>
        </row>
        <row r="192">
          <cell r="A192">
            <v>35726</v>
          </cell>
          <cell r="B192">
            <v>0.93069306930693074</v>
          </cell>
          <cell r="C192">
            <v>0.95163806552262087</v>
          </cell>
          <cell r="D192">
            <v>0.96052631578947367</v>
          </cell>
          <cell r="E192">
            <v>1.2449664429530201</v>
          </cell>
          <cell r="F192">
            <v>1.3209302325581396</v>
          </cell>
          <cell r="G192">
            <v>1.3636363636363635</v>
          </cell>
        </row>
        <row r="193">
          <cell r="A193">
            <v>35727</v>
          </cell>
          <cell r="B193">
            <v>0.9092409240924092</v>
          </cell>
          <cell r="C193">
            <v>0.94071762870514819</v>
          </cell>
          <cell r="D193">
            <v>0.96240601503759393</v>
          </cell>
          <cell r="E193">
            <v>1.2147651006711409</v>
          </cell>
          <cell r="F193">
            <v>1.2790697674418605</v>
          </cell>
          <cell r="G193">
            <v>1.3636363636363635</v>
          </cell>
        </row>
        <row r="194">
          <cell r="A194">
            <v>35730</v>
          </cell>
          <cell r="B194">
            <v>0.83333333333333337</v>
          </cell>
          <cell r="C194">
            <v>0.86115444617784709</v>
          </cell>
          <cell r="D194">
            <v>0.89473684210526316</v>
          </cell>
          <cell r="E194">
            <v>1.1241610738255035</v>
          </cell>
          <cell r="F194">
            <v>0.4813953488372093</v>
          </cell>
          <cell r="G194">
            <v>1.3636363636363635</v>
          </cell>
        </row>
        <row r="195">
          <cell r="A195">
            <v>35731</v>
          </cell>
          <cell r="B195">
            <v>0.87458745874587462</v>
          </cell>
          <cell r="C195">
            <v>0.89781591263650551</v>
          </cell>
          <cell r="D195">
            <v>0.91917293233082709</v>
          </cell>
          <cell r="E195">
            <v>1.1543624161073827</v>
          </cell>
          <cell r="F195">
            <v>0.47209302325581393</v>
          </cell>
          <cell r="G195">
            <v>1.3636363636363635</v>
          </cell>
        </row>
        <row r="196">
          <cell r="A196">
            <v>35732</v>
          </cell>
          <cell r="B196">
            <v>0.85973597359735976</v>
          </cell>
          <cell r="C196">
            <v>0.90561622464898595</v>
          </cell>
          <cell r="D196">
            <v>0.90601503759398494</v>
          </cell>
          <cell r="E196">
            <v>1.1577181208053691</v>
          </cell>
          <cell r="F196">
            <v>0.5058139534883721</v>
          </cell>
          <cell r="G196">
            <v>1.3636363636363635</v>
          </cell>
        </row>
        <row r="197">
          <cell r="A197">
            <v>35733</v>
          </cell>
          <cell r="B197">
            <v>0.85313531353135319</v>
          </cell>
          <cell r="C197">
            <v>0.8931357254290172</v>
          </cell>
          <cell r="D197">
            <v>0.89097744360902253</v>
          </cell>
          <cell r="E197">
            <v>1.1208053691275168</v>
          </cell>
          <cell r="F197">
            <v>0.48023255813953486</v>
          </cell>
          <cell r="G197">
            <v>1.3636363636363635</v>
          </cell>
        </row>
        <row r="198">
          <cell r="A198">
            <v>35734</v>
          </cell>
          <cell r="B198">
            <v>0.8547854785478548</v>
          </cell>
          <cell r="C198">
            <v>0.88689547581903272</v>
          </cell>
          <cell r="D198">
            <v>0.86466165413533835</v>
          </cell>
          <cell r="E198">
            <v>1.1241610738255035</v>
          </cell>
          <cell r="F198">
            <v>0.48023255813953486</v>
          </cell>
          <cell r="G198">
            <v>1.3636363636363635</v>
          </cell>
        </row>
        <row r="199">
          <cell r="A199">
            <v>35737</v>
          </cell>
          <cell r="B199">
            <v>0.86138613861386137</v>
          </cell>
          <cell r="C199">
            <v>0.90717628705148201</v>
          </cell>
          <cell r="D199">
            <v>0.8778195488721805</v>
          </cell>
          <cell r="E199">
            <v>1.1677852348993289</v>
          </cell>
          <cell r="F199">
            <v>0.48372093023255813</v>
          </cell>
          <cell r="G199">
            <v>1.3636363636363635</v>
          </cell>
        </row>
        <row r="200">
          <cell r="A200">
            <v>35738</v>
          </cell>
          <cell r="B200">
            <v>0.85973597359735976</v>
          </cell>
          <cell r="C200">
            <v>0.92433697347893917</v>
          </cell>
          <cell r="D200">
            <v>0.88157894736842102</v>
          </cell>
          <cell r="E200">
            <v>1.1845637583892616</v>
          </cell>
          <cell r="F200">
            <v>0.47093023255813954</v>
          </cell>
          <cell r="G200">
            <v>1.3636363636363635</v>
          </cell>
        </row>
        <row r="201">
          <cell r="A201">
            <v>35739</v>
          </cell>
          <cell r="B201">
            <v>0.86138613861386137</v>
          </cell>
          <cell r="C201">
            <v>0.89937597503900157</v>
          </cell>
          <cell r="D201">
            <v>0.89473684210526316</v>
          </cell>
          <cell r="E201">
            <v>1.1845637583892616</v>
          </cell>
          <cell r="F201">
            <v>0.44418604651162791</v>
          </cell>
          <cell r="G201">
            <v>1.3636363636363635</v>
          </cell>
        </row>
        <row r="202">
          <cell r="A202">
            <v>35740</v>
          </cell>
          <cell r="B202">
            <v>0.90264026402640263</v>
          </cell>
          <cell r="C202">
            <v>0.90639625585023398</v>
          </cell>
          <cell r="D202">
            <v>0.89097744360902253</v>
          </cell>
          <cell r="E202">
            <v>1.2080536912751678</v>
          </cell>
          <cell r="F202">
            <v>0.45930232558139533</v>
          </cell>
          <cell r="G202">
            <v>1.3636363636363635</v>
          </cell>
        </row>
        <row r="203">
          <cell r="A203">
            <v>35741</v>
          </cell>
          <cell r="B203">
            <v>0.9273927392739274</v>
          </cell>
          <cell r="C203">
            <v>0.92667706708268327</v>
          </cell>
          <cell r="D203">
            <v>0.87593984962406013</v>
          </cell>
          <cell r="E203">
            <v>1.2013422818791946</v>
          </cell>
          <cell r="F203">
            <v>0.47325581395348837</v>
          </cell>
          <cell r="G203">
            <v>1.3636363636363635</v>
          </cell>
        </row>
        <row r="204">
          <cell r="A204">
            <v>35744</v>
          </cell>
          <cell r="B204">
            <v>0.94389438943894388</v>
          </cell>
          <cell r="C204">
            <v>0.94461778471138846</v>
          </cell>
          <cell r="D204">
            <v>0.89473684210526316</v>
          </cell>
          <cell r="E204">
            <v>1.2214765100671141</v>
          </cell>
          <cell r="F204">
            <v>0.46046511627906977</v>
          </cell>
          <cell r="G204">
            <v>1.3636363636363635</v>
          </cell>
        </row>
        <row r="205">
          <cell r="A205">
            <v>35745</v>
          </cell>
          <cell r="B205">
            <v>0.94884488448844884</v>
          </cell>
          <cell r="C205">
            <v>0.97191887675507016</v>
          </cell>
          <cell r="D205">
            <v>0.92105263157894735</v>
          </cell>
          <cell r="E205">
            <v>1.2214765100671141</v>
          </cell>
          <cell r="F205">
            <v>0.46395348837209305</v>
          </cell>
          <cell r="G205">
            <v>1.3636363636363635</v>
          </cell>
        </row>
        <row r="206">
          <cell r="A206">
            <v>35746</v>
          </cell>
          <cell r="B206">
            <v>0.9092409240924092</v>
          </cell>
          <cell r="C206">
            <v>0.96099843993759748</v>
          </cell>
          <cell r="D206">
            <v>0.90601503759398494</v>
          </cell>
          <cell r="E206">
            <v>1.1812080536912752</v>
          </cell>
          <cell r="F206">
            <v>0.44534883720930235</v>
          </cell>
          <cell r="G206">
            <v>1.3636363636363635</v>
          </cell>
        </row>
        <row r="207">
          <cell r="A207">
            <v>35747</v>
          </cell>
          <cell r="B207">
            <v>0.91254125412541254</v>
          </cell>
          <cell r="C207">
            <v>0.95865834633385338</v>
          </cell>
          <cell r="D207">
            <v>0.91541353383458646</v>
          </cell>
          <cell r="E207">
            <v>1.1644295302013423</v>
          </cell>
          <cell r="F207">
            <v>0.43604651162790697</v>
          </cell>
          <cell r="G207">
            <v>1.3636363636363635</v>
          </cell>
        </row>
        <row r="208">
          <cell r="A208">
            <v>35748</v>
          </cell>
          <cell r="B208">
            <v>0.89768976897689767</v>
          </cell>
          <cell r="C208">
            <v>0.96723868954758185</v>
          </cell>
          <cell r="D208">
            <v>0.89473684210526316</v>
          </cell>
          <cell r="E208">
            <v>1.1644295302013423</v>
          </cell>
          <cell r="F208">
            <v>0.46279069767441861</v>
          </cell>
          <cell r="G208">
            <v>1.3636363636363635</v>
          </cell>
        </row>
        <row r="209">
          <cell r="A209">
            <v>35751</v>
          </cell>
          <cell r="B209">
            <v>0.90429042904290424</v>
          </cell>
          <cell r="C209">
            <v>0.98595943837753508</v>
          </cell>
          <cell r="D209">
            <v>0.90601503759398494</v>
          </cell>
          <cell r="E209">
            <v>1.1946308724832215</v>
          </cell>
          <cell r="F209">
            <v>0.44883720930232557</v>
          </cell>
          <cell r="G209">
            <v>1.3636363636363635</v>
          </cell>
        </row>
        <row r="210">
          <cell r="A210">
            <v>35752</v>
          </cell>
          <cell r="B210">
            <v>0.89273927392739272</v>
          </cell>
          <cell r="C210">
            <v>0.9773790951638065</v>
          </cell>
          <cell r="D210">
            <v>0.89849624060150379</v>
          </cell>
          <cell r="E210">
            <v>1.1979865771812082</v>
          </cell>
          <cell r="F210">
            <v>0.4325581395348837</v>
          </cell>
          <cell r="G210">
            <v>1.3636363636363635</v>
          </cell>
        </row>
        <row r="211">
          <cell r="A211">
            <v>35753</v>
          </cell>
          <cell r="B211">
            <v>0.89603960396039606</v>
          </cell>
          <cell r="C211">
            <v>0.97581903276131043</v>
          </cell>
          <cell r="D211">
            <v>0.87969924812030076</v>
          </cell>
          <cell r="E211">
            <v>1.1711409395973154</v>
          </cell>
          <cell r="F211">
            <v>0.44069767441860463</v>
          </cell>
          <cell r="G211">
            <v>1.3636363636363635</v>
          </cell>
        </row>
        <row r="212">
          <cell r="A212">
            <v>35754</v>
          </cell>
          <cell r="B212">
            <v>0.87128712871287128</v>
          </cell>
          <cell r="C212">
            <v>0.9726989079563183</v>
          </cell>
          <cell r="D212">
            <v>0.90037593984962405</v>
          </cell>
          <cell r="E212">
            <v>1.1812080536912752</v>
          </cell>
          <cell r="F212">
            <v>0.4325581395348837</v>
          </cell>
          <cell r="G212">
            <v>1.3636363636363635</v>
          </cell>
        </row>
        <row r="213">
          <cell r="A213">
            <v>35755</v>
          </cell>
          <cell r="B213">
            <v>0.88613861386138615</v>
          </cell>
          <cell r="C213">
            <v>0.97035881435257409</v>
          </cell>
          <cell r="D213">
            <v>0.8928571428571429</v>
          </cell>
          <cell r="E213">
            <v>1.1912751677852349</v>
          </cell>
          <cell r="F213">
            <v>0.42674418604651165</v>
          </cell>
          <cell r="G213">
            <v>1.3636363636363635</v>
          </cell>
        </row>
        <row r="214">
          <cell r="A214">
            <v>35758</v>
          </cell>
          <cell r="B214">
            <v>0.86468646864686471</v>
          </cell>
          <cell r="C214">
            <v>0.94929797191887677</v>
          </cell>
          <cell r="D214">
            <v>0.8928571428571429</v>
          </cell>
          <cell r="E214">
            <v>1.174496644295302</v>
          </cell>
          <cell r="F214">
            <v>0.42441860465116277</v>
          </cell>
          <cell r="G214">
            <v>1.3636363636363635</v>
          </cell>
        </row>
        <row r="215">
          <cell r="A215">
            <v>35759</v>
          </cell>
          <cell r="B215">
            <v>0.68151815181518149</v>
          </cell>
          <cell r="C215">
            <v>0.93369734789391579</v>
          </cell>
          <cell r="D215">
            <v>0.88721804511278191</v>
          </cell>
          <cell r="E215">
            <v>1.1812080536912752</v>
          </cell>
          <cell r="F215">
            <v>0.42790697674418604</v>
          </cell>
          <cell r="G215">
            <v>1.3636363636363635</v>
          </cell>
        </row>
        <row r="216">
          <cell r="A216">
            <v>35760</v>
          </cell>
          <cell r="B216">
            <v>0.70792079207920788</v>
          </cell>
          <cell r="C216">
            <v>0.93447737909516382</v>
          </cell>
          <cell r="D216">
            <v>0.84774436090225569</v>
          </cell>
          <cell r="E216">
            <v>1.1845637583892616</v>
          </cell>
          <cell r="F216">
            <v>0.43604651162790697</v>
          </cell>
          <cell r="G216">
            <v>1.3636363636363635</v>
          </cell>
        </row>
        <row r="217">
          <cell r="A217">
            <v>35761</v>
          </cell>
          <cell r="B217">
            <v>0.70792079207920788</v>
          </cell>
          <cell r="C217">
            <v>0.93447737909516382</v>
          </cell>
          <cell r="D217">
            <v>0.84774436090225569</v>
          </cell>
          <cell r="E217">
            <v>1.1845637583892616</v>
          </cell>
          <cell r="F217">
            <v>0.43604651162790697</v>
          </cell>
          <cell r="G217">
            <v>1.3636363636363635</v>
          </cell>
        </row>
        <row r="218">
          <cell r="A218">
            <v>35762</v>
          </cell>
          <cell r="B218">
            <v>0.70957095709570961</v>
          </cell>
          <cell r="C218">
            <v>0.93603744149765988</v>
          </cell>
          <cell r="D218">
            <v>0.84398496240601506</v>
          </cell>
          <cell r="E218">
            <v>1.1912751677852349</v>
          </cell>
          <cell r="F218">
            <v>0.44418604651162791</v>
          </cell>
          <cell r="G218">
            <v>1.3636363636363635</v>
          </cell>
        </row>
        <row r="219">
          <cell r="A219">
            <v>35765</v>
          </cell>
          <cell r="B219">
            <v>0.72277227722772275</v>
          </cell>
          <cell r="C219">
            <v>0.96723868954758185</v>
          </cell>
          <cell r="D219">
            <v>0.85902255639097747</v>
          </cell>
          <cell r="E219">
            <v>1.2281879194630871</v>
          </cell>
          <cell r="F219">
            <v>0.45348837209302323</v>
          </cell>
          <cell r="G219">
            <v>1.3636363636363635</v>
          </cell>
        </row>
        <row r="220">
          <cell r="A220">
            <v>35766</v>
          </cell>
          <cell r="B220">
            <v>0.70132013201320131</v>
          </cell>
          <cell r="C220">
            <v>0.98283931357254295</v>
          </cell>
          <cell r="D220">
            <v>0.84586466165413532</v>
          </cell>
          <cell r="E220">
            <v>1.2080536912751678</v>
          </cell>
          <cell r="F220">
            <v>0.43720930232558142</v>
          </cell>
          <cell r="G220">
            <v>1.3636363636363635</v>
          </cell>
        </row>
        <row r="221">
          <cell r="A221">
            <v>35767</v>
          </cell>
          <cell r="B221">
            <v>0.71122112211221122</v>
          </cell>
          <cell r="C221">
            <v>1.0015600624024961</v>
          </cell>
          <cell r="D221">
            <v>0.84586466165413532</v>
          </cell>
          <cell r="E221">
            <v>1.1879194630872483</v>
          </cell>
          <cell r="F221">
            <v>0.44186046511627908</v>
          </cell>
          <cell r="G221">
            <v>1.3636363636363635</v>
          </cell>
        </row>
        <row r="222">
          <cell r="A222">
            <v>35768</v>
          </cell>
          <cell r="B222">
            <v>0.70709570957095713</v>
          </cell>
          <cell r="C222">
            <v>0.9929797191887676</v>
          </cell>
          <cell r="D222">
            <v>0.84210526315789469</v>
          </cell>
          <cell r="E222">
            <v>1.2483221476510067</v>
          </cell>
          <cell r="F222">
            <v>0.39302325581395348</v>
          </cell>
          <cell r="G222">
            <v>1.3636363636363635</v>
          </cell>
        </row>
        <row r="223">
          <cell r="A223">
            <v>35769</v>
          </cell>
          <cell r="B223">
            <v>0.71452145214521456</v>
          </cell>
          <cell r="C223">
            <v>0.99687987519500776</v>
          </cell>
          <cell r="D223">
            <v>0.84210526315789469</v>
          </cell>
          <cell r="E223">
            <v>1.2583892617449663</v>
          </cell>
          <cell r="F223">
            <v>0.413953488372093</v>
          </cell>
          <cell r="G223">
            <v>1.3636363636363635</v>
          </cell>
        </row>
        <row r="224">
          <cell r="A224">
            <v>35772</v>
          </cell>
          <cell r="B224">
            <v>0.72277227722772275</v>
          </cell>
          <cell r="C224">
            <v>0.98673946957878311</v>
          </cell>
          <cell r="D224">
            <v>0.82518796992481203</v>
          </cell>
          <cell r="E224">
            <v>1.2483221476510067</v>
          </cell>
          <cell r="F224">
            <v>0.39767441860465114</v>
          </cell>
          <cell r="G224">
            <v>1.3636363636363635</v>
          </cell>
        </row>
        <row r="225">
          <cell r="A225">
            <v>35773</v>
          </cell>
          <cell r="B225">
            <v>0.71617161716171618</v>
          </cell>
          <cell r="C225">
            <v>0.99219968798751945</v>
          </cell>
          <cell r="D225">
            <v>0.80639097744360899</v>
          </cell>
          <cell r="E225">
            <v>1.2751677852348993</v>
          </cell>
          <cell r="F225">
            <v>0.37325581395348839</v>
          </cell>
          <cell r="G225">
            <v>1.3636363636363635</v>
          </cell>
        </row>
        <row r="226">
          <cell r="A226">
            <v>35774</v>
          </cell>
          <cell r="B226">
            <v>0.70792079207920788</v>
          </cell>
          <cell r="C226">
            <v>0.98751950078003126</v>
          </cell>
          <cell r="D226">
            <v>0.76315789473684215</v>
          </cell>
          <cell r="E226">
            <v>1.1476510067114094</v>
          </cell>
          <cell r="F226">
            <v>0.31860465116279069</v>
          </cell>
          <cell r="G226">
            <v>1.3636363636363635</v>
          </cell>
        </row>
        <row r="227">
          <cell r="A227">
            <v>35775</v>
          </cell>
          <cell r="B227">
            <v>0.70709570957095713</v>
          </cell>
          <cell r="C227">
            <v>0.9750390015600624</v>
          </cell>
          <cell r="D227">
            <v>0.75939849624060152</v>
          </cell>
          <cell r="E227">
            <v>1.1275167785234899</v>
          </cell>
          <cell r="F227">
            <v>0.30813953488372092</v>
          </cell>
          <cell r="G227">
            <v>1.3636363636363635</v>
          </cell>
        </row>
        <row r="228">
          <cell r="A228">
            <v>35776</v>
          </cell>
          <cell r="B228">
            <v>0.70297029702970293</v>
          </cell>
          <cell r="C228">
            <v>0.98517940717628705</v>
          </cell>
          <cell r="D228">
            <v>0.75939849624060152</v>
          </cell>
          <cell r="E228">
            <v>1.1241610738255035</v>
          </cell>
          <cell r="F228">
            <v>0.28953488372093023</v>
          </cell>
          <cell r="G228">
            <v>1.3636363636363635</v>
          </cell>
        </row>
        <row r="229">
          <cell r="A229">
            <v>35779</v>
          </cell>
          <cell r="B229">
            <v>0.71122112211221122</v>
          </cell>
          <cell r="C229">
            <v>1.0031201248049921</v>
          </cell>
          <cell r="D229">
            <v>0.73684210526315785</v>
          </cell>
          <cell r="E229">
            <v>1.1174496644295302</v>
          </cell>
          <cell r="F229">
            <v>0.2930232558139535</v>
          </cell>
          <cell r="G229">
            <v>1.3636363636363635</v>
          </cell>
        </row>
        <row r="230">
          <cell r="A230">
            <v>35780</v>
          </cell>
          <cell r="B230">
            <v>0.71947194719471952</v>
          </cell>
          <cell r="C230">
            <v>0.99375975039001563</v>
          </cell>
          <cell r="D230">
            <v>0.73872180451127822</v>
          </cell>
          <cell r="E230">
            <v>1.0906040268456376</v>
          </cell>
          <cell r="F230">
            <v>0.30116279069767443</v>
          </cell>
          <cell r="G230">
            <v>1.3636363636363635</v>
          </cell>
        </row>
        <row r="231">
          <cell r="A231">
            <v>35781</v>
          </cell>
          <cell r="B231">
            <v>0.71782178217821779</v>
          </cell>
          <cell r="C231">
            <v>0.98439937597503901</v>
          </cell>
          <cell r="D231">
            <v>0.75375939849624063</v>
          </cell>
          <cell r="E231">
            <v>1.080536912751678</v>
          </cell>
          <cell r="F231">
            <v>0.3</v>
          </cell>
          <cell r="G231">
            <v>1.3636363636363635</v>
          </cell>
        </row>
        <row r="232">
          <cell r="A232">
            <v>35782</v>
          </cell>
          <cell r="B232">
            <v>0.71122112211221122</v>
          </cell>
          <cell r="C232">
            <v>0.86739469578783146</v>
          </cell>
          <cell r="D232">
            <v>0.71240601503759393</v>
          </cell>
          <cell r="E232">
            <v>1.0671140939597314</v>
          </cell>
          <cell r="F232">
            <v>0.27790697674418607</v>
          </cell>
          <cell r="G232">
            <v>1.3636363636363635</v>
          </cell>
        </row>
        <row r="233">
          <cell r="A233">
            <v>35783</v>
          </cell>
          <cell r="B233">
            <v>0.70379537953795379</v>
          </cell>
          <cell r="C233">
            <v>0.84789391575663031</v>
          </cell>
          <cell r="D233">
            <v>0.68045112781954886</v>
          </cell>
          <cell r="E233">
            <v>1.0503355704697988</v>
          </cell>
          <cell r="F233">
            <v>0.28255813953488373</v>
          </cell>
          <cell r="G233">
            <v>1.3636363636363635</v>
          </cell>
        </row>
        <row r="234">
          <cell r="A234">
            <v>35786</v>
          </cell>
          <cell r="B234">
            <v>0.71947194719471952</v>
          </cell>
          <cell r="C234">
            <v>0.8408736349453978</v>
          </cell>
          <cell r="D234">
            <v>0.68045112781954886</v>
          </cell>
          <cell r="E234">
            <v>1.0402684563758389</v>
          </cell>
          <cell r="F234">
            <v>0.28139534883720929</v>
          </cell>
          <cell r="G234">
            <v>1.3636363636363635</v>
          </cell>
        </row>
        <row r="235">
          <cell r="A235">
            <v>35787</v>
          </cell>
          <cell r="B235">
            <v>0.70627062706270627</v>
          </cell>
          <cell r="C235">
            <v>0.8408736349453978</v>
          </cell>
          <cell r="D235">
            <v>0.67669172932330823</v>
          </cell>
          <cell r="E235">
            <v>1.0201342281879195</v>
          </cell>
          <cell r="F235">
            <v>0.27209302325581397</v>
          </cell>
          <cell r="G235">
            <v>1.3636363636363635</v>
          </cell>
        </row>
        <row r="236">
          <cell r="A236">
            <v>35788</v>
          </cell>
          <cell r="B236">
            <v>0.70297029702970293</v>
          </cell>
          <cell r="C236">
            <v>0.83619344773790949</v>
          </cell>
          <cell r="D236">
            <v>0.68421052631578949</v>
          </cell>
          <cell r="E236">
            <v>1.0134228187919463</v>
          </cell>
          <cell r="F236">
            <v>0.26976744186046514</v>
          </cell>
          <cell r="G236">
            <v>1.3636363636363635</v>
          </cell>
        </row>
        <row r="237">
          <cell r="A237">
            <v>35789</v>
          </cell>
          <cell r="B237">
            <v>0.70297029702970293</v>
          </cell>
          <cell r="C237">
            <v>0.83619344773790949</v>
          </cell>
          <cell r="D237">
            <v>0.68421052631578949</v>
          </cell>
          <cell r="E237">
            <v>1.0134228187919463</v>
          </cell>
          <cell r="F237">
            <v>0.26976744186046514</v>
          </cell>
          <cell r="G237">
            <v>1.3636363636363635</v>
          </cell>
        </row>
        <row r="238">
          <cell r="A238">
            <v>35790</v>
          </cell>
          <cell r="B238">
            <v>0.70462046204620465</v>
          </cell>
          <cell r="C238">
            <v>0.8408736349453978</v>
          </cell>
          <cell r="D238">
            <v>0.68233082706766912</v>
          </cell>
          <cell r="E238">
            <v>1.0134228187919463</v>
          </cell>
          <cell r="F238">
            <v>0.2686046511627907</v>
          </cell>
          <cell r="G238">
            <v>1.3636363636363635</v>
          </cell>
        </row>
        <row r="239">
          <cell r="A239">
            <v>35793</v>
          </cell>
          <cell r="B239">
            <v>0.68976897689768979</v>
          </cell>
          <cell r="C239">
            <v>0.84165366614664583</v>
          </cell>
          <cell r="D239">
            <v>0.68045112781954886</v>
          </cell>
          <cell r="E239">
            <v>1.0335570469798658</v>
          </cell>
          <cell r="F239">
            <v>0.2686046511627907</v>
          </cell>
          <cell r="G239">
            <v>1.3636363636363635</v>
          </cell>
        </row>
        <row r="240">
          <cell r="A240">
            <v>35794</v>
          </cell>
          <cell r="B240">
            <v>0.69471947194719474</v>
          </cell>
          <cell r="C240">
            <v>0.87363494539781594</v>
          </cell>
          <cell r="D240">
            <v>0.6992481203007519</v>
          </cell>
          <cell r="E240">
            <v>1.080536912751678</v>
          </cell>
          <cell r="F240">
            <v>0.28837209302325584</v>
          </cell>
          <cell r="G240">
            <v>1.3636363636363635</v>
          </cell>
        </row>
        <row r="241">
          <cell r="A241">
            <v>35795</v>
          </cell>
          <cell r="B241">
            <v>0.6914191419141914</v>
          </cell>
          <cell r="C241">
            <v>0.88065522620904835</v>
          </cell>
          <cell r="D241">
            <v>0.66917293233082709</v>
          </cell>
          <cell r="E241">
            <v>1.1140939597315436</v>
          </cell>
          <cell r="F241">
            <v>0.28953488372093023</v>
          </cell>
          <cell r="G241">
            <v>1.3636363636363635</v>
          </cell>
        </row>
        <row r="242">
          <cell r="A242">
            <v>35796</v>
          </cell>
          <cell r="B242">
            <v>0.6914191419141914</v>
          </cell>
          <cell r="C242">
            <v>0.88065522620904835</v>
          </cell>
          <cell r="D242">
            <v>0.66917293233082709</v>
          </cell>
          <cell r="E242">
            <v>1.1140939597315436</v>
          </cell>
          <cell r="F242">
            <v>0.28953488372093023</v>
          </cell>
          <cell r="G242">
            <v>1.3636363636363635</v>
          </cell>
        </row>
        <row r="243">
          <cell r="A243">
            <v>35797</v>
          </cell>
          <cell r="B243">
            <v>0.69636963696369636</v>
          </cell>
          <cell r="C243">
            <v>0.87363494539781594</v>
          </cell>
          <cell r="D243">
            <v>0.69548872180451127</v>
          </cell>
          <cell r="E243">
            <v>1.1342281879194631</v>
          </cell>
          <cell r="F243">
            <v>0.31860465116279069</v>
          </cell>
          <cell r="G243">
            <v>1.3636363636363635</v>
          </cell>
        </row>
        <row r="244">
          <cell r="A244">
            <v>35800</v>
          </cell>
          <cell r="B244">
            <v>0.68811881188118806</v>
          </cell>
          <cell r="C244">
            <v>0.87831513260530425</v>
          </cell>
          <cell r="D244">
            <v>0.69548872180451127</v>
          </cell>
          <cell r="E244">
            <v>1.1409395973154361</v>
          </cell>
          <cell r="F244">
            <v>0.33953488372093021</v>
          </cell>
          <cell r="G244">
            <v>1.3636363636363635</v>
          </cell>
        </row>
        <row r="245">
          <cell r="A245">
            <v>35801</v>
          </cell>
          <cell r="B245">
            <v>0.66666666666666663</v>
          </cell>
          <cell r="C245">
            <v>0.9024960998439937</v>
          </cell>
          <cell r="D245">
            <v>0.69172932330827064</v>
          </cell>
          <cell r="E245">
            <v>1.1140939597315436</v>
          </cell>
          <cell r="F245">
            <v>0.32558139534883723</v>
          </cell>
          <cell r="G245">
            <v>1.3636363636363635</v>
          </cell>
        </row>
        <row r="246">
          <cell r="A246">
            <v>35802</v>
          </cell>
          <cell r="B246">
            <v>0.72607260726072609</v>
          </cell>
          <cell r="C246">
            <v>0.91107644305772228</v>
          </cell>
          <cell r="D246">
            <v>0.73308270676691734</v>
          </cell>
          <cell r="E246">
            <v>1.1677852348993289</v>
          </cell>
          <cell r="F246">
            <v>0.3174418604651163</v>
          </cell>
          <cell r="G246">
            <v>1.3636363636363635</v>
          </cell>
        </row>
        <row r="247">
          <cell r="A247">
            <v>35803</v>
          </cell>
          <cell r="B247">
            <v>0.68646864686468645</v>
          </cell>
          <cell r="C247">
            <v>0.88767550702028086</v>
          </cell>
          <cell r="D247">
            <v>0.74060150375939848</v>
          </cell>
          <cell r="E247">
            <v>1.1174496644295302</v>
          </cell>
          <cell r="F247">
            <v>0.30465116279069765</v>
          </cell>
          <cell r="G247">
            <v>1.3636363636363635</v>
          </cell>
        </row>
        <row r="248">
          <cell r="A248">
            <v>35804</v>
          </cell>
          <cell r="B248">
            <v>0.65841584158415845</v>
          </cell>
          <cell r="C248">
            <v>0.86895475819032764</v>
          </cell>
          <cell r="D248">
            <v>0.74060150375939848</v>
          </cell>
          <cell r="E248">
            <v>1.0536912751677852</v>
          </cell>
          <cell r="F248">
            <v>0.29186046511627906</v>
          </cell>
          <cell r="G248">
            <v>1.3636363636363635</v>
          </cell>
        </row>
        <row r="249">
          <cell r="A249">
            <v>35807</v>
          </cell>
          <cell r="B249">
            <v>0.65676567656765672</v>
          </cell>
          <cell r="C249">
            <v>0.87909516380655228</v>
          </cell>
          <cell r="D249">
            <v>0.74060150375939848</v>
          </cell>
          <cell r="E249">
            <v>1.0738255033557047</v>
          </cell>
          <cell r="F249">
            <v>0.28255813953488373</v>
          </cell>
          <cell r="G249">
            <v>1.3636363636363635</v>
          </cell>
        </row>
        <row r="250">
          <cell r="A250">
            <v>35808</v>
          </cell>
          <cell r="B250">
            <v>0.66666666666666663</v>
          </cell>
          <cell r="C250">
            <v>0.87753510140405622</v>
          </cell>
          <cell r="D250">
            <v>0.73684210526315785</v>
          </cell>
          <cell r="E250">
            <v>1.0604026845637584</v>
          </cell>
          <cell r="F250">
            <v>0.28720930232558139</v>
          </cell>
          <cell r="G250">
            <v>1.3636363636363635</v>
          </cell>
        </row>
        <row r="251">
          <cell r="A251">
            <v>35809</v>
          </cell>
          <cell r="B251">
            <v>0.68316831683168322</v>
          </cell>
          <cell r="C251">
            <v>0.87597503900156004</v>
          </cell>
          <cell r="D251">
            <v>0.72556390977443608</v>
          </cell>
          <cell r="E251">
            <v>1.0939597315436242</v>
          </cell>
          <cell r="F251">
            <v>0.29534883720930233</v>
          </cell>
          <cell r="G251">
            <v>1.3636363636363635</v>
          </cell>
        </row>
        <row r="252">
          <cell r="A252">
            <v>35810</v>
          </cell>
          <cell r="B252">
            <v>0.71287128712871284</v>
          </cell>
          <cell r="C252">
            <v>0.89235569422776906</v>
          </cell>
          <cell r="D252">
            <v>0.73496240601503759</v>
          </cell>
          <cell r="E252">
            <v>1.0704697986577181</v>
          </cell>
          <cell r="F252">
            <v>0.29418604651162789</v>
          </cell>
          <cell r="G252">
            <v>1.3636363636363635</v>
          </cell>
        </row>
        <row r="253">
          <cell r="A253">
            <v>35811</v>
          </cell>
          <cell r="B253">
            <v>0.7277227722772277</v>
          </cell>
          <cell r="C253">
            <v>0.89703588143525737</v>
          </cell>
          <cell r="D253">
            <v>0.75187969924812026</v>
          </cell>
          <cell r="E253">
            <v>1.0838926174496644</v>
          </cell>
          <cell r="F253">
            <v>0.29534883720930233</v>
          </cell>
          <cell r="G253">
            <v>1.3636363636363635</v>
          </cell>
        </row>
        <row r="254">
          <cell r="A254">
            <v>35814</v>
          </cell>
          <cell r="B254">
            <v>0.7277227722772277</v>
          </cell>
          <cell r="C254">
            <v>0.89703588143525737</v>
          </cell>
          <cell r="D254">
            <v>0.75187969924812026</v>
          </cell>
          <cell r="E254">
            <v>1.0838926174496644</v>
          </cell>
          <cell r="F254">
            <v>0.29534883720930233</v>
          </cell>
          <cell r="G254">
            <v>1.3636363636363635</v>
          </cell>
        </row>
        <row r="255">
          <cell r="A255">
            <v>35815</v>
          </cell>
          <cell r="B255">
            <v>0.73019801980198018</v>
          </cell>
          <cell r="C255">
            <v>0.90873634945397819</v>
          </cell>
          <cell r="D255">
            <v>0.77067669172932329</v>
          </cell>
          <cell r="E255">
            <v>1.0738255033557047</v>
          </cell>
          <cell r="F255">
            <v>0.27906976744186046</v>
          </cell>
          <cell r="G255">
            <v>1.3636363636363635</v>
          </cell>
        </row>
        <row r="256">
          <cell r="A256">
            <v>35816</v>
          </cell>
          <cell r="B256">
            <v>0.76567656765676573</v>
          </cell>
          <cell r="C256">
            <v>0.91575663026521059</v>
          </cell>
          <cell r="D256">
            <v>0.77631578947368418</v>
          </cell>
          <cell r="E256">
            <v>1.0704697986577181</v>
          </cell>
          <cell r="F256">
            <v>0.27209302325581397</v>
          </cell>
          <cell r="G256">
            <v>1.3636363636363635</v>
          </cell>
        </row>
        <row r="257">
          <cell r="A257">
            <v>35817</v>
          </cell>
          <cell r="B257">
            <v>0.7722772277227723</v>
          </cell>
          <cell r="C257">
            <v>0.92823712948517945</v>
          </cell>
          <cell r="D257">
            <v>0.77819548872180455</v>
          </cell>
          <cell r="E257">
            <v>1.063758389261745</v>
          </cell>
          <cell r="F257">
            <v>0.2744186046511628</v>
          </cell>
          <cell r="G257">
            <v>1.3636363636363635</v>
          </cell>
        </row>
        <row r="258">
          <cell r="A258">
            <v>35818</v>
          </cell>
          <cell r="B258">
            <v>0.77516501650165015</v>
          </cell>
          <cell r="C258">
            <v>0.92199687987519496</v>
          </cell>
          <cell r="D258">
            <v>0.75563909774436089</v>
          </cell>
          <cell r="E258">
            <v>1.0469798657718121</v>
          </cell>
          <cell r="F258">
            <v>0.27325581395348836</v>
          </cell>
          <cell r="G258">
            <v>1.3636363636363635</v>
          </cell>
        </row>
        <row r="259">
          <cell r="A259">
            <v>35821</v>
          </cell>
          <cell r="B259">
            <v>0.7722772277227723</v>
          </cell>
          <cell r="C259">
            <v>0.93447737909516382</v>
          </cell>
          <cell r="D259">
            <v>0.74812030075187974</v>
          </cell>
          <cell r="E259">
            <v>1.0604026845637584</v>
          </cell>
          <cell r="F259">
            <v>0.27093023255813953</v>
          </cell>
          <cell r="G259">
            <v>1.3636363636363635</v>
          </cell>
        </row>
        <row r="260">
          <cell r="A260">
            <v>35822</v>
          </cell>
          <cell r="B260">
            <v>0.78382838283828382</v>
          </cell>
          <cell r="C260">
            <v>0.94929797191887677</v>
          </cell>
          <cell r="D260">
            <v>0.75187969924812026</v>
          </cell>
          <cell r="E260">
            <v>1.0704697986577181</v>
          </cell>
          <cell r="F260">
            <v>0.2686046511627907</v>
          </cell>
          <cell r="G260">
            <v>1.3636363636363635</v>
          </cell>
        </row>
        <row r="261">
          <cell r="A261">
            <v>35823</v>
          </cell>
          <cell r="B261">
            <v>0.77557755775577553</v>
          </cell>
          <cell r="C261">
            <v>0.94149765990639622</v>
          </cell>
          <cell r="D261">
            <v>0.76879699248120303</v>
          </cell>
          <cell r="E261">
            <v>1.0771812080536913</v>
          </cell>
          <cell r="F261">
            <v>0.26279069767441859</v>
          </cell>
          <cell r="G261">
            <v>1.3636363636363635</v>
          </cell>
        </row>
        <row r="262">
          <cell r="A262">
            <v>35824</v>
          </cell>
          <cell r="B262">
            <v>0.75247524752475248</v>
          </cell>
          <cell r="C262">
            <v>0.93837753510140409</v>
          </cell>
          <cell r="D262">
            <v>0.78947368421052633</v>
          </cell>
          <cell r="E262">
            <v>1.080536912751678</v>
          </cell>
          <cell r="F262">
            <v>0.2686046511627907</v>
          </cell>
          <cell r="G262">
            <v>1.3636363636363635</v>
          </cell>
        </row>
        <row r="263">
          <cell r="A263">
            <v>35825</v>
          </cell>
          <cell r="B263">
            <v>0.76567656765676573</v>
          </cell>
          <cell r="C263">
            <v>0.91731669266770666</v>
          </cell>
          <cell r="D263">
            <v>0.78007518796992481</v>
          </cell>
          <cell r="E263">
            <v>1.0771812080536913</v>
          </cell>
          <cell r="F263">
            <v>0.32558139534883723</v>
          </cell>
          <cell r="G263">
            <v>1.3636363636363635</v>
          </cell>
        </row>
        <row r="264">
          <cell r="A264">
            <v>35828</v>
          </cell>
          <cell r="B264">
            <v>0.7722772277227723</v>
          </cell>
          <cell r="C264">
            <v>0.95709828393135721</v>
          </cell>
          <cell r="D264">
            <v>0.79135338345864659</v>
          </cell>
          <cell r="E264">
            <v>1.1073825503355705</v>
          </cell>
          <cell r="F264">
            <v>0.33023255813953489</v>
          </cell>
          <cell r="G264">
            <v>1.3636363636363635</v>
          </cell>
        </row>
        <row r="265">
          <cell r="A265">
            <v>35829</v>
          </cell>
          <cell r="B265">
            <v>0.78877887788778878</v>
          </cell>
          <cell r="C265">
            <v>0.95397815912636508</v>
          </cell>
          <cell r="D265">
            <v>0.77631578947368418</v>
          </cell>
          <cell r="E265">
            <v>1.0973154362416107</v>
          </cell>
          <cell r="F265">
            <v>0.30813953488372092</v>
          </cell>
          <cell r="G265">
            <v>1.3636363636363635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sheetData sheetId="140"/>
      <sheetData sheetId="141"/>
      <sheetData sheetId="142"/>
      <sheetData sheetId="143"/>
      <sheetData sheetId="144"/>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
      <sheetName val="09"/>
      <sheetName val="10"/>
      <sheetName val="11"/>
      <sheetName val="Total"/>
      <sheetName val="Europe"/>
      <sheetName val="US"/>
      <sheetName val="Sheet3"/>
      <sheetName val="DIV Y"/>
    </sheetNames>
    <sheetDataSet>
      <sheetData sheetId="0"/>
      <sheetData sheetId="1"/>
      <sheetData sheetId="2"/>
      <sheetData sheetId="3"/>
      <sheetData sheetId="4" refreshError="1">
        <row r="322">
          <cell r="C322" t="str">
            <v>Quality 1</v>
          </cell>
          <cell r="D322">
            <v>54</v>
          </cell>
        </row>
        <row r="323">
          <cell r="C323" t="str">
            <v>Quality 2</v>
          </cell>
          <cell r="D323">
            <v>37</v>
          </cell>
        </row>
        <row r="324">
          <cell r="C324" t="str">
            <v>Quality 3</v>
          </cell>
          <cell r="D324">
            <v>33</v>
          </cell>
        </row>
        <row r="325">
          <cell r="C325" t="str">
            <v>Quality 4</v>
          </cell>
          <cell r="D325">
            <v>173</v>
          </cell>
        </row>
      </sheetData>
      <sheetData sheetId="5" refreshError="1"/>
      <sheetData sheetId="6" refreshError="1"/>
      <sheetData sheetId="7" refreshError="1"/>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vol."/>
      <sheetName val="Breakdown"/>
      <sheetName val="20 year"/>
      <sheetName val="ten year"/>
      <sheetName val="5 year"/>
      <sheetName val="spread"/>
      <sheetName val="Trading Summary"/>
      <sheetName val="Expected European Inv"/>
      <sheetName val="Diageo's investor base"/>
      <sheetName val="spread perf."/>
      <sheetName val="spread 2"/>
      <sheetName val="Global dist"/>
      <sheetName val="Global distribution"/>
      <sheetName val="Internat dist"/>
      <sheetName val="Post launch (6)"/>
      <sheetName val="Recent trading (7)"/>
      <sheetName val="salesvol_"/>
      <sheetName val="sales vol_"/>
      <sheetName val="Financials"/>
      <sheetName val="Stock Price"/>
      <sheetName val="20_year"/>
      <sheetName val="ten_year"/>
      <sheetName val="5_year"/>
      <sheetName val="Trading_Summary"/>
      <sheetName val="Expected_European_Inv"/>
      <sheetName val="Diageo's_investor_base"/>
      <sheetName val="sales_vol_"/>
      <sheetName val="spread_perf_"/>
      <sheetName val="spread_2"/>
      <sheetName val="Global_dist"/>
      <sheetName val="Global_distribution"/>
      <sheetName val="Internat_dist"/>
      <sheetName val="Post_launch_(6)"/>
      <sheetName val="Recent_trading_(7)"/>
      <sheetName val="sales_vol_1"/>
      <sheetName val="Stock_Price"/>
      <sheetName val="20_year1"/>
      <sheetName val="ten_year1"/>
      <sheetName val="5_year1"/>
      <sheetName val="Trading_Summary1"/>
      <sheetName val="Expected_European_Inv1"/>
      <sheetName val="Diageo's_investor_base1"/>
      <sheetName val="sales_vol_2"/>
      <sheetName val="spread_perf_1"/>
      <sheetName val="spread_21"/>
      <sheetName val="Global_dist1"/>
      <sheetName val="Global_distribution1"/>
      <sheetName val="Internat_dist1"/>
      <sheetName val="Post_launch_(6)1"/>
      <sheetName val="Recent_trading_(7)1"/>
      <sheetName val="sales_vol_3"/>
      <sheetName val="Stock_Price1"/>
      <sheetName val="20_year2"/>
      <sheetName val="ten_year2"/>
      <sheetName val="5_year2"/>
      <sheetName val="Trading_Summary2"/>
      <sheetName val="Expected_European_Inv2"/>
      <sheetName val="Diageo's_investor_base2"/>
      <sheetName val="sales_vol_4"/>
      <sheetName val="spread_perf_2"/>
      <sheetName val="spread_22"/>
      <sheetName val="Global_dist2"/>
      <sheetName val="Global_distribution2"/>
      <sheetName val="Internat_dist2"/>
      <sheetName val="Post_launch_(6)2"/>
      <sheetName val="Recent_trading_(7)2"/>
      <sheetName val="sales_vol_5"/>
      <sheetName val="Stock_Price2"/>
      <sheetName val="Input Projected"/>
      <sheetName val="consolidated"/>
      <sheetName val="oldSEG"/>
      <sheetName val="Quarters"/>
      <sheetName val="Financial Overview ShortProfile"/>
      <sheetName val="Summary"/>
      <sheetName val="CUS Image"/>
      <sheetName val="9-05046L"/>
      <sheetName val="Input"/>
      <sheetName val="ProForma"/>
      <sheetName val="__FDSCACHE__"/>
      <sheetName val="Output"/>
      <sheetName val="Sheet1"/>
      <sheetName val="Delhaize"/>
      <sheetName val="Prop Model"/>
      <sheetName val="Office Data"/>
      <sheetName val="Pro forma IS"/>
      <sheetName val="BTMAIN"/>
      <sheetName val="Assumptions"/>
      <sheetName val="OPER"/>
      <sheetName val="RSR"/>
      <sheetName val="Weeklies"/>
      <sheetName val="Opportunity Codes "/>
      <sheetName val="2013"/>
      <sheetName val="Sheet2"/>
      <sheetName val="Sheet3"/>
      <sheetName val="Sheet4"/>
      <sheetName val="Total"/>
      <sheetName val="CAPITAL PH1"/>
      <sheetName val=" BUDGET P1"/>
      <sheetName val="EuroInputs"/>
      <sheetName val="MktAss"/>
      <sheetName val="A"/>
      <sheetName val="Corp Overhead"/>
      <sheetName val="MWC"/>
      <sheetName val="Corp_Overhead"/>
      <sheetName val="Corp_Overhead1"/>
      <sheetName val="Corp_Overhead2"/>
      <sheetName val="CAPEX"/>
      <sheetName val="Parameters"/>
      <sheetName val="INPUT ACQUIROR DATA"/>
      <sheetName val="Transaction-Assum."/>
      <sheetName val="Gráfico"/>
      <sheetName val="Data"/>
      <sheetName val="All Sum"/>
      <sheetName val="P&amp;L --KRON"/>
      <sheetName val="P&amp;L -BayTV"/>
      <sheetName val="215002"/>
      <sheetName val="Summary Financials"/>
      <sheetName val="Amarillo I-40-HI"/>
      <sheetName val="LTM"/>
      <sheetName val="CREDIT STATS"/>
      <sheetName val="DropZone"/>
      <sheetName val="Cover"/>
      <sheetName val="Total Firm"/>
      <sheetName val="Data for 03-04 Base Position"/>
      <sheetName val="company"/>
      <sheetName val="BS Rollup"/>
      <sheetName val="BEV"/>
      <sheetName val="EBITDA"/>
      <sheetName val="Price Performance Output"/>
      <sheetName val="Historical Multiples Output"/>
      <sheetName val="Straw Man"/>
      <sheetName val="MedSolutions Financial Data"/>
      <sheetName val="Football Field "/>
      <sheetName val="DCF"/>
      <sheetName val="Qcharts"/>
      <sheetName val="Charts"/>
      <sheetName val="Offers G&amp;C"/>
      <sheetName val="Offers GE"/>
      <sheetName val="Offers GS"/>
      <sheetName val="Offers MC"/>
      <sheetName val="13199"/>
      <sheetName val="PNGOil"/>
      <sheetName val="Model"/>
      <sheetName val="MLP IPO Yields vs MLP Index"/>
      <sheetName val="Control Panel"/>
      <sheetName val="Market"/>
      <sheetName val="Country Risk"/>
      <sheetName val="Quarterly rates"/>
      <sheetName val="Codes"/>
      <sheetName val="NCV Pivot"/>
      <sheetName val="exec sum (ncv) (3)"/>
      <sheetName val="Data Control"/>
    </sheetNames>
    <sheetDataSet>
      <sheetData sheetId="0" refreshError="1">
        <row r="34">
          <cell r="J34" t="str">
            <v>Europe</v>
          </cell>
        </row>
        <row r="35">
          <cell r="J35" t="str">
            <v>Other</v>
          </cell>
        </row>
        <row r="36">
          <cell r="J36" t="str">
            <v>Swiss</v>
          </cell>
        </row>
        <row r="37">
          <cell r="J37" t="str">
            <v>UK</v>
          </cell>
        </row>
        <row r="211">
          <cell r="J211" t="str">
            <v>Europe</v>
          </cell>
          <cell r="K211">
            <v>42560000</v>
          </cell>
        </row>
        <row r="212">
          <cell r="J212" t="str">
            <v>Other</v>
          </cell>
          <cell r="K212">
            <v>87425000</v>
          </cell>
        </row>
        <row r="213">
          <cell r="J213" t="str">
            <v>Swiss</v>
          </cell>
          <cell r="K213">
            <v>24660000</v>
          </cell>
        </row>
        <row r="214">
          <cell r="J214" t="str">
            <v>UK</v>
          </cell>
          <cell r="K214">
            <v>42000000</v>
          </cell>
        </row>
        <row r="398">
          <cell r="J398" t="str">
            <v>Europe</v>
          </cell>
          <cell r="K398">
            <v>33000000</v>
          </cell>
        </row>
        <row r="399">
          <cell r="J399" t="str">
            <v>Other</v>
          </cell>
          <cell r="K399">
            <v>21500000</v>
          </cell>
        </row>
        <row r="400">
          <cell r="J400" t="str">
            <v>Swiss</v>
          </cell>
          <cell r="K400">
            <v>116440000</v>
          </cell>
        </row>
        <row r="401">
          <cell r="J401" t="str">
            <v>UK</v>
          </cell>
          <cell r="K401">
            <v>101448000</v>
          </cell>
        </row>
        <row r="1121">
          <cell r="I1121" t="str">
            <v>Europe</v>
          </cell>
          <cell r="J1121">
            <v>11000000</v>
          </cell>
        </row>
        <row r="1122">
          <cell r="I1122" t="str">
            <v>Swiss</v>
          </cell>
          <cell r="J1122">
            <v>3370000</v>
          </cell>
        </row>
        <row r="1632">
          <cell r="I1632" t="str">
            <v>Europe</v>
          </cell>
          <cell r="J1632">
            <v>96300000</v>
          </cell>
        </row>
        <row r="1633">
          <cell r="I1633" t="str">
            <v>Other</v>
          </cell>
          <cell r="J1633">
            <v>39000000</v>
          </cell>
        </row>
        <row r="1634">
          <cell r="I1634" t="str">
            <v>Swiss</v>
          </cell>
          <cell r="J1634">
            <v>92900000</v>
          </cell>
        </row>
        <row r="1635">
          <cell r="I1635" t="str">
            <v>UK</v>
          </cell>
          <cell r="J1635">
            <v>64000000</v>
          </cell>
        </row>
        <row r="2248">
          <cell r="I2248" t="str">
            <v>Europe</v>
          </cell>
          <cell r="J2248">
            <v>12600000</v>
          </cell>
        </row>
        <row r="2249">
          <cell r="I2249" t="str">
            <v>Other</v>
          </cell>
          <cell r="J2249">
            <v>24500000</v>
          </cell>
        </row>
        <row r="2250">
          <cell r="I2250" t="str">
            <v>Swiss</v>
          </cell>
          <cell r="J2250">
            <v>56200000</v>
          </cell>
        </row>
        <row r="2251">
          <cell r="I2251" t="str">
            <v>UK</v>
          </cell>
          <cell r="J2251">
            <v>56400000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gIS"/>
      <sheetName val="Pro Forma (2)"/>
      <sheetName val="Output (GAAP) (2)"/>
      <sheetName val="Output (2)"/>
      <sheetName val="Pro Forma"/>
      <sheetName val="__FDSCACHE__"/>
      <sheetName val="Output (GAAP)"/>
      <sheetName val="Output"/>
      <sheetName val="Inputs"/>
      <sheetName val="INSS"/>
      <sheetName val="PMO"/>
      <sheetName val="Contribution"/>
      <sheetName val="Contr - FD"/>
      <sheetName val="Contr - TM"/>
      <sheetName val="Adjusted Contribution"/>
      <sheetName val="Cash Burn"/>
      <sheetName val="Multiples"/>
      <sheetName val="SyncAlloc"/>
      <sheetName val="PricePerformance"/>
      <sheetName val="ValMtrx"/>
      <sheetName val="CapSum-Tux"/>
      <sheetName val="CapSum-Top hat"/>
      <sheetName val="DCF-Tux Mgt 2001"/>
      <sheetName val="DCF-Tux Mgt 2002"/>
      <sheetName val="DCF-Tux Mgt 2001 Norm"/>
      <sheetName val="DCF-Tux Str Estimates"/>
      <sheetName val="DCF-Top Hat mgt"/>
      <sheetName val="DCF-Top Hat Str Est."/>
      <sheetName val="DCF-Top Hat Synergies"/>
      <sheetName val="MSDW SbyS"/>
      <sheetName val="SbyS"/>
      <sheetName val="Contribution2"/>
      <sheetName val="Combination - Street Est."/>
      <sheetName val="PF W-O Synergies"/>
      <sheetName val="Combination -Management Est."/>
      <sheetName val="Top Hat"/>
      <sheetName val="Tuxedo"/>
      <sheetName val="Analyst Avg"/>
      <sheetName val="Synergy Sensitivity"/>
      <sheetName val="Sheet2"/>
      <sheetName val="Sheet3"/>
      <sheetName val="IS"/>
      <sheetName val="BS|CF"/>
      <sheetName val="Assum"/>
      <sheetName val="OpBS"/>
      <sheetName val="BSCF"/>
      <sheetName val="Ratios"/>
      <sheetName val="AcqIS"/>
      <sheetName val="AcqBSCF"/>
      <sheetName val="AcqRat"/>
      <sheetName val="TargBSCF"/>
      <sheetName val="TargRat"/>
      <sheetName val="AcqDCF1"/>
      <sheetName val="AcqDCF2"/>
      <sheetName val="TargDCF1"/>
      <sheetName val="TargDCF2"/>
      <sheetName val="CashAcq"/>
      <sheetName val="LBO Assum"/>
      <sheetName val="LBO IS"/>
      <sheetName val="LBO  BSCF"/>
      <sheetName val="LBO Ratios"/>
      <sheetName val="LBO Returns"/>
      <sheetName val="Contrib"/>
      <sheetName val="Presentation&gt;&gt;&gt;"/>
      <sheetName val="TargFin"/>
      <sheetName val="ValMatrix"/>
      <sheetName val="TargDCF"/>
      <sheetName val="CashAcqOutput"/>
      <sheetName val="PF EPS1"/>
      <sheetName val="PF EPS2"/>
      <sheetName val="PF Ratios"/>
      <sheetName val="StckPrc1"/>
      <sheetName val="StckPrc2"/>
      <sheetName val="Summary"/>
      <sheetName val="Output&gt;&gt;"/>
      <sheetName val="SummaryCases"/>
      <sheetName val="Summary FS"/>
      <sheetName val="Sources and Uses"/>
      <sheetName val="Acc Dil"/>
      <sheetName val="Cash Acc Dil"/>
      <sheetName val="Summary Credit Stats"/>
      <sheetName val="Summary Debt Paydown"/>
      <sheetName val="Growth Analysis"/>
      <sheetName val="Conv Returns Summary"/>
      <sheetName val="Class A Returns Summary"/>
      <sheetName val="Stk Price Acc Dil"/>
      <sheetName val="Pro Forma&gt;&gt;"/>
      <sheetName val="Convertible Returns"/>
      <sheetName val="Class A Returns"/>
      <sheetName val="PIK Returns"/>
      <sheetName val="99 and LTM PF"/>
      <sheetName val="Hawk&gt;&gt;"/>
      <sheetName val="Midway&gt;&gt;"/>
      <sheetName val="TargIS £"/>
      <sheetName val="TargBSCF £"/>
      <sheetName val="TargIS $"/>
      <sheetName val="TargBSCF $"/>
      <sheetName val="TargIS-Adj"/>
      <sheetName val="TargBSCF-Adj"/>
      <sheetName val="AerospaceISMonthly"/>
      <sheetName val="WholeTargetISMonthly"/>
      <sheetName val="--NOT USED--"/>
      <sheetName val="Jupiter&gt;&gt;&gt;&gt;&gt;"/>
      <sheetName val="Jupiter IS"/>
      <sheetName val="Jupiter BSCF"/>
      <sheetName val="Jupiter Rat"/>
      <sheetName val="Jupiter DCF1"/>
      <sheetName val="Jupiter DCF2"/>
      <sheetName val="Saturn&gt;&gt;&gt;&gt;&gt;&gt;"/>
      <sheetName val="Saturn IS"/>
      <sheetName val="Saturn BSCF"/>
      <sheetName val="Saturn DCF1"/>
      <sheetName val="Saturn DCF2"/>
      <sheetName val="Saturn Ratios"/>
      <sheetName val="Spaceshot&gt;&gt;&gt;&gt;&gt;"/>
      <sheetName val="Op-BS"/>
      <sheetName val="Output&gt;&gt;&gt;&gt;&gt;"/>
      <sheetName val="Matri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refreshError="1"/>
      <sheetData sheetId="21" refreshError="1"/>
      <sheetData sheetId="22"/>
      <sheetData sheetId="23"/>
      <sheetData sheetId="24"/>
      <sheetData sheetId="25"/>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sheetData sheetId="55"/>
      <sheetData sheetId="56"/>
      <sheetData sheetId="57"/>
      <sheetData sheetId="58"/>
      <sheetData sheetId="59" refreshError="1"/>
      <sheetData sheetId="60" refreshError="1"/>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refreshError="1"/>
      <sheetData sheetId="109"/>
      <sheetData sheetId="110"/>
      <sheetData sheetId="111"/>
      <sheetData sheetId="112"/>
      <sheetData sheetId="113" refreshError="1"/>
      <sheetData sheetId="114" refreshError="1"/>
      <sheetData sheetId="115"/>
      <sheetData sheetId="116" refreshError="1"/>
      <sheetData sheetId="11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gIS"/>
      <sheetName val="Pro Forma (2)"/>
      <sheetName val="Output (GAAP) (2)"/>
      <sheetName val="Output (2)"/>
      <sheetName val="Pro Forma"/>
      <sheetName val="__FDSCACHE__"/>
      <sheetName val="Output (GAAP)"/>
      <sheetName val="Output"/>
      <sheetName val="Inputs"/>
      <sheetName val="INSS"/>
      <sheetName val="PMO"/>
      <sheetName val="Contribution"/>
      <sheetName val="Contr - FD"/>
      <sheetName val="Contr - TM"/>
      <sheetName val="Adjusted Contribution"/>
      <sheetName val="Cash Burn"/>
      <sheetName val="Multiples"/>
      <sheetName val="SyncAlloc"/>
      <sheetName val="PricePerformance"/>
      <sheetName val="ValMtrx"/>
      <sheetName val="CapSum-Tux"/>
      <sheetName val="CapSum-Top hat"/>
      <sheetName val="DCF-Tux Mgt 2001"/>
      <sheetName val="DCF-Tux Mgt 2002"/>
      <sheetName val="DCF-Tux Mgt 2001 Norm"/>
      <sheetName val="DCF-Tux Str Estimates"/>
      <sheetName val="DCF-Top Hat mgt"/>
      <sheetName val="DCF-Top Hat Str Est."/>
      <sheetName val="DCF-Top Hat Synergies"/>
      <sheetName val="MSDW SbyS"/>
      <sheetName val="SbyS"/>
      <sheetName val="Contribution2"/>
      <sheetName val="Combination - Street Est."/>
      <sheetName val="PF W-O Synergies"/>
      <sheetName val="Combination -Management Est."/>
      <sheetName val="Top Hat"/>
      <sheetName val="Tuxedo"/>
      <sheetName val="Analyst Avg"/>
      <sheetName val="Synergy Sensitivity"/>
      <sheetName val="Sheet2"/>
      <sheetName val="Sheet3"/>
      <sheetName val="IS"/>
      <sheetName val="BS|CF"/>
      <sheetName val="Assum"/>
      <sheetName val="OpBS"/>
      <sheetName val="BSCF"/>
      <sheetName val="Ratios"/>
      <sheetName val="AcqIS"/>
      <sheetName val="AcqBSCF"/>
      <sheetName val="AcqRat"/>
      <sheetName val="TargBSCF"/>
      <sheetName val="TargRat"/>
      <sheetName val="AcqDCF1"/>
      <sheetName val="AcqDCF2"/>
      <sheetName val="TargDCF1"/>
      <sheetName val="TargDCF2"/>
      <sheetName val="CashAcq"/>
      <sheetName val="LBO Assum"/>
      <sheetName val="LBO IS"/>
      <sheetName val="LBO  BSCF"/>
      <sheetName val="LBO Ratios"/>
      <sheetName val="LBO Returns"/>
      <sheetName val="Contrib"/>
      <sheetName val="Presentation&gt;&gt;&gt;"/>
      <sheetName val="TargFin"/>
      <sheetName val="ValMatrix"/>
      <sheetName val="TargDCF"/>
      <sheetName val="CashAcqOutput"/>
      <sheetName val="PF EPS1"/>
      <sheetName val="PF EPS2"/>
      <sheetName val="PF Ratios"/>
      <sheetName val="StckPrc1"/>
      <sheetName val="StckPrc2"/>
      <sheetName val="Summary"/>
      <sheetName val="Output&gt;&gt;"/>
      <sheetName val="SummaryCases"/>
      <sheetName val="Summary FS"/>
      <sheetName val="Sources and Uses"/>
      <sheetName val="Acc Dil"/>
      <sheetName val="Cash Acc Dil"/>
      <sheetName val="Summary Credit Stats"/>
      <sheetName val="Summary Debt Paydown"/>
      <sheetName val="Growth Analysis"/>
      <sheetName val="Conv Returns Summary"/>
      <sheetName val="Class A Returns Summary"/>
      <sheetName val="Stk Price Acc Dil"/>
      <sheetName val="Pro Forma&gt;&gt;"/>
      <sheetName val="Convertible Returns"/>
      <sheetName val="Class A Returns"/>
      <sheetName val="PIK Returns"/>
      <sheetName val="99 and LTM PF"/>
      <sheetName val="Hawk&gt;&gt;"/>
      <sheetName val="Midway&gt;&gt;"/>
      <sheetName val="TargIS £"/>
      <sheetName val="TargBSCF £"/>
      <sheetName val="TargIS $"/>
      <sheetName val="TargBSCF $"/>
      <sheetName val="TargIS-Adj"/>
      <sheetName val="TargBSCF-Adj"/>
      <sheetName val="AerospaceISMonthly"/>
      <sheetName val="WholeTargetISMonthly"/>
      <sheetName val="--NOT USED--"/>
      <sheetName val="Jupiter&gt;&gt;&gt;&gt;&gt;"/>
      <sheetName val="Jupiter IS"/>
      <sheetName val="Jupiter BSCF"/>
      <sheetName val="Jupiter Rat"/>
      <sheetName val="Jupiter DCF1"/>
      <sheetName val="Jupiter DCF2"/>
      <sheetName val="Saturn&gt;&gt;&gt;&gt;&gt;&gt;"/>
      <sheetName val="Saturn IS"/>
      <sheetName val="Saturn BSCF"/>
      <sheetName val="Saturn DCF1"/>
      <sheetName val="Saturn DCF2"/>
      <sheetName val="Saturn Ratios"/>
      <sheetName val="Spaceshot&gt;&gt;&gt;&gt;&gt;"/>
      <sheetName val="Op-BS"/>
      <sheetName val="Output&gt;&gt;&gt;&gt;&gt;"/>
      <sheetName val="Matri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refreshError="1"/>
      <sheetData sheetId="21" refreshError="1"/>
      <sheetData sheetId="22"/>
      <sheetData sheetId="23"/>
      <sheetData sheetId="24"/>
      <sheetData sheetId="25"/>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sheetData sheetId="55"/>
      <sheetData sheetId="56"/>
      <sheetData sheetId="57"/>
      <sheetData sheetId="58"/>
      <sheetData sheetId="59" refreshError="1"/>
      <sheetData sheetId="60" refreshError="1"/>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refreshError="1"/>
      <sheetData sheetId="109"/>
      <sheetData sheetId="110"/>
      <sheetData sheetId="111"/>
      <sheetData sheetId="112"/>
      <sheetData sheetId="113" refreshError="1"/>
      <sheetData sheetId="114" refreshError="1"/>
      <sheetData sheetId="115"/>
      <sheetData sheetId="116" refreshError="1"/>
      <sheetData sheetId="11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OGS Adj Calcs"/>
      <sheetName val="P&amp;L_USD"/>
      <sheetName val="P&amp;L_RMB"/>
      <sheetName val="Balance Sheet"/>
      <sheetName val="Historical Cashflow"/>
      <sheetName val="Future Cashflow"/>
      <sheetName val="Option Value"/>
      <sheetName val="Assumptions"/>
      <sheetName val="Revenue Assumptions"/>
      <sheetName val="COGS Assumption"/>
      <sheetName val="Other P&amp;L Assumption"/>
      <sheetName val="D&amp;A Assumption"/>
      <sheetName val="Debt Schedule"/>
      <sheetName val="Working Capital Assumptions"/>
      <sheetName val="Other BS Assumptions"/>
      <sheetName val="Revenue Classification"/>
      <sheetName val="Valuation"/>
      <sheetName val="IPO Proceeds"/>
      <sheetName val="DCF_RMB"/>
      <sheetName val="DCF_USD"/>
      <sheetName val="DEV"/>
      <sheetName val="Football Field"/>
      <sheetName val="Supporting Doc"/>
      <sheetName val="SBC PL Impact"/>
      <sheetName val="Mgmt Forecast"/>
      <sheetName val="16-20Year PL updated"/>
      <sheetName val="Listing exp (mgmt account)"/>
      <sheetName val="Listing exp (total)"/>
      <sheetName val="IPO Cost_USD (fixed)"/>
      <sheetName val="SBC fcs"/>
      <sheetName val="Non-GAAP OP Trending"/>
      <sheetName val="R&amp;D"/>
      <sheetName val="HC"/>
      <sheetName val="Revenue"/>
      <sheetName val="Capex"/>
      <sheetName val="WuXi Biologics Total"/>
      <sheetName val="CL Forecast"/>
      <sheetName val="SF Forecast"/>
      <sheetName val="HD Forecast"/>
      <sheetName val="Asia (YJ)"/>
      <sheetName val="Key Accounts (CC)"/>
      <sheetName val="China (WZ)"/>
      <sheetName val="Capital lease"/>
    </sheetNames>
    <sheetDataSet>
      <sheetData sheetId="0">
        <row r="10">
          <cell r="G10">
            <v>1</v>
          </cell>
        </row>
        <row r="16">
          <cell r="G16">
            <v>6.95</v>
          </cell>
        </row>
        <row r="19">
          <cell r="G19">
            <v>1.1165467625899279</v>
          </cell>
        </row>
        <row r="20">
          <cell r="G20">
            <v>7.76</v>
          </cell>
        </row>
        <row r="22">
          <cell r="G22">
            <v>6.6554054054054053</v>
          </cell>
        </row>
      </sheetData>
      <sheetData sheetId="1"/>
      <sheetData sheetId="2"/>
      <sheetData sheetId="3">
        <row r="10">
          <cell r="D10">
            <v>156746.77608261604</v>
          </cell>
        </row>
      </sheetData>
      <sheetData sheetId="4">
        <row r="18">
          <cell r="D18">
            <v>4176.1252100000002</v>
          </cell>
        </row>
      </sheetData>
      <sheetData sheetId="5">
        <row r="11">
          <cell r="J11">
            <v>22892.27327666666</v>
          </cell>
        </row>
      </sheetData>
      <sheetData sheetId="6">
        <row r="9">
          <cell r="E9">
            <v>93362.756072671909</v>
          </cell>
        </row>
      </sheetData>
      <sheetData sheetId="7"/>
      <sheetData sheetId="8"/>
      <sheetData sheetId="9">
        <row r="10">
          <cell r="D10">
            <v>156746.77608261604</v>
          </cell>
        </row>
      </sheetData>
      <sheetData sheetId="10">
        <row r="9">
          <cell r="D9">
            <v>-123718</v>
          </cell>
        </row>
      </sheetData>
      <sheetData sheetId="11">
        <row r="9">
          <cell r="D9">
            <v>-2346.3309026160036</v>
          </cell>
        </row>
      </sheetData>
      <sheetData sheetId="12">
        <row r="168">
          <cell r="D168">
            <v>132386</v>
          </cell>
        </row>
      </sheetData>
      <sheetData sheetId="13">
        <row r="110">
          <cell r="D110">
            <v>-2129.5</v>
          </cell>
        </row>
      </sheetData>
      <sheetData sheetId="14">
        <row r="32">
          <cell r="I32">
            <v>-4870.1703825136638</v>
          </cell>
        </row>
      </sheetData>
      <sheetData sheetId="15">
        <row r="42">
          <cell r="D42">
            <v>2218.3503900000001</v>
          </cell>
        </row>
      </sheetData>
      <sheetData sheetId="16"/>
      <sheetData sheetId="17"/>
      <sheetData sheetId="18"/>
      <sheetData sheetId="19"/>
      <sheetData sheetId="20"/>
      <sheetData sheetId="21"/>
      <sheetData sheetId="22"/>
      <sheetData sheetId="23"/>
      <sheetData sheetId="24">
        <row r="16">
          <cell r="D16">
            <v>834659.0669993948</v>
          </cell>
        </row>
      </sheetData>
      <sheetData sheetId="25">
        <row r="15">
          <cell r="T15">
            <v>0.186</v>
          </cell>
        </row>
      </sheetData>
      <sheetData sheetId="26"/>
      <sheetData sheetId="27">
        <row r="10">
          <cell r="E10">
            <v>23649082.704</v>
          </cell>
        </row>
      </sheetData>
      <sheetData sheetId="28"/>
      <sheetData sheetId="29"/>
      <sheetData sheetId="30"/>
      <sheetData sheetId="31"/>
      <sheetData sheetId="32">
        <row r="15">
          <cell r="B15">
            <v>7949675.2400000002</v>
          </cell>
        </row>
      </sheetData>
      <sheetData sheetId="33">
        <row r="2">
          <cell r="B2">
            <v>48</v>
          </cell>
        </row>
      </sheetData>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tSettings"/>
      <sheetName val="SectList"/>
      <sheetName val="AcList"/>
      <sheetName val="DepList"/>
      <sheetName val="CurList"/>
      <sheetName val="SectTB"/>
      <sheetName val="SectCDTB"/>
      <sheetName val="AcTB"/>
      <sheetName val="AcCDTB"/>
      <sheetName val="Settings"/>
      <sheetName val="TB Scheme A"/>
      <sheetName val="TB Scheme B"/>
      <sheetName val="TB Scheme C"/>
      <sheetName val="TB Scheme D"/>
      <sheetName val="Check List"/>
      <sheetName val="History"/>
      <sheetName val="TB"/>
      <sheetName val="Data"/>
      <sheetName val="CFWorkings"/>
      <sheetName val="Cover"/>
      <sheetName val="Contents"/>
      <sheetName val="Information"/>
      <sheetName val="Director"/>
      <sheetName val="Responsibilities"/>
      <sheetName val="Audit"/>
      <sheetName val="Compilation"/>
      <sheetName val="Accountant"/>
      <sheetName val="PL"/>
      <sheetName val="RGL"/>
      <sheetName val="PL 1 Page"/>
      <sheetName val="BS"/>
      <sheetName val="CF"/>
      <sheetName val="BS 1 Page"/>
      <sheetName val="Cash Flow"/>
      <sheetName val="Notes"/>
      <sheetName val="DetailPL1"/>
      <sheetName val="DetailPL2"/>
      <sheetName val="AbbCover"/>
      <sheetName val="AbbAudit"/>
      <sheetName val="AbbCompilation"/>
      <sheetName val="AbbAccountant"/>
      <sheetName val="AbbBS"/>
      <sheetName val="AbbNotes"/>
      <sheetName val="Library"/>
      <sheetName val="Info Required"/>
      <sheetName val="FAR"/>
      <sheetName val="Tax Comp"/>
      <sheetName val="Workings"/>
      <sheetName val="VT_Results"/>
      <sheetName val="2004 05 SCS UK management acco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56">
          <cell r="C56" t="str">
            <v>Stem Cell Sciences (UK) Limited</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yMultInputs"/>
      <sheetName val="Setup"/>
    </sheetNames>
    <sheetDataSet>
      <sheetData sheetId="0" refreshError="1"/>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Guidelines"/>
      <sheetName val="MASTER PubCo Inputs"/>
      <sheetName val="Notes &amp; Assumptions"/>
      <sheetName val="Checklist"/>
      <sheetName val="Exhibits--&gt;&gt;"/>
      <sheetName val="Title"/>
      <sheetName val="Outline"/>
      <sheetName val="_CIQHiddenCacheSheet"/>
      <sheetName val="Val Summ"/>
      <sheetName val="Allocation Method &gt;&gt;"/>
      <sheetName val="PWERM"/>
      <sheetName val="Exit Probability"/>
      <sheetName val="PoTS"/>
      <sheetName val="FS &gt;&gt;"/>
      <sheetName val="Projections"/>
      <sheetName val="Hist IS"/>
      <sheetName val="Hist BS"/>
      <sheetName val="Discount Rate FP &gt;&gt;"/>
      <sheetName val="WACC PWERM"/>
      <sheetName val="RoR Stage of Dev"/>
      <sheetName val="GCM FP &gt;&gt;"/>
      <sheetName val="Comp.1"/>
      <sheetName val="Comp.6"/>
      <sheetName val="GTM FP &gt;&gt;"/>
      <sheetName val="Trans.1"/>
      <sheetName val="Trans.2"/>
      <sheetName val="Cap Structure FP &gt;&gt;"/>
      <sheetName val="Cap Table"/>
      <sheetName val="Convertible Notes"/>
      <sheetName val="Support FP &gt;&gt;"/>
      <sheetName val="Licensing Deals"/>
      <sheetName val="Licensing Deals_IO"/>
      <sheetName val="DLOM"/>
      <sheetName val="Asset Vol_PWERM"/>
      <sheetName val="Equity Vol"/>
      <sheetName val="Risk-Free Rates"/>
      <sheetName val="IPO Data"/>
      <sheetName val="IPO Data_selected"/>
      <sheetName val="Title_Workpapers &gt; &gt;"/>
      <sheetName val="Outline_Workpapers"/>
      <sheetName val="CVM"/>
      <sheetName val="Cash Burn Analysis"/>
      <sheetName val="Market Trends since Prior Val"/>
      <sheetName val="Comparative Sheet"/>
      <sheetName val="Exit Values Phase-wise"/>
      <sheetName val="Upfront-Milestone Payments"/>
      <sheetName val="PBC -&gt;&gt;&gt;"/>
      <sheetName val="1 Forecast"/>
      <sheetName val="2 Monthly Expense Actuals"/>
      <sheetName val="3 Cost Containment PlanMonthly"/>
      <sheetName val="Restructuring Model"/>
      <sheetName val="CAPIQ -&gt;&gt;&gt;"/>
      <sheetName val="Capital IQ Sheet-GPC"/>
      <sheetName val="Capital IQ Sheet-STM"/>
      <sheetName val="STM"/>
      <sheetName val="Capital IQ DATA"/>
      <sheetName val="&lt;DO NOT INCLUDE&gt;"/>
      <sheetName val="OPM 1"/>
      <sheetName val="OPM 2"/>
      <sheetName val="Class Vol"/>
      <sheetName val="Asset Vol_DLOM"/>
      <sheetName val="DLOM Rest Stock"/>
      <sheetName val="Lack Voting"/>
      <sheetName val="Comp.4"/>
      <sheetName val="Asset Vol_OPM"/>
      <sheetName val="Hybrid OPM"/>
      <sheetName val="OPM 1 Hybrid"/>
      <sheetName val="Asset Vol_IPO Late"/>
      <sheetName val="Asset Vol_M&amp;A Early"/>
      <sheetName val="Asset Vol_M&amp;A Late"/>
      <sheetName val="OPM 2 Hybrid"/>
      <sheetName val="DLOM Hybrid"/>
      <sheetName val="Asset Vol Hybrid"/>
      <sheetName val="Control Premium Summary"/>
      <sheetName val="GTM SUMM"/>
      <sheetName val="GCM SUMM"/>
      <sheetName val="WACC CAPM"/>
      <sheetName val="Beta Calc"/>
      <sheetName val="Comp.2"/>
      <sheetName val="Comp.5"/>
      <sheetName val="List Data"/>
      <sheetName val="Template Details"/>
      <sheetName val="KeyMultInpu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Guidelines"/>
      <sheetName val="MASTER PubCo Inputs"/>
      <sheetName val="Notes &amp; Assumptions"/>
      <sheetName val="Checklist"/>
      <sheetName val="Exhibits--&gt;&gt;"/>
      <sheetName val="Title"/>
      <sheetName val="Outline"/>
      <sheetName val="_CIQHiddenCacheSheet"/>
      <sheetName val="Val Summ"/>
      <sheetName val="Allocation Method &gt;&gt;"/>
      <sheetName val="PWERM"/>
      <sheetName val="Exit Probability"/>
      <sheetName val="PoTS"/>
      <sheetName val="FS &gt;&gt;"/>
      <sheetName val="Projections"/>
      <sheetName val="Hist IS"/>
      <sheetName val="Hist BS"/>
      <sheetName val="Discount Rate FP &gt;&gt;"/>
      <sheetName val="WACC PWERM"/>
      <sheetName val="RoR Stage of Dev"/>
      <sheetName val="GCM FP &gt;&gt;"/>
      <sheetName val="Comp.1"/>
      <sheetName val="Comp.6"/>
      <sheetName val="GTM FP &gt;&gt;"/>
      <sheetName val="Trans.1"/>
      <sheetName val="Trans.2"/>
      <sheetName val="Cap Structure FP &gt;&gt;"/>
      <sheetName val="Cap Table"/>
      <sheetName val="Convertible Notes"/>
      <sheetName val="Support FP &gt;&gt;"/>
      <sheetName val="Licensing Deals"/>
      <sheetName val="Licensing Deals_IO"/>
      <sheetName val="DLOM"/>
      <sheetName val="Asset Vol_PWERM"/>
      <sheetName val="Equity Vol"/>
      <sheetName val="Risk-Free Rates"/>
      <sheetName val="IPO Data"/>
      <sheetName val="IPO Data_selected"/>
      <sheetName val="Title_Workpapers &gt; &gt;"/>
      <sheetName val="Outline_Workpapers"/>
      <sheetName val="CVM"/>
      <sheetName val="Cash Burn Analysis"/>
      <sheetName val="Market Trends since Prior Val"/>
      <sheetName val="Comparative Sheet"/>
      <sheetName val="Exit Values Phase-wise"/>
      <sheetName val="Upfront-Milestone Payments"/>
      <sheetName val="PBC -&gt;&gt;&gt;"/>
      <sheetName val="1 Forecast"/>
      <sheetName val="2 Monthly Expense Actuals"/>
      <sheetName val="3 Cost Containment PlanMonthly"/>
      <sheetName val="Restructuring Model"/>
      <sheetName val="CAPIQ -&gt;&gt;&gt;"/>
      <sheetName val="Capital IQ Sheet-GPC"/>
      <sheetName val="Capital IQ Sheet-STM"/>
      <sheetName val="STM"/>
      <sheetName val="Capital IQ DATA"/>
      <sheetName val="&lt;DO NOT INCLUDE&gt;"/>
      <sheetName val="OPM 1"/>
      <sheetName val="OPM 2"/>
      <sheetName val="Class Vol"/>
      <sheetName val="Asset Vol_DLOM"/>
      <sheetName val="DLOM Rest Stock"/>
      <sheetName val="Lack Voting"/>
      <sheetName val="Comp.4"/>
      <sheetName val="Asset Vol_OPM"/>
      <sheetName val="Hybrid OPM"/>
      <sheetName val="OPM 1 Hybrid"/>
      <sheetName val="Asset Vol_IPO Late"/>
      <sheetName val="Asset Vol_M&amp;A Early"/>
      <sheetName val="Asset Vol_M&amp;A Late"/>
      <sheetName val="OPM 2 Hybrid"/>
      <sheetName val="DLOM Hybrid"/>
      <sheetName val="Asset Vol Hybrid"/>
      <sheetName val="Control Premium Summary"/>
      <sheetName val="GTM SUMM"/>
      <sheetName val="GCM SUMM"/>
      <sheetName val="WACC CAPM"/>
      <sheetName val="Beta Calc"/>
      <sheetName val="Comp.2"/>
      <sheetName val="Comp.5"/>
      <sheetName val="List Data"/>
      <sheetName val="Template Detai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cedure"/>
      <sheetName val="P&amp;L_RMB"/>
      <sheetName val="COGS Assumption"/>
      <sheetName val="Other P&amp;L Assumption"/>
      <sheetName val="P&amp;L analysis"/>
      <sheetName val="Cash Flow_Main Page"/>
      <sheetName val="Cash Flow_RMB"/>
      <sheetName val="Cashflow with IPO 2017_USD"/>
      <sheetName val="Cashflow with IPO 2018_USD"/>
      <sheetName val="2017 P&amp;L USD_by quater"/>
      <sheetName val="Cashflow without IPO 2017_RMB"/>
      <sheetName val="Investing-capex and others"/>
      <sheetName val="Woking capital&amp;Capex"/>
      <sheetName val="financing "/>
      <sheetName val="interest expense"/>
      <sheetName val="Fees paid for loan"/>
      <sheetName val="Bank loan"/>
      <sheetName val="Capital lease"/>
      <sheetName val="SBC"/>
      <sheetName val="backlog by year-170407 summary"/>
      <sheetName val="backlog detail data-170407"/>
      <sheetName val="Sensitivity"/>
      <sheetName val="大项目付款计划"/>
    </sheetNames>
    <sheetDataSet>
      <sheetData sheetId="0"/>
      <sheetData sheetId="1">
        <row r="18">
          <cell r="P18" t="str">
            <v>{E}</v>
          </cell>
        </row>
      </sheetData>
      <sheetData sheetId="2"/>
      <sheetData sheetId="3">
        <row r="9">
          <cell r="K9" t="str">
            <v>{J}</v>
          </cell>
        </row>
      </sheetData>
      <sheetData sheetId="4"/>
      <sheetData sheetId="5"/>
      <sheetData sheetId="6">
        <row r="87">
          <cell r="A87">
            <v>6.95</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 val="Out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liminary Valuation"/>
      <sheetName val="Offering Analysis (Primary)"/>
      <sheetName val="AECC Valmat"/>
      <sheetName val="Shareholding"/>
      <sheetName val="Base Info"/>
      <sheetName val="Selling Shareholder"/>
      <sheetName val="Upsize Option"/>
      <sheetName val="Listing Expenses"/>
      <sheetName val="Control list_0122"/>
    </sheetNames>
    <sheetDataSet>
      <sheetData sheetId="0" refreshError="1"/>
      <sheetData sheetId="1"/>
      <sheetData sheetId="2" refreshError="1"/>
      <sheetData sheetId="3" refreshError="1"/>
      <sheetData sheetId="4" refreshError="1"/>
      <sheetData sheetId="5" refreshError="1"/>
      <sheetData sheetId="6" refreshError="1"/>
      <sheetData sheetId="7">
        <row r="9">
          <cell r="F9">
            <v>6.1428000000000003</v>
          </cell>
        </row>
        <row r="10">
          <cell r="F10">
            <v>7.7736297946115593</v>
          </cell>
        </row>
        <row r="11">
          <cell r="F11">
            <v>1.2654863896938788</v>
          </cell>
        </row>
      </sheetData>
      <sheetData sheetId="8"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amp;PL"/>
      <sheetName val="Equity MOV"/>
      <sheetName val="Cash Flow"/>
      <sheetName val="CF_2015"/>
      <sheetName val="CF_2014"/>
      <sheetName val="CF_2013"/>
      <sheetName val="BS&amp;PL before Regrouping"/>
      <sheetName val="IFRS2015"/>
      <sheetName val="IFRS2014"/>
      <sheetName val="IFRS2013"/>
      <sheetName val="IFRS2012"/>
      <sheetName val="FY2015 (BIO Group IFRS)"/>
      <sheetName val="FY2014 (BIO Group IFRS)"/>
      <sheetName val="FY2013 (BIO Group IFRS)"/>
      <sheetName val="FY2012 (BIO Group IFRS)"/>
      <sheetName val="FY2015(WABIO GROUP PRC)"/>
      <sheetName val="FY2014(WABIO GROUP PRC)"/>
      <sheetName val="FY2013(WABIO GROUP PRC)"/>
      <sheetName val="2015EJE"/>
      <sheetName val="2014EJE"/>
      <sheetName val="2013EJE"/>
      <sheetName val="WABIO"/>
      <sheetName val="WABIO-ADJ"/>
      <sheetName val="WADT"/>
      <sheetName val="WADT-ADJ"/>
      <sheetName val="BIOSH"/>
      <sheetName val="BIOSH-ADJ"/>
      <sheetName val="BIOHK"/>
      <sheetName val="BIOHK-ADJ"/>
      <sheetName val="WASH"/>
      <sheetName val="WASH-ADJ"/>
      <sheetName val="BIOHLD"/>
      <sheetName val="GB Invest"/>
      <sheetName val="BIO Cayman"/>
      <sheetName val="BIOHK TB"/>
      <sheetName val="BIO HQ FS"/>
      <sheetName val="FY15-Interco Transaction"/>
      <sheetName val="FY15- Interco Balance"/>
      <sheetName val="FY-2014Interco"/>
      <sheetName val="FY-2013Interco"/>
      <sheetName val="Code"/>
    </sheetNames>
    <sheetDataSet>
      <sheetData sheetId="0">
        <row r="9">
          <cell r="C9">
            <v>100.00686</v>
          </cell>
        </row>
      </sheetData>
      <sheetData sheetId="1">
        <row r="15">
          <cell r="G15">
            <v>0</v>
          </cell>
        </row>
      </sheetData>
      <sheetData sheetId="2">
        <row r="7">
          <cell r="D7">
            <v>49205698.350000069</v>
          </cell>
        </row>
      </sheetData>
      <sheetData sheetId="3">
        <row r="8">
          <cell r="G8">
            <v>-127111057.29000001</v>
          </cell>
        </row>
      </sheetData>
      <sheetData sheetId="4">
        <row r="10">
          <cell r="D10">
            <v>-17398839.710000005</v>
          </cell>
        </row>
      </sheetData>
      <sheetData sheetId="5">
        <row r="10">
          <cell r="D10">
            <v>-7251961.2799999993</v>
          </cell>
        </row>
      </sheetData>
      <sheetData sheetId="6">
        <row r="70">
          <cell r="C70">
            <v>-63762.403674219677</v>
          </cell>
        </row>
      </sheetData>
      <sheetData sheetId="7">
        <row r="12">
          <cell r="C12">
            <v>190318574.06000006</v>
          </cell>
        </row>
      </sheetData>
      <sheetData sheetId="8">
        <row r="12">
          <cell r="C12">
            <v>130589177.58</v>
          </cell>
        </row>
      </sheetData>
      <sheetData sheetId="9">
        <row r="12">
          <cell r="C12">
            <v>39039203.239999995</v>
          </cell>
        </row>
      </sheetData>
      <sheetData sheetId="10"/>
      <sheetData sheetId="11">
        <row r="9">
          <cell r="N9">
            <v>158228537.49000001</v>
          </cell>
        </row>
        <row r="13">
          <cell r="N13">
            <v>190318574.06</v>
          </cell>
        </row>
        <row r="14">
          <cell r="N14">
            <v>902444.58</v>
          </cell>
        </row>
        <row r="18">
          <cell r="N18">
            <v>150543921.59999999</v>
          </cell>
        </row>
        <row r="21">
          <cell r="N21">
            <v>26603237.609999999</v>
          </cell>
        </row>
        <row r="33">
          <cell r="N33">
            <v>265073857.47999999</v>
          </cell>
        </row>
        <row r="36">
          <cell r="N36">
            <v>7186388.0300000003</v>
          </cell>
        </row>
        <row r="38">
          <cell r="N38">
            <v>110107003.37</v>
          </cell>
        </row>
        <row r="51">
          <cell r="N51">
            <v>-270628189.80000001</v>
          </cell>
        </row>
        <row r="52">
          <cell r="N52">
            <v>-27362680.190000001</v>
          </cell>
        </row>
        <row r="53">
          <cell r="N53">
            <v>-37271840.469999999</v>
          </cell>
        </row>
        <row r="54">
          <cell r="N54">
            <v>-21231797.920000002</v>
          </cell>
        </row>
        <row r="57">
          <cell r="N57">
            <v>-845432488.01999998</v>
          </cell>
        </row>
        <row r="58">
          <cell r="N58">
            <v>0</v>
          </cell>
        </row>
        <row r="69">
          <cell r="N69">
            <v>-8787191.8900000006</v>
          </cell>
        </row>
        <row r="78">
          <cell r="N78">
            <v>0.03</v>
          </cell>
        </row>
        <row r="79">
          <cell r="N79">
            <v>-12100449.65</v>
          </cell>
        </row>
        <row r="82">
          <cell r="N82">
            <v>-10123443.970000001</v>
          </cell>
        </row>
        <row r="87">
          <cell r="N87">
            <v>-1053941.3999999999</v>
          </cell>
        </row>
        <row r="95">
          <cell r="N95">
            <v>-557041604.53999996</v>
          </cell>
        </row>
        <row r="96">
          <cell r="N96">
            <v>376133052.05000001</v>
          </cell>
        </row>
        <row r="97">
          <cell r="N97">
            <v>2023.3</v>
          </cell>
        </row>
        <row r="98">
          <cell r="N98">
            <v>13447068.689999999</v>
          </cell>
        </row>
        <row r="99">
          <cell r="N99">
            <v>111777303.62</v>
          </cell>
        </row>
        <row r="100">
          <cell r="N100">
            <v>-2761268.44</v>
          </cell>
        </row>
        <row r="101">
          <cell r="N101">
            <v>584358</v>
          </cell>
        </row>
        <row r="103">
          <cell r="N103">
            <v>-864031.06</v>
          </cell>
        </row>
        <row r="107">
          <cell r="N107">
            <v>-5194951.58</v>
          </cell>
        </row>
        <row r="111">
          <cell r="N111">
            <v>20778772.09</v>
          </cell>
        </row>
        <row r="129">
          <cell r="N129">
            <v>8181688.0499999998</v>
          </cell>
        </row>
        <row r="144">
          <cell r="N144">
            <v>-23884495.530000001</v>
          </cell>
        </row>
      </sheetData>
      <sheetData sheetId="12">
        <row r="9">
          <cell r="L9">
            <v>5947538.7599999998</v>
          </cell>
        </row>
        <row r="10">
          <cell r="L10">
            <v>964870.59</v>
          </cell>
        </row>
        <row r="13">
          <cell r="L13">
            <v>130589177.58</v>
          </cell>
        </row>
        <row r="14">
          <cell r="L14">
            <v>754515.42</v>
          </cell>
        </row>
        <row r="17">
          <cell r="L17">
            <v>10135865.390000001</v>
          </cell>
        </row>
        <row r="18">
          <cell r="L18">
            <v>61846592.189999998</v>
          </cell>
        </row>
        <row r="21">
          <cell r="L21">
            <v>18917648.52</v>
          </cell>
        </row>
        <row r="31">
          <cell r="L31">
            <v>121046642.43000001</v>
          </cell>
        </row>
        <row r="33">
          <cell r="L33">
            <v>39851368.530000001</v>
          </cell>
        </row>
        <row r="36">
          <cell r="L36">
            <v>1933483.14</v>
          </cell>
        </row>
        <row r="38">
          <cell r="L38">
            <v>115766595.01000001</v>
          </cell>
        </row>
        <row r="48">
          <cell r="L48">
            <v>-4444256.68</v>
          </cell>
        </row>
        <row r="51">
          <cell r="L51">
            <v>-146577136.87</v>
          </cell>
        </row>
        <row r="52">
          <cell r="L52">
            <v>-18527734.18</v>
          </cell>
        </row>
        <row r="53">
          <cell r="L53">
            <v>-4278925.95</v>
          </cell>
        </row>
        <row r="54">
          <cell r="L54">
            <v>-4690062.07</v>
          </cell>
        </row>
        <row r="57">
          <cell r="L57">
            <v>-82375384.780000001</v>
          </cell>
        </row>
        <row r="59">
          <cell r="L59">
            <v>0</v>
          </cell>
        </row>
        <row r="69">
          <cell r="L69">
            <v>-3945997.84</v>
          </cell>
        </row>
        <row r="79">
          <cell r="L79">
            <v>-202941013.06</v>
          </cell>
        </row>
        <row r="87">
          <cell r="L87">
            <v>8743.82</v>
          </cell>
        </row>
        <row r="98">
          <cell r="L98">
            <v>4302681.4400000004</v>
          </cell>
        </row>
        <row r="111">
          <cell r="L111">
            <v>7062008.5800000001</v>
          </cell>
        </row>
        <row r="129">
          <cell r="L129">
            <v>31941029.280000001</v>
          </cell>
        </row>
      </sheetData>
      <sheetData sheetId="13">
        <row r="9">
          <cell r="K9">
            <v>4176125.21</v>
          </cell>
        </row>
        <row r="12">
          <cell r="K12">
            <v>500000</v>
          </cell>
        </row>
        <row r="13">
          <cell r="K13">
            <v>39039203.240000002</v>
          </cell>
        </row>
        <row r="14">
          <cell r="K14">
            <v>1269362.78</v>
          </cell>
        </row>
        <row r="17">
          <cell r="K17">
            <v>1751755.64</v>
          </cell>
        </row>
        <row r="18">
          <cell r="K18">
            <v>21763806.77</v>
          </cell>
        </row>
        <row r="21">
          <cell r="K21">
            <v>15099540.41</v>
          </cell>
        </row>
        <row r="33">
          <cell r="K33">
            <v>53423223.840000004</v>
          </cell>
        </row>
        <row r="36">
          <cell r="K36">
            <v>1646886.91</v>
          </cell>
        </row>
        <row r="38">
          <cell r="K38">
            <v>92090939.129999995</v>
          </cell>
        </row>
        <row r="39">
          <cell r="K39">
            <v>100006.86</v>
          </cell>
        </row>
        <row r="48">
          <cell r="K48">
            <v>-4447049.82</v>
          </cell>
        </row>
        <row r="51">
          <cell r="K51">
            <v>-12466966.32</v>
          </cell>
        </row>
        <row r="52">
          <cell r="K52">
            <v>-15525559.060000001</v>
          </cell>
        </row>
        <row r="53">
          <cell r="K53">
            <v>-5226416.8600000003</v>
          </cell>
        </row>
        <row r="54">
          <cell r="K54">
            <v>-2438187.17</v>
          </cell>
        </row>
        <row r="57">
          <cell r="K57">
            <v>-52569919.399999999</v>
          </cell>
        </row>
        <row r="58">
          <cell r="K58">
            <v>0</v>
          </cell>
        </row>
        <row r="69">
          <cell r="K69">
            <v>-4483768.75</v>
          </cell>
        </row>
        <row r="79">
          <cell r="K79">
            <v>-182304080.88999999</v>
          </cell>
        </row>
        <row r="82">
          <cell r="K82">
            <v>-1034680.92</v>
          </cell>
        </row>
        <row r="87">
          <cell r="K87">
            <v>0</v>
          </cell>
        </row>
        <row r="95">
          <cell r="K95">
            <v>-156746776.08000001</v>
          </cell>
        </row>
        <row r="98">
          <cell r="K98">
            <v>2346330.9</v>
          </cell>
        </row>
        <row r="100">
          <cell r="K100">
            <v>2941421.75</v>
          </cell>
        </row>
        <row r="107">
          <cell r="K107">
            <v>-2681532.5</v>
          </cell>
        </row>
        <row r="111">
          <cell r="K111">
            <v>2043109.61</v>
          </cell>
        </row>
        <row r="129">
          <cell r="K129">
            <v>-15248273.609999999</v>
          </cell>
        </row>
        <row r="144">
          <cell r="K144">
            <v>-4453068.51</v>
          </cell>
        </row>
      </sheetData>
      <sheetData sheetId="14">
        <row r="9">
          <cell r="C9">
            <v>6255482.8399999999</v>
          </cell>
          <cell r="D9">
            <v>8428.7999999999993</v>
          </cell>
          <cell r="H9">
            <v>6263911.6399999997</v>
          </cell>
        </row>
        <row r="10">
          <cell r="C10">
            <v>795043.11</v>
          </cell>
        </row>
        <row r="13">
          <cell r="C13">
            <v>5040639.92</v>
          </cell>
          <cell r="E13">
            <v>8974435</v>
          </cell>
          <cell r="H13">
            <v>14015074.92</v>
          </cell>
        </row>
        <row r="14">
          <cell r="C14">
            <v>11666.68</v>
          </cell>
          <cell r="H14">
            <v>11666.68</v>
          </cell>
        </row>
        <row r="17">
          <cell r="C17">
            <v>825243.3</v>
          </cell>
          <cell r="D17">
            <v>5971312</v>
          </cell>
          <cell r="H17">
            <v>6796555.2999999998</v>
          </cell>
        </row>
        <row r="18">
          <cell r="C18">
            <v>4488180.41</v>
          </cell>
          <cell r="E18">
            <v>5213121.99</v>
          </cell>
          <cell r="H18">
            <v>9701302.4000000004</v>
          </cell>
        </row>
        <row r="21">
          <cell r="C21">
            <v>8384429.9100000001</v>
          </cell>
          <cell r="H21">
            <v>8384429.9100000001</v>
          </cell>
        </row>
        <row r="31">
          <cell r="C31">
            <v>22674317.539999999</v>
          </cell>
          <cell r="E31">
            <v>0</v>
          </cell>
          <cell r="H31">
            <v>22674317.539999999</v>
          </cell>
        </row>
        <row r="33">
          <cell r="C33">
            <v>103483154.56999999</v>
          </cell>
          <cell r="E33">
            <v>0</v>
          </cell>
          <cell r="H33">
            <v>103483154.56999999</v>
          </cell>
        </row>
        <row r="36">
          <cell r="C36">
            <v>43730.78</v>
          </cell>
          <cell r="E36">
            <v>0</v>
          </cell>
          <cell r="H36">
            <v>43730.78</v>
          </cell>
        </row>
        <row r="38">
          <cell r="C38">
            <v>9827494.1699999999</v>
          </cell>
          <cell r="H38">
            <v>9827494.1699999999</v>
          </cell>
        </row>
        <row r="51">
          <cell r="C51">
            <v>-5989988.5499999998</v>
          </cell>
          <cell r="E51">
            <v>-5447000</v>
          </cell>
          <cell r="H51">
            <v>-5989988.5499999998</v>
          </cell>
        </row>
        <row r="52">
          <cell r="C52">
            <v>-4755053.1500000004</v>
          </cell>
          <cell r="E52">
            <v>-902033.5</v>
          </cell>
          <cell r="H52">
            <v>-5657086.6500000004</v>
          </cell>
        </row>
        <row r="53">
          <cell r="C53">
            <v>-2192575.9700000002</v>
          </cell>
          <cell r="H53">
            <v>-2192575.9700000002</v>
          </cell>
        </row>
        <row r="54">
          <cell r="C54">
            <v>-187612.26</v>
          </cell>
          <cell r="H54">
            <v>-187612.26</v>
          </cell>
        </row>
        <row r="57">
          <cell r="C57">
            <v>-44845494.299999997</v>
          </cell>
          <cell r="E57">
            <v>0</v>
          </cell>
          <cell r="H57">
            <v>-44845494.299999997</v>
          </cell>
        </row>
        <row r="59">
          <cell r="C59">
            <v>0</v>
          </cell>
          <cell r="H59">
            <v>0</v>
          </cell>
        </row>
        <row r="69">
          <cell r="C69">
            <v>-1499031.25</v>
          </cell>
          <cell r="E69">
            <v>0</v>
          </cell>
          <cell r="H69">
            <v>-1499031.25</v>
          </cell>
        </row>
        <row r="78">
          <cell r="C78">
            <v>-96176581.5</v>
          </cell>
          <cell r="D78">
            <v>-6000000</v>
          </cell>
        </row>
        <row r="79">
          <cell r="E79">
            <v>-32848860.949999999</v>
          </cell>
        </row>
        <row r="82">
          <cell r="C82">
            <v>-497036.42</v>
          </cell>
          <cell r="H82">
            <v>-497036.42</v>
          </cell>
        </row>
        <row r="95">
          <cell r="C95">
            <v>-16872357.440000001</v>
          </cell>
          <cell r="E95">
            <v>-29103065.84</v>
          </cell>
          <cell r="H95">
            <v>-40528423.280000001</v>
          </cell>
        </row>
        <row r="96">
          <cell r="C96">
            <v>15522693.07</v>
          </cell>
        </row>
        <row r="98">
          <cell r="C98">
            <v>196660.07</v>
          </cell>
          <cell r="H98">
            <v>196660.07</v>
          </cell>
        </row>
        <row r="99">
          <cell r="C99">
            <v>8623139.5099999998</v>
          </cell>
          <cell r="D99">
            <v>21688</v>
          </cell>
          <cell r="E99">
            <v>4032053.14</v>
          </cell>
        </row>
        <row r="100">
          <cell r="C100">
            <v>-461849.04</v>
          </cell>
          <cell r="D100">
            <v>-1428.8</v>
          </cell>
        </row>
        <row r="107">
          <cell r="C107">
            <v>-7069968.75</v>
          </cell>
          <cell r="H107">
            <v>-7069968.75</v>
          </cell>
        </row>
        <row r="111">
          <cell r="C111">
            <v>-105193.98</v>
          </cell>
          <cell r="H111">
            <v>-105193.98</v>
          </cell>
        </row>
        <row r="129">
          <cell r="C129">
            <v>16687.66</v>
          </cell>
          <cell r="H129">
            <v>-21247958.440000001</v>
          </cell>
        </row>
        <row r="144">
          <cell r="C144">
            <v>-4323138.8099999996</v>
          </cell>
          <cell r="D144">
            <v>0</v>
          </cell>
          <cell r="E144">
            <v>3745691.36</v>
          </cell>
          <cell r="H144">
            <v>-4323138.8099999996</v>
          </cell>
        </row>
      </sheetData>
      <sheetData sheetId="15"/>
      <sheetData sheetId="16"/>
      <sheetData sheetId="17"/>
      <sheetData sheetId="18">
        <row r="37">
          <cell r="G37">
            <v>11913627.705242336</v>
          </cell>
        </row>
      </sheetData>
      <sheetData sheetId="19">
        <row r="37">
          <cell r="G37">
            <v>3746465.425994426</v>
          </cell>
        </row>
      </sheetData>
      <sheetData sheetId="20">
        <row r="11">
          <cell r="C11">
            <v>18860000</v>
          </cell>
        </row>
        <row r="12">
          <cell r="C12">
            <v>-18860000</v>
          </cell>
        </row>
      </sheetData>
      <sheetData sheetId="21">
        <row r="104">
          <cell r="C104">
            <v>0</v>
          </cell>
          <cell r="G104">
            <v>-16928539.239999998</v>
          </cell>
        </row>
      </sheetData>
      <sheetData sheetId="22"/>
      <sheetData sheetId="23"/>
      <sheetData sheetId="24"/>
      <sheetData sheetId="25">
        <row r="83">
          <cell r="G83">
            <v>-283609.92</v>
          </cell>
        </row>
        <row r="130">
          <cell r="G130">
            <v>283609.92</v>
          </cell>
        </row>
      </sheetData>
      <sheetData sheetId="26"/>
      <sheetData sheetId="27"/>
      <sheetData sheetId="28"/>
      <sheetData sheetId="29">
        <row r="59">
          <cell r="C59">
            <v>0</v>
          </cell>
          <cell r="G59">
            <v>0</v>
          </cell>
        </row>
        <row r="99">
          <cell r="C99">
            <v>141205.85999999999</v>
          </cell>
          <cell r="G99">
            <v>141205.85999999999</v>
          </cell>
        </row>
        <row r="102">
          <cell r="C102">
            <v>4000</v>
          </cell>
          <cell r="G102">
            <v>4000</v>
          </cell>
        </row>
        <row r="108">
          <cell r="C108">
            <v>0</v>
          </cell>
          <cell r="G108">
            <v>0</v>
          </cell>
        </row>
      </sheetData>
      <sheetData sheetId="30"/>
      <sheetData sheetId="31">
        <row r="18">
          <cell r="C18">
            <v>0</v>
          </cell>
          <cell r="G18">
            <v>0</v>
          </cell>
        </row>
        <row r="30">
          <cell r="C30">
            <v>90809368.579999998</v>
          </cell>
          <cell r="G30">
            <v>90809368.579999998</v>
          </cell>
        </row>
        <row r="58">
          <cell r="C58">
            <v>-140377.72</v>
          </cell>
          <cell r="G58">
            <v>-140377.72</v>
          </cell>
        </row>
        <row r="60">
          <cell r="C60">
            <v>0</v>
          </cell>
          <cell r="G60">
            <v>0</v>
          </cell>
        </row>
        <row r="79">
          <cell r="C79">
            <v>-90809368.579999998</v>
          </cell>
          <cell r="G79">
            <v>-90809368.579999998</v>
          </cell>
        </row>
        <row r="100">
          <cell r="C100">
            <v>140377.72</v>
          </cell>
          <cell r="G100">
            <v>140377.72</v>
          </cell>
        </row>
      </sheetData>
      <sheetData sheetId="32">
        <row r="10">
          <cell r="C10">
            <v>64769.919999999998</v>
          </cell>
          <cell r="G10">
            <v>64769.919999999998</v>
          </cell>
        </row>
        <row r="30">
          <cell r="C30">
            <v>169647345.61000001</v>
          </cell>
          <cell r="G30">
            <v>169647345.61000001</v>
          </cell>
        </row>
        <row r="58">
          <cell r="C58">
            <v>-169732579.25</v>
          </cell>
          <cell r="G58">
            <v>-169732579.25</v>
          </cell>
        </row>
        <row r="60">
          <cell r="C60">
            <v>0</v>
          </cell>
          <cell r="G60">
            <v>0</v>
          </cell>
        </row>
        <row r="88">
          <cell r="C88">
            <v>641.03</v>
          </cell>
          <cell r="G88">
            <v>641.03</v>
          </cell>
        </row>
        <row r="100">
          <cell r="C100">
            <v>19823.189999999999</v>
          </cell>
          <cell r="G100">
            <v>19823.189999999999</v>
          </cell>
        </row>
      </sheetData>
      <sheetData sheetId="33">
        <row r="58">
          <cell r="C58">
            <v>-15933.33</v>
          </cell>
          <cell r="G58">
            <v>-15933.33</v>
          </cell>
        </row>
        <row r="88">
          <cell r="C88">
            <v>985.93</v>
          </cell>
          <cell r="G88">
            <v>985.93</v>
          </cell>
        </row>
        <row r="100">
          <cell r="C100">
            <v>0</v>
          </cell>
          <cell r="G100">
            <v>0</v>
          </cell>
        </row>
        <row r="145">
          <cell r="C145">
            <v>14947.4</v>
          </cell>
          <cell r="G145">
            <v>14947.4</v>
          </cell>
        </row>
      </sheetData>
      <sheetData sheetId="34"/>
      <sheetData sheetId="35"/>
      <sheetData sheetId="36">
        <row r="6">
          <cell r="M6">
            <v>47052694.050202802</v>
          </cell>
        </row>
      </sheetData>
      <sheetData sheetId="37">
        <row r="22">
          <cell r="K22">
            <v>-177448953.67999998</v>
          </cell>
        </row>
        <row r="75">
          <cell r="P75">
            <v>106836906.58</v>
          </cell>
        </row>
        <row r="77">
          <cell r="P77">
            <v>-106836906.583637</v>
          </cell>
        </row>
      </sheetData>
      <sheetData sheetId="38">
        <row r="14">
          <cell r="D14">
            <v>3105261.42</v>
          </cell>
        </row>
      </sheetData>
      <sheetData sheetId="39">
        <row r="14">
          <cell r="L14">
            <v>3000000</v>
          </cell>
        </row>
      </sheetData>
      <sheetData sheetId="40"/>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S Forecast"/>
      <sheetName val="BS"/>
      <sheetName val="CFS Forecast"/>
      <sheetName val="Sheet1"/>
      <sheetName val="NWC"/>
      <sheetName val="Interest Income"/>
      <sheetName val="Operating Expenses"/>
      <sheetName val="PP&amp;E"/>
      <sheetName val="Intangibles"/>
      <sheetName val="PS"/>
      <sheetName val="Shareholders equity"/>
      <sheetName val="Option"/>
      <sheetName val="Paid from financing activities"/>
      <sheetName val="Raw&gt;"/>
      <sheetName val="利润表"/>
      <sheetName val="资产负债表"/>
    </sheetNames>
    <sheetDataSet>
      <sheetData sheetId="0">
        <row r="29">
          <cell r="D29">
            <v>6.3</v>
          </cell>
        </row>
      </sheetData>
      <sheetData sheetId="1" refreshError="1"/>
      <sheetData sheetId="2" refreshError="1"/>
      <sheetData sheetId="3" refreshError="1"/>
      <sheetData sheetId="4" refreshError="1"/>
      <sheetData sheetId="5" refreshError="1"/>
      <sheetData sheetId="6">
        <row r="4">
          <cell r="C4">
            <v>315000</v>
          </cell>
        </row>
      </sheetData>
      <sheetData sheetId="7">
        <row r="16">
          <cell r="K16">
            <v>6502.6631210032465</v>
          </cell>
        </row>
      </sheetData>
      <sheetData sheetId="8" refreshError="1"/>
      <sheetData sheetId="9" refreshError="1"/>
      <sheetData sheetId="10">
        <row r="26">
          <cell r="D26">
            <v>806085.13689882285</v>
          </cell>
        </row>
      </sheetData>
      <sheetData sheetId="11" refreshError="1"/>
      <sheetData sheetId="12" refreshError="1"/>
      <sheetData sheetId="13">
        <row r="45">
          <cell r="P45">
            <v>4755.8245937598413</v>
          </cell>
        </row>
      </sheetData>
      <sheetData sheetId="14" refreshError="1"/>
      <sheetData sheetId="15" refreshError="1"/>
      <sheetData sheetId="16"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mdave\AppData\Local\Microsoft\Windows\INetCache\Content.Outlook\TC0F5KZH\ESOP&#12289;NSOP%20summary.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uggi Shuyue Lin" refreshedDate="43332.87782361111" createdVersion="6" refreshedVersion="6" minRefreshableVersion="3" recordCount="812">
  <cacheSource type="worksheet">
    <worksheetSource ref="D1:F813" sheet="ESOP&amp;NSOP raw data" r:id="rId2"/>
  </cacheSource>
  <cacheFields count="3">
    <cacheField name="Shares" numFmtId="164">
      <sharedItems containsSemiMixedTypes="0" containsString="0" containsNumber="1" containsInteger="1" minValue="0" maxValue="1237162"/>
    </cacheField>
    <cacheField name="Grant Date" numFmtId="0">
      <sharedItems containsDate="1" containsString="0" containsBlank="1" containsMixedTypes="1" minDate="1899-12-31T00:00:00" maxDate="2018-06-02T00:00:00"/>
    </cacheField>
    <cacheField name="Fair Value -Client" numFmtId="0">
      <sharedItems containsSemiMixedTypes="0" containsString="0" containsNumber="1" minValue="0" maxValue="11" count="9">
        <n v="0"/>
        <n v="1"/>
        <n v="3.5"/>
        <n v="6"/>
        <n v="7"/>
        <n v="11"/>
        <n v="10"/>
        <n v="3.7"/>
        <n v="4"/>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12">
  <r>
    <n v="0"/>
    <n v="0"/>
    <x v="0"/>
  </r>
  <r>
    <n v="0"/>
    <n v="0"/>
    <x v="0"/>
  </r>
  <r>
    <n v="0"/>
    <n v="0"/>
    <x v="0"/>
  </r>
  <r>
    <n v="180000"/>
    <d v="2014-12-04T00:00:00"/>
    <x v="1"/>
  </r>
  <r>
    <n v="50000"/>
    <d v="2016-01-11T00:00:00"/>
    <x v="2"/>
  </r>
  <r>
    <n v="50000"/>
    <d v="2016-07-19T00:00:00"/>
    <x v="3"/>
  </r>
  <r>
    <n v="0"/>
    <n v="0"/>
    <x v="0"/>
  </r>
  <r>
    <n v="100000"/>
    <d v="2017-03-06T00:00:00"/>
    <x v="4"/>
  </r>
  <r>
    <n v="0"/>
    <n v="0"/>
    <x v="0"/>
  </r>
  <r>
    <n v="90865"/>
    <d v="2018-01-07T00:00:00"/>
    <x v="1"/>
  </r>
  <r>
    <n v="0"/>
    <n v="0"/>
    <x v="0"/>
  </r>
  <r>
    <n v="5000"/>
    <d v="2013-03-25T00:00:00"/>
    <x v="1"/>
  </r>
  <r>
    <n v="5000"/>
    <d v="2013-03-25T00:00:00"/>
    <x v="1"/>
  </r>
  <r>
    <n v="10000"/>
    <d v="2014-12-04T00:00:00"/>
    <x v="1"/>
  </r>
  <r>
    <n v="10000"/>
    <d v="2016-01-11T00:00:00"/>
    <x v="2"/>
  </r>
  <r>
    <n v="0"/>
    <n v="0"/>
    <x v="0"/>
  </r>
  <r>
    <n v="0"/>
    <n v="0"/>
    <x v="0"/>
  </r>
  <r>
    <n v="1000"/>
    <d v="2017-03-06T00:00:00"/>
    <x v="4"/>
  </r>
  <r>
    <n v="0"/>
    <n v="0"/>
    <x v="0"/>
  </r>
  <r>
    <n v="1000"/>
    <d v="2018-01-07T00:00:00"/>
    <x v="1"/>
  </r>
  <r>
    <n v="0"/>
    <n v="0"/>
    <x v="0"/>
  </r>
  <r>
    <n v="0"/>
    <n v="0"/>
    <x v="0"/>
  </r>
  <r>
    <n v="0"/>
    <n v="0"/>
    <x v="0"/>
  </r>
  <r>
    <n v="120000"/>
    <d v="2014-12-04T00:00:00"/>
    <x v="1"/>
  </r>
  <r>
    <n v="25000"/>
    <d v="2016-01-11T00:00:00"/>
    <x v="2"/>
  </r>
  <r>
    <n v="25000"/>
    <d v="2016-07-19T00:00:00"/>
    <x v="3"/>
  </r>
  <r>
    <n v="0"/>
    <n v="0"/>
    <x v="0"/>
  </r>
  <r>
    <n v="0"/>
    <n v="0"/>
    <x v="0"/>
  </r>
  <r>
    <n v="0"/>
    <n v="0"/>
    <x v="0"/>
  </r>
  <r>
    <n v="0"/>
    <n v="0"/>
    <x v="0"/>
  </r>
  <r>
    <n v="50000"/>
    <d v="2013-09-12T00:00:00"/>
    <x v="1"/>
  </r>
  <r>
    <n v="20000"/>
    <d v="2013-03-25T00:00:00"/>
    <x v="1"/>
  </r>
  <r>
    <n v="10000"/>
    <d v="2013-03-25T00:00:00"/>
    <x v="1"/>
  </r>
  <r>
    <n v="30000"/>
    <d v="2014-12-04T00:00:00"/>
    <x v="1"/>
  </r>
  <r>
    <n v="20000"/>
    <d v="2016-01-11T00:00:00"/>
    <x v="2"/>
  </r>
  <r>
    <n v="0"/>
    <n v="0"/>
    <x v="0"/>
  </r>
  <r>
    <n v="0"/>
    <n v="0"/>
    <x v="0"/>
  </r>
  <r>
    <n v="0"/>
    <n v="0"/>
    <x v="0"/>
  </r>
  <r>
    <n v="0"/>
    <n v="0"/>
    <x v="0"/>
  </r>
  <r>
    <n v="5000"/>
    <d v="2018-01-07T00:00:00"/>
    <x v="5"/>
  </r>
  <r>
    <n v="0"/>
    <n v="0"/>
    <x v="0"/>
  </r>
  <r>
    <n v="10000"/>
    <d v="2013-03-25T00:00:00"/>
    <x v="1"/>
  </r>
  <r>
    <n v="10000"/>
    <d v="2013-03-25T00:00:00"/>
    <x v="1"/>
  </r>
  <r>
    <n v="20000"/>
    <d v="2014-12-04T00:00:00"/>
    <x v="1"/>
  </r>
  <r>
    <n v="30000"/>
    <d v="2016-01-11T00:00:00"/>
    <x v="2"/>
  </r>
  <r>
    <n v="0"/>
    <n v="0"/>
    <x v="0"/>
  </r>
  <r>
    <n v="0"/>
    <n v="0"/>
    <x v="0"/>
  </r>
  <r>
    <n v="40000"/>
    <d v="2017-03-06T00:00:00"/>
    <x v="4"/>
  </r>
  <r>
    <n v="0"/>
    <n v="0"/>
    <x v="0"/>
  </r>
  <r>
    <n v="30000"/>
    <d v="2018-01-07T00:00:00"/>
    <x v="1"/>
  </r>
  <r>
    <n v="0"/>
    <n v="0"/>
    <x v="0"/>
  </r>
  <r>
    <n v="5000"/>
    <d v="2013-03-25T00:00:00"/>
    <x v="1"/>
  </r>
  <r>
    <n v="5000"/>
    <d v="2013-03-25T00:00:00"/>
    <x v="1"/>
  </r>
  <r>
    <n v="20000"/>
    <d v="2014-12-04T00:00:00"/>
    <x v="1"/>
  </r>
  <r>
    <n v="10000"/>
    <d v="2016-01-11T00:00:00"/>
    <x v="2"/>
  </r>
  <r>
    <n v="0"/>
    <n v="0"/>
    <x v="0"/>
  </r>
  <r>
    <n v="0"/>
    <n v="0"/>
    <x v="0"/>
  </r>
  <r>
    <n v="1000"/>
    <d v="2017-03-06T00:00:00"/>
    <x v="4"/>
  </r>
  <r>
    <n v="0"/>
    <n v="0"/>
    <x v="0"/>
  </r>
  <r>
    <n v="5000"/>
    <d v="2018-01-07T00:00:00"/>
    <x v="1"/>
  </r>
  <r>
    <n v="0"/>
    <n v="0"/>
    <x v="0"/>
  </r>
  <r>
    <n v="5000"/>
    <d v="2013-03-25T00:00:00"/>
    <x v="1"/>
  </r>
  <r>
    <n v="5000"/>
    <d v="2013-03-25T00:00:00"/>
    <x v="1"/>
  </r>
  <r>
    <n v="10000"/>
    <d v="2014-12-04T00:00:00"/>
    <x v="1"/>
  </r>
  <r>
    <n v="10000"/>
    <d v="2016-01-11T00:00:00"/>
    <x v="2"/>
  </r>
  <r>
    <n v="0"/>
    <n v="0"/>
    <x v="0"/>
  </r>
  <r>
    <n v="0"/>
    <n v="0"/>
    <x v="0"/>
  </r>
  <r>
    <n v="1000"/>
    <d v="2017-03-06T00:00:00"/>
    <x v="4"/>
  </r>
  <r>
    <n v="0"/>
    <n v="0"/>
    <x v="0"/>
  </r>
  <r>
    <n v="1000"/>
    <d v="2018-01-07T00:00:00"/>
    <x v="1"/>
  </r>
  <r>
    <n v="50000"/>
    <d v="2013-09-12T00:00:00"/>
    <x v="1"/>
  </r>
  <r>
    <n v="30000"/>
    <d v="2013-03-25T00:00:00"/>
    <x v="1"/>
  </r>
  <r>
    <n v="30000"/>
    <d v="2013-03-25T00:00:00"/>
    <x v="1"/>
  </r>
  <r>
    <n v="50000"/>
    <d v="2014-12-04T00:00:00"/>
    <x v="1"/>
  </r>
  <r>
    <n v="50000"/>
    <d v="2016-01-11T00:00:00"/>
    <x v="2"/>
  </r>
  <r>
    <n v="0"/>
    <n v="0"/>
    <x v="0"/>
  </r>
  <r>
    <n v="0"/>
    <n v="0"/>
    <x v="0"/>
  </r>
  <r>
    <n v="40000"/>
    <d v="2017-03-06T00:00:00"/>
    <x v="4"/>
  </r>
  <r>
    <n v="0"/>
    <n v="0"/>
    <x v="0"/>
  </r>
  <r>
    <n v="30000"/>
    <d v="2018-01-07T00:00:00"/>
    <x v="1"/>
  </r>
  <r>
    <n v="50000"/>
    <d v="2013-09-12T00:00:00"/>
    <x v="1"/>
  </r>
  <r>
    <n v="0"/>
    <n v="0"/>
    <x v="0"/>
  </r>
  <r>
    <n v="50000"/>
    <d v="2013-03-25T00:00:00"/>
    <x v="1"/>
  </r>
  <r>
    <n v="100000"/>
    <d v="2014-12-04T00:00:00"/>
    <x v="1"/>
  </r>
  <r>
    <n v="225000"/>
    <d v="2016-01-11T00:00:00"/>
    <x v="2"/>
  </r>
  <r>
    <n v="0"/>
    <n v="0"/>
    <x v="0"/>
  </r>
  <r>
    <n v="0"/>
    <n v="0"/>
    <x v="0"/>
  </r>
  <r>
    <n v="80000"/>
    <d v="2017-03-06T00:00:00"/>
    <x v="4"/>
  </r>
  <r>
    <n v="0"/>
    <n v="0"/>
    <x v="0"/>
  </r>
  <r>
    <n v="30000"/>
    <d v="2018-01-07T00:00:00"/>
    <x v="1"/>
  </r>
  <r>
    <n v="0"/>
    <n v="0"/>
    <x v="0"/>
  </r>
  <r>
    <n v="0"/>
    <n v="0"/>
    <x v="0"/>
  </r>
  <r>
    <n v="10000"/>
    <d v="2013-03-25T00:00:00"/>
    <x v="1"/>
  </r>
  <r>
    <n v="30000"/>
    <d v="2014-12-04T00:00:00"/>
    <x v="1"/>
  </r>
  <r>
    <n v="20000"/>
    <d v="2016-01-11T00:00:00"/>
    <x v="2"/>
  </r>
  <r>
    <n v="0"/>
    <n v="0"/>
    <x v="0"/>
  </r>
  <r>
    <n v="0"/>
    <n v="0"/>
    <x v="0"/>
  </r>
  <r>
    <n v="25000"/>
    <d v="2017-03-06T00:00:00"/>
    <x v="4"/>
  </r>
  <r>
    <n v="0"/>
    <n v="0"/>
    <x v="0"/>
  </r>
  <r>
    <n v="20000"/>
    <d v="2018-01-07T00:00:00"/>
    <x v="1"/>
  </r>
  <r>
    <n v="0"/>
    <n v="0"/>
    <x v="0"/>
  </r>
  <r>
    <n v="0"/>
    <n v="0"/>
    <x v="0"/>
  </r>
  <r>
    <n v="0"/>
    <n v="0"/>
    <x v="0"/>
  </r>
  <r>
    <n v="30000"/>
    <d v="2014-12-04T00:00:00"/>
    <x v="1"/>
  </r>
  <r>
    <n v="30000"/>
    <d v="2016-01-11T00:00:00"/>
    <x v="2"/>
  </r>
  <r>
    <n v="0"/>
    <n v="0"/>
    <x v="0"/>
  </r>
  <r>
    <n v="0"/>
    <n v="0"/>
    <x v="0"/>
  </r>
  <r>
    <n v="40000"/>
    <d v="2017-03-06T00:00:00"/>
    <x v="4"/>
  </r>
  <r>
    <n v="0"/>
    <n v="0"/>
    <x v="0"/>
  </r>
  <r>
    <n v="25000"/>
    <d v="2018-01-07T00:00:00"/>
    <x v="1"/>
  </r>
  <r>
    <n v="0"/>
    <n v="0"/>
    <x v="0"/>
  </r>
  <r>
    <n v="0"/>
    <n v="0"/>
    <x v="0"/>
  </r>
  <r>
    <n v="0"/>
    <n v="0"/>
    <x v="0"/>
  </r>
  <r>
    <n v="10000"/>
    <d v="2014-12-04T00:00:00"/>
    <x v="1"/>
  </r>
  <r>
    <n v="10000"/>
    <d v="2016-01-11T00:00:00"/>
    <x v="2"/>
  </r>
  <r>
    <n v="0"/>
    <n v="0"/>
    <x v="0"/>
  </r>
  <r>
    <n v="0"/>
    <n v="0"/>
    <x v="0"/>
  </r>
  <r>
    <n v="4000"/>
    <d v="2017-03-06T00:00:00"/>
    <x v="4"/>
  </r>
  <r>
    <n v="0"/>
    <n v="0"/>
    <x v="0"/>
  </r>
  <r>
    <n v="5000"/>
    <d v="2018-01-07T00:00:00"/>
    <x v="1"/>
  </r>
  <r>
    <n v="0"/>
    <n v="0"/>
    <x v="0"/>
  </r>
  <r>
    <n v="0"/>
    <n v="0"/>
    <x v="0"/>
  </r>
  <r>
    <n v="0"/>
    <n v="0"/>
    <x v="0"/>
  </r>
  <r>
    <n v="10000"/>
    <d v="2014-12-04T00:00:00"/>
    <x v="1"/>
  </r>
  <r>
    <n v="10000"/>
    <d v="2016-01-11T00:00:00"/>
    <x v="2"/>
  </r>
  <r>
    <n v="0"/>
    <n v="0"/>
    <x v="0"/>
  </r>
  <r>
    <n v="0"/>
    <n v="0"/>
    <x v="0"/>
  </r>
  <r>
    <n v="3000"/>
    <d v="2017-03-06T00:00:00"/>
    <x v="4"/>
  </r>
  <r>
    <n v="0"/>
    <n v="0"/>
    <x v="0"/>
  </r>
  <r>
    <n v="10000"/>
    <d v="2018-01-07T00:00:00"/>
    <x v="1"/>
  </r>
  <r>
    <n v="0"/>
    <n v="0"/>
    <x v="0"/>
  </r>
  <r>
    <n v="0"/>
    <n v="0"/>
    <x v="0"/>
  </r>
  <r>
    <n v="0"/>
    <n v="0"/>
    <x v="0"/>
  </r>
  <r>
    <n v="20000"/>
    <d v="2014-12-04T00:00:00"/>
    <x v="1"/>
  </r>
  <r>
    <n v="20000"/>
    <d v="2016-01-11T00:00:00"/>
    <x v="2"/>
  </r>
  <r>
    <n v="0"/>
    <n v="0"/>
    <x v="0"/>
  </r>
  <r>
    <n v="0"/>
    <n v="0"/>
    <x v="0"/>
  </r>
  <r>
    <n v="40000"/>
    <d v="2017-03-06T00:00:00"/>
    <x v="4"/>
  </r>
  <r>
    <n v="0"/>
    <n v="0"/>
    <x v="0"/>
  </r>
  <r>
    <n v="20000"/>
    <d v="2018-01-07T00:00:00"/>
    <x v="1"/>
  </r>
  <r>
    <n v="0"/>
    <n v="0"/>
    <x v="0"/>
  </r>
  <r>
    <n v="0"/>
    <n v="0"/>
    <x v="0"/>
  </r>
  <r>
    <n v="0"/>
    <n v="0"/>
    <x v="0"/>
  </r>
  <r>
    <n v="10000"/>
    <d v="2014-12-04T00:00:00"/>
    <x v="1"/>
  </r>
  <r>
    <n v="10000"/>
    <d v="2016-01-11T00:00:00"/>
    <x v="2"/>
  </r>
  <r>
    <n v="0"/>
    <n v="0"/>
    <x v="0"/>
  </r>
  <r>
    <n v="0"/>
    <n v="0"/>
    <x v="0"/>
  </r>
  <r>
    <n v="1000"/>
    <d v="2017-03-06T00:00:00"/>
    <x v="4"/>
  </r>
  <r>
    <n v="0"/>
    <n v="0"/>
    <x v="0"/>
  </r>
  <r>
    <n v="1000"/>
    <d v="2018-01-07T00:00:00"/>
    <x v="5"/>
  </r>
  <r>
    <n v="0"/>
    <n v="0"/>
    <x v="0"/>
  </r>
  <r>
    <n v="0"/>
    <n v="0"/>
    <x v="0"/>
  </r>
  <r>
    <n v="0"/>
    <n v="0"/>
    <x v="0"/>
  </r>
  <r>
    <n v="0"/>
    <n v="0"/>
    <x v="0"/>
  </r>
  <r>
    <n v="10000"/>
    <d v="2016-01-11T00:00:00"/>
    <x v="2"/>
  </r>
  <r>
    <n v="0"/>
    <n v="0"/>
    <x v="0"/>
  </r>
  <r>
    <n v="0"/>
    <n v="0"/>
    <x v="0"/>
  </r>
  <r>
    <n v="1000"/>
    <d v="2017-03-06T00:00:00"/>
    <x v="4"/>
  </r>
  <r>
    <n v="0"/>
    <n v="0"/>
    <x v="0"/>
  </r>
  <r>
    <n v="5000"/>
    <d v="2018-01-07T00:00:00"/>
    <x v="1"/>
  </r>
  <r>
    <n v="0"/>
    <n v="0"/>
    <x v="0"/>
  </r>
  <r>
    <n v="0"/>
    <n v="0"/>
    <x v="0"/>
  </r>
  <r>
    <n v="0"/>
    <n v="0"/>
    <x v="0"/>
  </r>
  <r>
    <n v="0"/>
    <n v="0"/>
    <x v="0"/>
  </r>
  <r>
    <n v="10000"/>
    <d v="2016-01-11T00:00:00"/>
    <x v="2"/>
  </r>
  <r>
    <n v="0"/>
    <n v="0"/>
    <x v="0"/>
  </r>
  <r>
    <n v="0"/>
    <n v="0"/>
    <x v="0"/>
  </r>
  <r>
    <n v="5000"/>
    <d v="2017-03-06T00:00:00"/>
    <x v="4"/>
  </r>
  <r>
    <n v="0"/>
    <n v="0"/>
    <x v="0"/>
  </r>
  <r>
    <n v="15000"/>
    <d v="2018-01-07T00:00:00"/>
    <x v="1"/>
  </r>
  <r>
    <n v="0"/>
    <n v="0"/>
    <x v="0"/>
  </r>
  <r>
    <n v="0"/>
    <n v="0"/>
    <x v="0"/>
  </r>
  <r>
    <n v="0"/>
    <n v="0"/>
    <x v="0"/>
  </r>
  <r>
    <n v="0"/>
    <n v="0"/>
    <x v="0"/>
  </r>
  <r>
    <n v="50000"/>
    <d v="2016-01-11T00:00:00"/>
    <x v="2"/>
  </r>
  <r>
    <n v="0"/>
    <n v="0"/>
    <x v="0"/>
  </r>
  <r>
    <n v="0"/>
    <n v="0"/>
    <x v="0"/>
  </r>
  <r>
    <n v="40000"/>
    <d v="2017-03-06T00:00:00"/>
    <x v="4"/>
  </r>
  <r>
    <n v="0"/>
    <n v="0"/>
    <x v="0"/>
  </r>
  <r>
    <n v="20000"/>
    <d v="2018-01-07T00:00:00"/>
    <x v="1"/>
  </r>
  <r>
    <n v="0"/>
    <n v="0"/>
    <x v="0"/>
  </r>
  <r>
    <n v="0"/>
    <n v="0"/>
    <x v="0"/>
  </r>
  <r>
    <n v="0"/>
    <n v="0"/>
    <x v="0"/>
  </r>
  <r>
    <n v="0"/>
    <n v="0"/>
    <x v="0"/>
  </r>
  <r>
    <n v="10000"/>
    <d v="2016-01-11T00:00:00"/>
    <x v="2"/>
  </r>
  <r>
    <n v="0"/>
    <n v="0"/>
    <x v="0"/>
  </r>
  <r>
    <n v="0"/>
    <n v="0"/>
    <x v="0"/>
  </r>
  <r>
    <n v="10000"/>
    <d v="2017-03-06T00:00:00"/>
    <x v="4"/>
  </r>
  <r>
    <n v="0"/>
    <n v="0"/>
    <x v="0"/>
  </r>
  <r>
    <n v="15000"/>
    <d v="2018-01-07T00:00:00"/>
    <x v="1"/>
  </r>
  <r>
    <n v="0"/>
    <n v="0"/>
    <x v="0"/>
  </r>
  <r>
    <n v="0"/>
    <n v="0"/>
    <x v="0"/>
  </r>
  <r>
    <n v="0"/>
    <n v="0"/>
    <x v="0"/>
  </r>
  <r>
    <n v="0"/>
    <n v="0"/>
    <x v="0"/>
  </r>
  <r>
    <n v="10000"/>
    <d v="2016-01-11T00:00:00"/>
    <x v="2"/>
  </r>
  <r>
    <n v="0"/>
    <n v="0"/>
    <x v="0"/>
  </r>
  <r>
    <n v="0"/>
    <n v="0"/>
    <x v="0"/>
  </r>
  <r>
    <n v="1000"/>
    <d v="2017-03-06T00:00:00"/>
    <x v="4"/>
  </r>
  <r>
    <n v="0"/>
    <n v="0"/>
    <x v="0"/>
  </r>
  <r>
    <n v="0"/>
    <n v="0"/>
    <x v="0"/>
  </r>
  <r>
    <n v="0"/>
    <n v="0"/>
    <x v="0"/>
  </r>
  <r>
    <n v="0"/>
    <n v="0"/>
    <x v="0"/>
  </r>
  <r>
    <n v="0"/>
    <n v="0"/>
    <x v="0"/>
  </r>
  <r>
    <n v="0"/>
    <n v="0"/>
    <x v="0"/>
  </r>
  <r>
    <n v="10000"/>
    <d v="2016-01-11T00:00:00"/>
    <x v="2"/>
  </r>
  <r>
    <n v="0"/>
    <n v="0"/>
    <x v="0"/>
  </r>
  <r>
    <n v="0"/>
    <n v="0"/>
    <x v="0"/>
  </r>
  <r>
    <n v="10000"/>
    <d v="2017-03-06T00:00:00"/>
    <x v="4"/>
  </r>
  <r>
    <n v="0"/>
    <n v="0"/>
    <x v="0"/>
  </r>
  <r>
    <n v="0"/>
    <n v="0"/>
    <x v="0"/>
  </r>
  <r>
    <n v="0"/>
    <n v="0"/>
    <x v="0"/>
  </r>
  <r>
    <n v="0"/>
    <n v="0"/>
    <x v="0"/>
  </r>
  <r>
    <n v="0"/>
    <n v="0"/>
    <x v="0"/>
  </r>
  <r>
    <n v="0"/>
    <n v="0"/>
    <x v="0"/>
  </r>
  <r>
    <n v="10000"/>
    <d v="2016-01-11T00:00:00"/>
    <x v="2"/>
  </r>
  <r>
    <n v="0"/>
    <n v="0"/>
    <x v="0"/>
  </r>
  <r>
    <n v="0"/>
    <n v="0"/>
    <x v="0"/>
  </r>
  <r>
    <n v="40000"/>
    <d v="2017-03-06T00:00:00"/>
    <x v="4"/>
  </r>
  <r>
    <n v="0"/>
    <n v="0"/>
    <x v="0"/>
  </r>
  <r>
    <n v="25000"/>
    <d v="2018-01-07T00:00:00"/>
    <x v="1"/>
  </r>
  <r>
    <n v="0"/>
    <n v="0"/>
    <x v="0"/>
  </r>
  <r>
    <n v="0"/>
    <n v="0"/>
    <x v="0"/>
  </r>
  <r>
    <n v="0"/>
    <n v="0"/>
    <x v="0"/>
  </r>
  <r>
    <n v="0"/>
    <n v="0"/>
    <x v="0"/>
  </r>
  <r>
    <n v="0"/>
    <n v="0"/>
    <x v="0"/>
  </r>
  <r>
    <n v="0"/>
    <n v="0"/>
    <x v="0"/>
  </r>
  <r>
    <n v="0"/>
    <n v="0"/>
    <x v="0"/>
  </r>
  <r>
    <n v="1000"/>
    <d v="2017-03-06T00:00:00"/>
    <x v="4"/>
  </r>
  <r>
    <n v="0"/>
    <n v="0"/>
    <x v="0"/>
  </r>
  <r>
    <n v="1000"/>
    <d v="2018-01-07T00:00:00"/>
    <x v="1"/>
  </r>
  <r>
    <n v="0"/>
    <n v="0"/>
    <x v="0"/>
  </r>
  <r>
    <n v="0"/>
    <n v="0"/>
    <x v="0"/>
  </r>
  <r>
    <n v="0"/>
    <n v="0"/>
    <x v="0"/>
  </r>
  <r>
    <n v="0"/>
    <n v="0"/>
    <x v="0"/>
  </r>
  <r>
    <n v="0"/>
    <n v="0"/>
    <x v="0"/>
  </r>
  <r>
    <n v="0"/>
    <n v="0"/>
    <x v="0"/>
  </r>
  <r>
    <n v="10000"/>
    <d v="2017-03-06T00:00:00"/>
    <x v="4"/>
  </r>
  <r>
    <n v="0"/>
    <d v="2017-03-06T00:00:00"/>
    <x v="4"/>
  </r>
  <r>
    <n v="0"/>
    <n v="0"/>
    <x v="0"/>
  </r>
  <r>
    <n v="0"/>
    <n v="0"/>
    <x v="0"/>
  </r>
  <r>
    <n v="0"/>
    <n v="0"/>
    <x v="0"/>
  </r>
  <r>
    <n v="0"/>
    <n v="0"/>
    <x v="0"/>
  </r>
  <r>
    <n v="0"/>
    <n v="0"/>
    <x v="0"/>
  </r>
  <r>
    <n v="0"/>
    <n v="0"/>
    <x v="0"/>
  </r>
  <r>
    <n v="0"/>
    <n v="0"/>
    <x v="0"/>
  </r>
  <r>
    <n v="0"/>
    <n v="0"/>
    <x v="0"/>
  </r>
  <r>
    <n v="0"/>
    <n v="0"/>
    <x v="0"/>
  </r>
  <r>
    <n v="1000"/>
    <d v="2017-03-06T00:00:00"/>
    <x v="4"/>
  </r>
  <r>
    <n v="0"/>
    <n v="0"/>
    <x v="0"/>
  </r>
  <r>
    <n v="25000"/>
    <d v="2018-01-07T00:00:00"/>
    <x v="1"/>
  </r>
  <r>
    <n v="0"/>
    <n v="0"/>
    <x v="0"/>
  </r>
  <r>
    <n v="0"/>
    <n v="0"/>
    <x v="0"/>
  </r>
  <r>
    <n v="0"/>
    <n v="0"/>
    <x v="0"/>
  </r>
  <r>
    <n v="0"/>
    <n v="0"/>
    <x v="0"/>
  </r>
  <r>
    <n v="0"/>
    <n v="0"/>
    <x v="0"/>
  </r>
  <r>
    <n v="0"/>
    <n v="0"/>
    <x v="0"/>
  </r>
  <r>
    <n v="0"/>
    <n v="0"/>
    <x v="0"/>
  </r>
  <r>
    <n v="5000"/>
    <d v="2017-03-06T00:00:00"/>
    <x v="4"/>
  </r>
  <r>
    <n v="0"/>
    <n v="0"/>
    <x v="0"/>
  </r>
  <r>
    <n v="2000"/>
    <d v="2018-01-07T00:00:00"/>
    <x v="1"/>
  </r>
  <r>
    <n v="0"/>
    <n v="0"/>
    <x v="0"/>
  </r>
  <r>
    <n v="0"/>
    <n v="0"/>
    <x v="0"/>
  </r>
  <r>
    <n v="0"/>
    <n v="0"/>
    <x v="0"/>
  </r>
  <r>
    <n v="0"/>
    <n v="0"/>
    <x v="0"/>
  </r>
  <r>
    <n v="0"/>
    <n v="0"/>
    <x v="0"/>
  </r>
  <r>
    <n v="0"/>
    <n v="0"/>
    <x v="0"/>
  </r>
  <r>
    <n v="0"/>
    <n v="0"/>
    <x v="0"/>
  </r>
  <r>
    <n v="1000"/>
    <d v="2017-03-06T00:00:00"/>
    <x v="4"/>
  </r>
  <r>
    <n v="0"/>
    <n v="0"/>
    <x v="0"/>
  </r>
  <r>
    <n v="5000"/>
    <d v="2018-01-07T00:00:00"/>
    <x v="1"/>
  </r>
  <r>
    <n v="0"/>
    <n v="0"/>
    <x v="0"/>
  </r>
  <r>
    <n v="0"/>
    <n v="0"/>
    <x v="0"/>
  </r>
  <r>
    <n v="0"/>
    <n v="0"/>
    <x v="0"/>
  </r>
  <r>
    <n v="0"/>
    <n v="0"/>
    <x v="0"/>
  </r>
  <r>
    <n v="0"/>
    <n v="0"/>
    <x v="0"/>
  </r>
  <r>
    <n v="0"/>
    <n v="0"/>
    <x v="0"/>
  </r>
  <r>
    <n v="0"/>
    <n v="0"/>
    <x v="0"/>
  </r>
  <r>
    <n v="1000"/>
    <d v="2017-03-06T00:00:00"/>
    <x v="4"/>
  </r>
  <r>
    <n v="0"/>
    <n v="0"/>
    <x v="0"/>
  </r>
  <r>
    <n v="3000"/>
    <d v="2018-01-07T00:00:00"/>
    <x v="1"/>
  </r>
  <r>
    <n v="0"/>
    <n v="0"/>
    <x v="0"/>
  </r>
  <r>
    <n v="0"/>
    <n v="0"/>
    <x v="0"/>
  </r>
  <r>
    <n v="0"/>
    <n v="0"/>
    <x v="0"/>
  </r>
  <r>
    <n v="0"/>
    <n v="0"/>
    <x v="0"/>
  </r>
  <r>
    <n v="0"/>
    <n v="0"/>
    <x v="0"/>
  </r>
  <r>
    <n v="0"/>
    <n v="0"/>
    <x v="0"/>
  </r>
  <r>
    <n v="0"/>
    <n v="0"/>
    <x v="0"/>
  </r>
  <r>
    <n v="1000"/>
    <d v="2017-03-06T00:00:00"/>
    <x v="4"/>
  </r>
  <r>
    <n v="0"/>
    <n v="0"/>
    <x v="0"/>
  </r>
  <r>
    <n v="3000"/>
    <d v="2018-01-07T00:00:00"/>
    <x v="1"/>
  </r>
  <r>
    <n v="0"/>
    <n v="0"/>
    <x v="0"/>
  </r>
  <r>
    <n v="0"/>
    <n v="0"/>
    <x v="0"/>
  </r>
  <r>
    <n v="0"/>
    <n v="0"/>
    <x v="0"/>
  </r>
  <r>
    <n v="0"/>
    <n v="0"/>
    <x v="0"/>
  </r>
  <r>
    <n v="0"/>
    <n v="0"/>
    <x v="0"/>
  </r>
  <r>
    <n v="0"/>
    <n v="0"/>
    <x v="0"/>
  </r>
  <r>
    <n v="0"/>
    <n v="0"/>
    <x v="0"/>
  </r>
  <r>
    <n v="0"/>
    <n v="0"/>
    <x v="0"/>
  </r>
  <r>
    <n v="0"/>
    <n v="0"/>
    <x v="0"/>
  </r>
  <r>
    <n v="5000"/>
    <d v="2018-01-07T00:00:00"/>
    <x v="1"/>
  </r>
  <r>
    <n v="0"/>
    <n v="0"/>
    <x v="0"/>
  </r>
  <r>
    <n v="0"/>
    <n v="0"/>
    <x v="0"/>
  </r>
  <r>
    <n v="0"/>
    <n v="0"/>
    <x v="0"/>
  </r>
  <r>
    <n v="0"/>
    <n v="0"/>
    <x v="0"/>
  </r>
  <r>
    <n v="0"/>
    <n v="0"/>
    <x v="0"/>
  </r>
  <r>
    <n v="0"/>
    <n v="0"/>
    <x v="0"/>
  </r>
  <r>
    <n v="0"/>
    <n v="0"/>
    <x v="0"/>
  </r>
  <r>
    <n v="0"/>
    <n v="0"/>
    <x v="0"/>
  </r>
  <r>
    <n v="0"/>
    <n v="0"/>
    <x v="0"/>
  </r>
  <r>
    <n v="3000"/>
    <d v="2018-01-07T00:00:00"/>
    <x v="1"/>
  </r>
  <r>
    <n v="0"/>
    <n v="0"/>
    <x v="0"/>
  </r>
  <r>
    <n v="0"/>
    <n v="0"/>
    <x v="0"/>
  </r>
  <r>
    <n v="0"/>
    <n v="0"/>
    <x v="0"/>
  </r>
  <r>
    <n v="0"/>
    <n v="0"/>
    <x v="0"/>
  </r>
  <r>
    <n v="0"/>
    <n v="0"/>
    <x v="0"/>
  </r>
  <r>
    <n v="0"/>
    <n v="0"/>
    <x v="0"/>
  </r>
  <r>
    <n v="0"/>
    <n v="0"/>
    <x v="0"/>
  </r>
  <r>
    <n v="0"/>
    <n v="0"/>
    <x v="0"/>
  </r>
  <r>
    <n v="0"/>
    <n v="0"/>
    <x v="0"/>
  </r>
  <r>
    <n v="8000"/>
    <d v="2018-01-07T00:00:00"/>
    <x v="1"/>
  </r>
  <r>
    <n v="0"/>
    <n v="0"/>
    <x v="0"/>
  </r>
  <r>
    <n v="0"/>
    <n v="0"/>
    <x v="0"/>
  </r>
  <r>
    <n v="0"/>
    <n v="0"/>
    <x v="0"/>
  </r>
  <r>
    <n v="0"/>
    <n v="0"/>
    <x v="0"/>
  </r>
  <r>
    <n v="0"/>
    <n v="0"/>
    <x v="0"/>
  </r>
  <r>
    <n v="0"/>
    <n v="0"/>
    <x v="0"/>
  </r>
  <r>
    <n v="0"/>
    <n v="0"/>
    <x v="0"/>
  </r>
  <r>
    <n v="0"/>
    <n v="0"/>
    <x v="0"/>
  </r>
  <r>
    <n v="0"/>
    <n v="0"/>
    <x v="0"/>
  </r>
  <r>
    <n v="5000"/>
    <d v="2018-01-07T00:00:00"/>
    <x v="1"/>
  </r>
  <r>
    <n v="0"/>
    <n v="0"/>
    <x v="0"/>
  </r>
  <r>
    <n v="0"/>
    <n v="0"/>
    <x v="0"/>
  </r>
  <r>
    <n v="0"/>
    <n v="0"/>
    <x v="0"/>
  </r>
  <r>
    <n v="0"/>
    <n v="0"/>
    <x v="0"/>
  </r>
  <r>
    <n v="0"/>
    <n v="0"/>
    <x v="0"/>
  </r>
  <r>
    <n v="0"/>
    <n v="0"/>
    <x v="0"/>
  </r>
  <r>
    <n v="0"/>
    <n v="0"/>
    <x v="0"/>
  </r>
  <r>
    <n v="0"/>
    <n v="0"/>
    <x v="0"/>
  </r>
  <r>
    <n v="0"/>
    <n v="0"/>
    <x v="0"/>
  </r>
  <r>
    <n v="3000"/>
    <d v="2018-01-07T00:00:00"/>
    <x v="1"/>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0"/>
    <n v="0"/>
    <x v="0"/>
  </r>
  <r>
    <n v="3000"/>
    <d v="2018-01-07T00:00:00"/>
    <x v="1"/>
  </r>
  <r>
    <n v="0"/>
    <n v="0"/>
    <x v="0"/>
  </r>
  <r>
    <n v="0"/>
    <n v="0"/>
    <x v="0"/>
  </r>
  <r>
    <n v="0"/>
    <n v="0"/>
    <x v="0"/>
  </r>
  <r>
    <n v="0"/>
    <n v="0"/>
    <x v="0"/>
  </r>
  <r>
    <n v="0"/>
    <n v="0"/>
    <x v="0"/>
  </r>
  <r>
    <n v="0"/>
    <n v="0"/>
    <x v="0"/>
  </r>
  <r>
    <n v="0"/>
    <n v="0"/>
    <x v="0"/>
  </r>
  <r>
    <n v="0"/>
    <n v="0"/>
    <x v="0"/>
  </r>
  <r>
    <n v="0"/>
    <n v="0"/>
    <x v="0"/>
  </r>
  <r>
    <n v="5000"/>
    <d v="2018-01-07T00:00:00"/>
    <x v="1"/>
  </r>
  <r>
    <n v="0"/>
    <n v="0"/>
    <x v="0"/>
  </r>
  <r>
    <n v="0"/>
    <n v="0"/>
    <x v="0"/>
  </r>
  <r>
    <n v="0"/>
    <n v="0"/>
    <x v="0"/>
  </r>
  <r>
    <n v="0"/>
    <n v="0"/>
    <x v="0"/>
  </r>
  <r>
    <n v="0"/>
    <n v="0"/>
    <x v="0"/>
  </r>
  <r>
    <n v="0"/>
    <n v="0"/>
    <x v="0"/>
  </r>
  <r>
    <n v="0"/>
    <n v="0"/>
    <x v="0"/>
  </r>
  <r>
    <n v="0"/>
    <n v="0"/>
    <x v="0"/>
  </r>
  <r>
    <n v="0"/>
    <n v="0"/>
    <x v="0"/>
  </r>
  <r>
    <n v="2000"/>
    <d v="2018-01-07T00:00:00"/>
    <x v="1"/>
  </r>
  <r>
    <n v="0"/>
    <n v="0"/>
    <x v="0"/>
  </r>
  <r>
    <n v="0"/>
    <n v="0"/>
    <x v="0"/>
  </r>
  <r>
    <n v="0"/>
    <n v="0"/>
    <x v="0"/>
  </r>
  <r>
    <n v="0"/>
    <n v="0"/>
    <x v="0"/>
  </r>
  <r>
    <n v="0"/>
    <n v="0"/>
    <x v="0"/>
  </r>
  <r>
    <n v="0"/>
    <n v="0"/>
    <x v="0"/>
  </r>
  <r>
    <n v="0"/>
    <n v="0"/>
    <x v="0"/>
  </r>
  <r>
    <n v="0"/>
    <n v="0"/>
    <x v="0"/>
  </r>
  <r>
    <n v="0"/>
    <n v="0"/>
    <x v="0"/>
  </r>
  <r>
    <n v="10000"/>
    <d v="2018-01-07T00:00:00"/>
    <x v="1"/>
  </r>
  <r>
    <n v="0"/>
    <n v="0"/>
    <x v="0"/>
  </r>
  <r>
    <n v="0"/>
    <n v="0"/>
    <x v="0"/>
  </r>
  <r>
    <n v="0"/>
    <n v="0"/>
    <x v="0"/>
  </r>
  <r>
    <n v="0"/>
    <n v="0"/>
    <x v="0"/>
  </r>
  <r>
    <n v="0"/>
    <n v="0"/>
    <x v="0"/>
  </r>
  <r>
    <n v="0"/>
    <n v="0"/>
    <x v="0"/>
  </r>
  <r>
    <n v="0"/>
    <n v="0"/>
    <x v="0"/>
  </r>
  <r>
    <n v="0"/>
    <n v="0"/>
    <x v="0"/>
  </r>
  <r>
    <n v="0"/>
    <n v="0"/>
    <x v="0"/>
  </r>
  <r>
    <n v="3000"/>
    <d v="2018-01-07T00:00:00"/>
    <x v="1"/>
  </r>
  <r>
    <n v="0"/>
    <n v="0"/>
    <x v="0"/>
  </r>
  <r>
    <n v="0"/>
    <n v="0"/>
    <x v="0"/>
  </r>
  <r>
    <n v="0"/>
    <n v="0"/>
    <x v="0"/>
  </r>
  <r>
    <n v="0"/>
    <n v="0"/>
    <x v="0"/>
  </r>
  <r>
    <n v="0"/>
    <n v="0"/>
    <x v="0"/>
  </r>
  <r>
    <n v="0"/>
    <n v="0"/>
    <x v="0"/>
  </r>
  <r>
    <n v="0"/>
    <n v="0"/>
    <x v="0"/>
  </r>
  <r>
    <n v="0"/>
    <n v="0"/>
    <x v="0"/>
  </r>
  <r>
    <n v="0"/>
    <n v="0"/>
    <x v="0"/>
  </r>
  <r>
    <n v="2000"/>
    <d v="2018-01-07T00:00:00"/>
    <x v="1"/>
  </r>
  <r>
    <n v="0"/>
    <n v="0"/>
    <x v="0"/>
  </r>
  <r>
    <n v="0"/>
    <n v="0"/>
    <x v="0"/>
  </r>
  <r>
    <n v="0"/>
    <n v="0"/>
    <x v="0"/>
  </r>
  <r>
    <n v="0"/>
    <n v="0"/>
    <x v="0"/>
  </r>
  <r>
    <n v="0"/>
    <n v="0"/>
    <x v="0"/>
  </r>
  <r>
    <n v="0"/>
    <n v="0"/>
    <x v="0"/>
  </r>
  <r>
    <n v="0"/>
    <n v="0"/>
    <x v="0"/>
  </r>
  <r>
    <n v="0"/>
    <n v="0"/>
    <x v="0"/>
  </r>
  <r>
    <n v="0"/>
    <n v="0"/>
    <x v="0"/>
  </r>
  <r>
    <n v="2000"/>
    <d v="2018-01-07T00:00:00"/>
    <x v="1"/>
  </r>
  <r>
    <n v="0"/>
    <n v="0"/>
    <x v="0"/>
  </r>
  <r>
    <n v="0"/>
    <n v="0"/>
    <x v="0"/>
  </r>
  <r>
    <n v="0"/>
    <n v="0"/>
    <x v="0"/>
  </r>
  <r>
    <n v="0"/>
    <n v="0"/>
    <x v="0"/>
  </r>
  <r>
    <n v="0"/>
    <n v="0"/>
    <x v="0"/>
  </r>
  <r>
    <n v="0"/>
    <n v="0"/>
    <x v="0"/>
  </r>
  <r>
    <n v="0"/>
    <n v="0"/>
    <x v="0"/>
  </r>
  <r>
    <n v="0"/>
    <n v="0"/>
    <x v="0"/>
  </r>
  <r>
    <n v="0"/>
    <n v="0"/>
    <x v="0"/>
  </r>
  <r>
    <n v="3000"/>
    <d v="2018-01-07T00:00:00"/>
    <x v="1"/>
  </r>
  <r>
    <n v="0"/>
    <n v="0"/>
    <x v="0"/>
  </r>
  <r>
    <n v="0"/>
    <n v="0"/>
    <x v="0"/>
  </r>
  <r>
    <n v="0"/>
    <n v="0"/>
    <x v="0"/>
  </r>
  <r>
    <n v="0"/>
    <n v="0"/>
    <x v="0"/>
  </r>
  <r>
    <n v="0"/>
    <n v="0"/>
    <x v="0"/>
  </r>
  <r>
    <n v="0"/>
    <n v="0"/>
    <x v="0"/>
  </r>
  <r>
    <n v="0"/>
    <n v="0"/>
    <x v="0"/>
  </r>
  <r>
    <n v="0"/>
    <n v="0"/>
    <x v="0"/>
  </r>
  <r>
    <n v="0"/>
    <n v="0"/>
    <x v="0"/>
  </r>
  <r>
    <n v="2000"/>
    <d v="2018-01-07T00:00:00"/>
    <x v="1"/>
  </r>
  <r>
    <n v="0"/>
    <n v="0"/>
    <x v="0"/>
  </r>
  <r>
    <n v="0"/>
    <n v="0"/>
    <x v="0"/>
  </r>
  <r>
    <n v="0"/>
    <n v="0"/>
    <x v="0"/>
  </r>
  <r>
    <n v="0"/>
    <n v="0"/>
    <x v="0"/>
  </r>
  <r>
    <n v="0"/>
    <n v="0"/>
    <x v="0"/>
  </r>
  <r>
    <n v="0"/>
    <n v="0"/>
    <x v="0"/>
  </r>
  <r>
    <n v="0"/>
    <n v="0"/>
    <x v="0"/>
  </r>
  <r>
    <n v="0"/>
    <n v="0"/>
    <x v="0"/>
  </r>
  <r>
    <n v="0"/>
    <n v="0"/>
    <x v="0"/>
  </r>
  <r>
    <n v="2000"/>
    <d v="2018-01-07T00:00:00"/>
    <x v="1"/>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50000"/>
    <d v="2017-07-24T00:00:00"/>
    <x v="1"/>
  </r>
  <r>
    <n v="20000"/>
    <d v="2018-01-07T00:00:00"/>
    <x v="1"/>
  </r>
  <r>
    <n v="0"/>
    <n v="0"/>
    <x v="0"/>
  </r>
  <r>
    <n v="0"/>
    <n v="0"/>
    <x v="0"/>
  </r>
  <r>
    <n v="0"/>
    <n v="0"/>
    <x v="0"/>
  </r>
  <r>
    <n v="0"/>
    <n v="0"/>
    <x v="0"/>
  </r>
  <r>
    <n v="0"/>
    <n v="0"/>
    <x v="0"/>
  </r>
  <r>
    <n v="0"/>
    <n v="0"/>
    <x v="0"/>
  </r>
  <r>
    <n v="0"/>
    <n v="0"/>
    <x v="0"/>
  </r>
  <r>
    <n v="0"/>
    <n v="0"/>
    <x v="0"/>
  </r>
  <r>
    <n v="0"/>
    <n v="0"/>
    <x v="0"/>
  </r>
  <r>
    <n v="2000"/>
    <d v="2018-01-07T00:00:00"/>
    <x v="1"/>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0"/>
    <n v="0"/>
    <x v="0"/>
  </r>
  <r>
    <n v="2000"/>
    <d v="2018-01-07T00:00:00"/>
    <x v="1"/>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100000"/>
    <d v="2017-07-24T00:00:00"/>
    <x v="6"/>
  </r>
  <r>
    <n v="0"/>
    <n v="0"/>
    <x v="0"/>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100000"/>
    <d v="2018-01-07T00:00:00"/>
    <x v="1"/>
  </r>
  <r>
    <n v="0"/>
    <n v="0"/>
    <x v="0"/>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0"/>
    <n v="0"/>
    <x v="0"/>
  </r>
  <r>
    <n v="5000"/>
    <d v="2018-01-07T00:00:00"/>
    <x v="1"/>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0"/>
    <n v="0"/>
    <x v="0"/>
  </r>
  <r>
    <n v="1000"/>
    <d v="2018-01-07T00:00:00"/>
    <x v="1"/>
  </r>
  <r>
    <n v="0"/>
    <n v="0"/>
    <x v="0"/>
  </r>
  <r>
    <n v="0"/>
    <n v="0"/>
    <x v="0"/>
  </r>
  <r>
    <n v="0"/>
    <n v="0"/>
    <x v="0"/>
  </r>
  <r>
    <n v="0"/>
    <n v="0"/>
    <x v="0"/>
  </r>
  <r>
    <n v="0"/>
    <n v="0"/>
    <x v="0"/>
  </r>
  <r>
    <n v="0"/>
    <n v="0"/>
    <x v="0"/>
  </r>
  <r>
    <n v="0"/>
    <n v="0"/>
    <x v="0"/>
  </r>
  <r>
    <n v="0"/>
    <n v="0"/>
    <x v="0"/>
  </r>
  <r>
    <n v="60000"/>
    <d v="2018-01-07T00:00:00"/>
    <x v="1"/>
  </r>
  <r>
    <n v="0"/>
    <n v="0"/>
    <x v="0"/>
  </r>
  <r>
    <n v="0"/>
    <n v="0"/>
    <x v="0"/>
  </r>
  <r>
    <n v="0"/>
    <n v="0"/>
    <x v="0"/>
  </r>
  <r>
    <n v="0"/>
    <n v="0"/>
    <x v="0"/>
  </r>
  <r>
    <n v="0"/>
    <n v="0"/>
    <x v="0"/>
  </r>
  <r>
    <n v="0"/>
    <n v="0"/>
    <x v="0"/>
  </r>
  <r>
    <n v="0"/>
    <n v="0"/>
    <x v="0"/>
  </r>
  <r>
    <n v="0"/>
    <n v="0"/>
    <x v="0"/>
  </r>
  <r>
    <n v="0"/>
    <n v="0"/>
    <x v="0"/>
  </r>
  <r>
    <n v="80000"/>
    <d v="2018-01-07T00:00:00"/>
    <x v="1"/>
  </r>
  <r>
    <n v="0"/>
    <n v="0"/>
    <x v="0"/>
  </r>
  <r>
    <n v="0"/>
    <n v="0"/>
    <x v="0"/>
  </r>
  <r>
    <n v="0"/>
    <n v="0"/>
    <x v="0"/>
  </r>
  <r>
    <n v="0"/>
    <n v="0"/>
    <x v="0"/>
  </r>
  <r>
    <n v="0"/>
    <n v="0"/>
    <x v="0"/>
  </r>
  <r>
    <n v="10000"/>
    <d v="2016-01-11T00:00:00"/>
    <x v="2"/>
  </r>
  <r>
    <n v="0"/>
    <n v="0"/>
    <x v="0"/>
  </r>
  <r>
    <n v="0"/>
    <n v="0"/>
    <x v="0"/>
  </r>
  <r>
    <n v="1000"/>
    <d v="2017-03-06T00:00:00"/>
    <x v="4"/>
  </r>
  <r>
    <n v="0"/>
    <n v="0"/>
    <x v="0"/>
  </r>
  <r>
    <n v="0"/>
    <n v="0"/>
    <x v="0"/>
  </r>
  <r>
    <n v="0"/>
    <n v="0"/>
    <x v="0"/>
  </r>
  <r>
    <n v="0"/>
    <n v="0"/>
    <x v="0"/>
  </r>
  <r>
    <n v="0"/>
    <n v="0"/>
    <x v="0"/>
  </r>
  <r>
    <n v="0"/>
    <n v="0"/>
    <x v="0"/>
  </r>
  <r>
    <n v="10000"/>
    <d v="2016-01-11T00:00:00"/>
    <x v="2"/>
  </r>
  <r>
    <n v="0"/>
    <n v="0"/>
    <x v="0"/>
  </r>
  <r>
    <n v="0"/>
    <n v="0"/>
    <x v="0"/>
  </r>
  <r>
    <n v="1000"/>
    <d v="2017-03-06T00:00:00"/>
    <x v="4"/>
  </r>
  <r>
    <n v="0"/>
    <n v="0"/>
    <x v="0"/>
  </r>
  <r>
    <n v="0"/>
    <n v="0"/>
    <x v="0"/>
  </r>
  <r>
    <n v="0"/>
    <n v="0"/>
    <x v="0"/>
  </r>
  <r>
    <n v="0"/>
    <n v="0"/>
    <x v="0"/>
  </r>
  <r>
    <n v="0"/>
    <n v="0"/>
    <x v="0"/>
  </r>
  <r>
    <n v="0"/>
    <n v="0"/>
    <x v="0"/>
  </r>
  <r>
    <n v="0"/>
    <n v="0"/>
    <x v="0"/>
  </r>
  <r>
    <n v="0"/>
    <n v="0"/>
    <x v="0"/>
  </r>
  <r>
    <n v="0"/>
    <n v="0"/>
    <x v="0"/>
  </r>
  <r>
    <n v="5000"/>
    <d v="2017-03-06T00:00:00"/>
    <x v="4"/>
  </r>
  <r>
    <n v="0"/>
    <n v="0"/>
    <x v="0"/>
  </r>
  <r>
    <n v="0"/>
    <n v="0"/>
    <x v="0"/>
  </r>
  <r>
    <n v="0"/>
    <n v="0"/>
    <x v="0"/>
  </r>
  <r>
    <n v="0"/>
    <n v="0"/>
    <x v="0"/>
  </r>
  <r>
    <n v="0"/>
    <n v="0"/>
    <x v="0"/>
  </r>
  <r>
    <n v="0"/>
    <n v="0"/>
    <x v="0"/>
  </r>
  <r>
    <n v="50000"/>
    <d v="2016-01-11T00:00:00"/>
    <x v="2"/>
  </r>
  <r>
    <n v="0"/>
    <n v="0"/>
    <x v="0"/>
  </r>
  <r>
    <n v="0"/>
    <n v="0"/>
    <x v="0"/>
  </r>
  <r>
    <n v="0"/>
    <d v="2017-03-06T00:00:00"/>
    <x v="4"/>
  </r>
  <r>
    <n v="0"/>
    <n v="0"/>
    <x v="0"/>
  </r>
  <r>
    <n v="1000"/>
    <d v="2018-01-07T00:00:00"/>
    <x v="1"/>
  </r>
  <r>
    <n v="307250"/>
    <d v="2018-04-03T00:00:00"/>
    <x v="4"/>
  </r>
  <r>
    <n v="3600"/>
    <d v="2018-04-03T00:00:00"/>
    <x v="7"/>
  </r>
  <r>
    <n v="14500"/>
    <d v="2018-04-03T00:00:00"/>
    <x v="4"/>
  </r>
  <r>
    <n v="50000"/>
    <d v="2018-04-03T00:00:00"/>
    <x v="7"/>
  </r>
  <r>
    <n v="18888"/>
    <d v="2018-04-03T00:00:00"/>
    <x v="7"/>
  </r>
  <r>
    <n v="3600"/>
    <d v="2018-04-03T00:00:00"/>
    <x v="7"/>
  </r>
  <r>
    <n v="48888"/>
    <d v="2018-04-03T00:00:00"/>
    <x v="7"/>
  </r>
  <r>
    <n v="88888"/>
    <d v="2018-04-03T00:00:00"/>
    <x v="7"/>
  </r>
  <r>
    <n v="10000"/>
    <d v="2018-04-03T00:00:00"/>
    <x v="7"/>
  </r>
  <r>
    <n v="48888"/>
    <d v="2018-04-03T00:00:00"/>
    <x v="7"/>
  </r>
  <r>
    <n v="10000"/>
    <d v="2018-04-03T00:00:00"/>
    <x v="7"/>
  </r>
  <r>
    <n v="10000"/>
    <d v="2018-04-03T00:00:00"/>
    <x v="7"/>
  </r>
  <r>
    <n v="36120"/>
    <d v="2018-04-03T00:00:00"/>
    <x v="7"/>
  </r>
  <r>
    <n v="893"/>
    <d v="2018-04-03T00:00:00"/>
    <x v="4"/>
  </r>
  <r>
    <n v="10000"/>
    <d v="2018-04-03T00:00:00"/>
    <x v="7"/>
  </r>
  <r>
    <n v="10000"/>
    <d v="2018-04-03T00:00:00"/>
    <x v="7"/>
  </r>
  <r>
    <n v="50000"/>
    <d v="2018-04-03T00:00:00"/>
    <x v="7"/>
  </r>
  <r>
    <n v="68888"/>
    <d v="2018-04-03T00:00:00"/>
    <x v="7"/>
  </r>
  <r>
    <n v="3600"/>
    <d v="2018-04-03T00:00:00"/>
    <x v="7"/>
  </r>
  <r>
    <n v="18888"/>
    <d v="2018-04-03T00:00:00"/>
    <x v="7"/>
  </r>
  <r>
    <n v="1000"/>
    <d v="2018-04-03T00:00:00"/>
    <x v="7"/>
  </r>
  <r>
    <n v="3600"/>
    <d v="2018-04-03T00:00:00"/>
    <x v="7"/>
  </r>
  <r>
    <n v="3600"/>
    <d v="2018-04-03T00:00:00"/>
    <x v="7"/>
  </r>
  <r>
    <n v="3600"/>
    <d v="2018-04-03T00:00:00"/>
    <x v="7"/>
  </r>
  <r>
    <n v="3600"/>
    <d v="2018-04-03T00:00:00"/>
    <x v="7"/>
  </r>
  <r>
    <n v="3600"/>
    <d v="2018-04-03T00:00:00"/>
    <x v="7"/>
  </r>
  <r>
    <n v="3600"/>
    <d v="2018-04-03T00:00:00"/>
    <x v="7"/>
  </r>
  <r>
    <n v="10000"/>
    <d v="2018-04-03T00:00:00"/>
    <x v="7"/>
  </r>
  <r>
    <n v="3600"/>
    <d v="2018-04-03T00:00:00"/>
    <x v="7"/>
  </r>
  <r>
    <n v="3600"/>
    <d v="2018-04-03T00:00:00"/>
    <x v="7"/>
  </r>
  <r>
    <n v="1000"/>
    <d v="2018-04-03T00:00:00"/>
    <x v="7"/>
  </r>
  <r>
    <n v="1000"/>
    <d v="2018-04-03T00:00:00"/>
    <x v="7"/>
  </r>
  <r>
    <n v="3600"/>
    <d v="2018-04-03T00:00:00"/>
    <x v="7"/>
  </r>
  <r>
    <n v="28888"/>
    <d v="2018-04-03T00:00:00"/>
    <x v="7"/>
  </r>
  <r>
    <n v="28888"/>
    <d v="2018-04-03T00:00:00"/>
    <x v="7"/>
  </r>
  <r>
    <n v="3600"/>
    <d v="2018-04-03T00:00:00"/>
    <x v="7"/>
  </r>
  <r>
    <n v="3600"/>
    <d v="2018-04-03T00:00:00"/>
    <x v="7"/>
  </r>
  <r>
    <n v="3600"/>
    <d v="2018-04-03T00:00:00"/>
    <x v="7"/>
  </r>
  <r>
    <n v="3600"/>
    <d v="2018-04-03T00:00:00"/>
    <x v="7"/>
  </r>
  <r>
    <n v="3600"/>
    <d v="2018-04-03T00:00:00"/>
    <x v="7"/>
  </r>
  <r>
    <n v="3600"/>
    <d v="2018-04-03T00:00:00"/>
    <x v="7"/>
  </r>
  <r>
    <n v="1000"/>
    <d v="2018-04-03T00:00:00"/>
    <x v="7"/>
  </r>
  <r>
    <n v="1000"/>
    <d v="2018-04-03T00:00:00"/>
    <x v="7"/>
  </r>
  <r>
    <n v="893"/>
    <d v="2018-04-03T00:00:00"/>
    <x v="7"/>
  </r>
  <r>
    <n v="58888"/>
    <d v="2018-04-03T00:00:00"/>
    <x v="7"/>
  </r>
  <r>
    <n v="3600"/>
    <d v="2018-04-03T00:00:00"/>
    <x v="7"/>
  </r>
  <r>
    <n v="3600"/>
    <d v="2018-04-03T00:00:00"/>
    <x v="7"/>
  </r>
  <r>
    <n v="3600"/>
    <d v="2018-04-03T00:00:00"/>
    <x v="7"/>
  </r>
  <r>
    <n v="3600"/>
    <d v="2018-04-03T00:00:00"/>
    <x v="7"/>
  </r>
  <r>
    <n v="3600"/>
    <d v="2018-04-03T00:00:00"/>
    <x v="7"/>
  </r>
  <r>
    <n v="53888"/>
    <d v="2018-04-03T00:00:00"/>
    <x v="7"/>
  </r>
  <r>
    <n v="3600"/>
    <d v="2018-04-03T00:00:00"/>
    <x v="7"/>
  </r>
  <r>
    <n v="3600"/>
    <d v="2018-04-03T00:00:00"/>
    <x v="7"/>
  </r>
  <r>
    <n v="3600"/>
    <d v="2018-04-03T00:00:00"/>
    <x v="7"/>
  </r>
  <r>
    <n v="3600"/>
    <d v="2018-04-03T00:00:00"/>
    <x v="7"/>
  </r>
  <r>
    <n v="10000"/>
    <d v="2018-04-03T00:00:00"/>
    <x v="7"/>
  </r>
  <r>
    <n v="3600"/>
    <d v="2018-04-03T00:00:00"/>
    <x v="7"/>
  </r>
  <r>
    <n v="3600"/>
    <d v="2018-04-03T00:00:00"/>
    <x v="7"/>
  </r>
  <r>
    <n v="3600"/>
    <d v="2018-04-03T00:00:00"/>
    <x v="7"/>
  </r>
  <r>
    <n v="3600"/>
    <d v="2018-04-03T00:00:00"/>
    <x v="7"/>
  </r>
  <r>
    <n v="3600"/>
    <d v="2018-04-03T00:00:00"/>
    <x v="7"/>
  </r>
  <r>
    <n v="3600"/>
    <d v="2018-04-03T00:00:00"/>
    <x v="7"/>
  </r>
  <r>
    <n v="3600"/>
    <d v="2018-04-03T00:00:00"/>
    <x v="7"/>
  </r>
  <r>
    <n v="3600"/>
    <d v="2018-04-03T00:00:00"/>
    <x v="7"/>
  </r>
  <r>
    <n v="3600"/>
    <d v="2018-04-03T00:00:00"/>
    <x v="7"/>
  </r>
  <r>
    <n v="3600"/>
    <d v="2018-04-03T00:00:00"/>
    <x v="7"/>
  </r>
  <r>
    <n v="3600"/>
    <d v="2018-04-03T00:00:00"/>
    <x v="7"/>
  </r>
  <r>
    <n v="1000"/>
    <d v="2018-04-03T00:00:00"/>
    <x v="7"/>
  </r>
  <r>
    <n v="18888"/>
    <d v="2018-04-03T00:00:00"/>
    <x v="7"/>
  </r>
  <r>
    <n v="3600"/>
    <d v="2018-04-03T00:00:00"/>
    <x v="7"/>
  </r>
  <r>
    <n v="3600"/>
    <d v="2018-04-03T00:00:00"/>
    <x v="7"/>
  </r>
  <r>
    <n v="18888"/>
    <d v="2018-04-03T00:00:00"/>
    <x v="7"/>
  </r>
  <r>
    <n v="3600"/>
    <d v="2018-04-03T00:00:00"/>
    <x v="7"/>
  </r>
  <r>
    <n v="3600"/>
    <d v="2018-04-03T00:00:00"/>
    <x v="7"/>
  </r>
  <r>
    <n v="3600"/>
    <d v="2018-04-03T00:00:00"/>
    <x v="7"/>
  </r>
  <r>
    <n v="3600"/>
    <d v="2018-04-03T00:00:00"/>
    <x v="7"/>
  </r>
  <r>
    <n v="3600"/>
    <d v="2018-04-03T00:00:00"/>
    <x v="7"/>
  </r>
  <r>
    <n v="3600"/>
    <d v="2018-04-03T00:00:00"/>
    <x v="7"/>
  </r>
  <r>
    <n v="18888"/>
    <d v="2018-04-03T00:00:00"/>
    <x v="7"/>
  </r>
  <r>
    <n v="3600"/>
    <d v="2018-04-03T00:00:00"/>
    <x v="7"/>
  </r>
  <r>
    <n v="3600"/>
    <d v="2018-04-03T00:00:00"/>
    <x v="7"/>
  </r>
  <r>
    <n v="25000"/>
    <d v="2018-06-01T00:00:00"/>
    <x v="7"/>
  </r>
  <r>
    <n v="25000"/>
    <d v="2018-06-01T00:00:00"/>
    <x v="7"/>
  </r>
  <r>
    <n v="100000"/>
    <d v="2018-06-01T00:00:00"/>
    <x v="7"/>
  </r>
  <r>
    <n v="100000"/>
    <d v="2018-06-01T00:00:00"/>
    <x v="7"/>
  </r>
  <r>
    <n v="100000"/>
    <d v="2018-06-01T00:00:00"/>
    <x v="4"/>
  </r>
  <r>
    <n v="15000"/>
    <d v="2018-05-11T00:00:00"/>
    <x v="4"/>
  </r>
  <r>
    <n v="15000"/>
    <d v="2018-05-11T00:00:00"/>
    <x v="4"/>
  </r>
  <r>
    <n v="15000"/>
    <d v="2018-05-11T00:00:00"/>
    <x v="4"/>
  </r>
  <r>
    <n v="15000"/>
    <d v="2018-05-11T00:00:00"/>
    <x v="4"/>
  </r>
  <r>
    <n v="15000"/>
    <d v="2018-05-11T00:00:00"/>
    <x v="4"/>
  </r>
  <r>
    <n v="15000"/>
    <d v="2018-06-01T00:00:00"/>
    <x v="7"/>
  </r>
  <r>
    <n v="15000"/>
    <d v="2018-06-01T00:00:00"/>
    <x v="7"/>
  </r>
  <r>
    <n v="15000"/>
    <d v="2018-06-01T00:00:00"/>
    <x v="7"/>
  </r>
  <r>
    <n v="1237162"/>
    <m/>
    <x v="4"/>
  </r>
  <r>
    <n v="494865"/>
    <m/>
    <x v="4"/>
  </r>
  <r>
    <n v="30000"/>
    <d v="2013-09-12T00:00:00"/>
    <x v="1"/>
  </r>
  <r>
    <n v="40000"/>
    <d v="2016-01-11T00:00:00"/>
    <x v="2"/>
  </r>
  <r>
    <n v="30000"/>
    <d v="2013-09-12T00:00:00"/>
    <x v="1"/>
  </r>
  <r>
    <n v="50000"/>
    <d v="2016-01-11T00:00:00"/>
    <x v="2"/>
  </r>
  <r>
    <n v="30000"/>
    <d v="2013-09-12T00:00:00"/>
    <x v="1"/>
  </r>
  <r>
    <n v="40000"/>
    <d v="2016-01-11T00:00:00"/>
    <x v="2"/>
  </r>
  <r>
    <n v="30000"/>
    <d v="2013-09-12T00:00:00"/>
    <x v="1"/>
  </r>
  <r>
    <n v="40000"/>
    <d v="2016-01-11T00:00:00"/>
    <x v="2"/>
  </r>
  <r>
    <n v="10000"/>
    <d v="2014-12-04T00:00:00"/>
    <x v="1"/>
  </r>
  <r>
    <n v="50000"/>
    <d v="2016-01-11T00:00:00"/>
    <x v="2"/>
  </r>
  <r>
    <n v="20000"/>
    <d v="2014-12-04T00:00:00"/>
    <x v="1"/>
  </r>
  <r>
    <n v="10000"/>
    <d v="2016-01-11T00:00:00"/>
    <x v="2"/>
  </r>
  <r>
    <n v="20000"/>
    <d v="2014-12-04T00:00:00"/>
    <x v="1"/>
  </r>
  <r>
    <n v="10000"/>
    <d v="2016-01-11T00:00:00"/>
    <x v="2"/>
  </r>
  <r>
    <n v="10000"/>
    <d v="2016-01-11T00:00:00"/>
    <x v="2"/>
  </r>
  <r>
    <n v="70000"/>
    <d v="2016-03-15T00:00:0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4" cacheId="6"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B13" firstHeaderRow="1" firstDataRow="1" firstDataCol="1"/>
  <pivotFields count="3">
    <pivotField dataField="1" numFmtId="296" showAll="0"/>
    <pivotField showAll="0"/>
    <pivotField axis="axisRow" showAll="0">
      <items count="10">
        <item x="0"/>
        <item x="1"/>
        <item x="2"/>
        <item x="7"/>
        <item x="8"/>
        <item x="3"/>
        <item x="4"/>
        <item x="6"/>
        <item x="5"/>
        <item t="default"/>
      </items>
    </pivotField>
  </pivotFields>
  <rowFields count="1">
    <field x="2"/>
  </rowFields>
  <rowItems count="10">
    <i>
      <x/>
    </i>
    <i>
      <x v="1"/>
    </i>
    <i>
      <x v="2"/>
    </i>
    <i>
      <x v="3"/>
    </i>
    <i>
      <x v="4"/>
    </i>
    <i>
      <x v="5"/>
    </i>
    <i>
      <x v="6"/>
    </i>
    <i>
      <x v="7"/>
    </i>
    <i>
      <x v="8"/>
    </i>
    <i t="grand">
      <x/>
    </i>
  </rowItems>
  <colItems count="1">
    <i/>
  </colItems>
  <dataFields count="1">
    <dataField name="求和项:Shares" fld="0" baseField="0" baseItem="0"/>
  </dataFields>
  <formats count="7">
    <format dxfId="264">
      <pivotArea type="all" dataOnly="0" outline="0" fieldPosition="0"/>
    </format>
    <format dxfId="263">
      <pivotArea outline="0" collapsedLevelsAreSubtotals="1" fieldPosition="0"/>
    </format>
    <format dxfId="262">
      <pivotArea field="2" type="button" dataOnly="0" labelOnly="1" outline="0" axis="axisRow" fieldPosition="0"/>
    </format>
    <format dxfId="261">
      <pivotArea dataOnly="0" labelOnly="1" outline="0" axis="axisValues" fieldPosition="0"/>
    </format>
    <format dxfId="260">
      <pivotArea dataOnly="0" labelOnly="1" fieldPosition="0">
        <references count="1">
          <reference field="2" count="0"/>
        </references>
      </pivotArea>
    </format>
    <format dxfId="259">
      <pivotArea dataOnly="0" labelOnly="1" grandRow="1" outline="0" fieldPosition="0"/>
    </format>
    <format dxfId="25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12.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vmlDrawing" Target="../drawings/vmlDrawing8.vml"/><Relationship Id="rId1" Type="http://schemas.openxmlformats.org/officeDocument/2006/relationships/printerSettings" Target="../printerSettings/printerSettings13.bin"/><Relationship Id="rId4"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xml"/><Relationship Id="rId1" Type="http://schemas.openxmlformats.org/officeDocument/2006/relationships/printerSettings" Target="../printerSettings/printerSettings16.bin"/><Relationship Id="rId5" Type="http://schemas.openxmlformats.org/officeDocument/2006/relationships/comments" Target="../comments5.xml"/><Relationship Id="rId4"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vmlDrawing" Target="../drawings/vmlDrawing16.vml"/><Relationship Id="rId1" Type="http://schemas.openxmlformats.org/officeDocument/2006/relationships/printerSettings" Target="../printerSettings/printerSettings20.bin"/><Relationship Id="rId4" Type="http://schemas.openxmlformats.org/officeDocument/2006/relationships/comments" Target="../comments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printerSettings" Target="../printerSettings/printerSettings26.bin"/><Relationship Id="rId1" Type="http://schemas.openxmlformats.org/officeDocument/2006/relationships/hyperlink" Target="https://www.bostonti.com/news/press-releases/detail/906/boston-therapeutics-shareholder-update.html" TargetMode="Externa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4.xml"/><Relationship Id="rId1" Type="http://schemas.openxmlformats.org/officeDocument/2006/relationships/printerSettings" Target="../printerSettings/printerSettings30.bin"/><Relationship Id="rId5" Type="http://schemas.openxmlformats.org/officeDocument/2006/relationships/comments" Target="../comments8.xml"/><Relationship Id="rId4" Type="http://schemas.openxmlformats.org/officeDocument/2006/relationships/vmlDrawing" Target="../drawings/vmlDrawing25.v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vmlDrawing" Target="../drawings/vmlDrawing26.vml"/><Relationship Id="rId1" Type="http://schemas.openxmlformats.org/officeDocument/2006/relationships/printerSettings" Target="../printerSettings/printerSettings31.bin"/><Relationship Id="rId4" Type="http://schemas.openxmlformats.org/officeDocument/2006/relationships/comments" Target="../comments9.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vmlDrawing" Target="../drawings/vmlDrawing31.vml"/><Relationship Id="rId1" Type="http://schemas.openxmlformats.org/officeDocument/2006/relationships/printerSettings" Target="../printerSettings/printerSettings36.bin"/><Relationship Id="rId4" Type="http://schemas.openxmlformats.org/officeDocument/2006/relationships/comments" Target="../comments10.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5.x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vmlDrawing" Target="../drawings/vmlDrawing34.vml"/><Relationship Id="rId1" Type="http://schemas.openxmlformats.org/officeDocument/2006/relationships/printerSettings" Target="../printerSettings/printerSettings38.bin"/><Relationship Id="rId4" Type="http://schemas.openxmlformats.org/officeDocument/2006/relationships/comments" Target="../comments1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vmlDrawing" Target="../drawings/vmlDrawing36.vml"/><Relationship Id="rId1" Type="http://schemas.openxmlformats.org/officeDocument/2006/relationships/printerSettings" Target="../printerSettings/printerSettings39.bin"/><Relationship Id="rId4" Type="http://schemas.openxmlformats.org/officeDocument/2006/relationships/comments" Target="../comments12.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6.xml"/><Relationship Id="rId1" Type="http://schemas.openxmlformats.org/officeDocument/2006/relationships/printerSettings" Target="../printerSettings/printerSettings41.bin"/><Relationship Id="rId4" Type="http://schemas.openxmlformats.org/officeDocument/2006/relationships/comments" Target="../comments13.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9.vml"/><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vmlDrawing" Target="../drawings/vmlDrawing41.vml"/><Relationship Id="rId1" Type="http://schemas.openxmlformats.org/officeDocument/2006/relationships/printerSettings" Target="../printerSettings/printerSettings46.bin"/><Relationship Id="rId4" Type="http://schemas.openxmlformats.org/officeDocument/2006/relationships/comments" Target="../comments15.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vmlDrawing" Target="../drawings/vmlDrawing43.vml"/><Relationship Id="rId1" Type="http://schemas.openxmlformats.org/officeDocument/2006/relationships/printerSettings" Target="../printerSettings/printerSettings47.bin"/><Relationship Id="rId4" Type="http://schemas.openxmlformats.org/officeDocument/2006/relationships/comments" Target="../comments16.xml"/></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5.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pivotTable" Target="../pivotTables/pivotTable1.xml"/></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45.vml"/><Relationship Id="rId1" Type="http://schemas.openxmlformats.org/officeDocument/2006/relationships/printerSettings" Target="../printerSettings/printerSettings53.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46.vml"/><Relationship Id="rId1" Type="http://schemas.openxmlformats.org/officeDocument/2006/relationships/printerSettings" Target="../printerSettings/printerSettings63.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8.xml"/><Relationship Id="rId1" Type="http://schemas.openxmlformats.org/officeDocument/2006/relationships/printerSettings" Target="../printerSettings/printerSettings64.bin"/><Relationship Id="rId4" Type="http://schemas.openxmlformats.org/officeDocument/2006/relationships/comments" Target="../comments19.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9.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48.vml"/><Relationship Id="rId1" Type="http://schemas.openxmlformats.org/officeDocument/2006/relationships/printerSettings" Target="../printerSettings/printerSettings73.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8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49.vml"/><Relationship Id="rId1" Type="http://schemas.openxmlformats.org/officeDocument/2006/relationships/printerSettings" Target="../printerSettings/printerSettings75.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6.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C13"/>
  <sheetViews>
    <sheetView workbookViewId="0"/>
  </sheetViews>
  <sheetFormatPr defaultColWidth="9.33203125" defaultRowHeight="12.75"/>
  <cols>
    <col min="1" max="1" width="6.6640625" style="310" customWidth="1"/>
    <col min="2" max="2" width="46" style="310" bestFit="1" customWidth="1"/>
    <col min="3" max="3" width="52.6640625" style="310" customWidth="1"/>
    <col min="4" max="16384" width="9.33203125" style="310"/>
  </cols>
  <sheetData>
    <row r="2" spans="1:3">
      <c r="A2" s="262" t="s">
        <v>354</v>
      </c>
    </row>
    <row r="3" spans="1:3">
      <c r="A3" s="310" t="s">
        <v>264</v>
      </c>
      <c r="B3" s="310" t="s">
        <v>574</v>
      </c>
      <c r="C3" s="310" t="s">
        <v>355</v>
      </c>
    </row>
    <row r="4" spans="1:3" ht="38.25">
      <c r="A4" s="316">
        <v>1</v>
      </c>
      <c r="B4" s="310" t="s">
        <v>356</v>
      </c>
      <c r="C4" s="6" t="s">
        <v>357</v>
      </c>
    </row>
    <row r="5" spans="1:3" ht="25.5">
      <c r="A5" s="316">
        <f>+A4+1</f>
        <v>2</v>
      </c>
      <c r="B5" s="310" t="s">
        <v>358</v>
      </c>
      <c r="C5" s="6" t="s">
        <v>420</v>
      </c>
    </row>
    <row r="6" spans="1:3" ht="25.5">
      <c r="A6" s="316">
        <f>+A5+1</f>
        <v>3</v>
      </c>
      <c r="B6" s="310" t="s">
        <v>359</v>
      </c>
      <c r="C6" s="6" t="s">
        <v>421</v>
      </c>
    </row>
    <row r="7" spans="1:3" ht="25.5">
      <c r="A7" s="316">
        <f>+A6+1</f>
        <v>4</v>
      </c>
      <c r="B7" s="310" t="s">
        <v>360</v>
      </c>
      <c r="C7" s="6" t="s">
        <v>422</v>
      </c>
    </row>
    <row r="8" spans="1:3">
      <c r="A8" s="316">
        <f>+A7+1</f>
        <v>5</v>
      </c>
      <c r="B8" s="310" t="s">
        <v>362</v>
      </c>
      <c r="C8" s="255" t="s">
        <v>361</v>
      </c>
    </row>
    <row r="11" spans="1:3">
      <c r="A11" s="262" t="s">
        <v>363</v>
      </c>
    </row>
    <row r="12" spans="1:3">
      <c r="A12" s="310">
        <v>1</v>
      </c>
      <c r="B12" s="310" t="s">
        <v>364</v>
      </c>
    </row>
    <row r="13" spans="1:3">
      <c r="A13" s="310">
        <v>2</v>
      </c>
      <c r="B13" s="310" t="s">
        <v>443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B3:G165"/>
  <sheetViews>
    <sheetView topLeftCell="A46" workbookViewId="0">
      <selection activeCell="F68" sqref="F68"/>
    </sheetView>
  </sheetViews>
  <sheetFormatPr defaultColWidth="9.33203125" defaultRowHeight="12.75"/>
  <cols>
    <col min="1" max="1" width="9.33203125" style="310"/>
    <col min="2" max="2" width="14.83203125" style="310" customWidth="1"/>
    <col min="3" max="3" width="13.33203125" style="310" customWidth="1"/>
    <col min="4" max="4" width="26.5" style="310" customWidth="1"/>
    <col min="5" max="5" width="9.33203125" style="310"/>
    <col min="6" max="6" width="65" style="310" customWidth="1"/>
    <col min="7" max="7" width="46.5" style="310" customWidth="1"/>
    <col min="8" max="16384" width="9.33203125" style="310"/>
  </cols>
  <sheetData>
    <row r="3" spans="2:7">
      <c r="B3" s="1" t="s">
        <v>923</v>
      </c>
      <c r="D3" s="310" t="s">
        <v>948</v>
      </c>
    </row>
    <row r="4" spans="2:7">
      <c r="B4" s="1" t="s">
        <v>929</v>
      </c>
      <c r="D4" s="660">
        <v>42850.427083333336</v>
      </c>
    </row>
    <row r="6" spans="2:7">
      <c r="B6" s="648" t="s">
        <v>924</v>
      </c>
      <c r="C6" s="648" t="s">
        <v>925</v>
      </c>
      <c r="D6" s="648" t="s">
        <v>926</v>
      </c>
      <c r="E6" s="648" t="s">
        <v>927</v>
      </c>
      <c r="F6" s="648" t="s">
        <v>444</v>
      </c>
      <c r="G6" s="648" t="s">
        <v>928</v>
      </c>
    </row>
    <row r="7" spans="2:7">
      <c r="B7" s="649"/>
      <c r="C7" s="649"/>
      <c r="D7" s="649"/>
      <c r="E7" s="649"/>
      <c r="F7" s="649"/>
      <c r="G7" s="649"/>
    </row>
    <row r="8" spans="2:7">
      <c r="B8" s="650">
        <v>42772</v>
      </c>
      <c r="C8" s="649" t="s">
        <v>930</v>
      </c>
      <c r="D8" s="649" t="s">
        <v>931</v>
      </c>
      <c r="E8" s="649" t="s">
        <v>932</v>
      </c>
      <c r="F8" s="649" t="s">
        <v>933</v>
      </c>
      <c r="G8" s="649"/>
    </row>
    <row r="9" spans="2:7" ht="25.5">
      <c r="B9" s="650">
        <v>42772</v>
      </c>
      <c r="C9" s="649" t="s">
        <v>930</v>
      </c>
      <c r="D9" s="649" t="s">
        <v>934</v>
      </c>
      <c r="E9" s="649" t="s">
        <v>935</v>
      </c>
      <c r="F9" s="651" t="s">
        <v>936</v>
      </c>
      <c r="G9" s="649"/>
    </row>
    <row r="10" spans="2:7">
      <c r="B10" s="652">
        <v>42776</v>
      </c>
      <c r="C10" s="649" t="s">
        <v>930</v>
      </c>
      <c r="D10" s="649" t="s">
        <v>937</v>
      </c>
      <c r="E10" s="649" t="s">
        <v>938</v>
      </c>
      <c r="F10" s="649" t="s">
        <v>939</v>
      </c>
      <c r="G10" s="649"/>
    </row>
    <row r="11" spans="2:7">
      <c r="B11" s="652">
        <v>42776</v>
      </c>
      <c r="C11" s="649" t="s">
        <v>930</v>
      </c>
      <c r="D11" s="649" t="s">
        <v>403</v>
      </c>
      <c r="E11" s="649" t="s">
        <v>940</v>
      </c>
      <c r="F11" s="649" t="s">
        <v>941</v>
      </c>
      <c r="G11" s="649"/>
    </row>
    <row r="12" spans="2:7">
      <c r="B12" s="652">
        <v>42776</v>
      </c>
      <c r="C12" s="649" t="s">
        <v>930</v>
      </c>
      <c r="D12" s="649" t="s">
        <v>942</v>
      </c>
      <c r="E12" s="649" t="s">
        <v>943</v>
      </c>
      <c r="F12" s="649" t="s">
        <v>944</v>
      </c>
      <c r="G12" s="649"/>
    </row>
    <row r="13" spans="2:7">
      <c r="B13" s="652">
        <v>42776</v>
      </c>
      <c r="C13" s="649" t="s">
        <v>930</v>
      </c>
      <c r="D13" s="649" t="s">
        <v>47</v>
      </c>
      <c r="E13" s="649" t="s">
        <v>946</v>
      </c>
      <c r="F13" s="649" t="s">
        <v>947</v>
      </c>
      <c r="G13" s="649"/>
    </row>
    <row r="14" spans="2:7">
      <c r="B14" s="652">
        <v>42800</v>
      </c>
      <c r="C14" s="649" t="s">
        <v>953</v>
      </c>
      <c r="D14" s="649" t="s">
        <v>391</v>
      </c>
      <c r="E14" s="649" t="s">
        <v>938</v>
      </c>
      <c r="F14" s="649" t="s">
        <v>956</v>
      </c>
      <c r="G14" s="649"/>
    </row>
    <row r="15" spans="2:7">
      <c r="B15" s="652">
        <v>42800</v>
      </c>
      <c r="C15" s="649" t="s">
        <v>953</v>
      </c>
      <c r="D15" s="649" t="s">
        <v>954</v>
      </c>
      <c r="E15" s="649" t="s">
        <v>938</v>
      </c>
      <c r="F15" s="649" t="s">
        <v>957</v>
      </c>
      <c r="G15" s="649"/>
    </row>
    <row r="16" spans="2:7">
      <c r="B16" s="652">
        <v>42800</v>
      </c>
      <c r="C16" s="649" t="s">
        <v>953</v>
      </c>
      <c r="D16" s="649" t="s">
        <v>955</v>
      </c>
      <c r="E16" s="649" t="s">
        <v>959</v>
      </c>
      <c r="F16" s="649" t="s">
        <v>958</v>
      </c>
      <c r="G16" s="649"/>
    </row>
    <row r="17" spans="2:7">
      <c r="B17" s="652">
        <v>42801</v>
      </c>
      <c r="C17" s="649" t="s">
        <v>953</v>
      </c>
      <c r="D17" s="649" t="s">
        <v>403</v>
      </c>
      <c r="E17" s="649" t="s">
        <v>961</v>
      </c>
      <c r="F17" s="649" t="s">
        <v>960</v>
      </c>
      <c r="G17" s="649"/>
    </row>
    <row r="18" spans="2:7">
      <c r="B18" s="652">
        <v>42811</v>
      </c>
      <c r="C18" s="649" t="s">
        <v>964</v>
      </c>
      <c r="D18" s="649" t="s">
        <v>965</v>
      </c>
      <c r="E18" s="649" t="s">
        <v>966</v>
      </c>
      <c r="F18" s="649" t="s">
        <v>967</v>
      </c>
      <c r="G18" s="649"/>
    </row>
    <row r="19" spans="2:7">
      <c r="B19" s="652">
        <v>42817</v>
      </c>
      <c r="C19" s="649" t="s">
        <v>953</v>
      </c>
      <c r="D19" s="649" t="s">
        <v>75</v>
      </c>
      <c r="E19" s="649" t="s">
        <v>968</v>
      </c>
      <c r="F19" s="649" t="s">
        <v>969</v>
      </c>
      <c r="G19" s="649"/>
    </row>
    <row r="20" spans="2:7">
      <c r="B20" s="652">
        <v>42849</v>
      </c>
      <c r="C20" s="649" t="s">
        <v>930</v>
      </c>
      <c r="D20" s="649" t="s">
        <v>955</v>
      </c>
      <c r="E20" s="649" t="s">
        <v>970</v>
      </c>
      <c r="F20" s="649" t="s">
        <v>971</v>
      </c>
      <c r="G20" s="649"/>
    </row>
    <row r="21" spans="2:7">
      <c r="B21" s="652">
        <v>42850</v>
      </c>
      <c r="C21" s="649" t="s">
        <v>930</v>
      </c>
      <c r="D21" s="649" t="s">
        <v>972</v>
      </c>
      <c r="E21" s="649" t="s">
        <v>974</v>
      </c>
      <c r="F21" s="649" t="s">
        <v>973</v>
      </c>
      <c r="G21" s="649"/>
    </row>
    <row r="22" spans="2:7">
      <c r="B22" s="652">
        <v>42878</v>
      </c>
      <c r="C22" s="649" t="s">
        <v>964</v>
      </c>
      <c r="D22" s="649" t="s">
        <v>1068</v>
      </c>
      <c r="E22" s="649"/>
      <c r="F22" s="649" t="s">
        <v>1069</v>
      </c>
      <c r="G22" s="649"/>
    </row>
    <row r="23" spans="2:7">
      <c r="B23" s="652">
        <v>42878</v>
      </c>
      <c r="C23" s="649" t="s">
        <v>964</v>
      </c>
      <c r="D23" s="649" t="s">
        <v>1046</v>
      </c>
      <c r="E23" s="649"/>
      <c r="F23" s="649" t="s">
        <v>1076</v>
      </c>
      <c r="G23" s="649"/>
    </row>
    <row r="24" spans="2:7">
      <c r="B24" s="652">
        <v>42878</v>
      </c>
      <c r="C24" s="649" t="s">
        <v>964</v>
      </c>
      <c r="D24" s="649" t="s">
        <v>1070</v>
      </c>
      <c r="E24" s="649"/>
      <c r="F24" s="649" t="s">
        <v>1071</v>
      </c>
      <c r="G24" s="649"/>
    </row>
    <row r="25" spans="2:7">
      <c r="B25" s="652">
        <v>42878</v>
      </c>
      <c r="C25" s="649" t="s">
        <v>964</v>
      </c>
      <c r="D25" s="649" t="s">
        <v>1072</v>
      </c>
      <c r="E25" s="649"/>
      <c r="F25" s="649" t="s">
        <v>1073</v>
      </c>
      <c r="G25" s="649"/>
    </row>
    <row r="26" spans="2:7">
      <c r="B26" s="652">
        <v>42878</v>
      </c>
      <c r="C26" s="649" t="s">
        <v>964</v>
      </c>
      <c r="D26" s="649" t="s">
        <v>47</v>
      </c>
      <c r="E26" s="649"/>
      <c r="F26" s="649" t="s">
        <v>1074</v>
      </c>
      <c r="G26" s="649"/>
    </row>
    <row r="27" spans="2:7">
      <c r="B27" s="652">
        <v>42878</v>
      </c>
      <c r="C27" s="649" t="s">
        <v>964</v>
      </c>
      <c r="D27" s="649" t="s">
        <v>1054</v>
      </c>
      <c r="E27" s="649"/>
      <c r="F27" s="649" t="s">
        <v>1075</v>
      </c>
      <c r="G27" s="649"/>
    </row>
    <row r="28" spans="2:7">
      <c r="B28" s="652">
        <v>42885</v>
      </c>
      <c r="C28" s="649" t="s">
        <v>964</v>
      </c>
      <c r="D28" s="649" t="s">
        <v>196</v>
      </c>
      <c r="E28" s="649"/>
      <c r="F28" s="649" t="s">
        <v>1077</v>
      </c>
      <c r="G28" s="649"/>
    </row>
    <row r="29" spans="2:7">
      <c r="B29" s="652">
        <v>42885</v>
      </c>
      <c r="C29" s="649" t="s">
        <v>964</v>
      </c>
      <c r="D29" s="649" t="s">
        <v>75</v>
      </c>
      <c r="E29" s="649" t="s">
        <v>1078</v>
      </c>
      <c r="F29" s="649" t="s">
        <v>1079</v>
      </c>
      <c r="G29" s="649"/>
    </row>
    <row r="30" spans="2:7">
      <c r="B30" s="652">
        <v>42885</v>
      </c>
      <c r="C30" s="649" t="s">
        <v>964</v>
      </c>
      <c r="D30" s="649" t="s">
        <v>1080</v>
      </c>
      <c r="E30" s="649"/>
      <c r="F30" s="649" t="s">
        <v>1081</v>
      </c>
      <c r="G30" s="649"/>
    </row>
    <row r="31" spans="2:7">
      <c r="B31" s="652">
        <v>42885</v>
      </c>
      <c r="C31" s="649" t="s">
        <v>964</v>
      </c>
      <c r="D31" s="649" t="s">
        <v>1080</v>
      </c>
      <c r="E31" s="649"/>
      <c r="F31" s="649" t="s">
        <v>1082</v>
      </c>
      <c r="G31" s="649"/>
    </row>
    <row r="32" spans="2:7">
      <c r="B32" s="652">
        <v>43039</v>
      </c>
      <c r="C32" s="649" t="s">
        <v>964</v>
      </c>
      <c r="D32" s="649" t="s">
        <v>643</v>
      </c>
      <c r="E32" s="649"/>
      <c r="F32" s="649" t="s">
        <v>1101</v>
      </c>
      <c r="G32" s="649"/>
    </row>
    <row r="33" spans="2:7">
      <c r="B33" s="652">
        <v>43039</v>
      </c>
      <c r="C33" s="649" t="s">
        <v>964</v>
      </c>
      <c r="D33" s="649" t="s">
        <v>1102</v>
      </c>
      <c r="E33" s="649"/>
      <c r="F33" s="649" t="s">
        <v>1103</v>
      </c>
      <c r="G33" s="649"/>
    </row>
    <row r="34" spans="2:7">
      <c r="B34" s="652">
        <v>43049</v>
      </c>
      <c r="C34" s="649" t="s">
        <v>964</v>
      </c>
      <c r="D34" s="649" t="s">
        <v>1104</v>
      </c>
      <c r="E34" s="649"/>
      <c r="F34" s="649" t="s">
        <v>1105</v>
      </c>
      <c r="G34" s="649"/>
    </row>
    <row r="35" spans="2:7">
      <c r="B35" s="652">
        <v>43083</v>
      </c>
      <c r="C35" s="649" t="s">
        <v>964</v>
      </c>
      <c r="D35" s="649" t="s">
        <v>1176</v>
      </c>
      <c r="E35" s="649"/>
      <c r="F35" s="649" t="s">
        <v>1175</v>
      </c>
      <c r="G35" s="649"/>
    </row>
    <row r="36" spans="2:7">
      <c r="B36" s="652">
        <v>43098</v>
      </c>
      <c r="C36" s="649" t="s">
        <v>964</v>
      </c>
      <c r="D36" s="649" t="s">
        <v>1080</v>
      </c>
      <c r="E36" s="649"/>
      <c r="F36" s="649" t="s">
        <v>1240</v>
      </c>
      <c r="G36" s="649"/>
    </row>
    <row r="37" spans="2:7">
      <c r="B37" s="652">
        <v>43105</v>
      </c>
      <c r="C37" s="649" t="s">
        <v>964</v>
      </c>
      <c r="D37" s="649" t="s">
        <v>1080</v>
      </c>
      <c r="E37" s="649"/>
      <c r="F37" s="649" t="s">
        <v>1241</v>
      </c>
      <c r="G37" s="649"/>
    </row>
    <row r="38" spans="2:7">
      <c r="B38" s="652">
        <v>43105</v>
      </c>
      <c r="C38" s="649" t="s">
        <v>964</v>
      </c>
      <c r="D38" s="649" t="s">
        <v>1245</v>
      </c>
      <c r="E38" s="649"/>
      <c r="F38" s="649" t="s">
        <v>1246</v>
      </c>
      <c r="G38" s="649"/>
    </row>
    <row r="39" spans="2:7">
      <c r="B39" s="652">
        <v>43105</v>
      </c>
      <c r="C39" s="649" t="s">
        <v>964</v>
      </c>
      <c r="D39" s="649" t="s">
        <v>1070</v>
      </c>
      <c r="E39" s="649"/>
      <c r="F39" s="649" t="s">
        <v>1247</v>
      </c>
      <c r="G39" s="649"/>
    </row>
    <row r="40" spans="2:7">
      <c r="B40" s="652">
        <v>43105</v>
      </c>
      <c r="C40" s="649" t="s">
        <v>964</v>
      </c>
      <c r="D40" s="649" t="s">
        <v>1046</v>
      </c>
      <c r="E40" s="649"/>
      <c r="F40" s="649" t="s">
        <v>1248</v>
      </c>
      <c r="G40" s="649"/>
    </row>
    <row r="41" spans="2:7">
      <c r="B41" s="2424">
        <v>43222</v>
      </c>
      <c r="C41" s="2425" t="s">
        <v>964</v>
      </c>
      <c r="D41" s="2425" t="s">
        <v>3240</v>
      </c>
      <c r="E41" s="2425"/>
      <c r="F41" s="2425" t="s">
        <v>3241</v>
      </c>
      <c r="G41" s="649"/>
    </row>
    <row r="42" spans="2:7">
      <c r="B42" s="2424">
        <v>43222</v>
      </c>
      <c r="C42" s="2425" t="s">
        <v>3245</v>
      </c>
      <c r="D42" s="2425" t="s">
        <v>3246</v>
      </c>
      <c r="E42" s="2425"/>
      <c r="F42" s="2425" t="s">
        <v>3247</v>
      </c>
      <c r="G42" s="649"/>
    </row>
    <row r="43" spans="2:7">
      <c r="B43" s="2424">
        <v>43222</v>
      </c>
      <c r="C43" s="2425" t="s">
        <v>3245</v>
      </c>
      <c r="D43" s="2425" t="s">
        <v>3246</v>
      </c>
      <c r="E43" s="2425" t="s">
        <v>3252</v>
      </c>
      <c r="F43" s="2425" t="s">
        <v>3253</v>
      </c>
      <c r="G43" s="649"/>
    </row>
    <row r="44" spans="2:7">
      <c r="B44" s="2424">
        <v>43222</v>
      </c>
      <c r="C44" s="2425" t="s">
        <v>3245</v>
      </c>
      <c r="D44" s="2425" t="s">
        <v>3254</v>
      </c>
      <c r="E44" s="2425"/>
      <c r="F44" s="2425" t="s">
        <v>3247</v>
      </c>
      <c r="G44" s="649"/>
    </row>
    <row r="45" spans="2:7">
      <c r="B45" s="2424">
        <v>43222</v>
      </c>
      <c r="C45" s="2425" t="s">
        <v>3245</v>
      </c>
      <c r="D45" s="2425" t="s">
        <v>3254</v>
      </c>
      <c r="E45" s="2425" t="s">
        <v>3252</v>
      </c>
      <c r="F45" s="2425" t="s">
        <v>3253</v>
      </c>
      <c r="G45" s="649"/>
    </row>
    <row r="46" spans="2:7">
      <c r="B46" s="2424">
        <v>43222</v>
      </c>
      <c r="C46" s="2425" t="s">
        <v>3245</v>
      </c>
      <c r="D46" s="2425" t="s">
        <v>1060</v>
      </c>
      <c r="E46" s="2425" t="s">
        <v>3255</v>
      </c>
      <c r="F46" s="2425" t="s">
        <v>3256</v>
      </c>
      <c r="G46" s="649"/>
    </row>
    <row r="47" spans="2:7">
      <c r="B47" s="2424">
        <v>43222</v>
      </c>
      <c r="C47" s="2425" t="s">
        <v>3245</v>
      </c>
      <c r="D47" s="2425" t="s">
        <v>3257</v>
      </c>
      <c r="E47" s="2425" t="s">
        <v>3258</v>
      </c>
      <c r="F47" s="2425" t="s">
        <v>3259</v>
      </c>
      <c r="G47" s="649"/>
    </row>
    <row r="48" spans="2:7">
      <c r="B48" s="2424">
        <v>43222</v>
      </c>
      <c r="C48" s="2425" t="s">
        <v>3245</v>
      </c>
      <c r="D48" s="2425" t="s">
        <v>3260</v>
      </c>
      <c r="E48" s="2425"/>
      <c r="F48" s="2425" t="s">
        <v>3261</v>
      </c>
      <c r="G48" s="649"/>
    </row>
    <row r="49" spans="2:7">
      <c r="B49" s="2424">
        <v>43222</v>
      </c>
      <c r="C49" s="2425" t="s">
        <v>3245</v>
      </c>
      <c r="D49" s="2425" t="s">
        <v>196</v>
      </c>
      <c r="E49" s="2425"/>
      <c r="F49" s="2425" t="s">
        <v>3262</v>
      </c>
      <c r="G49" s="649"/>
    </row>
    <row r="50" spans="2:7">
      <c r="B50" s="2424">
        <v>43222</v>
      </c>
      <c r="C50" s="2425" t="s">
        <v>3245</v>
      </c>
      <c r="D50" s="2425" t="s">
        <v>3260</v>
      </c>
      <c r="E50" s="2425"/>
      <c r="F50" s="2425" t="s">
        <v>3263</v>
      </c>
      <c r="G50" s="649"/>
    </row>
    <row r="51" spans="2:7">
      <c r="B51" s="2424">
        <v>43222</v>
      </c>
      <c r="C51" s="2425" t="s">
        <v>3245</v>
      </c>
      <c r="D51" s="2425" t="s">
        <v>3264</v>
      </c>
      <c r="E51" s="2425"/>
      <c r="F51" s="2425" t="s">
        <v>3265</v>
      </c>
      <c r="G51" s="649"/>
    </row>
    <row r="52" spans="2:7">
      <c r="B52" s="2424">
        <v>43222</v>
      </c>
      <c r="C52" s="2425" t="s">
        <v>3245</v>
      </c>
      <c r="D52" s="2425" t="s">
        <v>931</v>
      </c>
      <c r="E52" s="2425"/>
      <c r="F52" s="2425" t="s">
        <v>3266</v>
      </c>
      <c r="G52" s="649"/>
    </row>
    <row r="53" spans="2:7">
      <c r="B53" s="2424">
        <v>43222</v>
      </c>
      <c r="C53" s="2425" t="s">
        <v>3245</v>
      </c>
      <c r="D53" s="2425" t="s">
        <v>3267</v>
      </c>
      <c r="E53" s="2425"/>
      <c r="F53" s="2425" t="s">
        <v>3266</v>
      </c>
      <c r="G53" s="649"/>
    </row>
    <row r="54" spans="2:7">
      <c r="B54" s="2424">
        <v>43223</v>
      </c>
      <c r="C54" s="2425" t="s">
        <v>3268</v>
      </c>
      <c r="D54" s="2425" t="s">
        <v>3269</v>
      </c>
      <c r="E54" s="2425"/>
      <c r="F54" s="2425" t="s">
        <v>3270</v>
      </c>
      <c r="G54" s="649"/>
    </row>
    <row r="55" spans="2:7">
      <c r="B55" s="2424">
        <v>43223</v>
      </c>
      <c r="C55" s="2425" t="s">
        <v>3268</v>
      </c>
      <c r="D55" s="2425" t="s">
        <v>75</v>
      </c>
      <c r="E55" s="2425"/>
      <c r="F55" s="2425" t="s">
        <v>3271</v>
      </c>
      <c r="G55" s="649"/>
    </row>
    <row r="56" spans="2:7">
      <c r="B56" s="2424">
        <v>43223</v>
      </c>
      <c r="C56" s="2425" t="s">
        <v>3268</v>
      </c>
      <c r="D56" s="2425" t="s">
        <v>3272</v>
      </c>
      <c r="E56" s="2425"/>
      <c r="F56" s="2425" t="s">
        <v>3273</v>
      </c>
      <c r="G56" s="649"/>
    </row>
    <row r="57" spans="2:7">
      <c r="B57" s="2424">
        <v>43223</v>
      </c>
      <c r="C57" s="2425" t="s">
        <v>3268</v>
      </c>
      <c r="D57" s="2425" t="s">
        <v>3246</v>
      </c>
      <c r="E57" s="2425"/>
      <c r="F57" s="2425" t="s">
        <v>3274</v>
      </c>
      <c r="G57" s="649"/>
    </row>
    <row r="58" spans="2:7">
      <c r="B58" s="2424">
        <v>43223</v>
      </c>
      <c r="C58" s="2425" t="s">
        <v>3268</v>
      </c>
      <c r="D58" s="2425" t="s">
        <v>3246</v>
      </c>
      <c r="E58" s="2425"/>
      <c r="F58" s="2425" t="s">
        <v>3275</v>
      </c>
      <c r="G58" s="649"/>
    </row>
    <row r="59" spans="2:7">
      <c r="B59" s="2424">
        <v>43223</v>
      </c>
      <c r="C59" s="2425" t="s">
        <v>3268</v>
      </c>
      <c r="D59" s="2425" t="s">
        <v>3246</v>
      </c>
      <c r="E59" s="2425"/>
      <c r="F59" s="2425" t="s">
        <v>3276</v>
      </c>
      <c r="G59" s="649"/>
    </row>
    <row r="60" spans="2:7">
      <c r="B60" s="2424">
        <v>43223</v>
      </c>
      <c r="C60" s="2425" t="s">
        <v>3268</v>
      </c>
      <c r="D60" s="2425" t="s">
        <v>3277</v>
      </c>
      <c r="E60" s="2425"/>
      <c r="F60" s="2425" t="s">
        <v>3278</v>
      </c>
      <c r="G60" s="649"/>
    </row>
    <row r="61" spans="2:7">
      <c r="B61" s="2424">
        <v>43223</v>
      </c>
      <c r="C61" s="2425" t="s">
        <v>3268</v>
      </c>
      <c r="D61" s="2425" t="s">
        <v>1060</v>
      </c>
      <c r="E61" s="2425"/>
      <c r="F61" s="2425" t="s">
        <v>3279</v>
      </c>
      <c r="G61" s="649"/>
    </row>
    <row r="62" spans="2:7">
      <c r="B62" s="2424">
        <v>43223</v>
      </c>
      <c r="C62" s="2425" t="s">
        <v>3268</v>
      </c>
      <c r="D62" s="2425" t="s">
        <v>3280</v>
      </c>
      <c r="E62" s="2425"/>
      <c r="F62" s="2425" t="s">
        <v>3281</v>
      </c>
      <c r="G62" s="649"/>
    </row>
    <row r="63" spans="2:7">
      <c r="B63" s="2424">
        <v>43223</v>
      </c>
      <c r="C63" s="2425" t="s">
        <v>3268</v>
      </c>
      <c r="D63" s="2425" t="s">
        <v>196</v>
      </c>
      <c r="E63" s="2425"/>
      <c r="F63" s="2425" t="s">
        <v>3282</v>
      </c>
      <c r="G63" s="649"/>
    </row>
    <row r="64" spans="2:7">
      <c r="B64" s="2424">
        <v>43223</v>
      </c>
      <c r="C64" s="2425" t="s">
        <v>3268</v>
      </c>
      <c r="D64" s="2425" t="s">
        <v>3283</v>
      </c>
      <c r="E64" s="2425"/>
      <c r="F64" s="2425" t="s">
        <v>3284</v>
      </c>
      <c r="G64" s="649"/>
    </row>
    <row r="65" spans="2:7">
      <c r="B65" s="2424">
        <v>43223</v>
      </c>
      <c r="C65" s="2425" t="s">
        <v>3268</v>
      </c>
      <c r="D65" s="2425" t="s">
        <v>3285</v>
      </c>
      <c r="E65" s="2425"/>
      <c r="F65" s="2425" t="s">
        <v>3286</v>
      </c>
      <c r="G65" s="649"/>
    </row>
    <row r="66" spans="2:7">
      <c r="B66" s="2424">
        <v>43223</v>
      </c>
      <c r="C66" s="2425" t="s">
        <v>3268</v>
      </c>
      <c r="D66" s="2425" t="s">
        <v>47</v>
      </c>
      <c r="E66" s="2425"/>
      <c r="F66" s="2425" t="s">
        <v>3287</v>
      </c>
      <c r="G66" s="649"/>
    </row>
    <row r="67" spans="2:7">
      <c r="B67" s="2424">
        <v>43227</v>
      </c>
      <c r="C67" s="2425" t="s">
        <v>964</v>
      </c>
      <c r="D67" s="2425" t="s">
        <v>196</v>
      </c>
      <c r="E67" s="2425" t="s">
        <v>3289</v>
      </c>
      <c r="F67" s="2425" t="s">
        <v>3290</v>
      </c>
      <c r="G67" s="649"/>
    </row>
    <row r="68" spans="2:7">
      <c r="B68" s="2424">
        <v>43245</v>
      </c>
      <c r="C68" s="2425" t="s">
        <v>964</v>
      </c>
      <c r="D68" s="2425" t="s">
        <v>196</v>
      </c>
      <c r="E68" s="2425"/>
      <c r="F68" s="2425" t="s">
        <v>3291</v>
      </c>
      <c r="G68" s="649"/>
    </row>
    <row r="69" spans="2:7">
      <c r="B69" s="649"/>
      <c r="C69" s="649"/>
      <c r="D69" s="649"/>
      <c r="E69" s="649"/>
      <c r="F69" s="649"/>
      <c r="G69" s="649"/>
    </row>
    <row r="70" spans="2:7">
      <c r="B70" s="649"/>
      <c r="C70" s="649"/>
      <c r="D70" s="649"/>
      <c r="E70" s="649"/>
      <c r="F70" s="649"/>
      <c r="G70" s="649"/>
    </row>
    <row r="71" spans="2:7">
      <c r="B71" s="649"/>
      <c r="C71" s="649"/>
      <c r="D71" s="649"/>
      <c r="E71" s="649"/>
      <c r="F71" s="649"/>
      <c r="G71" s="649"/>
    </row>
    <row r="72" spans="2:7">
      <c r="B72" s="649"/>
      <c r="C72" s="649"/>
      <c r="D72" s="649"/>
      <c r="E72" s="649"/>
      <c r="F72" s="649"/>
      <c r="G72" s="649"/>
    </row>
    <row r="73" spans="2:7">
      <c r="B73" s="649"/>
      <c r="C73" s="649"/>
      <c r="D73" s="649"/>
      <c r="E73" s="649"/>
      <c r="F73" s="649"/>
      <c r="G73" s="649"/>
    </row>
    <row r="74" spans="2:7">
      <c r="B74" s="649"/>
      <c r="C74" s="649"/>
      <c r="D74" s="649"/>
      <c r="E74" s="649"/>
      <c r="F74" s="649"/>
      <c r="G74" s="649"/>
    </row>
    <row r="75" spans="2:7">
      <c r="B75" s="649"/>
      <c r="C75" s="649"/>
      <c r="D75" s="649"/>
      <c r="E75" s="649"/>
      <c r="F75" s="649"/>
      <c r="G75" s="649"/>
    </row>
    <row r="76" spans="2:7">
      <c r="B76" s="649"/>
      <c r="C76" s="649"/>
      <c r="D76" s="649"/>
      <c r="E76" s="649"/>
      <c r="F76" s="649"/>
      <c r="G76" s="649"/>
    </row>
    <row r="77" spans="2:7">
      <c r="B77" s="649"/>
      <c r="C77" s="649"/>
      <c r="D77" s="649"/>
      <c r="E77" s="649"/>
      <c r="F77" s="649"/>
      <c r="G77" s="649"/>
    </row>
    <row r="78" spans="2:7">
      <c r="B78" s="649"/>
      <c r="C78" s="649"/>
      <c r="D78" s="649"/>
      <c r="E78" s="649"/>
      <c r="F78" s="649"/>
      <c r="G78" s="649"/>
    </row>
    <row r="79" spans="2:7">
      <c r="B79" s="649"/>
      <c r="C79" s="649"/>
      <c r="D79" s="649"/>
      <c r="E79" s="649"/>
      <c r="F79" s="649"/>
      <c r="G79" s="649"/>
    </row>
    <row r="80" spans="2:7">
      <c r="B80" s="649"/>
      <c r="C80" s="649"/>
      <c r="D80" s="649"/>
      <c r="E80" s="649"/>
      <c r="F80" s="649"/>
      <c r="G80" s="649"/>
    </row>
    <row r="81" spans="2:7">
      <c r="B81" s="649"/>
      <c r="C81" s="649"/>
      <c r="D81" s="649"/>
      <c r="E81" s="649"/>
      <c r="F81" s="649"/>
      <c r="G81" s="649"/>
    </row>
    <row r="82" spans="2:7">
      <c r="B82" s="649"/>
      <c r="C82" s="649"/>
      <c r="D82" s="649"/>
      <c r="E82" s="649"/>
      <c r="F82" s="649"/>
      <c r="G82" s="649"/>
    </row>
    <row r="83" spans="2:7">
      <c r="B83" s="649"/>
      <c r="C83" s="649"/>
      <c r="D83" s="649"/>
      <c r="E83" s="649"/>
      <c r="F83" s="649"/>
      <c r="G83" s="649"/>
    </row>
    <row r="84" spans="2:7">
      <c r="B84" s="649"/>
      <c r="C84" s="649"/>
      <c r="D84" s="649"/>
      <c r="E84" s="649"/>
      <c r="F84" s="649"/>
      <c r="G84" s="649"/>
    </row>
    <row r="85" spans="2:7">
      <c r="B85" s="649"/>
      <c r="C85" s="649"/>
      <c r="D85" s="649"/>
      <c r="E85" s="649"/>
      <c r="F85" s="649"/>
      <c r="G85" s="649"/>
    </row>
    <row r="86" spans="2:7">
      <c r="B86" s="649"/>
      <c r="C86" s="649"/>
      <c r="D86" s="649"/>
      <c r="E86" s="649"/>
      <c r="F86" s="649"/>
      <c r="G86" s="649"/>
    </row>
    <row r="87" spans="2:7">
      <c r="B87" s="649"/>
      <c r="C87" s="649"/>
      <c r="D87" s="649"/>
      <c r="E87" s="649"/>
      <c r="F87" s="649"/>
      <c r="G87" s="649"/>
    </row>
    <row r="88" spans="2:7">
      <c r="B88" s="649"/>
      <c r="C88" s="649"/>
      <c r="D88" s="649"/>
      <c r="E88" s="649"/>
      <c r="F88" s="649"/>
      <c r="G88" s="649"/>
    </row>
    <row r="89" spans="2:7">
      <c r="B89" s="649"/>
      <c r="C89" s="649"/>
      <c r="D89" s="649"/>
      <c r="E89" s="649"/>
      <c r="F89" s="649"/>
      <c r="G89" s="649"/>
    </row>
    <row r="90" spans="2:7">
      <c r="B90" s="649"/>
      <c r="C90" s="649"/>
      <c r="D90" s="649"/>
      <c r="E90" s="649"/>
      <c r="F90" s="649"/>
      <c r="G90" s="649"/>
    </row>
    <row r="91" spans="2:7">
      <c r="B91" s="649"/>
      <c r="C91" s="649"/>
      <c r="D91" s="649"/>
      <c r="E91" s="649"/>
      <c r="F91" s="649"/>
      <c r="G91" s="649"/>
    </row>
    <row r="92" spans="2:7">
      <c r="B92" s="649"/>
      <c r="C92" s="649"/>
      <c r="D92" s="649"/>
      <c r="E92" s="649"/>
      <c r="F92" s="649"/>
      <c r="G92" s="649"/>
    </row>
    <row r="93" spans="2:7">
      <c r="B93" s="649"/>
      <c r="C93" s="649"/>
      <c r="D93" s="649"/>
      <c r="E93" s="649"/>
      <c r="F93" s="649"/>
      <c r="G93" s="649"/>
    </row>
    <row r="94" spans="2:7">
      <c r="B94" s="649"/>
      <c r="C94" s="649"/>
      <c r="D94" s="649"/>
      <c r="E94" s="649"/>
      <c r="F94" s="649"/>
      <c r="G94" s="649"/>
    </row>
    <row r="95" spans="2:7">
      <c r="B95" s="649"/>
      <c r="C95" s="649"/>
      <c r="D95" s="649"/>
      <c r="E95" s="649"/>
      <c r="F95" s="649"/>
      <c r="G95" s="649"/>
    </row>
    <row r="96" spans="2:7">
      <c r="B96" s="649"/>
      <c r="C96" s="649"/>
      <c r="D96" s="649"/>
      <c r="E96" s="649"/>
      <c r="F96" s="649"/>
      <c r="G96" s="649"/>
    </row>
    <row r="97" spans="2:7">
      <c r="B97" s="649"/>
      <c r="C97" s="649"/>
      <c r="D97" s="649"/>
      <c r="E97" s="649"/>
      <c r="F97" s="649"/>
      <c r="G97" s="649"/>
    </row>
    <row r="98" spans="2:7">
      <c r="B98" s="649"/>
      <c r="C98" s="649"/>
      <c r="D98" s="649"/>
      <c r="E98" s="649"/>
      <c r="F98" s="649"/>
      <c r="G98" s="649"/>
    </row>
    <row r="99" spans="2:7">
      <c r="B99" s="649"/>
      <c r="C99" s="649"/>
      <c r="D99" s="649"/>
      <c r="E99" s="649"/>
      <c r="F99" s="649"/>
      <c r="G99" s="649"/>
    </row>
    <row r="100" spans="2:7">
      <c r="B100" s="649"/>
      <c r="C100" s="649"/>
      <c r="D100" s="649"/>
      <c r="E100" s="649"/>
      <c r="F100" s="649"/>
      <c r="G100" s="649"/>
    </row>
    <row r="101" spans="2:7">
      <c r="B101" s="649"/>
      <c r="C101" s="649"/>
      <c r="D101" s="649"/>
      <c r="E101" s="649"/>
      <c r="F101" s="649"/>
      <c r="G101" s="649"/>
    </row>
    <row r="102" spans="2:7">
      <c r="B102" s="649"/>
      <c r="C102" s="649"/>
      <c r="D102" s="649"/>
      <c r="E102" s="649"/>
      <c r="F102" s="649"/>
      <c r="G102" s="649"/>
    </row>
    <row r="103" spans="2:7">
      <c r="B103" s="649"/>
      <c r="C103" s="649"/>
      <c r="D103" s="649"/>
      <c r="E103" s="649"/>
      <c r="F103" s="649"/>
      <c r="G103" s="649"/>
    </row>
    <row r="104" spans="2:7">
      <c r="B104" s="649"/>
      <c r="C104" s="649"/>
      <c r="D104" s="649"/>
      <c r="E104" s="649"/>
      <c r="F104" s="649"/>
      <c r="G104" s="649"/>
    </row>
    <row r="105" spans="2:7">
      <c r="B105" s="649"/>
      <c r="C105" s="649"/>
      <c r="D105" s="649"/>
      <c r="E105" s="649"/>
      <c r="F105" s="649"/>
      <c r="G105" s="649"/>
    </row>
    <row r="106" spans="2:7">
      <c r="B106" s="649"/>
      <c r="C106" s="649"/>
      <c r="D106" s="649"/>
      <c r="E106" s="649"/>
      <c r="F106" s="649"/>
      <c r="G106" s="649"/>
    </row>
    <row r="107" spans="2:7">
      <c r="B107" s="649"/>
      <c r="C107" s="649"/>
      <c r="D107" s="649"/>
      <c r="E107" s="649"/>
      <c r="F107" s="649"/>
      <c r="G107" s="649"/>
    </row>
    <row r="108" spans="2:7">
      <c r="B108" s="649"/>
      <c r="C108" s="649"/>
      <c r="D108" s="649"/>
      <c r="E108" s="649"/>
      <c r="F108" s="649"/>
      <c r="G108" s="649"/>
    </row>
    <row r="109" spans="2:7">
      <c r="B109" s="649"/>
      <c r="C109" s="649"/>
      <c r="D109" s="649"/>
      <c r="E109" s="649"/>
      <c r="F109" s="649"/>
      <c r="G109" s="649"/>
    </row>
    <row r="110" spans="2:7">
      <c r="B110" s="649"/>
      <c r="C110" s="649"/>
      <c r="D110" s="649"/>
      <c r="E110" s="649"/>
      <c r="F110" s="649"/>
      <c r="G110" s="649"/>
    </row>
    <row r="111" spans="2:7">
      <c r="B111" s="649"/>
      <c r="C111" s="649"/>
      <c r="D111" s="649"/>
      <c r="E111" s="649"/>
      <c r="F111" s="649"/>
      <c r="G111" s="649"/>
    </row>
    <row r="112" spans="2:7">
      <c r="B112" s="649"/>
      <c r="C112" s="649"/>
      <c r="D112" s="649"/>
      <c r="E112" s="649"/>
      <c r="F112" s="649"/>
      <c r="G112" s="649"/>
    </row>
    <row r="113" spans="2:7">
      <c r="B113" s="649"/>
      <c r="C113" s="649"/>
      <c r="D113" s="649"/>
      <c r="E113" s="649"/>
      <c r="F113" s="649"/>
      <c r="G113" s="649"/>
    </row>
    <row r="114" spans="2:7">
      <c r="B114" s="649"/>
      <c r="C114" s="649"/>
      <c r="D114" s="649"/>
      <c r="E114" s="649"/>
      <c r="F114" s="649"/>
      <c r="G114" s="649"/>
    </row>
    <row r="115" spans="2:7">
      <c r="B115" s="649"/>
      <c r="C115" s="649"/>
      <c r="D115" s="649"/>
      <c r="E115" s="649"/>
      <c r="F115" s="649"/>
      <c r="G115" s="649"/>
    </row>
    <row r="116" spans="2:7">
      <c r="B116" s="649"/>
      <c r="C116" s="649"/>
      <c r="D116" s="649"/>
      <c r="E116" s="649"/>
      <c r="F116" s="649"/>
      <c r="G116" s="649"/>
    </row>
    <row r="117" spans="2:7">
      <c r="B117" s="649"/>
      <c r="C117" s="649"/>
      <c r="D117" s="649"/>
      <c r="E117" s="649"/>
      <c r="F117" s="649"/>
      <c r="G117" s="649"/>
    </row>
    <row r="118" spans="2:7">
      <c r="B118" s="649"/>
      <c r="C118" s="649"/>
      <c r="D118" s="649"/>
      <c r="E118" s="649"/>
      <c r="F118" s="649"/>
      <c r="G118" s="649"/>
    </row>
    <row r="119" spans="2:7">
      <c r="B119" s="649"/>
      <c r="C119" s="649"/>
      <c r="D119" s="649"/>
      <c r="E119" s="649"/>
      <c r="F119" s="649"/>
      <c r="G119" s="649"/>
    </row>
    <row r="120" spans="2:7">
      <c r="B120" s="649"/>
      <c r="C120" s="649"/>
      <c r="D120" s="649"/>
      <c r="E120" s="649"/>
      <c r="F120" s="649"/>
      <c r="G120" s="649"/>
    </row>
    <row r="121" spans="2:7">
      <c r="B121" s="649"/>
      <c r="C121" s="649"/>
      <c r="D121" s="649"/>
      <c r="E121" s="649"/>
      <c r="F121" s="649"/>
      <c r="G121" s="649"/>
    </row>
    <row r="122" spans="2:7">
      <c r="B122" s="649"/>
      <c r="C122" s="649"/>
      <c r="D122" s="649"/>
      <c r="E122" s="649"/>
      <c r="F122" s="649"/>
      <c r="G122" s="649"/>
    </row>
    <row r="123" spans="2:7">
      <c r="B123" s="649"/>
      <c r="C123" s="649"/>
      <c r="D123" s="649"/>
      <c r="E123" s="649"/>
      <c r="F123" s="649"/>
      <c r="G123" s="649"/>
    </row>
    <row r="124" spans="2:7">
      <c r="B124" s="649"/>
      <c r="C124" s="649"/>
      <c r="D124" s="649"/>
      <c r="E124" s="649"/>
      <c r="F124" s="649"/>
      <c r="G124" s="649"/>
    </row>
    <row r="125" spans="2:7">
      <c r="B125" s="649"/>
      <c r="C125" s="649"/>
      <c r="D125" s="649"/>
      <c r="E125" s="649"/>
      <c r="F125" s="649"/>
      <c r="G125" s="649"/>
    </row>
    <row r="126" spans="2:7">
      <c r="B126" s="649"/>
      <c r="C126" s="649"/>
      <c r="D126" s="649"/>
      <c r="E126" s="649"/>
      <c r="F126" s="649"/>
      <c r="G126" s="649"/>
    </row>
    <row r="127" spans="2:7">
      <c r="B127" s="649"/>
      <c r="C127" s="649"/>
      <c r="D127" s="649"/>
      <c r="E127" s="649"/>
      <c r="F127" s="649"/>
      <c r="G127" s="649"/>
    </row>
    <row r="128" spans="2:7">
      <c r="B128" s="649"/>
      <c r="C128" s="649"/>
      <c r="D128" s="649"/>
      <c r="E128" s="649"/>
      <c r="F128" s="649"/>
      <c r="G128" s="649"/>
    </row>
    <row r="129" spans="2:7">
      <c r="B129" s="649"/>
      <c r="C129" s="649"/>
      <c r="D129" s="649"/>
      <c r="E129" s="649"/>
      <c r="F129" s="649"/>
      <c r="G129" s="649"/>
    </row>
    <row r="130" spans="2:7">
      <c r="B130" s="649"/>
      <c r="C130" s="649"/>
      <c r="D130" s="649"/>
      <c r="E130" s="649"/>
      <c r="F130" s="649"/>
      <c r="G130" s="649"/>
    </row>
    <row r="131" spans="2:7">
      <c r="B131" s="649"/>
      <c r="C131" s="649"/>
      <c r="D131" s="649"/>
      <c r="E131" s="649"/>
      <c r="F131" s="649"/>
      <c r="G131" s="649"/>
    </row>
    <row r="132" spans="2:7">
      <c r="B132" s="649"/>
      <c r="C132" s="649"/>
      <c r="D132" s="649"/>
      <c r="E132" s="649"/>
      <c r="F132" s="649"/>
      <c r="G132" s="649"/>
    </row>
    <row r="133" spans="2:7">
      <c r="B133" s="649"/>
      <c r="C133" s="649"/>
      <c r="D133" s="649"/>
      <c r="E133" s="649"/>
      <c r="F133" s="649"/>
      <c r="G133" s="649"/>
    </row>
    <row r="134" spans="2:7">
      <c r="B134" s="649"/>
      <c r="C134" s="649"/>
      <c r="D134" s="649"/>
      <c r="E134" s="649"/>
      <c r="F134" s="649"/>
      <c r="G134" s="649"/>
    </row>
    <row r="135" spans="2:7">
      <c r="B135" s="649"/>
      <c r="C135" s="649"/>
      <c r="D135" s="649"/>
      <c r="E135" s="649"/>
      <c r="F135" s="649"/>
      <c r="G135" s="649"/>
    </row>
    <row r="136" spans="2:7">
      <c r="B136" s="649"/>
      <c r="C136" s="649"/>
      <c r="D136" s="649"/>
      <c r="E136" s="649"/>
      <c r="F136" s="649"/>
      <c r="G136" s="649"/>
    </row>
    <row r="137" spans="2:7">
      <c r="B137" s="649"/>
      <c r="C137" s="649"/>
      <c r="D137" s="649"/>
      <c r="E137" s="649"/>
      <c r="F137" s="649"/>
      <c r="G137" s="649"/>
    </row>
    <row r="138" spans="2:7">
      <c r="B138" s="649"/>
      <c r="C138" s="649"/>
      <c r="D138" s="649"/>
      <c r="E138" s="649"/>
      <c r="F138" s="649"/>
      <c r="G138" s="649"/>
    </row>
    <row r="139" spans="2:7">
      <c r="B139" s="649"/>
      <c r="C139" s="649"/>
      <c r="D139" s="649"/>
      <c r="E139" s="649"/>
      <c r="F139" s="649"/>
      <c r="G139" s="649"/>
    </row>
    <row r="140" spans="2:7">
      <c r="B140" s="649"/>
      <c r="C140" s="649"/>
      <c r="D140" s="649"/>
      <c r="E140" s="649"/>
      <c r="F140" s="649"/>
      <c r="G140" s="649"/>
    </row>
    <row r="141" spans="2:7">
      <c r="B141" s="649"/>
      <c r="C141" s="649"/>
      <c r="D141" s="649"/>
      <c r="E141" s="649"/>
      <c r="F141" s="649"/>
      <c r="G141" s="649"/>
    </row>
    <row r="142" spans="2:7">
      <c r="B142" s="649"/>
      <c r="C142" s="649"/>
      <c r="D142" s="649"/>
      <c r="E142" s="649"/>
      <c r="F142" s="649"/>
      <c r="G142" s="649"/>
    </row>
    <row r="143" spans="2:7">
      <c r="B143" s="649"/>
      <c r="C143" s="649"/>
      <c r="D143" s="649"/>
      <c r="E143" s="649"/>
      <c r="F143" s="649"/>
      <c r="G143" s="649"/>
    </row>
    <row r="144" spans="2:7">
      <c r="B144" s="649"/>
      <c r="C144" s="649"/>
      <c r="D144" s="649"/>
      <c r="E144" s="649"/>
      <c r="F144" s="649"/>
      <c r="G144" s="649"/>
    </row>
    <row r="145" spans="2:7">
      <c r="B145" s="649"/>
      <c r="C145" s="649"/>
      <c r="D145" s="649"/>
      <c r="E145" s="649"/>
      <c r="F145" s="649"/>
      <c r="G145" s="649"/>
    </row>
    <row r="146" spans="2:7">
      <c r="B146" s="649"/>
      <c r="C146" s="649"/>
      <c r="D146" s="649"/>
      <c r="E146" s="649"/>
      <c r="F146" s="649"/>
      <c r="G146" s="649"/>
    </row>
    <row r="147" spans="2:7">
      <c r="B147" s="649"/>
      <c r="C147" s="649"/>
      <c r="D147" s="649"/>
      <c r="E147" s="649"/>
      <c r="F147" s="649"/>
      <c r="G147" s="649"/>
    </row>
    <row r="148" spans="2:7">
      <c r="B148" s="649"/>
      <c r="C148" s="649"/>
      <c r="D148" s="649"/>
      <c r="E148" s="649"/>
      <c r="F148" s="649"/>
      <c r="G148" s="649"/>
    </row>
    <row r="149" spans="2:7">
      <c r="B149" s="649"/>
      <c r="C149" s="649"/>
      <c r="D149" s="649"/>
      <c r="E149" s="649"/>
      <c r="F149" s="649"/>
      <c r="G149" s="649"/>
    </row>
    <row r="150" spans="2:7">
      <c r="B150" s="649"/>
      <c r="C150" s="649"/>
      <c r="D150" s="649"/>
      <c r="E150" s="649"/>
      <c r="F150" s="649"/>
      <c r="G150" s="649"/>
    </row>
    <row r="151" spans="2:7">
      <c r="B151" s="649"/>
      <c r="C151" s="649"/>
      <c r="D151" s="649"/>
      <c r="E151" s="649"/>
      <c r="F151" s="649"/>
      <c r="G151" s="649"/>
    </row>
    <row r="152" spans="2:7">
      <c r="B152" s="649"/>
      <c r="C152" s="649"/>
      <c r="D152" s="649"/>
      <c r="E152" s="649"/>
      <c r="F152" s="649"/>
      <c r="G152" s="649"/>
    </row>
    <row r="153" spans="2:7">
      <c r="B153" s="649"/>
      <c r="C153" s="649"/>
      <c r="D153" s="649"/>
      <c r="E153" s="649"/>
      <c r="F153" s="649"/>
      <c r="G153" s="649"/>
    </row>
    <row r="154" spans="2:7">
      <c r="B154" s="649"/>
      <c r="C154" s="649"/>
      <c r="D154" s="649"/>
      <c r="E154" s="649"/>
      <c r="F154" s="649"/>
      <c r="G154" s="649"/>
    </row>
    <row r="155" spans="2:7">
      <c r="B155" s="649"/>
      <c r="C155" s="649"/>
      <c r="D155" s="649"/>
      <c r="E155" s="649"/>
      <c r="F155" s="649"/>
      <c r="G155" s="649"/>
    </row>
    <row r="156" spans="2:7">
      <c r="B156" s="649"/>
      <c r="C156" s="649"/>
      <c r="D156" s="649"/>
      <c r="E156" s="649"/>
      <c r="F156" s="649"/>
      <c r="G156" s="649"/>
    </row>
    <row r="157" spans="2:7">
      <c r="B157" s="649"/>
      <c r="C157" s="649"/>
      <c r="D157" s="649"/>
      <c r="E157" s="649"/>
      <c r="F157" s="649"/>
      <c r="G157" s="649"/>
    </row>
    <row r="158" spans="2:7">
      <c r="B158" s="649"/>
      <c r="C158" s="649"/>
      <c r="D158" s="649"/>
      <c r="E158" s="649"/>
      <c r="F158" s="649"/>
      <c r="G158" s="649"/>
    </row>
    <row r="159" spans="2:7">
      <c r="B159" s="649"/>
      <c r="C159" s="649"/>
      <c r="D159" s="649"/>
      <c r="E159" s="649"/>
      <c r="F159" s="649"/>
      <c r="G159" s="649"/>
    </row>
    <row r="160" spans="2:7">
      <c r="B160" s="649"/>
      <c r="C160" s="649"/>
      <c r="D160" s="649"/>
      <c r="E160" s="649"/>
      <c r="F160" s="649"/>
      <c r="G160" s="649"/>
    </row>
    <row r="161" spans="2:7">
      <c r="B161" s="649"/>
      <c r="C161" s="649"/>
      <c r="D161" s="649"/>
      <c r="E161" s="649"/>
      <c r="F161" s="649"/>
      <c r="G161" s="649"/>
    </row>
    <row r="162" spans="2:7">
      <c r="B162" s="649"/>
      <c r="C162" s="649"/>
      <c r="D162" s="649"/>
      <c r="E162" s="649"/>
      <c r="F162" s="649"/>
      <c r="G162" s="649"/>
    </row>
    <row r="163" spans="2:7">
      <c r="B163" s="649"/>
      <c r="C163" s="649"/>
      <c r="D163" s="649"/>
      <c r="E163" s="649"/>
      <c r="F163" s="649"/>
      <c r="G163" s="649"/>
    </row>
    <row r="164" spans="2:7">
      <c r="B164" s="649"/>
      <c r="C164" s="649"/>
      <c r="D164" s="649"/>
      <c r="E164" s="649"/>
      <c r="F164" s="649"/>
      <c r="G164" s="649"/>
    </row>
    <row r="165" spans="2:7">
      <c r="B165" s="649"/>
      <c r="C165" s="649"/>
      <c r="D165" s="649"/>
      <c r="E165" s="649"/>
      <c r="F165" s="649"/>
      <c r="G165" s="64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1"/>
  </sheetPr>
  <dimension ref="A1:D61"/>
  <sheetViews>
    <sheetView workbookViewId="0">
      <selection activeCell="C6" sqref="C6"/>
    </sheetView>
  </sheetViews>
  <sheetFormatPr defaultColWidth="9.33203125" defaultRowHeight="12.75"/>
  <cols>
    <col min="1" max="1" width="7" style="310" customWidth="1"/>
    <col min="2" max="2" width="27.1640625" style="310" customWidth="1"/>
    <col min="3" max="3" width="56.33203125" style="310" customWidth="1"/>
    <col min="4" max="4" width="20.83203125" style="144" customWidth="1"/>
    <col min="5" max="5" width="10.83203125" style="310" customWidth="1"/>
    <col min="6" max="6" width="9.33203125" style="310"/>
    <col min="7" max="7" width="12.83203125" style="310" customWidth="1"/>
    <col min="8" max="8" width="17.83203125" style="310" bestFit="1" customWidth="1"/>
    <col min="9" max="10" width="12.83203125" style="310" customWidth="1"/>
    <col min="11" max="16384" width="9.33203125" style="310"/>
  </cols>
  <sheetData>
    <row r="1" spans="1:4">
      <c r="A1" s="17" t="s">
        <v>255</v>
      </c>
    </row>
    <row r="3" spans="1:4">
      <c r="B3" s="310" t="s">
        <v>254</v>
      </c>
      <c r="C3" s="584">
        <v>42718</v>
      </c>
      <c r="D3" s="144" t="s">
        <v>375</v>
      </c>
    </row>
    <row r="5" spans="1:4">
      <c r="B5" s="310" t="s">
        <v>259</v>
      </c>
      <c r="C5" s="264" t="s">
        <v>1251</v>
      </c>
    </row>
    <row r="6" spans="1:4">
      <c r="B6" s="310" t="s">
        <v>260</v>
      </c>
      <c r="C6" s="585">
        <v>43281</v>
      </c>
    </row>
    <row r="7" spans="1:4">
      <c r="B7" s="310" t="s">
        <v>348</v>
      </c>
      <c r="C7" s="585">
        <v>43100</v>
      </c>
    </row>
    <row r="8" spans="1:4">
      <c r="B8" s="310" t="s">
        <v>271</v>
      </c>
      <c r="C8" s="264" t="s">
        <v>1555</v>
      </c>
    </row>
    <row r="9" spans="1:4">
      <c r="B9" s="310" t="s">
        <v>263</v>
      </c>
      <c r="C9" s="265">
        <v>0.4</v>
      </c>
    </row>
    <row r="10" spans="1:4">
      <c r="B10" s="310" t="s">
        <v>285</v>
      </c>
      <c r="C10" s="264"/>
    </row>
    <row r="13" spans="1:4">
      <c r="B13" s="310" t="s">
        <v>258</v>
      </c>
      <c r="C13" s="264"/>
    </row>
    <row r="14" spans="1:4">
      <c r="B14" s="310" t="s">
        <v>261</v>
      </c>
      <c r="C14" s="264" t="s">
        <v>3135</v>
      </c>
    </row>
    <row r="15" spans="1:4">
      <c r="B15" s="310" t="s">
        <v>262</v>
      </c>
      <c r="C15" s="264" t="s">
        <v>3134</v>
      </c>
    </row>
    <row r="16" spans="1:4">
      <c r="B16" s="310" t="s">
        <v>256</v>
      </c>
      <c r="C16" s="264"/>
    </row>
    <row r="17" spans="1:4">
      <c r="B17" s="310" t="s">
        <v>257</v>
      </c>
      <c r="C17" s="264"/>
    </row>
    <row r="19" spans="1:4">
      <c r="B19" s="310" t="s">
        <v>423</v>
      </c>
      <c r="C19" s="264" t="s">
        <v>68</v>
      </c>
    </row>
    <row r="20" spans="1:4">
      <c r="B20" s="310" t="s">
        <v>424</v>
      </c>
      <c r="C20" s="264" t="s">
        <v>426</v>
      </c>
    </row>
    <row r="21" spans="1:4">
      <c r="B21" s="310" t="s">
        <v>425</v>
      </c>
      <c r="C21" s="264" t="s">
        <v>0</v>
      </c>
    </row>
    <row r="22" spans="1:4">
      <c r="B22" s="310" t="s">
        <v>428</v>
      </c>
      <c r="C22" s="264" t="s">
        <v>427</v>
      </c>
    </row>
    <row r="23" spans="1:4">
      <c r="B23" s="310" t="s">
        <v>429</v>
      </c>
      <c r="C23" s="264" t="s">
        <v>920</v>
      </c>
    </row>
    <row r="24" spans="1:4">
      <c r="B24" s="310" t="s">
        <v>919</v>
      </c>
      <c r="C24" s="264" t="s">
        <v>18</v>
      </c>
    </row>
    <row r="25" spans="1:4">
      <c r="B25" s="310" t="s">
        <v>962</v>
      </c>
      <c r="C25" s="264" t="s">
        <v>963</v>
      </c>
    </row>
    <row r="26" spans="1:4">
      <c r="D26" s="315" t="s">
        <v>349</v>
      </c>
    </row>
    <row r="27" spans="1:4">
      <c r="A27" s="2401" t="s">
        <v>264</v>
      </c>
      <c r="B27" s="2402" t="s">
        <v>38</v>
      </c>
      <c r="C27" s="2403" t="s">
        <v>265</v>
      </c>
      <c r="D27" s="2404" t="s">
        <v>71</v>
      </c>
    </row>
    <row r="28" spans="1:4">
      <c r="A28" s="2405">
        <v>1</v>
      </c>
      <c r="B28" s="2406" t="str">
        <f>'Capital IQ Sheet-GPC'!A13</f>
        <v>CPSE:NOVO B</v>
      </c>
      <c r="C28" s="2407" t="str">
        <f>'Capital IQ Sheet-GPC'!B13</f>
        <v>IQ323452</v>
      </c>
      <c r="D28" s="2408">
        <f>IF(B28="","",Comp.1!C13)</f>
        <v>110584.08422999999</v>
      </c>
    </row>
    <row r="29" spans="1:4">
      <c r="A29" s="572">
        <f>A28+1</f>
        <v>2</v>
      </c>
      <c r="B29" s="266" t="str">
        <f>'Capital IQ Sheet-GPC'!A14</f>
        <v>SHSE:600867</v>
      </c>
      <c r="C29" s="267" t="str">
        <f>'Capital IQ Sheet-GPC'!B14</f>
        <v>IQ11419352</v>
      </c>
      <c r="D29" s="268">
        <f>IF(B29="","",Comp.1!C14)</f>
        <v>6000.97145</v>
      </c>
    </row>
    <row r="30" spans="1:4">
      <c r="A30" s="572">
        <f t="shared" ref="A30:A61" si="0">A29+1</f>
        <v>3</v>
      </c>
      <c r="B30" s="266" t="str">
        <f>'Capital IQ Sheet-GPC'!A15</f>
        <v>SEHK:1530</v>
      </c>
      <c r="C30" s="267" t="str">
        <f>'Capital IQ Sheet-GPC'!B15</f>
        <v>IQ24164591</v>
      </c>
      <c r="D30" s="268">
        <f>IF(B30="","",Comp.1!C15)</f>
        <v>3399.7200899999998</v>
      </c>
    </row>
    <row r="31" spans="1:4">
      <c r="A31" s="572">
        <f t="shared" si="0"/>
        <v>4</v>
      </c>
      <c r="B31" s="266" t="str">
        <f>'Capital IQ Sheet-GPC'!A16</f>
        <v>SEHK:2186</v>
      </c>
      <c r="C31" s="267" t="str">
        <f>'Capital IQ Sheet-GPC'!B16</f>
        <v>IQ9994690</v>
      </c>
      <c r="D31" s="268">
        <f>IF(B31="","",Comp.1!C16)</f>
        <v>2515.66275</v>
      </c>
    </row>
    <row r="32" spans="1:4">
      <c r="A32" s="572">
        <f t="shared" si="0"/>
        <v>5</v>
      </c>
      <c r="B32" s="266" t="str">
        <f>'Capital IQ Sheet-GPC'!A17</f>
        <v>NasdaqGS:ICPT</v>
      </c>
      <c r="C32" s="267" t="str">
        <f>'Capital IQ Sheet-GPC'!B17</f>
        <v>IQ11382658</v>
      </c>
      <c r="D32" s="268">
        <f>IF(B32="","",Comp.1!C17)</f>
        <v>2204.7008599999999</v>
      </c>
    </row>
    <row r="33" spans="1:4">
      <c r="A33" s="572">
        <f t="shared" si="0"/>
        <v>6</v>
      </c>
      <c r="B33" s="266" t="str">
        <f>'Capital IQ Sheet-GPC'!A18</f>
        <v>SEHK:3933</v>
      </c>
      <c r="C33" s="267" t="str">
        <f>'Capital IQ Sheet-GPC'!B18</f>
        <v>IQ34724429</v>
      </c>
      <c r="D33" s="268">
        <f>IF(B33="","",Comp.1!C18)</f>
        <v>379.61124999999998</v>
      </c>
    </row>
    <row r="34" spans="1:4">
      <c r="A34" s="572">
        <f t="shared" si="0"/>
        <v>7</v>
      </c>
      <c r="B34" s="266" t="str">
        <f>'Capital IQ Sheet-GPC'!A19</f>
        <v>NasdaqCM:CORT</v>
      </c>
      <c r="C34" s="267" t="str">
        <f>'Capital IQ Sheet-GPC'!B19</f>
        <v>IQ1423826</v>
      </c>
      <c r="D34" s="268">
        <f>IF(B34="","",Comp.1!C19)</f>
        <v>336.76713999999998</v>
      </c>
    </row>
    <row r="35" spans="1:4">
      <c r="A35" s="572">
        <f t="shared" si="0"/>
        <v>8</v>
      </c>
      <c r="B35" s="266" t="str">
        <f>'Capital IQ Sheet-GPC'!A20</f>
        <v>NasdaqGM:MNKD</v>
      </c>
      <c r="C35" s="267" t="str">
        <f>'Capital IQ Sheet-GPC'!B20</f>
        <v>IQ9282918</v>
      </c>
      <c r="D35" s="268">
        <f>IF(B35="","",Comp.1!C20)</f>
        <v>7365.7138199999999</v>
      </c>
    </row>
    <row r="36" spans="1:4">
      <c r="A36" s="572">
        <f t="shared" si="0"/>
        <v>9</v>
      </c>
      <c r="B36" s="266" t="str">
        <f>'Capital IQ Sheet-GPC'!A21</f>
        <v>CPSE:ZEAL</v>
      </c>
      <c r="C36" s="267" t="str">
        <f>'Capital IQ Sheet-GPC'!B21</f>
        <v>IQ1268514</v>
      </c>
      <c r="D36" s="268">
        <f>IF(B36="","",Comp.1!C21)</f>
        <v>1686.1324</v>
      </c>
    </row>
    <row r="37" spans="1:4">
      <c r="A37" s="572">
        <f t="shared" si="0"/>
        <v>10</v>
      </c>
      <c r="B37" s="266" t="str">
        <f>'Capital IQ Sheet-GPC'!A22</f>
        <v>NasdaqGM:FOLD</v>
      </c>
      <c r="C37" s="267" t="str">
        <f>'Capital IQ Sheet-GPC'!B22</f>
        <v>IQ7009878</v>
      </c>
      <c r="D37" s="268">
        <f>IF(B37="","",Comp.1!C24)</f>
        <v>2548.1713800000002</v>
      </c>
    </row>
    <row r="38" spans="1:4">
      <c r="A38" s="572">
        <f t="shared" si="0"/>
        <v>11</v>
      </c>
      <c r="B38" s="266" t="str">
        <f>'Capital IQ Sheet-GPC'!A23</f>
        <v>NYSE:MYOV</v>
      </c>
      <c r="C38" s="267" t="str">
        <f>'Capital IQ Sheet-GPC'!B23</f>
        <v>IQ403430039</v>
      </c>
      <c r="D38" s="268">
        <f>IF(B38="","",Comp.1!C25)</f>
        <v>1418.6912500000001</v>
      </c>
    </row>
    <row r="39" spans="1:4">
      <c r="A39" s="572">
        <f t="shared" si="0"/>
        <v>12</v>
      </c>
      <c r="B39" s="266" t="str">
        <f>'Capital IQ Sheet-GPC'!A24</f>
        <v>NasdaqGS:LXRX</v>
      </c>
      <c r="C39" s="267" t="str">
        <f>'Capital IQ Sheet-GPC'!B24</f>
        <v>IQ30781</v>
      </c>
      <c r="D39" s="268">
        <f>IF(B39="","",Comp.1!C26)</f>
        <v>1253.1064200000001</v>
      </c>
    </row>
    <row r="40" spans="1:4">
      <c r="A40" s="572">
        <f t="shared" si="0"/>
        <v>13</v>
      </c>
      <c r="B40" s="266" t="str">
        <f>'Capital IQ Sheet-GPC'!A25</f>
        <v>NasdaqGM:RYTM</v>
      </c>
      <c r="C40" s="267" t="str">
        <f>'Capital IQ Sheet-GPC'!B25</f>
        <v>IQ309184792</v>
      </c>
      <c r="D40" s="268">
        <f>IF(B40="","",Comp.1!C27)</f>
        <v>930.20021999999994</v>
      </c>
    </row>
    <row r="41" spans="1:4">
      <c r="A41" s="572">
        <f t="shared" si="0"/>
        <v>14</v>
      </c>
      <c r="B41" s="266" t="str">
        <f>'Capital IQ Sheet-GPC'!A26</f>
        <v>NasdaqGS:APTX</v>
      </c>
      <c r="C41" s="267" t="str">
        <f>'Capital IQ Sheet-GPC'!B26</f>
        <v>IQ336341295</v>
      </c>
      <c r="D41" s="268">
        <f>IF(B41="","",Comp.1!C28)</f>
        <v>859.63972999999999</v>
      </c>
    </row>
    <row r="42" spans="1:4">
      <c r="A42" s="572">
        <f t="shared" si="0"/>
        <v>15</v>
      </c>
      <c r="B42" s="266" t="str">
        <f>'Capital IQ Sheet-GPC'!A27</f>
        <v>NasdaqCM:BYSI</v>
      </c>
      <c r="C42" s="267" t="str">
        <f>'Capital IQ Sheet-GPC'!B27</f>
        <v>IQ409784135</v>
      </c>
      <c r="D42" s="268">
        <f>IF(B42="","",Comp.1!C29)</f>
        <v>593.39386999999999</v>
      </c>
    </row>
    <row r="43" spans="1:4">
      <c r="A43" s="572">
        <f t="shared" si="0"/>
        <v>16</v>
      </c>
      <c r="B43" s="266" t="str">
        <f>'Capital IQ Sheet-GPC'!A28</f>
        <v>NasdaqGS:CBAY</v>
      </c>
      <c r="C43" s="267" t="str">
        <f>'Capital IQ Sheet-GPC'!B28</f>
        <v>IQ31424</v>
      </c>
      <c r="D43" s="268">
        <f>IF(B43="","",Comp.1!C30)</f>
        <v>564.50228000000004</v>
      </c>
    </row>
    <row r="44" spans="1:4">
      <c r="A44" s="572">
        <f t="shared" si="0"/>
        <v>17</v>
      </c>
      <c r="B44" s="266" t="str">
        <f>'Capital IQ Sheet-GPC'!A29</f>
        <v>NasdaqGS:ITCI</v>
      </c>
      <c r="C44" s="267" t="str">
        <f>'Capital IQ Sheet-GPC'!B29</f>
        <v>IQ9425271</v>
      </c>
      <c r="D44" s="268">
        <f>IF(B44="","",Comp.1!C31)</f>
        <v>529.47951999999998</v>
      </c>
    </row>
    <row r="45" spans="1:4">
      <c r="A45" s="572">
        <f t="shared" si="0"/>
        <v>18</v>
      </c>
      <c r="B45" s="266" t="str">
        <f>'Capital IQ Sheet-GPC'!A30</f>
        <v>NasdaqCM:VKTX</v>
      </c>
      <c r="C45" s="267" t="str">
        <f>'Capital IQ Sheet-GPC'!B30</f>
        <v>IQ246791410</v>
      </c>
      <c r="D45" s="268">
        <f>IF(B45="","",Comp.1!C32)</f>
        <v>491.46026999999998</v>
      </c>
    </row>
    <row r="46" spans="1:4">
      <c r="A46" s="572">
        <f t="shared" si="0"/>
        <v>19</v>
      </c>
      <c r="B46" s="266" t="str">
        <f>'Capital IQ Sheet-GPC'!A31</f>
        <v>NasdaqGS:XERS</v>
      </c>
      <c r="C46" s="267" t="str">
        <f>'Capital IQ Sheet-GPC'!B31</f>
        <v>IQ105901792</v>
      </c>
      <c r="D46" s="268">
        <f>IF(B46="","",Comp.1!C33)</f>
        <v>436.81565999999998</v>
      </c>
    </row>
    <row r="47" spans="1:4">
      <c r="A47" s="572">
        <f t="shared" si="0"/>
        <v>20</v>
      </c>
      <c r="B47" s="266" t="str">
        <f>'Capital IQ Sheet-GPC'!A32</f>
        <v>NasdaqGS:ODT</v>
      </c>
      <c r="C47" s="267" t="str">
        <f>'Capital IQ Sheet-GPC'!B32</f>
        <v>IQ541399578</v>
      </c>
      <c r="D47" s="268">
        <f>IF(B47="","",Comp.1!C34)</f>
        <v>398.43880999999999</v>
      </c>
    </row>
    <row r="48" spans="1:4">
      <c r="A48" s="572">
        <f t="shared" si="0"/>
        <v>21</v>
      </c>
      <c r="B48" s="266" t="str">
        <f>'Capital IQ Sheet-GPC'!A33</f>
        <v>NasdaqGS:NITE</v>
      </c>
      <c r="C48" s="267" t="str">
        <f>'Capital IQ Sheet-GPC'!B33</f>
        <v>IQ270062348</v>
      </c>
      <c r="D48" s="268">
        <f>IF(B48="","",Comp.1!C35)</f>
        <v>340.19842</v>
      </c>
    </row>
    <row r="49" spans="1:4">
      <c r="A49" s="572">
        <f t="shared" si="0"/>
        <v>22</v>
      </c>
      <c r="B49" s="266" t="str">
        <f>'Capital IQ Sheet-GPC'!A34</f>
        <v>NasdaqGS:ZFGN</v>
      </c>
      <c r="C49" s="267" t="str">
        <f>'Capital IQ Sheet-GPC'!B34</f>
        <v>IQ29016215</v>
      </c>
      <c r="D49" s="268">
        <f>IF(B49="","",Comp.1!C36)</f>
        <v>294.85737</v>
      </c>
    </row>
    <row r="50" spans="1:4">
      <c r="A50" s="572">
        <f t="shared" si="0"/>
        <v>23</v>
      </c>
      <c r="B50" s="266" t="str">
        <f>'Capital IQ Sheet-GPC'!A35</f>
        <v>NasdaqGM:MNOV</v>
      </c>
      <c r="C50" s="267" t="str">
        <f>'Capital IQ Sheet-GPC'!B35</f>
        <v>IQ9262264</v>
      </c>
      <c r="D50" s="268">
        <f>IF(B50="","",Comp.1!C37)</f>
        <v>264.44821999999999</v>
      </c>
    </row>
    <row r="51" spans="1:4">
      <c r="A51" s="572">
        <f t="shared" si="0"/>
        <v>24</v>
      </c>
      <c r="B51" s="266" t="str">
        <f>'Capital IQ Sheet-GPC'!A36</f>
        <v>NasdaqCM:AVEO</v>
      </c>
      <c r="C51" s="267" t="str">
        <f>'Capital IQ Sheet-GPC'!B36</f>
        <v>IQ1906420</v>
      </c>
      <c r="D51" s="268">
        <f>IF(B51="","",Comp.1!C38)</f>
        <v>260.23347999999999</v>
      </c>
    </row>
    <row r="52" spans="1:4">
      <c r="A52" s="572">
        <f t="shared" si="0"/>
        <v>25</v>
      </c>
      <c r="B52" s="266" t="str">
        <f>'Capital IQ Sheet-GPC'!A37</f>
        <v>AMEX:BTX</v>
      </c>
      <c r="C52" s="267" t="str">
        <f>'Capital IQ Sheet-GPC'!B37</f>
        <v>IQ25622</v>
      </c>
      <c r="D52" s="268">
        <f>IF(B52="","",Comp.1!C39)</f>
        <v>233.89886999999999</v>
      </c>
    </row>
    <row r="53" spans="1:4">
      <c r="A53" s="572">
        <f t="shared" si="0"/>
        <v>26</v>
      </c>
      <c r="B53" s="266" t="str">
        <f>'Capital IQ Sheet-GPC'!A38</f>
        <v>NasdaqGS:CYTK</v>
      </c>
      <c r="C53" s="267" t="str">
        <f>'Capital IQ Sheet-GPC'!B38</f>
        <v>IQ27315</v>
      </c>
      <c r="D53" s="268">
        <f>IF(B53="","",Comp.1!C40)</f>
        <v>230.33963</v>
      </c>
    </row>
    <row r="54" spans="1:4">
      <c r="A54" s="572">
        <f t="shared" si="0"/>
        <v>27</v>
      </c>
      <c r="B54" s="266" t="str">
        <f>'Capital IQ Sheet-GPC'!A39</f>
        <v>OTCPK:EMIS</v>
      </c>
      <c r="C54" s="267" t="str">
        <f>'Capital IQ Sheet-GPC'!B39</f>
        <v>IQ261438</v>
      </c>
      <c r="D54" s="268">
        <f>IF(B54="","",Comp.1!C41)</f>
        <v>209.49594999999999</v>
      </c>
    </row>
    <row r="55" spans="1:4">
      <c r="A55" s="572">
        <f t="shared" si="0"/>
        <v>28</v>
      </c>
      <c r="B55" s="266" t="str">
        <f>'Capital IQ Sheet-GPC'!A40</f>
        <v>TSXV:COB.U</v>
      </c>
      <c r="C55" s="267" t="str">
        <f>'Capital IQ Sheet-GPC'!B40</f>
        <v>IQ134282175</v>
      </c>
      <c r="D55" s="268">
        <f>IF(B55="","",Comp.1!C42)</f>
        <v>204.76295999999999</v>
      </c>
    </row>
    <row r="56" spans="1:4">
      <c r="A56" s="572">
        <f t="shared" si="0"/>
        <v>29</v>
      </c>
      <c r="B56" s="266" t="str">
        <f>'Capital IQ Sheet-GPC'!A41</f>
        <v>NasdaqGM:VTVT</v>
      </c>
      <c r="C56" s="267" t="str">
        <f>'Capital IQ Sheet-GPC'!B41</f>
        <v>IQ304063261</v>
      </c>
      <c r="D56" s="268">
        <f>IF(B56="","",Comp.1!C43)</f>
        <v>148.21010999999999</v>
      </c>
    </row>
    <row r="57" spans="1:4">
      <c r="A57" s="572">
        <f t="shared" si="0"/>
        <v>30</v>
      </c>
      <c r="B57" s="266" t="str">
        <f>'Capital IQ Sheet-GPC'!A42</f>
        <v>OTCPK:RZLT</v>
      </c>
      <c r="C57" s="267" t="str">
        <f>'Capital IQ Sheet-GPC'!B42</f>
        <v>IQ177932577</v>
      </c>
      <c r="D57" s="268">
        <f>IF(B57="","",Comp.1!C44)</f>
        <v>28.82142</v>
      </c>
    </row>
    <row r="58" spans="1:4">
      <c r="A58" s="572">
        <f t="shared" si="0"/>
        <v>31</v>
      </c>
      <c r="B58" s="266" t="str">
        <f>'Capital IQ Sheet-GPC'!A44</f>
        <v>OTCPK:BTHE</v>
      </c>
      <c r="C58" s="267" t="str">
        <f>'Capital IQ Sheet-GPC'!B44</f>
        <v>IQ96050543</v>
      </c>
      <c r="D58" s="268">
        <f>IF(B58="","",Comp.1!C46)</f>
        <v>7.1133699999999997</v>
      </c>
    </row>
    <row r="59" spans="1:4">
      <c r="A59" s="572">
        <f t="shared" si="0"/>
        <v>32</v>
      </c>
      <c r="B59" s="266" t="str">
        <f>'Capital IQ Sheet-GPC'!A45</f>
        <v>NasdaqCM:CUR</v>
      </c>
      <c r="C59" s="267" t="str">
        <f>'Capital IQ Sheet-GPC'!B45</f>
        <v>IQ7728881</v>
      </c>
      <c r="D59" s="268">
        <f>IF(B59="","",Comp.1!C47)</f>
        <v>4.2106599999999998</v>
      </c>
    </row>
    <row r="60" spans="1:4">
      <c r="A60" s="572">
        <f t="shared" si="0"/>
        <v>33</v>
      </c>
      <c r="B60" s="266" t="str">
        <f>'Capital IQ Sheet-GPC'!A46</f>
        <v>OTCPK:NEXS</v>
      </c>
      <c r="C60" s="267" t="str">
        <f>'Capital IQ Sheet-GPC'!B46</f>
        <v>IQ340704541</v>
      </c>
      <c r="D60" s="268">
        <f>IF(B60="","",Comp.1!C48)</f>
        <v>-11.39209</v>
      </c>
    </row>
    <row r="61" spans="1:4">
      <c r="A61" s="1191">
        <f t="shared" si="0"/>
        <v>34</v>
      </c>
      <c r="B61" s="588" t="str">
        <f>'Capital IQ Sheet-GPC'!A47</f>
        <v>ENXTPA:ERYP</v>
      </c>
      <c r="C61" s="589" t="str">
        <f>'Capital IQ Sheet-GPC'!B47</f>
        <v>IQ24677080</v>
      </c>
      <c r="D61" s="590">
        <f>IF(B61="","",Comp.1!C49)</f>
        <v>0</v>
      </c>
    </row>
  </sheetData>
  <dataValidations count="1">
    <dataValidation type="list" allowBlank="1" showInputMessage="1" showErrorMessage="1" sqref="C10">
      <formula1>"New,Recurring"</formula1>
    </dataValidation>
  </dataValidations>
  <pageMargins left="0.5" right="0.5" top="0.5" bottom="0.5" header="0.3" footer="0.3"/>
  <pageSetup orientation="landscape" r:id="rId1"/>
  <headerFooter>
    <oddHeader>&amp;R&amp;"Garamond, Bold"&amp;K000001CONFIDENTIAL</oddHeader>
    <oddFooter>&amp;L&amp;G&amp;R&amp;"Garamond"&amp;K000001Page &amp;P of &amp;N</oddFooter>
  </headerFooter>
  <legacy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H30"/>
  <sheetViews>
    <sheetView workbookViewId="0"/>
  </sheetViews>
  <sheetFormatPr defaultColWidth="9.33203125" defaultRowHeight="12.75"/>
  <cols>
    <col min="1" max="1" width="2.83203125" style="310" customWidth="1"/>
    <col min="2" max="2" width="8.6640625" style="310" customWidth="1"/>
    <col min="3" max="8" width="25.83203125" style="310" customWidth="1"/>
    <col min="9" max="9" width="2.83203125" style="310" customWidth="1"/>
    <col min="10" max="16384" width="9.33203125" style="310"/>
  </cols>
  <sheetData>
    <row r="1" spans="2:8" ht="10.7" customHeight="1" thickBot="1">
      <c r="E1" s="316"/>
      <c r="G1" s="316"/>
      <c r="H1" s="316"/>
    </row>
    <row r="2" spans="2:8" ht="16.5" customHeight="1" thickTop="1">
      <c r="B2" s="10" t="str">
        <f>'MASTER PubCo Inputs'!$C$5</f>
        <v>Hua Medicine</v>
      </c>
      <c r="C2" s="10"/>
      <c r="D2" s="10"/>
      <c r="E2" s="281"/>
      <c r="F2" s="10"/>
      <c r="G2" s="281"/>
      <c r="H2" s="281"/>
    </row>
    <row r="3" spans="2:8" ht="16.5" customHeight="1" thickBot="1">
      <c r="B3" s="12" t="s">
        <v>393</v>
      </c>
      <c r="C3" s="12"/>
      <c r="D3" s="12"/>
      <c r="E3" s="282"/>
      <c r="F3" s="12"/>
      <c r="G3" s="282"/>
      <c r="H3" s="282"/>
    </row>
    <row r="4" spans="2:8" ht="12.75" customHeight="1" thickTop="1">
      <c r="E4" s="316"/>
      <c r="G4" s="316"/>
      <c r="H4" s="316"/>
    </row>
    <row r="6" spans="2:8" ht="13.5">
      <c r="B6" s="288" t="s">
        <v>399</v>
      </c>
    </row>
    <row r="7" spans="2:8">
      <c r="B7" s="274" t="s">
        <v>264</v>
      </c>
      <c r="C7" s="283" t="s">
        <v>394</v>
      </c>
      <c r="D7" s="283" t="s">
        <v>400</v>
      </c>
      <c r="E7" s="283" t="s">
        <v>395</v>
      </c>
      <c r="F7" s="283" t="s">
        <v>396</v>
      </c>
      <c r="G7" s="283" t="s">
        <v>397</v>
      </c>
      <c r="H7" s="284" t="s">
        <v>401</v>
      </c>
    </row>
    <row r="8" spans="2:8">
      <c r="B8" s="310">
        <v>1</v>
      </c>
    </row>
    <row r="9" spans="2:8">
      <c r="B9" s="310">
        <f>+B8+1</f>
        <v>2</v>
      </c>
    </row>
    <row r="10" spans="2:8">
      <c r="B10" s="310">
        <f t="shared" ref="B10:B30" si="0">+B9+1</f>
        <v>3</v>
      </c>
    </row>
    <row r="11" spans="2:8">
      <c r="B11" s="310">
        <f t="shared" si="0"/>
        <v>4</v>
      </c>
    </row>
    <row r="12" spans="2:8">
      <c r="B12" s="310">
        <f t="shared" si="0"/>
        <v>5</v>
      </c>
    </row>
    <row r="13" spans="2:8">
      <c r="B13" s="310">
        <f t="shared" si="0"/>
        <v>6</v>
      </c>
    </row>
    <row r="14" spans="2:8">
      <c r="B14" s="310">
        <f t="shared" si="0"/>
        <v>7</v>
      </c>
    </row>
    <row r="15" spans="2:8">
      <c r="B15" s="310">
        <f t="shared" si="0"/>
        <v>8</v>
      </c>
    </row>
    <row r="16" spans="2:8">
      <c r="B16" s="310">
        <f t="shared" si="0"/>
        <v>9</v>
      </c>
    </row>
    <row r="17" spans="2:8">
      <c r="B17" s="310">
        <f t="shared" si="0"/>
        <v>10</v>
      </c>
    </row>
    <row r="19" spans="2:8" ht="13.5">
      <c r="B19" s="288" t="s">
        <v>398</v>
      </c>
    </row>
    <row r="20" spans="2:8">
      <c r="B20" s="274" t="s">
        <v>264</v>
      </c>
      <c r="C20" s="283" t="s">
        <v>394</v>
      </c>
      <c r="D20" s="283" t="s">
        <v>400</v>
      </c>
      <c r="E20" s="283" t="s">
        <v>395</v>
      </c>
      <c r="F20" s="283" t="s">
        <v>396</v>
      </c>
      <c r="G20" s="283" t="s">
        <v>397</v>
      </c>
      <c r="H20" s="284" t="s">
        <v>380</v>
      </c>
    </row>
    <row r="21" spans="2:8">
      <c r="B21" s="310">
        <v>1</v>
      </c>
    </row>
    <row r="22" spans="2:8">
      <c r="B22" s="310">
        <f t="shared" si="0"/>
        <v>2</v>
      </c>
    </row>
    <row r="23" spans="2:8">
      <c r="B23" s="310">
        <f t="shared" si="0"/>
        <v>3</v>
      </c>
    </row>
    <row r="24" spans="2:8">
      <c r="B24" s="310">
        <f t="shared" si="0"/>
        <v>4</v>
      </c>
    </row>
    <row r="25" spans="2:8">
      <c r="B25" s="310">
        <f t="shared" si="0"/>
        <v>5</v>
      </c>
    </row>
    <row r="26" spans="2:8">
      <c r="B26" s="310">
        <f t="shared" si="0"/>
        <v>6</v>
      </c>
    </row>
    <row r="27" spans="2:8">
      <c r="B27" s="310">
        <f t="shared" si="0"/>
        <v>7</v>
      </c>
    </row>
    <row r="28" spans="2:8">
      <c r="B28" s="310">
        <f t="shared" si="0"/>
        <v>8</v>
      </c>
    </row>
    <row r="29" spans="2:8">
      <c r="B29" s="310">
        <f t="shared" si="0"/>
        <v>9</v>
      </c>
    </row>
    <row r="30" spans="2:8">
      <c r="B30" s="310">
        <f t="shared" si="0"/>
        <v>10</v>
      </c>
    </row>
  </sheetData>
  <conditionalFormatting sqref="B3:G3">
    <cfRule type="cellIs" dxfId="257" priority="2" stopIfTrue="1" operator="equal">
      <formula>"input"</formula>
    </cfRule>
  </conditionalFormatting>
  <conditionalFormatting sqref="H3">
    <cfRule type="cellIs" dxfId="256" priority="1" stopIfTrue="1" operator="equal">
      <formula>"input"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rgb="FFFF0000"/>
  </sheetPr>
  <dimension ref="B1:I68"/>
  <sheetViews>
    <sheetView showGridLines="0" view="pageBreakPreview" zoomScaleNormal="145" zoomScaleSheetLayoutView="100" workbookViewId="0">
      <selection activeCell="C18" sqref="C18"/>
    </sheetView>
  </sheetViews>
  <sheetFormatPr defaultColWidth="9.33203125" defaultRowHeight="12.75"/>
  <cols>
    <col min="1" max="1" width="4.5" style="310" customWidth="1"/>
    <col min="2" max="2" width="23.1640625" style="310" customWidth="1"/>
    <col min="3" max="3" width="89.6640625" style="310" customWidth="1"/>
    <col min="4" max="4" width="15.1640625" style="316" customWidth="1"/>
    <col min="5" max="5" width="30.83203125" style="310" customWidth="1"/>
    <col min="6" max="6" width="4.5" style="310" customWidth="1"/>
    <col min="7" max="8" width="2.83203125" style="310" customWidth="1"/>
    <col min="9" max="9" width="13.33203125" style="310" customWidth="1"/>
    <col min="10" max="16384" width="9.33203125" style="310"/>
  </cols>
  <sheetData>
    <row r="1" spans="2:9" ht="10.7" customHeight="1" thickBot="1"/>
    <row r="2" spans="2:9" ht="16.5" customHeight="1" thickTop="1">
      <c r="B2" s="10" t="str">
        <f>'MASTER PubCo Inputs'!$C$5</f>
        <v>Hua Medicine</v>
      </c>
      <c r="C2" s="10"/>
      <c r="D2" s="281"/>
      <c r="E2" s="10"/>
      <c r="I2" s="1" t="s">
        <v>417</v>
      </c>
    </row>
    <row r="3" spans="2:9" ht="16.5" customHeight="1" thickBot="1">
      <c r="B3" s="12" t="s">
        <v>1058</v>
      </c>
      <c r="C3" s="12"/>
      <c r="D3" s="282"/>
      <c r="E3" s="12"/>
      <c r="I3" s="790" t="s">
        <v>40</v>
      </c>
    </row>
    <row r="4" spans="2:9" ht="12.75" customHeight="1" thickTop="1"/>
    <row r="5" spans="2:9" ht="12.75" customHeight="1"/>
    <row r="6" spans="2:9" ht="12.75" customHeight="1">
      <c r="B6" s="791" t="s">
        <v>394</v>
      </c>
      <c r="C6" s="792" t="s">
        <v>1058</v>
      </c>
      <c r="D6" s="792" t="s">
        <v>40</v>
      </c>
      <c r="E6" s="793" t="s">
        <v>1057</v>
      </c>
    </row>
    <row r="7" spans="2:9" ht="12.75" customHeight="1">
      <c r="B7" s="290"/>
      <c r="C7" s="290"/>
      <c r="D7" s="279"/>
      <c r="E7" s="1"/>
    </row>
    <row r="8" spans="2:9">
      <c r="B8" s="794" t="s">
        <v>643</v>
      </c>
      <c r="C8" s="291" t="s">
        <v>1059</v>
      </c>
      <c r="D8" s="796" t="str">
        <f>IF('IPO Waterfall'!F95=$I$3,"Check","")</f>
        <v/>
      </c>
    </row>
    <row r="9" spans="2:9">
      <c r="B9" s="291"/>
      <c r="C9" s="291"/>
      <c r="D9" s="796"/>
    </row>
    <row r="10" spans="2:9">
      <c r="B10" s="794" t="s">
        <v>1060</v>
      </c>
      <c r="C10" s="291" t="s">
        <v>1062</v>
      </c>
      <c r="D10" s="796" t="str">
        <f>IF('Hist BS'!D70=Checklist!$I$3,"Check","")</f>
        <v/>
      </c>
    </row>
    <row r="11" spans="2:9">
      <c r="B11" s="291"/>
      <c r="C11" s="291"/>
      <c r="D11" s="796"/>
    </row>
    <row r="12" spans="2:9">
      <c r="B12" s="794" t="s">
        <v>1064</v>
      </c>
      <c r="C12" s="291" t="s">
        <v>1065</v>
      </c>
      <c r="D12" s="796" t="str">
        <f>IF('Asset Vol OPM Liquidation'!AC61=Checklist!$I$3,"Check","")</f>
        <v/>
      </c>
    </row>
    <row r="13" spans="2:9">
      <c r="B13" s="794"/>
      <c r="C13" s="291"/>
      <c r="D13" s="796"/>
    </row>
    <row r="14" spans="2:9">
      <c r="B14" s="794" t="s">
        <v>1064</v>
      </c>
      <c r="C14" s="291" t="s">
        <v>1692</v>
      </c>
      <c r="D14" s="796" t="str">
        <f>IF('Asset Vol OPM Redemption'!AC61=Checklist!$I$3,"Check","")</f>
        <v/>
      </c>
    </row>
    <row r="15" spans="2:9">
      <c r="B15" s="794"/>
      <c r="C15" s="291"/>
      <c r="D15" s="796"/>
    </row>
    <row r="16" spans="2:9">
      <c r="B16" s="794" t="s">
        <v>2726</v>
      </c>
      <c r="C16" s="1206" t="s">
        <v>2727</v>
      </c>
      <c r="D16" s="796" t="str">
        <f>IF('Asset Vol_DLOM'!AC61=Checklist!$I$3,"Check","")</f>
        <v/>
      </c>
    </row>
    <row r="17" spans="2:4">
      <c r="B17" s="794"/>
      <c r="C17" s="291"/>
      <c r="D17" s="796"/>
    </row>
    <row r="18" spans="2:4">
      <c r="B18" s="794" t="s">
        <v>1106</v>
      </c>
      <c r="C18" s="291" t="s">
        <v>1107</v>
      </c>
      <c r="D18" s="796" t="str">
        <f>IF('Val Summ'!J12=Checklist!$I$3,"Check","")</f>
        <v/>
      </c>
    </row>
    <row r="19" spans="2:4">
      <c r="B19" s="291"/>
      <c r="C19" s="291"/>
      <c r="D19" s="796"/>
    </row>
    <row r="20" spans="2:4">
      <c r="B20" s="794" t="s">
        <v>1066</v>
      </c>
      <c r="C20" s="291" t="s">
        <v>1066</v>
      </c>
      <c r="D20" s="796" t="str">
        <f>IF('Val Summ'!L2=Checklist!$I$3,"Check","")</f>
        <v/>
      </c>
    </row>
    <row r="21" spans="2:4">
      <c r="B21" s="291"/>
      <c r="C21" s="291"/>
      <c r="D21" s="796"/>
    </row>
    <row r="22" spans="2:4">
      <c r="B22" s="291"/>
      <c r="C22" s="291"/>
      <c r="D22" s="796"/>
    </row>
    <row r="23" spans="2:4">
      <c r="B23" s="291"/>
      <c r="C23" s="291"/>
      <c r="D23" s="796"/>
    </row>
    <row r="24" spans="2:4">
      <c r="B24" s="291"/>
      <c r="C24" s="291"/>
      <c r="D24" s="796"/>
    </row>
    <row r="25" spans="2:4">
      <c r="B25" s="291"/>
      <c r="C25" s="291"/>
      <c r="D25" s="796"/>
    </row>
    <row r="26" spans="2:4">
      <c r="B26" s="291"/>
      <c r="C26" s="291"/>
      <c r="D26" s="796"/>
    </row>
    <row r="27" spans="2:4">
      <c r="B27" s="291"/>
      <c r="C27" s="291"/>
      <c r="D27" s="796"/>
    </row>
    <row r="28" spans="2:4">
      <c r="B28" s="291"/>
      <c r="C28" s="291"/>
      <c r="D28" s="796"/>
    </row>
    <row r="29" spans="2:4">
      <c r="B29" s="291"/>
      <c r="C29" s="291"/>
      <c r="D29" s="796"/>
    </row>
    <row r="30" spans="2:4">
      <c r="B30" s="291"/>
      <c r="C30" s="291"/>
      <c r="D30" s="796"/>
    </row>
    <row r="31" spans="2:4">
      <c r="B31" s="291"/>
      <c r="C31" s="291"/>
      <c r="D31" s="796"/>
    </row>
    <row r="32" spans="2:4">
      <c r="B32" s="291"/>
      <c r="C32" s="291"/>
      <c r="D32" s="796"/>
    </row>
    <row r="33" spans="2:4">
      <c r="B33" s="291"/>
      <c r="C33" s="291"/>
      <c r="D33" s="796"/>
    </row>
    <row r="34" spans="2:4">
      <c r="B34" s="291"/>
      <c r="C34" s="291"/>
      <c r="D34" s="796"/>
    </row>
    <row r="35" spans="2:4">
      <c r="B35" s="291"/>
      <c r="C35" s="291"/>
      <c r="D35" s="796"/>
    </row>
    <row r="36" spans="2:4">
      <c r="B36" s="291"/>
      <c r="C36" s="291"/>
      <c r="D36" s="796"/>
    </row>
    <row r="37" spans="2:4">
      <c r="B37" s="291"/>
      <c r="C37" s="291"/>
      <c r="D37" s="796"/>
    </row>
    <row r="38" spans="2:4">
      <c r="B38" s="291"/>
      <c r="C38" s="291"/>
      <c r="D38" s="796"/>
    </row>
    <row r="39" spans="2:4">
      <c r="B39" s="291"/>
      <c r="C39" s="291"/>
      <c r="D39" s="796"/>
    </row>
    <row r="40" spans="2:4">
      <c r="B40" s="291"/>
      <c r="C40" s="291"/>
      <c r="D40" s="796"/>
    </row>
    <row r="41" spans="2:4">
      <c r="B41" s="291"/>
      <c r="C41" s="291"/>
      <c r="D41" s="796"/>
    </row>
    <row r="42" spans="2:4">
      <c r="B42" s="291"/>
      <c r="C42" s="291"/>
      <c r="D42" s="796"/>
    </row>
    <row r="43" spans="2:4">
      <c r="B43" s="291"/>
      <c r="C43" s="291"/>
      <c r="D43" s="796"/>
    </row>
    <row r="44" spans="2:4">
      <c r="B44" s="291"/>
      <c r="C44" s="291"/>
      <c r="D44" s="796"/>
    </row>
    <row r="45" spans="2:4">
      <c r="B45" s="291"/>
      <c r="C45" s="291"/>
      <c r="D45" s="796"/>
    </row>
    <row r="46" spans="2:4">
      <c r="B46" s="291"/>
      <c r="C46" s="291"/>
      <c r="D46" s="796"/>
    </row>
    <row r="47" spans="2:4">
      <c r="B47" s="291"/>
      <c r="C47" s="291"/>
      <c r="D47" s="796"/>
    </row>
    <row r="48" spans="2:4">
      <c r="B48" s="291"/>
      <c r="C48" s="291"/>
      <c r="D48" s="796"/>
    </row>
    <row r="49" spans="2:4">
      <c r="B49" s="291"/>
      <c r="C49" s="291"/>
      <c r="D49" s="796"/>
    </row>
    <row r="50" spans="2:4">
      <c r="B50" s="291"/>
      <c r="C50" s="291"/>
      <c r="D50" s="796"/>
    </row>
    <row r="51" spans="2:4">
      <c r="B51" s="291"/>
      <c r="C51" s="291"/>
      <c r="D51" s="796"/>
    </row>
    <row r="52" spans="2:4">
      <c r="B52" s="291"/>
      <c r="C52" s="291"/>
      <c r="D52" s="796"/>
    </row>
    <row r="53" spans="2:4">
      <c r="B53" s="291"/>
      <c r="C53" s="291"/>
      <c r="D53" s="796"/>
    </row>
    <row r="54" spans="2:4">
      <c r="B54" s="291"/>
      <c r="C54" s="291"/>
      <c r="D54" s="796"/>
    </row>
    <row r="55" spans="2:4">
      <c r="B55" s="291"/>
      <c r="C55" s="291"/>
      <c r="D55" s="796"/>
    </row>
    <row r="56" spans="2:4">
      <c r="B56" s="291"/>
      <c r="C56" s="291"/>
      <c r="D56" s="796"/>
    </row>
    <row r="57" spans="2:4">
      <c r="B57" s="291"/>
      <c r="C57" s="291"/>
      <c r="D57" s="796"/>
    </row>
    <row r="58" spans="2:4">
      <c r="B58" s="291"/>
      <c r="C58" s="291"/>
      <c r="D58" s="796"/>
    </row>
    <row r="59" spans="2:4">
      <c r="B59" s="291"/>
      <c r="C59" s="291"/>
      <c r="D59" s="796"/>
    </row>
    <row r="60" spans="2:4">
      <c r="B60" s="291"/>
      <c r="C60" s="291"/>
      <c r="D60" s="796"/>
    </row>
    <row r="61" spans="2:4">
      <c r="B61" s="291"/>
      <c r="C61" s="291"/>
      <c r="D61" s="796"/>
    </row>
    <row r="62" spans="2:4">
      <c r="B62" s="291"/>
      <c r="C62" s="291"/>
      <c r="D62" s="796"/>
    </row>
    <row r="63" spans="2:4">
      <c r="B63" s="291"/>
      <c r="C63" s="291"/>
      <c r="D63" s="796"/>
    </row>
    <row r="64" spans="2:4">
      <c r="B64" s="291"/>
      <c r="C64" s="291"/>
      <c r="D64" s="796"/>
    </row>
    <row r="65" spans="2:4">
      <c r="B65" s="291"/>
      <c r="C65" s="291"/>
      <c r="D65" s="242"/>
    </row>
    <row r="66" spans="2:4">
      <c r="B66" s="291"/>
      <c r="C66" s="291"/>
      <c r="D66" s="242"/>
    </row>
    <row r="67" spans="2:4">
      <c r="B67" s="291"/>
      <c r="C67" s="291"/>
      <c r="D67" s="242"/>
    </row>
    <row r="68" spans="2:4">
      <c r="B68" s="291"/>
      <c r="C68" s="291"/>
      <c r="D68" s="242"/>
    </row>
  </sheetData>
  <conditionalFormatting sqref="B3:E3">
    <cfRule type="cellIs" dxfId="255" priority="48" stopIfTrue="1" operator="equal">
      <formula>"input"</formula>
    </cfRule>
  </conditionalFormatting>
  <conditionalFormatting sqref="B20:C68 B7:C13 B15:C15 B17:C17 D8:D17">
    <cfRule type="expression" dxfId="254" priority="47">
      <formula>OR($B7="Exhibits",$B7="Workpapers")</formula>
    </cfRule>
  </conditionalFormatting>
  <conditionalFormatting sqref="D7 D65:D68">
    <cfRule type="expression" dxfId="253" priority="46">
      <formula>$B7=""</formula>
    </cfRule>
  </conditionalFormatting>
  <conditionalFormatting sqref="D20:D64">
    <cfRule type="expression" dxfId="252" priority="33">
      <formula>OR($B20="Exhibits",$B20="Workpapers")</formula>
    </cfRule>
  </conditionalFormatting>
  <conditionalFormatting sqref="D20:D48 D8:D17">
    <cfRule type="notContainsBlanks" dxfId="251" priority="32">
      <formula>LEN(TRIM(D8))&gt;0</formula>
    </cfRule>
  </conditionalFormatting>
  <conditionalFormatting sqref="D10">
    <cfRule type="expression" dxfId="250" priority="31">
      <formula>OR($B10="Exhibits",$B10="Workpapers")</formula>
    </cfRule>
  </conditionalFormatting>
  <conditionalFormatting sqref="D20">
    <cfRule type="expression" dxfId="249" priority="27">
      <formula>OR($B20="Exhibits",$B20="Workpapers")</formula>
    </cfRule>
  </conditionalFormatting>
  <conditionalFormatting sqref="B18:C19">
    <cfRule type="expression" dxfId="248" priority="26">
      <formula>OR($B18="Exhibits",$B18="Workpapers")</formula>
    </cfRule>
  </conditionalFormatting>
  <conditionalFormatting sqref="D18:D19">
    <cfRule type="expression" dxfId="247" priority="25">
      <formula>OR($B18="Exhibits",$B18="Workpapers")</formula>
    </cfRule>
  </conditionalFormatting>
  <conditionalFormatting sqref="D18:D19">
    <cfRule type="notContainsBlanks" dxfId="246" priority="24">
      <formula>LEN(TRIM(D18))&gt;0</formula>
    </cfRule>
  </conditionalFormatting>
  <conditionalFormatting sqref="D18">
    <cfRule type="expression" dxfId="245" priority="23">
      <formula>OR($B18="Exhibits",$B18="Workpapers")</formula>
    </cfRule>
  </conditionalFormatting>
  <conditionalFormatting sqref="B14">
    <cfRule type="expression" dxfId="244" priority="3">
      <formula>OR($B14="Exhibits",$B14="Workpapers")</formula>
    </cfRule>
  </conditionalFormatting>
  <conditionalFormatting sqref="C14">
    <cfRule type="expression" dxfId="243" priority="2">
      <formula>OR($B14="Exhibits",$B14="Workpapers")</formula>
    </cfRule>
  </conditionalFormatting>
  <conditionalFormatting sqref="B16:C16">
    <cfRule type="expression" dxfId="242" priority="1">
      <formula>OR($B16="Exhibits",$B16="Workpapers")</formula>
    </cfRule>
  </conditionalFormatting>
  <pageMargins left="0.5" right="0.5" top="0.5" bottom="0.5" header="0.5" footer="0.5"/>
  <pageSetup scale="85" fitToWidth="0"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
  <sheetViews>
    <sheetView workbookViewId="0"/>
  </sheetViews>
  <sheetFormatPr defaultColWidth="9.33203125" defaultRowHeight="12.75"/>
  <cols>
    <col min="1" max="16384" width="9.33203125" style="310"/>
  </cols>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4:J28"/>
  <sheetViews>
    <sheetView showGridLines="0" tabSelected="1" view="pageBreakPreview" zoomScale="85" zoomScaleNormal="100" zoomScaleSheetLayoutView="85" workbookViewId="0">
      <selection activeCell="D18" sqref="D18"/>
    </sheetView>
  </sheetViews>
  <sheetFormatPr defaultColWidth="9.33203125" defaultRowHeight="15"/>
  <cols>
    <col min="1" max="1" width="4.5" style="222" customWidth="1"/>
    <col min="2" max="2" width="3.83203125" style="222" customWidth="1"/>
    <col min="3" max="3" width="15.83203125" style="222" customWidth="1"/>
    <col min="4" max="4" width="102.83203125" style="223" customWidth="1"/>
    <col min="5" max="5" width="15.83203125" style="222" customWidth="1"/>
    <col min="6" max="6" width="3.83203125" style="222" customWidth="1"/>
    <col min="7" max="7" width="4.5" style="222" customWidth="1"/>
    <col min="8" max="8" width="9.33203125" style="222"/>
    <col min="9" max="9" width="22.33203125" style="222" bestFit="1" customWidth="1"/>
    <col min="10" max="10" width="19" style="222" bestFit="1" customWidth="1"/>
    <col min="11" max="16384" width="9.33203125" style="222"/>
  </cols>
  <sheetData>
    <row r="4" spans="2:9">
      <c r="D4"/>
    </row>
    <row r="6" spans="2:9">
      <c r="B6" s="224"/>
      <c r="C6" s="213"/>
      <c r="D6" s="214"/>
      <c r="E6" s="213"/>
      <c r="F6" s="213"/>
    </row>
    <row r="7" spans="2:9" ht="15.75" thickBot="1">
      <c r="B7" s="224"/>
      <c r="C7" s="213"/>
      <c r="D7" s="214"/>
      <c r="E7" s="213"/>
      <c r="F7" s="213"/>
    </row>
    <row r="8" spans="2:9" ht="15.75" thickTop="1">
      <c r="B8" s="14"/>
      <c r="C8" s="225"/>
      <c r="D8" s="226"/>
      <c r="E8" s="225"/>
      <c r="F8" s="225"/>
    </row>
    <row r="9" spans="2:9" s="227" customFormat="1" ht="40.5">
      <c r="B9" s="228"/>
      <c r="C9" s="244"/>
      <c r="D9" s="244" t="str">
        <f>+'MASTER PubCo Inputs'!C8</f>
        <v>IRC 409A and IFRS 2 Common Stock Independent Appraisal</v>
      </c>
      <c r="E9" s="229"/>
      <c r="F9" s="229"/>
      <c r="I9" s="800" t="str">
        <f>IF(COUNTIF(Checklist!D8:D20,"Check")&gt;0,"Check","")</f>
        <v/>
      </c>
    </row>
    <row r="10" spans="2:9">
      <c r="B10" s="215"/>
      <c r="C10" s="231"/>
      <c r="D10" s="245"/>
      <c r="E10" s="231"/>
      <c r="F10" s="231"/>
    </row>
    <row r="11" spans="2:9" ht="23.25">
      <c r="B11" s="215"/>
      <c r="C11" s="231"/>
      <c r="D11" s="216" t="s">
        <v>266</v>
      </c>
      <c r="E11" s="231"/>
      <c r="F11" s="231"/>
    </row>
    <row r="12" spans="2:9" ht="19.5">
      <c r="B12" s="215"/>
      <c r="C12" s="231"/>
      <c r="D12" s="246" t="s">
        <v>267</v>
      </c>
      <c r="E12" s="231"/>
      <c r="F12" s="231"/>
    </row>
    <row r="13" spans="2:9" ht="23.25">
      <c r="B13" s="215"/>
      <c r="C13" s="231"/>
      <c r="D13" s="216" t="str">
        <f>IF('MASTER PubCo Inputs'!C5="","",'MASTER PubCo Inputs'!C5)</f>
        <v>Hua Medicine</v>
      </c>
      <c r="E13" s="231"/>
      <c r="F13" s="231"/>
    </row>
    <row r="14" spans="2:9">
      <c r="B14" s="215"/>
      <c r="C14" s="231"/>
      <c r="D14" s="245"/>
      <c r="E14" s="231"/>
      <c r="F14" s="231"/>
    </row>
    <row r="15" spans="2:9" ht="23.25">
      <c r="B15" s="215"/>
      <c r="C15" s="231"/>
      <c r="D15" s="216" t="str">
        <f>"Valuation Date as of "&amp;TEXT('MASTER PubCo Inputs'!$C$6,"mmmm d, yyyy")&amp;""</f>
        <v>Valuation Date as of June 30, 2018</v>
      </c>
      <c r="E15" s="231"/>
      <c r="F15" s="231"/>
    </row>
    <row r="16" spans="2:9" ht="15.75" thickBot="1">
      <c r="B16" s="217"/>
      <c r="C16" s="232"/>
      <c r="D16" s="233"/>
      <c r="E16" s="232"/>
      <c r="F16" s="232"/>
    </row>
    <row r="17" spans="4:10" ht="15.75" thickTop="1"/>
    <row r="19" spans="4:10" ht="18.75">
      <c r="D19" s="218" t="s">
        <v>268</v>
      </c>
    </row>
    <row r="20" spans="4:10" ht="18.75">
      <c r="D20" s="219" t="str">
        <f ca="1">TEXT(J20,"mmmm d, yyyy")</f>
        <v>August 23, 2018</v>
      </c>
      <c r="I20" s="222" t="s">
        <v>270</v>
      </c>
      <c r="J20" s="243">
        <f ca="1">TODAY()</f>
        <v>43335</v>
      </c>
    </row>
    <row r="25" spans="4:10" ht="23.25">
      <c r="D25" s="687" t="s">
        <v>576</v>
      </c>
    </row>
    <row r="27" spans="4:10" ht="18.75">
      <c r="D27" s="220" t="s">
        <v>414</v>
      </c>
    </row>
    <row r="28" spans="4:10" ht="37.5">
      <c r="D28" s="221" t="s">
        <v>269</v>
      </c>
    </row>
  </sheetData>
  <pageMargins left="0.5" right="0.5" top="0.5" bottom="0.5" header="0.5" footer="0.5"/>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L57"/>
  <sheetViews>
    <sheetView showGridLines="0" view="pageBreakPreview" zoomScale="85" zoomScaleNormal="145" zoomScaleSheetLayoutView="85" workbookViewId="0">
      <selection activeCell="I9" sqref="I9"/>
    </sheetView>
  </sheetViews>
  <sheetFormatPr defaultColWidth="9.33203125" defaultRowHeight="12.75" outlineLevelCol="1"/>
  <cols>
    <col min="1" max="1" width="4.5" style="310" customWidth="1"/>
    <col min="2" max="2" width="20.83203125" style="310" customWidth="1"/>
    <col min="3" max="4" width="14.83203125" style="310" customWidth="1"/>
    <col min="5" max="5" width="72.33203125" style="316" customWidth="1"/>
    <col min="6" max="6" width="33.83203125" style="310" customWidth="1"/>
    <col min="7" max="7" width="20.83203125" style="316" hidden="1" customWidth="1" outlineLevel="1"/>
    <col min="8" max="8" width="4.5" style="310" customWidth="1" collapsed="1"/>
    <col min="9" max="10" width="2.83203125" style="310" customWidth="1"/>
    <col min="11" max="11" width="3.33203125" style="310" customWidth="1"/>
    <col min="12" max="16384" width="9.33203125" style="310"/>
  </cols>
  <sheetData>
    <row r="1" spans="2:12" ht="10.7" customHeight="1" thickBot="1"/>
    <row r="2" spans="2:12" ht="16.5" customHeight="1" thickTop="1">
      <c r="B2" s="10" t="str">
        <f>'MASTER PubCo Inputs'!$C$5</f>
        <v>Hua Medicine</v>
      </c>
      <c r="C2" s="10"/>
      <c r="D2" s="10"/>
      <c r="E2" s="281"/>
      <c r="F2" s="10"/>
      <c r="G2" s="281"/>
    </row>
    <row r="3" spans="2:12" ht="16.5" customHeight="1" thickBot="1">
      <c r="B3" s="12" t="s">
        <v>391</v>
      </c>
      <c r="C3" s="12"/>
      <c r="D3" s="12"/>
      <c r="E3" s="282"/>
      <c r="F3" s="12"/>
      <c r="G3" s="282"/>
    </row>
    <row r="4" spans="2:12" ht="12.75" customHeight="1" thickTop="1"/>
    <row r="5" spans="2:12" ht="12.75" customHeight="1"/>
    <row r="6" spans="2:12" ht="12.75" customHeight="1">
      <c r="B6" s="279" t="s">
        <v>392</v>
      </c>
      <c r="C6" s="1"/>
      <c r="D6" s="1"/>
      <c r="E6" s="279" t="s">
        <v>436</v>
      </c>
      <c r="F6" s="1"/>
      <c r="G6" s="279"/>
    </row>
    <row r="7" spans="2:12" ht="12.75" customHeight="1">
      <c r="B7" s="290"/>
      <c r="C7" s="1"/>
      <c r="D7" s="1"/>
      <c r="E7" s="279"/>
      <c r="F7" s="1"/>
      <c r="G7" s="279"/>
    </row>
    <row r="8" spans="2:12">
      <c r="B8" s="291" t="str">
        <f>K8&amp;"."&amp;L8</f>
        <v>A.1</v>
      </c>
      <c r="E8" s="242" t="str">
        <f>'Val Summ'!B4</f>
        <v>Valuation Summary</v>
      </c>
      <c r="G8" s="316" t="str">
        <f>"Exhibit "&amp;B8</f>
        <v>Exhibit A.1</v>
      </c>
      <c r="J8" s="310">
        <v>65</v>
      </c>
      <c r="K8" s="310" t="str">
        <f>CHAR(J8)</f>
        <v>A</v>
      </c>
      <c r="L8" s="310">
        <v>1</v>
      </c>
    </row>
    <row r="9" spans="2:12">
      <c r="B9" s="291" t="str">
        <f>K9&amp;"."&amp;L9</f>
        <v>A.2</v>
      </c>
      <c r="E9" s="242" t="str">
        <f>'CHART VAL'!B4</f>
        <v>Preferred Value by Class</v>
      </c>
      <c r="G9" s="316" t="str">
        <f>"Exhibit "&amp;B9</f>
        <v>Exhibit A.2</v>
      </c>
      <c r="J9" s="310">
        <v>65</v>
      </c>
      <c r="K9" s="310" t="str">
        <f>CHAR(J9)</f>
        <v>A</v>
      </c>
      <c r="L9" s="310">
        <f>IF(L8="",1,L8+1)</f>
        <v>2</v>
      </c>
    </row>
    <row r="10" spans="2:12">
      <c r="B10" s="291"/>
      <c r="E10" s="242"/>
      <c r="G10" s="316" t="str">
        <f t="shared" ref="G10:G41" si="0">"Exhibit "&amp;B10</f>
        <v xml:space="preserve">Exhibit </v>
      </c>
    </row>
    <row r="11" spans="2:12">
      <c r="B11" s="291"/>
      <c r="E11" s="242" t="str">
        <f>'Allocation Method &gt;&gt;'!D9</f>
        <v>Allocation Methodology</v>
      </c>
      <c r="G11" s="316" t="str">
        <f t="shared" si="0"/>
        <v xml:space="preserve">Exhibit </v>
      </c>
    </row>
    <row r="12" spans="2:12">
      <c r="B12" s="291" t="str">
        <f t="shared" ref="B12:B41" si="1">K12&amp;"."&amp;L12</f>
        <v>B.1</v>
      </c>
      <c r="E12" s="242" t="str">
        <f>'Hybrid OPM'!B4</f>
        <v>Hybrid OPM</v>
      </c>
      <c r="G12" s="316" t="str">
        <f t="shared" si="0"/>
        <v>Exhibit B.1</v>
      </c>
      <c r="J12" s="310">
        <f>IF(J11="",J8+1,J11)</f>
        <v>66</v>
      </c>
      <c r="K12" s="310" t="str">
        <f>CHAR(J12)</f>
        <v>B</v>
      </c>
      <c r="L12" s="310">
        <f>IF(L11="",1,L11+1)</f>
        <v>1</v>
      </c>
    </row>
    <row r="13" spans="2:12">
      <c r="B13" s="291" t="str">
        <f t="shared" si="1"/>
        <v>B.2</v>
      </c>
      <c r="E13" s="242" t="str">
        <f>'IPO Waterfall'!$B$4</f>
        <v>IPO Waterfall</v>
      </c>
      <c r="G13" s="316" t="str">
        <f t="shared" si="0"/>
        <v>Exhibit B.2</v>
      </c>
      <c r="J13" s="310">
        <f>IF(J12="",J11+1,J12)</f>
        <v>66</v>
      </c>
      <c r="K13" s="310" t="str">
        <f>CHAR(J13)</f>
        <v>B</v>
      </c>
      <c r="L13" s="310">
        <f>IF(L12="",1,L12+1)</f>
        <v>2</v>
      </c>
    </row>
    <row r="14" spans="2:12">
      <c r="B14" s="291" t="str">
        <f t="shared" si="1"/>
        <v>B.3</v>
      </c>
      <c r="E14" s="242" t="str">
        <f>'OPM Hybrid (Liquidation)'!B4</f>
        <v>Hybrid Option Pricing Method - Liquidation</v>
      </c>
      <c r="G14" s="316" t="str">
        <f t="shared" si="0"/>
        <v>Exhibit B.3</v>
      </c>
      <c r="J14" s="310">
        <f>IF(J13="",J12+1,J13)</f>
        <v>66</v>
      </c>
      <c r="K14" s="310" t="str">
        <f>CHAR(J14)</f>
        <v>B</v>
      </c>
      <c r="L14" s="310">
        <f>IF(L13="",1,L13+1)</f>
        <v>3</v>
      </c>
    </row>
    <row r="15" spans="2:12">
      <c r="B15" s="291" t="str">
        <f t="shared" si="1"/>
        <v>B.4</v>
      </c>
      <c r="E15" s="242" t="str">
        <f>'OPM Hybrid (Redemption)'!B4</f>
        <v>Hybrid Option Pricing Method - Redemption</v>
      </c>
      <c r="G15" s="316" t="str">
        <f t="shared" si="0"/>
        <v>Exhibit B.4</v>
      </c>
      <c r="J15" s="310">
        <f>IF(J14="",J13+1,J14)</f>
        <v>66</v>
      </c>
      <c r="K15" s="310" t="str">
        <f>CHAR(J15)</f>
        <v>B</v>
      </c>
      <c r="L15" s="310">
        <f>IF(L14="",1,L14+1)</f>
        <v>4</v>
      </c>
    </row>
    <row r="16" spans="2:12">
      <c r="B16" s="291"/>
      <c r="E16" s="242"/>
      <c r="G16" s="316" t="str">
        <f t="shared" si="0"/>
        <v xml:space="preserve">Exhibit </v>
      </c>
    </row>
    <row r="17" spans="2:12">
      <c r="B17" s="291"/>
      <c r="E17" s="308" t="str">
        <f>'Financial Statements &gt;&gt;'!$D$9</f>
        <v>Projections and Historical Financial Statements</v>
      </c>
      <c r="G17" s="316" t="str">
        <f t="shared" si="0"/>
        <v xml:space="preserve">Exhibit </v>
      </c>
    </row>
    <row r="18" spans="2:12">
      <c r="B18" s="291" t="str">
        <f>K18&amp;"."&amp;L18</f>
        <v>C.1</v>
      </c>
      <c r="E18" s="242" t="str">
        <f>Projections!B4</f>
        <v>Projections</v>
      </c>
      <c r="G18" s="316" t="str">
        <f>"Exhibit "&amp;B18</f>
        <v>Exhibit C.1</v>
      </c>
      <c r="J18" s="310">
        <f>IF(J16="",J14+1,J16)</f>
        <v>67</v>
      </c>
      <c r="K18" s="310" t="str">
        <f>CHAR(J18)</f>
        <v>C</v>
      </c>
      <c r="L18" s="310">
        <f>IF(L16="",1,L16+1)</f>
        <v>1</v>
      </c>
    </row>
    <row r="19" spans="2:12">
      <c r="B19" s="291" t="str">
        <f t="shared" si="1"/>
        <v>C.2</v>
      </c>
      <c r="E19" s="242" t="str">
        <f>'Hist IS'!$B$4</f>
        <v>Historical Income Statement</v>
      </c>
      <c r="G19" s="316" t="str">
        <f t="shared" si="0"/>
        <v>Exhibit C.2</v>
      </c>
      <c r="J19" s="310">
        <f>IF(J18="",J17+1,J18)</f>
        <v>67</v>
      </c>
      <c r="K19" s="310" t="str">
        <f>CHAR(J19)</f>
        <v>C</v>
      </c>
      <c r="L19" s="310">
        <f>IF(L18="",1,L18+1)</f>
        <v>2</v>
      </c>
    </row>
    <row r="20" spans="2:12">
      <c r="B20" s="291" t="str">
        <f t="shared" si="1"/>
        <v>C.3</v>
      </c>
      <c r="E20" s="242" t="str">
        <f>'Hist BS'!$B$4</f>
        <v>Historical Balance Sheet</v>
      </c>
      <c r="G20" s="316" t="str">
        <f t="shared" si="0"/>
        <v>Exhibit C.3</v>
      </c>
      <c r="J20" s="310">
        <f>IF(J19="",J18+1,J19)</f>
        <v>67</v>
      </c>
      <c r="K20" s="310" t="str">
        <f>CHAR(J20)</f>
        <v>C</v>
      </c>
      <c r="L20" s="310">
        <f>IF(L19="",1,L19+1)</f>
        <v>3</v>
      </c>
    </row>
    <row r="21" spans="2:12">
      <c r="B21" s="291"/>
      <c r="E21" s="242"/>
      <c r="G21" s="316" t="str">
        <f t="shared" si="0"/>
        <v xml:space="preserve">Exhibit </v>
      </c>
    </row>
    <row r="22" spans="2:12">
      <c r="B22" s="291"/>
      <c r="E22" s="242" t="str">
        <f>'Discount Rate FP &gt;&gt;'!$D$9</f>
        <v>Discount Rates</v>
      </c>
      <c r="G22" s="316" t="str">
        <f t="shared" si="0"/>
        <v xml:space="preserve">Exhibit </v>
      </c>
    </row>
    <row r="23" spans="2:12">
      <c r="B23" s="291" t="str">
        <f t="shared" si="1"/>
        <v>D.1</v>
      </c>
      <c r="E23" s="242" t="str">
        <f>'WACC IPO'!$B$4</f>
        <v>Weighted Average Cost of Capital - IPO Scenario</v>
      </c>
      <c r="G23" s="316" t="str">
        <f t="shared" si="0"/>
        <v>Exhibit D.1</v>
      </c>
      <c r="J23" s="310">
        <f>IF(J22="",J20+1,J22)</f>
        <v>68</v>
      </c>
      <c r="K23" s="310" t="str">
        <f>CHAR(J23)</f>
        <v>D</v>
      </c>
      <c r="L23" s="310">
        <f>IF(L22="",1,L22+1)</f>
        <v>1</v>
      </c>
    </row>
    <row r="24" spans="2:12">
      <c r="B24" s="291" t="str">
        <f t="shared" si="1"/>
        <v>D.2</v>
      </c>
      <c r="E24" s="242" t="str">
        <f>'RoR Stage of Dev'!$B$4</f>
        <v xml:space="preserve">Rate of Return By Stage of Development </v>
      </c>
      <c r="G24" s="316" t="str">
        <f>"Exhibit "&amp;B24</f>
        <v>Exhibit D.2</v>
      </c>
      <c r="J24" s="310">
        <f>IF(J23="",J22+1,J23)</f>
        <v>68</v>
      </c>
      <c r="K24" s="310" t="str">
        <f>CHAR(J24)</f>
        <v>D</v>
      </c>
      <c r="L24" s="310">
        <f>IF(L23="",1,L23+1)</f>
        <v>2</v>
      </c>
    </row>
    <row r="25" spans="2:12">
      <c r="B25" s="291"/>
      <c r="E25" s="242"/>
      <c r="G25" s="316" t="str">
        <f t="shared" si="0"/>
        <v xml:space="preserve">Exhibit </v>
      </c>
    </row>
    <row r="26" spans="2:12">
      <c r="B26" s="291"/>
      <c r="E26" s="308" t="str">
        <f>'GCM FP &gt;&gt;'!$D$9</f>
        <v>Guideline Comparables Method</v>
      </c>
      <c r="G26" s="316" t="str">
        <f t="shared" si="0"/>
        <v xml:space="preserve">Exhibit </v>
      </c>
    </row>
    <row r="27" spans="2:12">
      <c r="B27" s="291" t="str">
        <f t="shared" si="1"/>
        <v>E.1</v>
      </c>
      <c r="E27" s="242" t="str">
        <f>Comp.1!$B$4</f>
        <v>Guideline Public Companies' Revenue Multiples</v>
      </c>
      <c r="G27" s="316" t="str">
        <f t="shared" si="0"/>
        <v>Exhibit E.1</v>
      </c>
      <c r="J27" s="310">
        <f>IF(J26="",J24+1,J26)</f>
        <v>69</v>
      </c>
      <c r="K27" s="310" t="str">
        <f>CHAR(J27)</f>
        <v>E</v>
      </c>
      <c r="L27" s="310">
        <f>IF(L26="",1,L26+1)</f>
        <v>1</v>
      </c>
    </row>
    <row r="28" spans="2:12">
      <c r="B28" s="291" t="str">
        <f t="shared" si="1"/>
        <v>E.2</v>
      </c>
      <c r="E28" s="242" t="str">
        <f>Comp.6!$B$4</f>
        <v>Guideline Public Companies' Descriptions</v>
      </c>
      <c r="G28" s="316" t="str">
        <f t="shared" si="0"/>
        <v>Exhibit E.2</v>
      </c>
      <c r="J28" s="310">
        <f>IF(J27="",J26+1,J27)</f>
        <v>69</v>
      </c>
      <c r="K28" s="310" t="str">
        <f>CHAR(J28)</f>
        <v>E</v>
      </c>
      <c r="L28" s="310">
        <f>IF(L27="",1,L27+1)</f>
        <v>2</v>
      </c>
    </row>
    <row r="29" spans="2:12">
      <c r="B29" s="291" t="str">
        <f>K29&amp;"."&amp;L29</f>
        <v>E.3</v>
      </c>
      <c r="E29" s="242" t="str">
        <f>'Market Trends since Prior Val'!B4</f>
        <v>Market Trends since Previous Valuation</v>
      </c>
      <c r="G29" s="316" t="str">
        <f>"Exhibit "&amp;B29</f>
        <v>Exhibit E.3</v>
      </c>
      <c r="J29" s="310">
        <f>IF(J28="",J27+1,J28)</f>
        <v>69</v>
      </c>
      <c r="K29" s="310" t="str">
        <f>CHAR(J29)</f>
        <v>E</v>
      </c>
      <c r="L29" s="310">
        <f>IF(L28="",1,L28+1)</f>
        <v>3</v>
      </c>
    </row>
    <row r="30" spans="2:12">
      <c r="B30" s="291"/>
      <c r="E30" s="242"/>
      <c r="G30" s="316" t="str">
        <f t="shared" si="0"/>
        <v xml:space="preserve">Exhibit </v>
      </c>
    </row>
    <row r="31" spans="2:12">
      <c r="B31" s="291"/>
      <c r="E31" s="308" t="str">
        <f>'GTM FP &gt;&gt;'!$D$9</f>
        <v>Guideline Transaction Method</v>
      </c>
      <c r="G31" s="316" t="str">
        <f t="shared" si="0"/>
        <v xml:space="preserve">Exhibit </v>
      </c>
    </row>
    <row r="32" spans="2:12">
      <c r="B32" s="291" t="str">
        <f t="shared" si="1"/>
        <v>F.1</v>
      </c>
      <c r="E32" s="242" t="str">
        <f>Trans.1!$B$4</f>
        <v>Guideline Transactions' Multiples Analysis</v>
      </c>
      <c r="G32" s="316" t="str">
        <f t="shared" si="0"/>
        <v>Exhibit F.1</v>
      </c>
      <c r="J32" s="310">
        <f>IF(J31="",J28+1,J31)</f>
        <v>70</v>
      </c>
      <c r="K32" s="310" t="str">
        <f>CHAR(J32)</f>
        <v>F</v>
      </c>
      <c r="L32" s="310">
        <f>IF(L31="",1,L31+1)</f>
        <v>1</v>
      </c>
    </row>
    <row r="33" spans="2:12">
      <c r="B33" s="291" t="str">
        <f t="shared" si="1"/>
        <v>F.2</v>
      </c>
      <c r="E33" s="242" t="str">
        <f>Trans.2!$B$4</f>
        <v>Guideline Transactions' Target Descriptions</v>
      </c>
      <c r="G33" s="316" t="str">
        <f t="shared" si="0"/>
        <v>Exhibit F.2</v>
      </c>
      <c r="J33" s="310">
        <f>IF(J32="",J31+1,J32)</f>
        <v>70</v>
      </c>
      <c r="K33" s="310" t="str">
        <f>CHAR(J33)</f>
        <v>F</v>
      </c>
      <c r="L33" s="310">
        <f>IF(L32="",1,L32+1)</f>
        <v>2</v>
      </c>
    </row>
    <row r="34" spans="2:12">
      <c r="B34" s="291" t="str">
        <f t="shared" si="1"/>
        <v>F.3</v>
      </c>
      <c r="E34" s="242" t="str">
        <f>'Sec. Trans'!B4</f>
        <v>SAIL Transaction</v>
      </c>
      <c r="G34" s="316" t="str">
        <f>"Exhibit "&amp;B34</f>
        <v>Exhibit F.3</v>
      </c>
      <c r="J34" s="310">
        <f>IF(J33="",J32+1,J33)</f>
        <v>70</v>
      </c>
      <c r="K34" s="310" t="str">
        <f>CHAR(J34)</f>
        <v>F</v>
      </c>
      <c r="L34" s="310">
        <f>IF(L33="",1,L33+1)</f>
        <v>3</v>
      </c>
    </row>
    <row r="35" spans="2:12">
      <c r="B35" s="291"/>
      <c r="E35" s="242"/>
      <c r="G35" s="316" t="str">
        <f t="shared" si="0"/>
        <v xml:space="preserve">Exhibit </v>
      </c>
    </row>
    <row r="36" spans="2:12">
      <c r="B36" s="291"/>
      <c r="E36" s="242" t="str">
        <f>'Cap Structure FP &gt;&gt;'!$D$9</f>
        <v>Capitalization Summary</v>
      </c>
      <c r="G36" s="316" t="str">
        <f t="shared" si="0"/>
        <v xml:space="preserve">Exhibit </v>
      </c>
    </row>
    <row r="37" spans="2:12">
      <c r="B37" s="291" t="str">
        <f t="shared" si="1"/>
        <v>G.1</v>
      </c>
      <c r="E37" s="242" t="str">
        <f>'Cap Table'!$B$4</f>
        <v xml:space="preserve">Capitalization Table </v>
      </c>
      <c r="G37" s="316" t="str">
        <f t="shared" si="0"/>
        <v>Exhibit G.1</v>
      </c>
      <c r="J37" s="310">
        <f>IF(J36="",J33+1,J36)</f>
        <v>71</v>
      </c>
      <c r="K37" s="310" t="str">
        <f>CHAR(J37)</f>
        <v>G</v>
      </c>
      <c r="L37" s="310">
        <f t="shared" ref="L37:L48" si="2">IF(L36="",1,L36+1)</f>
        <v>1</v>
      </c>
    </row>
    <row r="38" spans="2:12">
      <c r="B38" s="291" t="str">
        <f t="shared" si="1"/>
        <v>G.2</v>
      </c>
      <c r="E38" s="242" t="str">
        <f>'Econ Rights'!$B$4</f>
        <v xml:space="preserve">Economic Rights Summary </v>
      </c>
      <c r="G38" s="316" t="str">
        <f t="shared" si="0"/>
        <v>Exhibit G.2</v>
      </c>
      <c r="J38" s="310">
        <f>IF(J37="",J36+1,J37)</f>
        <v>71</v>
      </c>
      <c r="K38" s="310" t="str">
        <f>CHAR(J38)</f>
        <v>G</v>
      </c>
      <c r="L38" s="310">
        <f t="shared" si="2"/>
        <v>2</v>
      </c>
    </row>
    <row r="39" spans="2:12">
      <c r="B39" s="291"/>
      <c r="E39" s="242"/>
      <c r="G39" s="316" t="str">
        <f t="shared" si="0"/>
        <v xml:space="preserve">Exhibit </v>
      </c>
    </row>
    <row r="40" spans="2:12">
      <c r="B40" s="291"/>
      <c r="E40" s="242" t="str">
        <f>+'Support FP &gt;&gt;'!D9</f>
        <v>Appendices</v>
      </c>
      <c r="G40" s="316" t="str">
        <f t="shared" si="0"/>
        <v xml:space="preserve">Exhibit </v>
      </c>
    </row>
    <row r="41" spans="2:12">
      <c r="B41" s="291" t="str">
        <f t="shared" si="1"/>
        <v>H.1</v>
      </c>
      <c r="E41" s="242" t="str">
        <f>DLOM!B4</f>
        <v xml:space="preserve">Discount for Lack of Marketability - Option Models and IPO </v>
      </c>
      <c r="G41" s="316" t="str">
        <f t="shared" si="0"/>
        <v>Exhibit H.1</v>
      </c>
      <c r="J41" s="310">
        <f>IF(J40="",J38+1,J40)</f>
        <v>72</v>
      </c>
      <c r="K41" s="310" t="str">
        <f t="shared" ref="K41:K48" si="3">CHAR(J41)</f>
        <v>H</v>
      </c>
      <c r="L41" s="310">
        <v>1</v>
      </c>
    </row>
    <row r="42" spans="2:12">
      <c r="B42" s="291" t="str">
        <f t="shared" ref="B42:B48" si="4">K42&amp;"."&amp;L42</f>
        <v>H.2</v>
      </c>
      <c r="E42" s="242" t="str">
        <f>'Asset Vol OPM Liquidation'!B4</f>
        <v>Asset Volatility - OPM (Liquidation)</v>
      </c>
      <c r="G42" s="316" t="str">
        <f>"Exhibit "&amp;B42</f>
        <v>Exhibit H.2</v>
      </c>
      <c r="J42" s="310">
        <f>IF(J41="",J40+1,J41)</f>
        <v>72</v>
      </c>
      <c r="K42" s="310" t="str">
        <f t="shared" si="3"/>
        <v>H</v>
      </c>
      <c r="L42" s="310">
        <f t="shared" si="2"/>
        <v>2</v>
      </c>
    </row>
    <row r="43" spans="2:12">
      <c r="B43" s="291" t="str">
        <f t="shared" si="4"/>
        <v>H.3</v>
      </c>
      <c r="E43" s="242" t="str">
        <f>'Asset Vol OPM Redemption'!B4</f>
        <v>Asset Volatility - OPM (Redemption)</v>
      </c>
      <c r="G43" s="316" t="str">
        <f t="shared" ref="G43:G48" si="5">"Exhibit "&amp;B43</f>
        <v>Exhibit H.3</v>
      </c>
      <c r="J43" s="310">
        <f t="shared" ref="J43:J48" si="6">IF(J42="",J41+1,J42)</f>
        <v>72</v>
      </c>
      <c r="K43" s="310" t="str">
        <f t="shared" si="3"/>
        <v>H</v>
      </c>
      <c r="L43" s="310">
        <f t="shared" si="2"/>
        <v>3</v>
      </c>
    </row>
    <row r="44" spans="2:12">
      <c r="B44" s="291" t="str">
        <f t="shared" si="4"/>
        <v>H.4</v>
      </c>
      <c r="E44" s="242" t="str">
        <f>'Asset Vol_DLOM'!B4</f>
        <v>Asset Volatility - DLOM</v>
      </c>
      <c r="G44" s="316" t="str">
        <f t="shared" si="5"/>
        <v>Exhibit H.4</v>
      </c>
      <c r="J44" s="310">
        <f t="shared" si="6"/>
        <v>72</v>
      </c>
      <c r="K44" s="310" t="str">
        <f t="shared" si="3"/>
        <v>H</v>
      </c>
      <c r="L44" s="310">
        <f t="shared" si="2"/>
        <v>4</v>
      </c>
    </row>
    <row r="45" spans="2:12">
      <c r="B45" s="291" t="str">
        <f t="shared" si="4"/>
        <v>H.5</v>
      </c>
      <c r="E45" s="242" t="str">
        <f>'Equity Vol'!$B$4</f>
        <v>Equity Volatility</v>
      </c>
      <c r="G45" s="316" t="str">
        <f t="shared" si="5"/>
        <v>Exhibit H.5</v>
      </c>
      <c r="J45" s="310">
        <f t="shared" si="6"/>
        <v>72</v>
      </c>
      <c r="K45" s="310" t="str">
        <f t="shared" si="3"/>
        <v>H</v>
      </c>
      <c r="L45" s="310">
        <f t="shared" si="2"/>
        <v>5</v>
      </c>
    </row>
    <row r="46" spans="2:12">
      <c r="B46" s="291" t="str">
        <f t="shared" si="4"/>
        <v>H.6</v>
      </c>
      <c r="E46" s="242" t="str">
        <f>'Risk-Free Rates'!$B$4</f>
        <v>Risk-Free Rates</v>
      </c>
      <c r="G46" s="316" t="str">
        <f t="shared" si="5"/>
        <v>Exhibit H.6</v>
      </c>
      <c r="J46" s="310">
        <f t="shared" si="6"/>
        <v>72</v>
      </c>
      <c r="K46" s="310" t="str">
        <f t="shared" si="3"/>
        <v>H</v>
      </c>
      <c r="L46" s="310">
        <f t="shared" si="2"/>
        <v>6</v>
      </c>
    </row>
    <row r="47" spans="2:12">
      <c r="B47" s="291" t="str">
        <f>K47&amp;"."&amp;L47</f>
        <v>H.7</v>
      </c>
      <c r="E47" s="308" t="str">
        <f>'IPO Data_BioPharma'!B4</f>
        <v>Initial Public Offerings Data</v>
      </c>
      <c r="G47" s="316" t="str">
        <f>"Exhibit "&amp;B47</f>
        <v>Exhibit H.7</v>
      </c>
      <c r="J47" s="310">
        <f t="shared" si="6"/>
        <v>72</v>
      </c>
      <c r="K47" s="310" t="str">
        <f t="shared" si="3"/>
        <v>H</v>
      </c>
      <c r="L47" s="310">
        <f t="shared" si="2"/>
        <v>7</v>
      </c>
    </row>
    <row r="48" spans="2:12">
      <c r="B48" s="291" t="str">
        <f t="shared" si="4"/>
        <v>H.8</v>
      </c>
      <c r="G48" s="316" t="str">
        <f t="shared" si="5"/>
        <v>Exhibit H.8</v>
      </c>
      <c r="J48" s="310">
        <f t="shared" si="6"/>
        <v>72</v>
      </c>
      <c r="K48" s="310" t="str">
        <f t="shared" si="3"/>
        <v>H</v>
      </c>
      <c r="L48" s="310">
        <f t="shared" si="2"/>
        <v>8</v>
      </c>
    </row>
    <row r="50" spans="2:12">
      <c r="B50" s="279" t="s">
        <v>1840</v>
      </c>
    </row>
    <row r="51" spans="2:12">
      <c r="B51" s="316" t="str">
        <f t="shared" ref="B51:B56" si="7">K51&amp;L51</f>
        <v>#1</v>
      </c>
      <c r="E51" s="242" t="str">
        <f>'rNPV Analysis'!B4</f>
        <v>rNPV Analysis</v>
      </c>
      <c r="G51" s="316" t="str">
        <f t="shared" ref="G51:G56" si="8">"Workpaper "&amp;B51</f>
        <v>Workpaper #1</v>
      </c>
      <c r="K51" s="8" t="s">
        <v>1842</v>
      </c>
      <c r="L51" s="310">
        <v>1</v>
      </c>
    </row>
    <row r="52" spans="2:12">
      <c r="B52" s="316" t="str">
        <f t="shared" si="7"/>
        <v>#2</v>
      </c>
      <c r="E52" s="242" t="str">
        <f>Comp.5!B4</f>
        <v>Guideline Public Companies' Margins &amp; Cash Flow Metrics</v>
      </c>
      <c r="G52" s="316" t="str">
        <f t="shared" si="8"/>
        <v>Workpaper #2</v>
      </c>
      <c r="K52" s="310" t="str">
        <f t="shared" ref="K52:K57" si="9">K51</f>
        <v>#</v>
      </c>
      <c r="L52" s="310">
        <f t="shared" ref="L52:L57" si="10">L51+1</f>
        <v>2</v>
      </c>
    </row>
    <row r="53" spans="2:12">
      <c r="B53" s="316" t="str">
        <f t="shared" si="7"/>
        <v>#3</v>
      </c>
      <c r="E53" s="242" t="str">
        <f>'Cost of Capital_Avance'!B4</f>
        <v>Discount Rate Support</v>
      </c>
      <c r="G53" s="316" t="str">
        <f t="shared" si="8"/>
        <v>Workpaper #3</v>
      </c>
      <c r="K53" s="310" t="str">
        <f t="shared" si="9"/>
        <v>#</v>
      </c>
      <c r="L53" s="310">
        <f t="shared" si="10"/>
        <v>3</v>
      </c>
    </row>
    <row r="54" spans="2:12">
      <c r="B54" s="316" t="str">
        <f t="shared" si="7"/>
        <v>#4</v>
      </c>
      <c r="E54" s="242" t="str">
        <f>'WACC CAPM'!B4</f>
        <v>Weighted Average Cost of Capital - CAPM-Based</v>
      </c>
      <c r="G54" s="316" t="str">
        <f t="shared" si="8"/>
        <v>Workpaper #4</v>
      </c>
      <c r="K54" s="310" t="str">
        <f t="shared" si="9"/>
        <v>#</v>
      </c>
      <c r="L54" s="310">
        <f t="shared" si="10"/>
        <v>4</v>
      </c>
    </row>
    <row r="55" spans="2:12">
      <c r="B55" s="316" t="str">
        <f t="shared" si="7"/>
        <v>#5</v>
      </c>
      <c r="E55" s="242" t="str">
        <f>'Beta Calc'!B4</f>
        <v>Beta Calculation</v>
      </c>
      <c r="G55" s="316" t="str">
        <f t="shared" si="8"/>
        <v>Workpaper #5</v>
      </c>
      <c r="K55" s="310" t="str">
        <f t="shared" si="9"/>
        <v>#</v>
      </c>
      <c r="L55" s="310">
        <f t="shared" si="10"/>
        <v>5</v>
      </c>
    </row>
    <row r="56" spans="2:12">
      <c r="B56" s="316" t="str">
        <f t="shared" si="7"/>
        <v>#6</v>
      </c>
      <c r="E56" s="242" t="str">
        <f>'Diabetes Type II_China Summary'!B4</f>
        <v>Summary of Type 2 Diabetes China Forecasts</v>
      </c>
      <c r="G56" s="316" t="str">
        <f t="shared" si="8"/>
        <v>Workpaper #6</v>
      </c>
      <c r="K56" s="310" t="str">
        <f t="shared" si="9"/>
        <v>#</v>
      </c>
      <c r="L56" s="310">
        <f t="shared" si="10"/>
        <v>6</v>
      </c>
    </row>
    <row r="57" spans="2:12">
      <c r="B57" s="316" t="str">
        <f>K57&amp;L57</f>
        <v>#7</v>
      </c>
      <c r="E57" s="242" t="str">
        <f>'Comparative Sheet'!B4</f>
        <v>Comparative Sheet</v>
      </c>
      <c r="G57" s="316" t="str">
        <f>"Workpaper "&amp;B57</f>
        <v>Workpaper #7</v>
      </c>
      <c r="K57" s="310" t="str">
        <f t="shared" si="9"/>
        <v>#</v>
      </c>
      <c r="L57" s="310">
        <f t="shared" si="10"/>
        <v>7</v>
      </c>
    </row>
  </sheetData>
  <conditionalFormatting sqref="B3:G3">
    <cfRule type="cellIs" dxfId="241" priority="32" stopIfTrue="1" operator="equal">
      <formula>"input"</formula>
    </cfRule>
  </conditionalFormatting>
  <conditionalFormatting sqref="B48 B7:B17 B19:B46">
    <cfRule type="expression" dxfId="240" priority="29">
      <formula>OR($B7="Exhibits",$B7="Workpapers")</formula>
    </cfRule>
  </conditionalFormatting>
  <conditionalFormatting sqref="E42:E46 E7:E17 E19:E40">
    <cfRule type="expression" dxfId="239" priority="28">
      <formula>$B7=""</formula>
    </cfRule>
  </conditionalFormatting>
  <conditionalFormatting sqref="G48 G8:G17 G19:G46 G51:G57">
    <cfRule type="expression" dxfId="238" priority="27">
      <formula>$B8="Workpapers"</formula>
    </cfRule>
  </conditionalFormatting>
  <conditionalFormatting sqref="E41">
    <cfRule type="expression" dxfId="237" priority="57">
      <formula>$B41=""</formula>
    </cfRule>
  </conditionalFormatting>
  <conditionalFormatting sqref="B18">
    <cfRule type="expression" dxfId="236" priority="6">
      <formula>OR($B18="Exhibits",$B18="Workpapers")</formula>
    </cfRule>
  </conditionalFormatting>
  <conditionalFormatting sqref="E18">
    <cfRule type="expression" dxfId="235" priority="5">
      <formula>$B18=""</formula>
    </cfRule>
  </conditionalFormatting>
  <conditionalFormatting sqref="G18">
    <cfRule type="expression" dxfId="234" priority="4">
      <formula>$B18="Workpapers"</formula>
    </cfRule>
  </conditionalFormatting>
  <conditionalFormatting sqref="B47">
    <cfRule type="expression" dxfId="233" priority="3">
      <formula>OR($B47="Exhibits",$B47="Workpapers")</formula>
    </cfRule>
  </conditionalFormatting>
  <conditionalFormatting sqref="G47">
    <cfRule type="expression" dxfId="232" priority="2">
      <formula>$B47="Workpapers"</formula>
    </cfRule>
  </conditionalFormatting>
  <pageMargins left="0.5" right="0.5" top="0.5" bottom="0.5" header="0.5" footer="0.5"/>
  <pageSetup scale="92" fitToWidth="0"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dimension ref="A1:IV3"/>
  <sheetViews>
    <sheetView workbookViewId="0"/>
  </sheetViews>
  <sheetFormatPr defaultRowHeight="12.75"/>
  <sheetData>
    <row r="1" spans="1:256">
      <c r="A1">
        <v>656</v>
      </c>
      <c r="B1" t="s">
        <v>3410</v>
      </c>
      <c r="C1" t="s">
        <v>3411</v>
      </c>
      <c r="D1" t="s">
        <v>3412</v>
      </c>
      <c r="E1" t="s">
        <v>3413</v>
      </c>
      <c r="F1" t="s">
        <v>3414</v>
      </c>
      <c r="G1" t="s">
        <v>3415</v>
      </c>
      <c r="H1" t="s">
        <v>3416</v>
      </c>
      <c r="I1" t="s">
        <v>3417</v>
      </c>
      <c r="J1" t="s">
        <v>3418</v>
      </c>
      <c r="K1" t="s">
        <v>3419</v>
      </c>
      <c r="L1" t="s">
        <v>3420</v>
      </c>
      <c r="M1" t="s">
        <v>3421</v>
      </c>
      <c r="N1" t="s">
        <v>3422</v>
      </c>
      <c r="O1" t="s">
        <v>3423</v>
      </c>
      <c r="P1" t="s">
        <v>3424</v>
      </c>
      <c r="Q1" t="s">
        <v>3425</v>
      </c>
      <c r="R1" t="s">
        <v>3426</v>
      </c>
      <c r="S1" t="s">
        <v>3427</v>
      </c>
      <c r="T1" t="s">
        <v>3428</v>
      </c>
      <c r="U1" t="s">
        <v>3429</v>
      </c>
      <c r="V1" t="s">
        <v>3430</v>
      </c>
      <c r="W1" t="s">
        <v>3431</v>
      </c>
      <c r="X1" t="s">
        <v>3432</v>
      </c>
      <c r="Y1" t="s">
        <v>3433</v>
      </c>
      <c r="Z1" t="s">
        <v>3434</v>
      </c>
      <c r="AA1" t="s">
        <v>3435</v>
      </c>
      <c r="AB1" t="s">
        <v>3436</v>
      </c>
      <c r="AC1" t="s">
        <v>3437</v>
      </c>
      <c r="AD1" t="s">
        <v>3438</v>
      </c>
      <c r="AE1" t="s">
        <v>3439</v>
      </c>
      <c r="AF1" t="s">
        <v>3440</v>
      </c>
      <c r="AG1" t="s">
        <v>3441</v>
      </c>
      <c r="AH1" t="s">
        <v>3442</v>
      </c>
      <c r="AI1" t="s">
        <v>3443</v>
      </c>
      <c r="AJ1" t="s">
        <v>3444</v>
      </c>
      <c r="AK1" t="s">
        <v>3445</v>
      </c>
      <c r="AL1" t="s">
        <v>3446</v>
      </c>
      <c r="AM1" t="s">
        <v>3447</v>
      </c>
      <c r="AN1" t="s">
        <v>3448</v>
      </c>
      <c r="AO1" t="s">
        <v>3449</v>
      </c>
      <c r="AP1" t="s">
        <v>3450</v>
      </c>
      <c r="AQ1" t="s">
        <v>3451</v>
      </c>
      <c r="AR1" t="s">
        <v>3452</v>
      </c>
      <c r="AS1" t="s">
        <v>3453</v>
      </c>
      <c r="AT1" t="s">
        <v>3454</v>
      </c>
      <c r="AU1" t="s">
        <v>3455</v>
      </c>
      <c r="AV1" t="s">
        <v>3456</v>
      </c>
      <c r="AW1" t="s">
        <v>3457</v>
      </c>
      <c r="AX1" t="s">
        <v>3458</v>
      </c>
      <c r="AY1" t="s">
        <v>3459</v>
      </c>
      <c r="AZ1" t="s">
        <v>3460</v>
      </c>
      <c r="BA1" t="s">
        <v>3461</v>
      </c>
      <c r="BB1" t="s">
        <v>3462</v>
      </c>
      <c r="BC1" t="s">
        <v>3463</v>
      </c>
      <c r="BD1" t="s">
        <v>3464</v>
      </c>
      <c r="BE1" t="s">
        <v>3465</v>
      </c>
      <c r="BF1" t="s">
        <v>3466</v>
      </c>
      <c r="BG1" t="s">
        <v>3467</v>
      </c>
      <c r="BH1" t="s">
        <v>3468</v>
      </c>
      <c r="BI1" t="s">
        <v>3469</v>
      </c>
      <c r="BJ1" t="s">
        <v>3470</v>
      </c>
      <c r="BK1" t="s">
        <v>3471</v>
      </c>
      <c r="BL1" t="s">
        <v>3472</v>
      </c>
      <c r="BM1" t="s">
        <v>3473</v>
      </c>
      <c r="BN1" t="s">
        <v>3474</v>
      </c>
      <c r="BO1" t="s">
        <v>3475</v>
      </c>
      <c r="BP1" t="s">
        <v>3476</v>
      </c>
      <c r="BQ1" t="s">
        <v>3477</v>
      </c>
      <c r="BR1" t="s">
        <v>3478</v>
      </c>
      <c r="BS1" t="s">
        <v>3479</v>
      </c>
      <c r="BT1" t="s">
        <v>3480</v>
      </c>
      <c r="BU1" t="s">
        <v>3481</v>
      </c>
      <c r="BV1" t="s">
        <v>3482</v>
      </c>
      <c r="BW1" t="s">
        <v>3483</v>
      </c>
      <c r="BX1" t="s">
        <v>3484</v>
      </c>
      <c r="BY1" t="s">
        <v>3485</v>
      </c>
      <c r="BZ1" t="s">
        <v>3486</v>
      </c>
      <c r="CA1" t="s">
        <v>3487</v>
      </c>
      <c r="CB1" t="s">
        <v>3488</v>
      </c>
      <c r="CC1" t="s">
        <v>3489</v>
      </c>
      <c r="CD1" t="s">
        <v>3490</v>
      </c>
      <c r="CE1" t="s">
        <v>3491</v>
      </c>
      <c r="CF1" t="s">
        <v>3492</v>
      </c>
      <c r="CG1" t="s">
        <v>3493</v>
      </c>
      <c r="CH1" t="s">
        <v>3494</v>
      </c>
      <c r="CI1" t="s">
        <v>3495</v>
      </c>
      <c r="CJ1" t="s">
        <v>3496</v>
      </c>
      <c r="CK1" t="s">
        <v>3497</v>
      </c>
      <c r="CL1" t="s">
        <v>3498</v>
      </c>
      <c r="CM1" t="s">
        <v>3499</v>
      </c>
      <c r="CN1" t="s">
        <v>3500</v>
      </c>
      <c r="CO1" t="s">
        <v>3501</v>
      </c>
      <c r="CP1" t="s">
        <v>3502</v>
      </c>
      <c r="CQ1" t="s">
        <v>3503</v>
      </c>
      <c r="CR1" t="s">
        <v>3504</v>
      </c>
      <c r="CS1" t="s">
        <v>3505</v>
      </c>
      <c r="CT1" t="s">
        <v>3506</v>
      </c>
      <c r="CU1" t="s">
        <v>3507</v>
      </c>
      <c r="CV1" t="s">
        <v>3508</v>
      </c>
      <c r="CW1" t="s">
        <v>3509</v>
      </c>
      <c r="CX1" t="s">
        <v>3510</v>
      </c>
      <c r="CY1" t="s">
        <v>3511</v>
      </c>
      <c r="CZ1" t="s">
        <v>3512</v>
      </c>
      <c r="DA1" t="s">
        <v>3513</v>
      </c>
      <c r="DB1" t="s">
        <v>3514</v>
      </c>
      <c r="DC1" t="s">
        <v>3515</v>
      </c>
      <c r="DD1" t="s">
        <v>3516</v>
      </c>
      <c r="DE1" t="s">
        <v>3517</v>
      </c>
      <c r="DF1" t="s">
        <v>3518</v>
      </c>
      <c r="DG1" t="s">
        <v>3519</v>
      </c>
      <c r="DH1" t="s">
        <v>3520</v>
      </c>
      <c r="DI1" t="s">
        <v>3521</v>
      </c>
      <c r="DJ1" t="s">
        <v>3522</v>
      </c>
      <c r="DK1" t="s">
        <v>3523</v>
      </c>
      <c r="DL1" t="s">
        <v>3524</v>
      </c>
      <c r="DM1" t="s">
        <v>3525</v>
      </c>
      <c r="DN1" t="s">
        <v>3526</v>
      </c>
      <c r="DO1" t="s">
        <v>3527</v>
      </c>
      <c r="DP1" t="s">
        <v>3528</v>
      </c>
      <c r="DQ1" t="s">
        <v>3529</v>
      </c>
      <c r="DR1" t="s">
        <v>3530</v>
      </c>
      <c r="DS1" t="s">
        <v>3531</v>
      </c>
      <c r="DT1" t="s">
        <v>3532</v>
      </c>
      <c r="DU1" t="s">
        <v>3533</v>
      </c>
      <c r="DV1" t="s">
        <v>3534</v>
      </c>
      <c r="DW1" t="s">
        <v>3535</v>
      </c>
      <c r="DX1" t="s">
        <v>3536</v>
      </c>
      <c r="DY1" t="s">
        <v>3537</v>
      </c>
      <c r="DZ1" t="s">
        <v>3538</v>
      </c>
      <c r="EA1" t="s">
        <v>3539</v>
      </c>
      <c r="EB1" t="s">
        <v>3540</v>
      </c>
      <c r="EC1" t="s">
        <v>3541</v>
      </c>
      <c r="ED1" t="s">
        <v>3542</v>
      </c>
      <c r="EE1" t="s">
        <v>3543</v>
      </c>
      <c r="EF1" t="s">
        <v>3544</v>
      </c>
      <c r="EG1" t="s">
        <v>3545</v>
      </c>
      <c r="EH1" t="s">
        <v>3546</v>
      </c>
      <c r="EI1" t="s">
        <v>3547</v>
      </c>
      <c r="EJ1" t="s">
        <v>3548</v>
      </c>
      <c r="EK1" t="s">
        <v>3549</v>
      </c>
      <c r="EL1" t="s">
        <v>3550</v>
      </c>
      <c r="EM1" t="s">
        <v>3551</v>
      </c>
      <c r="EN1" t="s">
        <v>3552</v>
      </c>
      <c r="EO1" t="s">
        <v>3553</v>
      </c>
      <c r="EP1" t="s">
        <v>3554</v>
      </c>
      <c r="EQ1" t="s">
        <v>3555</v>
      </c>
      <c r="ER1" t="s">
        <v>3556</v>
      </c>
      <c r="ES1" t="s">
        <v>3557</v>
      </c>
      <c r="ET1" t="s">
        <v>3558</v>
      </c>
      <c r="EU1" t="s">
        <v>3559</v>
      </c>
      <c r="EV1" t="s">
        <v>3560</v>
      </c>
      <c r="EW1" t="s">
        <v>3561</v>
      </c>
      <c r="EX1" t="s">
        <v>3562</v>
      </c>
      <c r="EY1" t="s">
        <v>3563</v>
      </c>
      <c r="EZ1" t="s">
        <v>3564</v>
      </c>
      <c r="FA1" t="s">
        <v>3565</v>
      </c>
      <c r="FB1" t="s">
        <v>3566</v>
      </c>
      <c r="FC1" t="s">
        <v>3567</v>
      </c>
      <c r="FD1" t="s">
        <v>3568</v>
      </c>
      <c r="FE1" t="s">
        <v>3569</v>
      </c>
      <c r="FF1" t="s">
        <v>3570</v>
      </c>
      <c r="FG1" t="s">
        <v>3571</v>
      </c>
      <c r="FH1" t="s">
        <v>3572</v>
      </c>
      <c r="FI1" t="s">
        <v>3573</v>
      </c>
      <c r="FJ1" t="s">
        <v>3574</v>
      </c>
      <c r="FK1" t="s">
        <v>3575</v>
      </c>
      <c r="FL1" t="s">
        <v>3576</v>
      </c>
      <c r="FM1" t="s">
        <v>3577</v>
      </c>
      <c r="FN1" t="s">
        <v>3578</v>
      </c>
      <c r="FO1" t="s">
        <v>3579</v>
      </c>
      <c r="FP1" t="s">
        <v>3580</v>
      </c>
      <c r="FQ1" t="s">
        <v>3581</v>
      </c>
      <c r="FR1" t="s">
        <v>3582</v>
      </c>
      <c r="FS1" t="s">
        <v>3583</v>
      </c>
      <c r="FT1" t="s">
        <v>3584</v>
      </c>
      <c r="FU1" t="s">
        <v>3585</v>
      </c>
      <c r="FV1" t="s">
        <v>3586</v>
      </c>
      <c r="FW1" t="s">
        <v>3587</v>
      </c>
      <c r="FX1" t="s">
        <v>3588</v>
      </c>
      <c r="FY1" t="s">
        <v>3589</v>
      </c>
      <c r="FZ1" t="s">
        <v>3590</v>
      </c>
      <c r="GA1" t="s">
        <v>3591</v>
      </c>
      <c r="GB1" t="s">
        <v>3592</v>
      </c>
      <c r="GC1" t="s">
        <v>3593</v>
      </c>
      <c r="GD1" t="s">
        <v>3594</v>
      </c>
      <c r="GE1" t="s">
        <v>3595</v>
      </c>
      <c r="GF1" t="s">
        <v>3596</v>
      </c>
      <c r="GG1" t="s">
        <v>3597</v>
      </c>
      <c r="GH1" t="s">
        <v>3598</v>
      </c>
      <c r="GI1" t="s">
        <v>3599</v>
      </c>
      <c r="GJ1" t="s">
        <v>3600</v>
      </c>
      <c r="GK1" t="s">
        <v>3601</v>
      </c>
      <c r="GL1" t="s">
        <v>3602</v>
      </c>
      <c r="GM1" t="s">
        <v>3603</v>
      </c>
      <c r="GN1" t="s">
        <v>3604</v>
      </c>
      <c r="GO1" t="s">
        <v>3605</v>
      </c>
      <c r="GP1" t="s">
        <v>3606</v>
      </c>
      <c r="GQ1" t="s">
        <v>3607</v>
      </c>
      <c r="GR1" t="s">
        <v>3608</v>
      </c>
      <c r="GS1" t="s">
        <v>3609</v>
      </c>
      <c r="GT1" t="s">
        <v>3610</v>
      </c>
      <c r="GU1" t="s">
        <v>3611</v>
      </c>
      <c r="GV1" t="s">
        <v>3612</v>
      </c>
      <c r="GW1" t="s">
        <v>3613</v>
      </c>
      <c r="GX1" t="s">
        <v>3614</v>
      </c>
      <c r="GY1" t="s">
        <v>3615</v>
      </c>
      <c r="GZ1" t="s">
        <v>3616</v>
      </c>
      <c r="HA1" t="s">
        <v>3617</v>
      </c>
      <c r="HB1" t="s">
        <v>3618</v>
      </c>
      <c r="HC1" t="s">
        <v>3619</v>
      </c>
      <c r="HD1" t="s">
        <v>3620</v>
      </c>
      <c r="HE1" t="s">
        <v>3621</v>
      </c>
      <c r="HF1" t="s">
        <v>3622</v>
      </c>
      <c r="HG1" t="s">
        <v>3623</v>
      </c>
      <c r="HH1" t="s">
        <v>3624</v>
      </c>
      <c r="HI1" t="s">
        <v>3625</v>
      </c>
      <c r="HJ1" t="s">
        <v>3626</v>
      </c>
      <c r="HK1" t="s">
        <v>3627</v>
      </c>
      <c r="HL1" t="s">
        <v>3628</v>
      </c>
      <c r="HM1" t="s">
        <v>3629</v>
      </c>
      <c r="HN1" t="s">
        <v>3630</v>
      </c>
      <c r="HO1" t="s">
        <v>3631</v>
      </c>
      <c r="HP1" t="s">
        <v>3632</v>
      </c>
      <c r="HQ1" t="s">
        <v>3633</v>
      </c>
      <c r="HR1" t="s">
        <v>3634</v>
      </c>
      <c r="HS1" t="s">
        <v>3635</v>
      </c>
      <c r="HT1" t="s">
        <v>3636</v>
      </c>
      <c r="HU1" t="s">
        <v>3637</v>
      </c>
      <c r="HV1" t="s">
        <v>3638</v>
      </c>
      <c r="HW1" t="s">
        <v>3639</v>
      </c>
      <c r="HX1" t="s">
        <v>3640</v>
      </c>
      <c r="HY1" t="s">
        <v>3641</v>
      </c>
      <c r="HZ1" t="s">
        <v>3642</v>
      </c>
      <c r="IA1" t="s">
        <v>3643</v>
      </c>
      <c r="IB1" t="s">
        <v>3644</v>
      </c>
      <c r="IC1" t="s">
        <v>3645</v>
      </c>
      <c r="ID1" t="s">
        <v>3646</v>
      </c>
      <c r="IE1" t="s">
        <v>3647</v>
      </c>
      <c r="IF1" t="s">
        <v>3648</v>
      </c>
      <c r="IG1" t="s">
        <v>3649</v>
      </c>
      <c r="IH1" t="s">
        <v>3650</v>
      </c>
      <c r="II1" t="s">
        <v>3651</v>
      </c>
      <c r="IJ1" t="s">
        <v>3652</v>
      </c>
      <c r="IK1" t="s">
        <v>3653</v>
      </c>
      <c r="IL1" t="s">
        <v>3654</v>
      </c>
      <c r="IM1" t="s">
        <v>3655</v>
      </c>
      <c r="IN1" t="s">
        <v>3656</v>
      </c>
      <c r="IO1" t="s">
        <v>3657</v>
      </c>
      <c r="IP1" t="s">
        <v>3658</v>
      </c>
      <c r="IQ1" t="s">
        <v>3659</v>
      </c>
      <c r="IR1" t="s">
        <v>3660</v>
      </c>
      <c r="IS1" t="s">
        <v>3661</v>
      </c>
      <c r="IT1" t="s">
        <v>3662</v>
      </c>
      <c r="IU1" t="s">
        <v>3663</v>
      </c>
      <c r="IV1" t="s">
        <v>3664</v>
      </c>
    </row>
    <row r="2" spans="1:256">
      <c r="A2" t="s">
        <v>3665</v>
      </c>
      <c r="B2" t="s">
        <v>3666</v>
      </c>
      <c r="C2" t="s">
        <v>3667</v>
      </c>
      <c r="D2" t="s">
        <v>3668</v>
      </c>
      <c r="E2" t="s">
        <v>3669</v>
      </c>
      <c r="F2" t="s">
        <v>3670</v>
      </c>
      <c r="G2" t="s">
        <v>3671</v>
      </c>
      <c r="H2" t="s">
        <v>3672</v>
      </c>
      <c r="I2" t="s">
        <v>3673</v>
      </c>
      <c r="J2" t="s">
        <v>3674</v>
      </c>
      <c r="K2" t="s">
        <v>3675</v>
      </c>
      <c r="L2" t="s">
        <v>3676</v>
      </c>
      <c r="M2" t="s">
        <v>3677</v>
      </c>
      <c r="N2" t="s">
        <v>3678</v>
      </c>
      <c r="O2" t="s">
        <v>3679</v>
      </c>
      <c r="P2" t="s">
        <v>3680</v>
      </c>
      <c r="Q2" t="s">
        <v>3681</v>
      </c>
      <c r="R2" t="s">
        <v>3682</v>
      </c>
      <c r="S2" t="s">
        <v>3683</v>
      </c>
      <c r="T2" t="s">
        <v>3684</v>
      </c>
      <c r="U2" t="s">
        <v>3685</v>
      </c>
      <c r="V2" t="s">
        <v>3686</v>
      </c>
      <c r="W2" t="s">
        <v>3687</v>
      </c>
      <c r="X2" t="s">
        <v>3688</v>
      </c>
      <c r="Y2" t="s">
        <v>3689</v>
      </c>
      <c r="Z2" t="s">
        <v>3690</v>
      </c>
      <c r="AA2" t="s">
        <v>3691</v>
      </c>
      <c r="AB2" t="s">
        <v>3692</v>
      </c>
      <c r="AC2" t="s">
        <v>3693</v>
      </c>
      <c r="AD2" t="s">
        <v>3694</v>
      </c>
      <c r="AE2" t="s">
        <v>3695</v>
      </c>
      <c r="AF2" t="s">
        <v>3696</v>
      </c>
      <c r="AG2" t="s">
        <v>3697</v>
      </c>
      <c r="AH2" t="s">
        <v>3698</v>
      </c>
      <c r="AI2" t="s">
        <v>3699</v>
      </c>
      <c r="AJ2" t="s">
        <v>3700</v>
      </c>
      <c r="AK2" t="s">
        <v>3701</v>
      </c>
      <c r="AL2" t="s">
        <v>3702</v>
      </c>
      <c r="AM2" t="s">
        <v>3703</v>
      </c>
      <c r="AN2" t="s">
        <v>3704</v>
      </c>
      <c r="AO2" t="s">
        <v>3705</v>
      </c>
      <c r="AP2" t="s">
        <v>3706</v>
      </c>
      <c r="AQ2" t="s">
        <v>3707</v>
      </c>
      <c r="AR2" t="s">
        <v>3708</v>
      </c>
      <c r="AS2" t="s">
        <v>3709</v>
      </c>
      <c r="AT2" t="s">
        <v>3710</v>
      </c>
      <c r="AU2" t="s">
        <v>3711</v>
      </c>
      <c r="AV2" t="s">
        <v>3712</v>
      </c>
      <c r="AW2" t="s">
        <v>3713</v>
      </c>
      <c r="AX2" t="s">
        <v>3714</v>
      </c>
      <c r="AY2" t="s">
        <v>3715</v>
      </c>
      <c r="AZ2" t="s">
        <v>3716</v>
      </c>
      <c r="BA2" t="s">
        <v>3717</v>
      </c>
      <c r="BB2" t="s">
        <v>3718</v>
      </c>
      <c r="BC2" t="s">
        <v>3719</v>
      </c>
      <c r="BD2" t="s">
        <v>3720</v>
      </c>
      <c r="BE2" t="s">
        <v>3721</v>
      </c>
      <c r="BF2" t="s">
        <v>3722</v>
      </c>
      <c r="BG2" t="s">
        <v>3723</v>
      </c>
      <c r="BH2" t="s">
        <v>3724</v>
      </c>
      <c r="BI2" t="s">
        <v>3725</v>
      </c>
      <c r="BJ2" t="s">
        <v>3726</v>
      </c>
      <c r="BK2" t="s">
        <v>3727</v>
      </c>
      <c r="BL2" t="s">
        <v>3728</v>
      </c>
      <c r="BM2" t="s">
        <v>3729</v>
      </c>
      <c r="BN2" t="s">
        <v>3730</v>
      </c>
      <c r="BO2" t="s">
        <v>3731</v>
      </c>
      <c r="BP2" t="s">
        <v>3732</v>
      </c>
      <c r="BQ2" t="s">
        <v>3733</v>
      </c>
      <c r="BR2" t="s">
        <v>3734</v>
      </c>
      <c r="BS2" t="s">
        <v>3735</v>
      </c>
      <c r="BT2" t="s">
        <v>3736</v>
      </c>
      <c r="BU2" t="s">
        <v>3737</v>
      </c>
      <c r="BV2" t="s">
        <v>3738</v>
      </c>
      <c r="BW2" t="s">
        <v>3739</v>
      </c>
      <c r="BX2" t="s">
        <v>3740</v>
      </c>
      <c r="BY2" t="s">
        <v>3741</v>
      </c>
      <c r="BZ2" t="s">
        <v>3742</v>
      </c>
      <c r="CA2" t="s">
        <v>3743</v>
      </c>
      <c r="CB2" t="s">
        <v>3744</v>
      </c>
      <c r="CC2" t="s">
        <v>3745</v>
      </c>
      <c r="CD2" t="s">
        <v>3746</v>
      </c>
      <c r="CE2" t="s">
        <v>3747</v>
      </c>
      <c r="CF2" t="s">
        <v>3748</v>
      </c>
      <c r="CG2" t="s">
        <v>3749</v>
      </c>
      <c r="CH2" t="s">
        <v>3750</v>
      </c>
      <c r="CI2" t="s">
        <v>3751</v>
      </c>
      <c r="CJ2" t="s">
        <v>3752</v>
      </c>
      <c r="CK2" t="s">
        <v>3753</v>
      </c>
      <c r="CL2" t="s">
        <v>3754</v>
      </c>
      <c r="CM2" t="s">
        <v>3755</v>
      </c>
      <c r="CN2" t="s">
        <v>3756</v>
      </c>
      <c r="CO2" t="s">
        <v>3757</v>
      </c>
      <c r="CP2" t="s">
        <v>3758</v>
      </c>
      <c r="CQ2" t="s">
        <v>3759</v>
      </c>
      <c r="CR2" t="s">
        <v>3760</v>
      </c>
      <c r="CS2" t="s">
        <v>3761</v>
      </c>
      <c r="CT2" t="s">
        <v>3762</v>
      </c>
      <c r="CU2" t="s">
        <v>3763</v>
      </c>
      <c r="CV2" t="s">
        <v>3764</v>
      </c>
      <c r="CW2" t="s">
        <v>3765</v>
      </c>
      <c r="CX2" t="s">
        <v>3766</v>
      </c>
      <c r="CY2" t="s">
        <v>3767</v>
      </c>
      <c r="CZ2" t="s">
        <v>3768</v>
      </c>
      <c r="DA2" t="s">
        <v>3769</v>
      </c>
      <c r="DB2" t="s">
        <v>3770</v>
      </c>
      <c r="DC2" t="s">
        <v>3771</v>
      </c>
      <c r="DD2" t="s">
        <v>3772</v>
      </c>
      <c r="DE2" t="s">
        <v>3773</v>
      </c>
      <c r="DF2" t="s">
        <v>3774</v>
      </c>
      <c r="DG2" t="s">
        <v>3775</v>
      </c>
      <c r="DH2" t="s">
        <v>3776</v>
      </c>
      <c r="DI2" t="s">
        <v>3777</v>
      </c>
      <c r="DJ2" t="s">
        <v>3778</v>
      </c>
      <c r="DK2" t="s">
        <v>3779</v>
      </c>
      <c r="DL2" t="s">
        <v>3780</v>
      </c>
      <c r="DM2" t="s">
        <v>3781</v>
      </c>
      <c r="DN2" t="s">
        <v>3782</v>
      </c>
      <c r="DO2" t="s">
        <v>3783</v>
      </c>
      <c r="DP2" t="s">
        <v>3784</v>
      </c>
      <c r="DQ2" t="s">
        <v>3785</v>
      </c>
      <c r="DR2" t="s">
        <v>3786</v>
      </c>
      <c r="DS2" t="s">
        <v>3787</v>
      </c>
      <c r="DT2" t="s">
        <v>3788</v>
      </c>
      <c r="DU2" t="s">
        <v>3789</v>
      </c>
      <c r="DV2" t="s">
        <v>3790</v>
      </c>
      <c r="DW2" t="s">
        <v>3791</v>
      </c>
      <c r="DX2" t="s">
        <v>3792</v>
      </c>
      <c r="DY2" t="s">
        <v>3793</v>
      </c>
      <c r="DZ2" t="s">
        <v>3794</v>
      </c>
      <c r="EA2" t="s">
        <v>3795</v>
      </c>
      <c r="EB2" t="s">
        <v>3796</v>
      </c>
      <c r="EC2" t="s">
        <v>3797</v>
      </c>
      <c r="ED2" t="s">
        <v>3798</v>
      </c>
      <c r="EE2" t="s">
        <v>3799</v>
      </c>
      <c r="EF2" t="s">
        <v>3800</v>
      </c>
      <c r="EG2" t="s">
        <v>3801</v>
      </c>
      <c r="EH2" t="s">
        <v>3802</v>
      </c>
      <c r="EI2" t="s">
        <v>3803</v>
      </c>
      <c r="EJ2" t="s">
        <v>3804</v>
      </c>
      <c r="EK2" t="s">
        <v>3805</v>
      </c>
      <c r="EL2" t="s">
        <v>3806</v>
      </c>
      <c r="EM2" t="s">
        <v>3807</v>
      </c>
      <c r="EN2" t="s">
        <v>3808</v>
      </c>
      <c r="EO2" t="s">
        <v>3809</v>
      </c>
      <c r="EP2" t="s">
        <v>3810</v>
      </c>
      <c r="EQ2" t="s">
        <v>3811</v>
      </c>
      <c r="ER2" t="s">
        <v>3812</v>
      </c>
      <c r="ES2" t="s">
        <v>3813</v>
      </c>
      <c r="ET2" t="s">
        <v>3814</v>
      </c>
      <c r="EU2" t="s">
        <v>3815</v>
      </c>
      <c r="EV2" t="s">
        <v>3816</v>
      </c>
      <c r="EW2" t="s">
        <v>3817</v>
      </c>
      <c r="EX2" t="s">
        <v>3818</v>
      </c>
      <c r="EY2" t="s">
        <v>3819</v>
      </c>
      <c r="EZ2" t="s">
        <v>3820</v>
      </c>
      <c r="FA2" t="s">
        <v>3821</v>
      </c>
      <c r="FB2" t="s">
        <v>3822</v>
      </c>
      <c r="FC2" t="s">
        <v>3823</v>
      </c>
      <c r="FD2" t="s">
        <v>3824</v>
      </c>
      <c r="FE2" t="s">
        <v>3825</v>
      </c>
      <c r="FF2" t="s">
        <v>3826</v>
      </c>
      <c r="FG2" t="s">
        <v>3827</v>
      </c>
      <c r="FH2" t="s">
        <v>3828</v>
      </c>
      <c r="FI2" t="s">
        <v>3829</v>
      </c>
      <c r="FJ2" t="s">
        <v>3830</v>
      </c>
      <c r="FK2" t="s">
        <v>3831</v>
      </c>
      <c r="FL2" t="s">
        <v>3832</v>
      </c>
      <c r="FM2" t="s">
        <v>3833</v>
      </c>
      <c r="FN2" t="s">
        <v>3834</v>
      </c>
      <c r="FO2" t="s">
        <v>3835</v>
      </c>
      <c r="FP2" t="s">
        <v>3836</v>
      </c>
      <c r="FQ2" t="s">
        <v>3837</v>
      </c>
      <c r="FR2" t="s">
        <v>3838</v>
      </c>
      <c r="FS2" t="s">
        <v>3839</v>
      </c>
      <c r="FT2" t="s">
        <v>3840</v>
      </c>
      <c r="FU2" t="s">
        <v>3841</v>
      </c>
      <c r="FV2" t="s">
        <v>3842</v>
      </c>
      <c r="FW2" t="s">
        <v>3843</v>
      </c>
      <c r="FX2" t="s">
        <v>3844</v>
      </c>
      <c r="FY2" t="s">
        <v>3845</v>
      </c>
      <c r="FZ2" t="s">
        <v>3846</v>
      </c>
      <c r="GA2" t="s">
        <v>3847</v>
      </c>
      <c r="GB2" t="s">
        <v>3848</v>
      </c>
      <c r="GC2" t="s">
        <v>3849</v>
      </c>
      <c r="GD2" t="s">
        <v>3850</v>
      </c>
      <c r="GE2" t="s">
        <v>3851</v>
      </c>
      <c r="GF2" t="s">
        <v>3852</v>
      </c>
      <c r="GG2" t="s">
        <v>3853</v>
      </c>
      <c r="GH2" t="s">
        <v>3854</v>
      </c>
      <c r="GI2" t="s">
        <v>3855</v>
      </c>
      <c r="GJ2" t="s">
        <v>3856</v>
      </c>
      <c r="GK2" t="s">
        <v>3857</v>
      </c>
      <c r="GL2" t="s">
        <v>3858</v>
      </c>
      <c r="GM2" t="s">
        <v>3859</v>
      </c>
      <c r="GN2" t="s">
        <v>3860</v>
      </c>
      <c r="GO2" t="s">
        <v>3861</v>
      </c>
      <c r="GP2" t="s">
        <v>3862</v>
      </c>
      <c r="GQ2" t="s">
        <v>3863</v>
      </c>
      <c r="GR2" t="s">
        <v>3864</v>
      </c>
      <c r="GS2" t="s">
        <v>3865</v>
      </c>
      <c r="GT2" t="s">
        <v>3866</v>
      </c>
      <c r="GU2" t="s">
        <v>3867</v>
      </c>
      <c r="GV2" t="s">
        <v>3868</v>
      </c>
      <c r="GW2" t="s">
        <v>3869</v>
      </c>
      <c r="GX2" t="s">
        <v>3870</v>
      </c>
      <c r="GY2" t="s">
        <v>3871</v>
      </c>
      <c r="GZ2" t="s">
        <v>3872</v>
      </c>
      <c r="HA2" t="s">
        <v>3873</v>
      </c>
      <c r="HB2" t="s">
        <v>3874</v>
      </c>
      <c r="HC2" t="s">
        <v>3875</v>
      </c>
      <c r="HD2" t="s">
        <v>3876</v>
      </c>
      <c r="HE2" t="s">
        <v>3877</v>
      </c>
      <c r="HF2" t="s">
        <v>3878</v>
      </c>
      <c r="HG2" t="s">
        <v>3879</v>
      </c>
      <c r="HH2" t="s">
        <v>3880</v>
      </c>
      <c r="HI2" t="s">
        <v>3881</v>
      </c>
      <c r="HJ2" t="s">
        <v>3882</v>
      </c>
      <c r="HK2" t="s">
        <v>3883</v>
      </c>
      <c r="HL2" t="s">
        <v>3884</v>
      </c>
      <c r="HM2" t="s">
        <v>3885</v>
      </c>
      <c r="HN2" t="s">
        <v>3886</v>
      </c>
      <c r="HO2" t="s">
        <v>3887</v>
      </c>
      <c r="HP2" t="s">
        <v>3888</v>
      </c>
      <c r="HQ2" t="s">
        <v>3889</v>
      </c>
      <c r="HR2" t="s">
        <v>3890</v>
      </c>
      <c r="HS2" t="s">
        <v>3891</v>
      </c>
      <c r="HT2" t="s">
        <v>3892</v>
      </c>
      <c r="HU2" t="s">
        <v>3893</v>
      </c>
      <c r="HV2" t="s">
        <v>3894</v>
      </c>
      <c r="HW2" t="s">
        <v>3895</v>
      </c>
      <c r="HX2" t="s">
        <v>3896</v>
      </c>
      <c r="HY2" t="s">
        <v>3897</v>
      </c>
      <c r="HZ2" t="s">
        <v>3898</v>
      </c>
      <c r="IA2" t="s">
        <v>3899</v>
      </c>
      <c r="IB2" t="s">
        <v>3900</v>
      </c>
      <c r="IC2" t="s">
        <v>3901</v>
      </c>
      <c r="ID2" t="s">
        <v>3902</v>
      </c>
      <c r="IE2" t="s">
        <v>3903</v>
      </c>
      <c r="IF2" t="s">
        <v>3904</v>
      </c>
      <c r="IG2" t="s">
        <v>3905</v>
      </c>
      <c r="IH2" t="s">
        <v>3906</v>
      </c>
      <c r="II2" t="s">
        <v>3907</v>
      </c>
      <c r="IJ2" t="s">
        <v>3908</v>
      </c>
      <c r="IK2" t="s">
        <v>3909</v>
      </c>
      <c r="IL2" t="s">
        <v>3910</v>
      </c>
      <c r="IM2" t="s">
        <v>3911</v>
      </c>
      <c r="IN2" t="s">
        <v>3912</v>
      </c>
      <c r="IO2" t="s">
        <v>3913</v>
      </c>
      <c r="IP2" t="s">
        <v>3914</v>
      </c>
      <c r="IQ2" t="s">
        <v>3915</v>
      </c>
      <c r="IR2" t="s">
        <v>3916</v>
      </c>
      <c r="IS2" t="s">
        <v>3917</v>
      </c>
      <c r="IT2" t="s">
        <v>3918</v>
      </c>
      <c r="IU2" t="s">
        <v>3919</v>
      </c>
      <c r="IV2" t="s">
        <v>3920</v>
      </c>
    </row>
    <row r="3" spans="1:256">
      <c r="A3" t="s">
        <v>3921</v>
      </c>
      <c r="B3" t="s">
        <v>3922</v>
      </c>
      <c r="C3" t="s">
        <v>3923</v>
      </c>
      <c r="D3" t="s">
        <v>3924</v>
      </c>
      <c r="E3" t="s">
        <v>3925</v>
      </c>
      <c r="F3" t="s">
        <v>3926</v>
      </c>
      <c r="G3" t="s">
        <v>3927</v>
      </c>
      <c r="H3" t="s">
        <v>3928</v>
      </c>
      <c r="I3" t="s">
        <v>3929</v>
      </c>
      <c r="J3" t="s">
        <v>3930</v>
      </c>
      <c r="K3" t="s">
        <v>3931</v>
      </c>
      <c r="L3" t="s">
        <v>3932</v>
      </c>
      <c r="M3" t="s">
        <v>3933</v>
      </c>
      <c r="N3" t="s">
        <v>3934</v>
      </c>
      <c r="O3" t="s">
        <v>3935</v>
      </c>
      <c r="P3" t="s">
        <v>3936</v>
      </c>
      <c r="Q3" t="s">
        <v>3937</v>
      </c>
      <c r="R3" t="s">
        <v>3938</v>
      </c>
      <c r="S3" t="s">
        <v>3939</v>
      </c>
      <c r="T3" t="s">
        <v>3940</v>
      </c>
      <c r="U3" t="s">
        <v>3941</v>
      </c>
      <c r="V3" t="s">
        <v>3942</v>
      </c>
      <c r="W3" t="s">
        <v>3943</v>
      </c>
      <c r="X3" t="s">
        <v>3944</v>
      </c>
      <c r="Y3" t="s">
        <v>3945</v>
      </c>
      <c r="Z3" t="s">
        <v>3946</v>
      </c>
      <c r="AA3" t="s">
        <v>3947</v>
      </c>
      <c r="AB3" t="s">
        <v>3948</v>
      </c>
      <c r="AC3" t="s">
        <v>3949</v>
      </c>
      <c r="AD3" t="s">
        <v>3950</v>
      </c>
      <c r="AE3" t="s">
        <v>3951</v>
      </c>
      <c r="AF3" t="s">
        <v>3952</v>
      </c>
      <c r="AG3" t="s">
        <v>3953</v>
      </c>
      <c r="AH3" t="s">
        <v>3954</v>
      </c>
      <c r="AI3" t="s">
        <v>3955</v>
      </c>
      <c r="AJ3" t="s">
        <v>3956</v>
      </c>
      <c r="AK3" t="s">
        <v>3957</v>
      </c>
      <c r="AL3" t="s">
        <v>3958</v>
      </c>
      <c r="AM3" t="s">
        <v>3959</v>
      </c>
      <c r="AN3" t="s">
        <v>3960</v>
      </c>
      <c r="AO3" t="s">
        <v>3961</v>
      </c>
      <c r="AP3" t="s">
        <v>3962</v>
      </c>
      <c r="AQ3" t="s">
        <v>3963</v>
      </c>
      <c r="AR3" t="s">
        <v>3964</v>
      </c>
      <c r="AS3" t="s">
        <v>3965</v>
      </c>
      <c r="AT3" t="s">
        <v>3966</v>
      </c>
      <c r="AU3" t="s">
        <v>3967</v>
      </c>
      <c r="AV3" t="s">
        <v>3968</v>
      </c>
      <c r="AW3" t="s">
        <v>3969</v>
      </c>
      <c r="AX3" t="s">
        <v>3970</v>
      </c>
      <c r="AY3" t="s">
        <v>3971</v>
      </c>
      <c r="AZ3" t="s">
        <v>3972</v>
      </c>
      <c r="BA3" t="s">
        <v>3973</v>
      </c>
      <c r="BB3" t="s">
        <v>3974</v>
      </c>
      <c r="BC3" t="s">
        <v>3975</v>
      </c>
      <c r="BD3" t="s">
        <v>3976</v>
      </c>
      <c r="BE3" t="s">
        <v>3977</v>
      </c>
      <c r="BF3" t="s">
        <v>3978</v>
      </c>
      <c r="BG3" t="s">
        <v>3979</v>
      </c>
      <c r="BH3" t="s">
        <v>3980</v>
      </c>
      <c r="BI3" t="s">
        <v>3981</v>
      </c>
      <c r="BJ3" t="s">
        <v>3982</v>
      </c>
      <c r="BK3" t="s">
        <v>3983</v>
      </c>
      <c r="BL3" t="s">
        <v>3984</v>
      </c>
      <c r="BM3" t="s">
        <v>3985</v>
      </c>
      <c r="BN3" t="s">
        <v>3986</v>
      </c>
      <c r="BO3" t="s">
        <v>3987</v>
      </c>
      <c r="BP3" t="s">
        <v>3988</v>
      </c>
      <c r="BQ3" t="s">
        <v>3989</v>
      </c>
      <c r="BR3" t="s">
        <v>3990</v>
      </c>
      <c r="BS3" t="s">
        <v>3991</v>
      </c>
      <c r="BT3" t="s">
        <v>3992</v>
      </c>
      <c r="BU3" t="s">
        <v>3993</v>
      </c>
      <c r="BV3" t="s">
        <v>3994</v>
      </c>
      <c r="BW3" t="s">
        <v>3995</v>
      </c>
      <c r="BX3" t="s">
        <v>3996</v>
      </c>
      <c r="BY3" t="s">
        <v>3997</v>
      </c>
      <c r="BZ3" t="s">
        <v>3998</v>
      </c>
      <c r="CA3" t="s">
        <v>3999</v>
      </c>
      <c r="CB3" t="s">
        <v>4000</v>
      </c>
      <c r="CC3" t="s">
        <v>4001</v>
      </c>
      <c r="CD3" t="s">
        <v>4002</v>
      </c>
      <c r="CE3" t="s">
        <v>4003</v>
      </c>
      <c r="CF3" t="s">
        <v>4004</v>
      </c>
      <c r="CG3" t="s">
        <v>4005</v>
      </c>
      <c r="CH3" t="s">
        <v>4006</v>
      </c>
      <c r="CI3" t="s">
        <v>4007</v>
      </c>
      <c r="CJ3" t="s">
        <v>4008</v>
      </c>
      <c r="CK3" t="s">
        <v>4009</v>
      </c>
      <c r="CL3" t="s">
        <v>4010</v>
      </c>
      <c r="CM3" t="s">
        <v>4011</v>
      </c>
      <c r="CN3" t="s">
        <v>4012</v>
      </c>
      <c r="CO3" t="s">
        <v>4013</v>
      </c>
      <c r="CP3" t="s">
        <v>4014</v>
      </c>
      <c r="CQ3" t="s">
        <v>4015</v>
      </c>
      <c r="CR3" t="s">
        <v>4016</v>
      </c>
      <c r="CS3" t="s">
        <v>4017</v>
      </c>
      <c r="CT3" t="s">
        <v>4018</v>
      </c>
      <c r="CU3" t="s">
        <v>4019</v>
      </c>
      <c r="CV3" t="s">
        <v>4020</v>
      </c>
      <c r="CW3" t="s">
        <v>4021</v>
      </c>
      <c r="CX3" t="s">
        <v>4022</v>
      </c>
      <c r="CY3" t="s">
        <v>4023</v>
      </c>
      <c r="CZ3" t="s">
        <v>4024</v>
      </c>
      <c r="DA3" t="s">
        <v>4025</v>
      </c>
      <c r="DB3" t="s">
        <v>4026</v>
      </c>
      <c r="DC3" t="s">
        <v>4027</v>
      </c>
      <c r="DD3" t="s">
        <v>4028</v>
      </c>
      <c r="DE3" t="s">
        <v>4029</v>
      </c>
      <c r="DF3" t="s">
        <v>4030</v>
      </c>
      <c r="DG3" t="s">
        <v>4031</v>
      </c>
      <c r="DH3" t="s">
        <v>4032</v>
      </c>
      <c r="DI3" t="s">
        <v>4033</v>
      </c>
      <c r="DJ3" t="s">
        <v>4034</v>
      </c>
      <c r="DK3" t="s">
        <v>4035</v>
      </c>
      <c r="DL3" t="s">
        <v>4036</v>
      </c>
      <c r="DM3" t="s">
        <v>4037</v>
      </c>
      <c r="DN3" t="s">
        <v>4038</v>
      </c>
      <c r="DO3" t="s">
        <v>4039</v>
      </c>
      <c r="DP3" t="s">
        <v>4040</v>
      </c>
      <c r="DQ3" t="s">
        <v>4041</v>
      </c>
      <c r="DR3" t="s">
        <v>4042</v>
      </c>
      <c r="DS3" t="s">
        <v>4043</v>
      </c>
      <c r="DT3" t="s">
        <v>4044</v>
      </c>
      <c r="DU3" t="s">
        <v>4045</v>
      </c>
      <c r="DV3" t="s">
        <v>4046</v>
      </c>
      <c r="DW3" t="s">
        <v>4047</v>
      </c>
      <c r="DX3" t="s">
        <v>4048</v>
      </c>
      <c r="DY3" t="s">
        <v>4049</v>
      </c>
      <c r="DZ3" t="s">
        <v>4050</v>
      </c>
      <c r="EA3" t="s">
        <v>4051</v>
      </c>
      <c r="EB3" t="s">
        <v>4052</v>
      </c>
      <c r="EC3" t="s">
        <v>4053</v>
      </c>
      <c r="ED3" t="s">
        <v>4054</v>
      </c>
      <c r="EE3" t="s">
        <v>4055</v>
      </c>
      <c r="EF3" t="s">
        <v>4056</v>
      </c>
      <c r="EG3" t="s">
        <v>4057</v>
      </c>
      <c r="EH3" t="s">
        <v>4058</v>
      </c>
      <c r="EI3" t="s">
        <v>4059</v>
      </c>
      <c r="EJ3" t="s">
        <v>4060</v>
      </c>
      <c r="EK3" t="s">
        <v>4061</v>
      </c>
      <c r="EL3" t="s">
        <v>4062</v>
      </c>
      <c r="EM3" t="s">
        <v>4063</v>
      </c>
      <c r="EN3" t="s">
        <v>4064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L22"/>
  <sheetViews>
    <sheetView showGridLines="0" view="pageBreakPreview" zoomScale="85" zoomScaleNormal="145" zoomScaleSheetLayoutView="85" workbookViewId="0">
      <selection activeCell="I9" sqref="I9"/>
    </sheetView>
  </sheetViews>
  <sheetFormatPr defaultColWidth="9.33203125" defaultRowHeight="12.75"/>
  <cols>
    <col min="1" max="1" width="4.5" style="310" customWidth="1"/>
    <col min="2" max="2" width="70" style="310" customWidth="1"/>
    <col min="3" max="3" width="2.83203125" style="310" customWidth="1"/>
    <col min="4" max="4" width="21.6640625" style="310" customWidth="1"/>
    <col min="5" max="5" width="2.83203125" style="310" customWidth="1"/>
    <col min="6" max="6" width="21.6640625" style="310" customWidth="1"/>
    <col min="7" max="7" width="2.83203125" style="310" customWidth="1"/>
    <col min="8" max="8" width="21.6640625" style="310" customWidth="1"/>
    <col min="9" max="9" width="4.5" style="310" customWidth="1"/>
    <col min="10" max="10" width="9.6640625" style="310" bestFit="1" customWidth="1"/>
    <col min="11" max="11" width="9.33203125" style="310"/>
    <col min="12" max="12" width="13.1640625" style="310" customWidth="1"/>
    <col min="13" max="16" width="9.6640625" style="310" bestFit="1" customWidth="1"/>
    <col min="17" max="16384" width="9.33203125" style="310"/>
  </cols>
  <sheetData>
    <row r="1" spans="2:12" ht="10.7" customHeight="1" thickBot="1">
      <c r="J1" s="568" t="s">
        <v>567</v>
      </c>
      <c r="K1" s="569"/>
      <c r="L1" s="310" t="b">
        <v>1</v>
      </c>
    </row>
    <row r="2" spans="2:12" ht="16.5" customHeight="1" thickTop="1">
      <c r="B2" s="10" t="str">
        <f>'MASTER PubCo Inputs'!$C$5</f>
        <v>Hua Medicine</v>
      </c>
      <c r="C2" s="10"/>
      <c r="D2" s="10"/>
      <c r="E2" s="10"/>
      <c r="F2" s="10"/>
      <c r="G2" s="10"/>
      <c r="H2" s="10"/>
      <c r="J2" s="570" t="s">
        <v>80</v>
      </c>
      <c r="K2" s="571" t="s">
        <v>568</v>
      </c>
      <c r="L2" s="1207" t="str">
        <f>IF(AND(J3=$L$1,K3=$L$1,J4=$L$1,K4=$L$1,J5=$L$1,K5=$L$1),"","Check")</f>
        <v/>
      </c>
    </row>
    <row r="3" spans="2:12" ht="15.75" customHeight="1">
      <c r="B3" s="11" t="str">
        <f>VLOOKUP(B4,Outline!$E$8:$G$81,COLUMNS(Outline!$E$8:$G$8),FALSE)</f>
        <v>Exhibit A.1</v>
      </c>
      <c r="C3" s="11"/>
      <c r="D3" s="11"/>
      <c r="E3" s="11"/>
      <c r="F3" s="11"/>
      <c r="G3" s="11"/>
      <c r="H3" s="11"/>
      <c r="J3" s="572" t="b">
        <f>+Comp.1!AE2</f>
        <v>1</v>
      </c>
      <c r="K3" s="573" t="b">
        <f>+Trans.1!AX3</f>
        <v>1</v>
      </c>
    </row>
    <row r="4" spans="2:12" ht="16.5" customHeight="1" thickBot="1">
      <c r="B4" s="12" t="s">
        <v>69</v>
      </c>
      <c r="C4" s="12"/>
      <c r="D4" s="12"/>
      <c r="E4" s="12"/>
      <c r="F4" s="12"/>
      <c r="G4" s="12"/>
      <c r="H4" s="13" t="str">
        <f>+'MASTER PubCo Inputs'!$C$19</f>
        <v>(in thousands of USD, except price per share)</v>
      </c>
      <c r="J4" s="572" t="b">
        <f>+Comp.1!AE3</f>
        <v>1</v>
      </c>
      <c r="K4" s="573" t="b">
        <f>+Trans.1!AX4</f>
        <v>1</v>
      </c>
    </row>
    <row r="5" spans="2:12" ht="12.75" customHeight="1" thickTop="1">
      <c r="J5" s="269" t="b">
        <f>+Comp.1!AE4</f>
        <v>1</v>
      </c>
      <c r="K5" s="574" t="b">
        <f>+Trans.1!AX5</f>
        <v>1</v>
      </c>
    </row>
    <row r="6" spans="2:12" ht="12.75" customHeight="1"/>
    <row r="7" spans="2:12" s="6" customFormat="1">
      <c r="B7" s="31" t="s">
        <v>73</v>
      </c>
      <c r="D7" s="454" t="s">
        <v>72</v>
      </c>
      <c r="E7" s="260"/>
      <c r="F7" s="454" t="s">
        <v>74</v>
      </c>
      <c r="H7" s="30" t="s">
        <v>4</v>
      </c>
    </row>
    <row r="8" spans="2:12" ht="12.75" customHeight="1"/>
    <row r="9" spans="2:12" ht="12.75" customHeight="1">
      <c r="B9" s="310" t="s">
        <v>1250</v>
      </c>
      <c r="D9" s="337">
        <f>'Hybrid OPM'!C42</f>
        <v>617000</v>
      </c>
      <c r="F9" s="366">
        <f>'Hybrid OPM'!C36</f>
        <v>7.283746618196127</v>
      </c>
      <c r="H9" s="242" t="str">
        <f>'Hybrid OPM'!B3</f>
        <v>Exhibit B.1</v>
      </c>
      <c r="J9" s="1159"/>
      <c r="K9" s="1122"/>
    </row>
    <row r="10" spans="2:12" ht="12.75" customHeight="1"/>
    <row r="11" spans="2:12" ht="12.75" customHeight="1">
      <c r="B11" s="26" t="s">
        <v>76</v>
      </c>
      <c r="C11" s="27"/>
      <c r="D11" s="27"/>
      <c r="E11" s="27"/>
      <c r="F11" s="307">
        <f>F9</f>
        <v>7.283746618196127</v>
      </c>
      <c r="J11" s="1096">
        <v>7.28</v>
      </c>
      <c r="K11" s="310" t="s">
        <v>435</v>
      </c>
    </row>
    <row r="12" spans="2:12" ht="12.75" customHeight="1">
      <c r="J12" s="795" t="str">
        <f>IF(OR(F11-J11&gt;0.01,F11-J11&lt;-0.01),"Check","")</f>
        <v/>
      </c>
      <c r="K12" s="149" t="s">
        <v>1242</v>
      </c>
    </row>
    <row r="13" spans="2:12" ht="12.75" customHeight="1"/>
    <row r="14" spans="2:12">
      <c r="B14" s="310" t="s">
        <v>1730</v>
      </c>
      <c r="D14" s="337">
        <f>'rNPV Analysis'!C51*1000</f>
        <v>616994.80205726856</v>
      </c>
    </row>
    <row r="15" spans="2:12">
      <c r="B15" s="310" t="s">
        <v>402</v>
      </c>
      <c r="D15" s="317">
        <f>D9/D14-1</f>
        <v>8.4246134879339962E-6</v>
      </c>
    </row>
    <row r="16" spans="2:12">
      <c r="D16" s="255" t="s">
        <v>404</v>
      </c>
      <c r="F16" s="289">
        <f>F11/'Econ Rights'!$K$12</f>
        <v>0.54759659718945719</v>
      </c>
    </row>
    <row r="18" spans="2:6">
      <c r="B18" s="1"/>
    </row>
    <row r="19" spans="2:6">
      <c r="B19" s="1" t="s">
        <v>3312</v>
      </c>
    </row>
    <row r="20" spans="2:6">
      <c r="B20" s="310" t="str">
        <f>B9</f>
        <v>Hybrid Option Pricing Method</v>
      </c>
      <c r="D20" s="2455">
        <v>392000</v>
      </c>
      <c r="F20" s="2456">
        <v>0</v>
      </c>
    </row>
    <row r="21" spans="2:6">
      <c r="B21" s="310" t="str">
        <f>B14</f>
        <v>rNPV Analysis</v>
      </c>
      <c r="D21" s="2455">
        <f>473.858501853435*1000</f>
        <v>473858.50185343495</v>
      </c>
    </row>
    <row r="22" spans="2:6">
      <c r="D22" s="317">
        <f>D9/D20-1</f>
        <v>0.57397959183673475</v>
      </c>
    </row>
  </sheetData>
  <conditionalFormatting sqref="B4:G4">
    <cfRule type="cellIs" dxfId="231" priority="6" stopIfTrue="1" operator="equal">
      <formula>"input"</formula>
    </cfRule>
  </conditionalFormatting>
  <conditionalFormatting sqref="H4">
    <cfRule type="cellIs" dxfId="230" priority="3" stopIfTrue="1" operator="equal">
      <formula>"input"</formula>
    </cfRule>
  </conditionalFormatting>
  <conditionalFormatting sqref="H4">
    <cfRule type="cellIs" dxfId="229" priority="4" stopIfTrue="1" operator="equal">
      <formula>"input"</formula>
    </cfRule>
  </conditionalFormatting>
  <pageMargins left="0.5" right="0.5" top="0.5" bottom="0.5" header="0.5" footer="0.5"/>
  <pageSetup orientation="landscape" r:id="rId1"/>
  <cellWatches>
    <cellWatch r="F9"/>
    <cellWatch r="D9"/>
  </cellWatch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tabColor rgb="FF92D050"/>
  </sheetPr>
  <dimension ref="A1:I22"/>
  <sheetViews>
    <sheetView showGridLines="0" view="pageBreakPreview" zoomScale="80" zoomScaleNormal="100" zoomScaleSheetLayoutView="80" workbookViewId="0">
      <selection activeCell="I9" sqref="I9"/>
    </sheetView>
  </sheetViews>
  <sheetFormatPr defaultRowHeight="12.75"/>
  <cols>
    <col min="1" max="1" width="4.5" customWidth="1"/>
    <col min="2" max="2" width="91.1640625" customWidth="1"/>
    <col min="3" max="3" width="2.83203125" customWidth="1"/>
    <col min="4" max="4" width="57" customWidth="1"/>
    <col min="5" max="5" width="4.5" customWidth="1"/>
  </cols>
  <sheetData>
    <row r="1" spans="1:9" s="310" customFormat="1" ht="10.7" customHeight="1" thickBot="1">
      <c r="G1" s="334"/>
      <c r="H1" s="334"/>
      <c r="I1" s="16"/>
    </row>
    <row r="2" spans="1:9" s="310" customFormat="1" ht="16.5" customHeight="1" thickTop="1">
      <c r="B2" s="10" t="str">
        <f>'MASTER PubCo Inputs'!$C$5</f>
        <v>Hua Medicine</v>
      </c>
      <c r="C2" s="10"/>
      <c r="D2" s="10"/>
      <c r="G2" s="2039"/>
      <c r="H2" s="280"/>
      <c r="I2" s="2040"/>
    </row>
    <row r="3" spans="1:9" s="310" customFormat="1" ht="15.75" customHeight="1">
      <c r="B3" s="11" t="str">
        <f>VLOOKUP(B4,Outline!$E$8:$G$81,COLUMNS(Outline!$E$8:$G$8),FALSE)</f>
        <v>Exhibit A.2</v>
      </c>
      <c r="C3" s="11"/>
      <c r="D3" s="11"/>
      <c r="G3" s="280"/>
      <c r="H3" s="280"/>
      <c r="I3" s="16"/>
    </row>
    <row r="4" spans="1:9" s="310" customFormat="1" ht="16.5" customHeight="1" thickBot="1">
      <c r="B4" s="12" t="s">
        <v>2910</v>
      </c>
      <c r="C4" s="12"/>
      <c r="D4" s="13" t="str">
        <f>+'MASTER PubCo Inputs'!$C$21</f>
        <v>(in thousands of USD)</v>
      </c>
      <c r="G4" s="280"/>
      <c r="H4" s="280"/>
      <c r="I4" s="16"/>
    </row>
    <row r="5" spans="1:9" s="310" customFormat="1" ht="12.75" customHeight="1" thickTop="1">
      <c r="G5" s="280"/>
      <c r="H5" s="280"/>
      <c r="I5" s="16"/>
    </row>
    <row r="6" spans="1:9">
      <c r="A6" s="310"/>
      <c r="B6" s="310"/>
      <c r="C6" s="310"/>
      <c r="D6" s="310"/>
      <c r="E6" s="310"/>
    </row>
    <row r="7" spans="1:9">
      <c r="A7" s="310"/>
      <c r="B7" s="2041" t="s">
        <v>2911</v>
      </c>
      <c r="C7" s="310"/>
      <c r="D7" s="2044">
        <f>'MASTER PubCo Inputs'!C6</f>
        <v>43281</v>
      </c>
      <c r="E7" s="310"/>
    </row>
    <row r="8" spans="1:9" ht="3" customHeight="1">
      <c r="A8" s="310"/>
      <c r="B8" s="310"/>
      <c r="C8" s="310"/>
      <c r="D8" s="310"/>
      <c r="E8" s="310"/>
    </row>
    <row r="9" spans="1:9">
      <c r="A9" s="310"/>
      <c r="B9" s="310" t="s">
        <v>300</v>
      </c>
      <c r="C9" s="310"/>
      <c r="D9" s="2042">
        <f>'Hybrid OPM'!H68</f>
        <v>241850.60503597694</v>
      </c>
      <c r="E9" s="310"/>
      <c r="F9" s="2043"/>
      <c r="G9" s="2043"/>
      <c r="H9" s="2043"/>
      <c r="I9" s="2043"/>
    </row>
    <row r="10" spans="1:9">
      <c r="A10" s="310"/>
      <c r="B10" s="310" t="s">
        <v>307</v>
      </c>
      <c r="C10" s="310"/>
      <c r="D10" s="2042">
        <f>'Hybrid OPM'!H69</f>
        <v>34943.071951088801</v>
      </c>
      <c r="E10" s="310"/>
      <c r="F10" s="2043"/>
      <c r="G10" s="2043"/>
      <c r="H10" s="2043"/>
      <c r="I10" s="2043"/>
    </row>
    <row r="11" spans="1:9">
      <c r="A11" s="310"/>
      <c r="B11" s="310" t="s">
        <v>308</v>
      </c>
      <c r="C11" s="310"/>
      <c r="D11" s="2042">
        <f>'Hybrid OPM'!H70</f>
        <v>34875.544828591926</v>
      </c>
      <c r="E11" s="310"/>
      <c r="F11" s="2043"/>
      <c r="G11" s="2043"/>
      <c r="H11" s="2043"/>
      <c r="I11" s="2043"/>
    </row>
    <row r="12" spans="1:9">
      <c r="A12" s="310"/>
      <c r="B12" s="310" t="s">
        <v>311</v>
      </c>
      <c r="C12" s="310"/>
      <c r="D12" s="2042">
        <f>'Hybrid OPM'!H71</f>
        <v>27895.704427989036</v>
      </c>
      <c r="E12" s="310"/>
      <c r="F12" s="2043"/>
      <c r="G12" s="2043"/>
      <c r="H12" s="2043"/>
      <c r="I12" s="2043"/>
    </row>
    <row r="13" spans="1:9">
      <c r="A13" s="310"/>
      <c r="B13" s="310" t="s">
        <v>312</v>
      </c>
      <c r="C13" s="310"/>
      <c r="D13" s="2042">
        <f>'Hybrid OPM'!H72</f>
        <v>27666.423466207336</v>
      </c>
      <c r="E13" s="310"/>
      <c r="F13" s="2043"/>
      <c r="G13" s="2043"/>
      <c r="H13" s="2043"/>
      <c r="I13" s="2043"/>
    </row>
    <row r="14" spans="1:9">
      <c r="A14" s="310"/>
      <c r="B14" s="310" t="s">
        <v>319</v>
      </c>
      <c r="C14" s="310"/>
      <c r="D14" s="2042">
        <f>'Hybrid OPM'!H73</f>
        <v>33574.668475862512</v>
      </c>
      <c r="E14" s="310"/>
      <c r="F14" s="2043"/>
      <c r="G14" s="2043"/>
      <c r="H14" s="2043"/>
      <c r="I14" s="2043"/>
    </row>
    <row r="15" spans="1:9">
      <c r="A15" s="310"/>
      <c r="B15" s="310" t="s">
        <v>320</v>
      </c>
      <c r="C15" s="310"/>
      <c r="D15" s="2042">
        <f>SUMPRODUCT('Hybrid OPM'!$D$9:$F$9,'Hybrid OPM'!$D$27:$F$27)</f>
        <v>23452.937896671341</v>
      </c>
      <c r="E15" s="310"/>
      <c r="F15" s="2043"/>
      <c r="G15" s="2043"/>
      <c r="H15" s="2043"/>
      <c r="I15" s="2043"/>
    </row>
    <row r="16" spans="1:9">
      <c r="A16" s="310"/>
      <c r="B16" s="310" t="s">
        <v>315</v>
      </c>
      <c r="C16" s="310"/>
      <c r="D16" s="2042">
        <f>SUMPRODUCT('Hybrid OPM'!$D$9:$F$9,'Hybrid OPM'!$D$19:$F$19)</f>
        <v>76625.801492618673</v>
      </c>
      <c r="E16" s="310"/>
      <c r="F16" s="2043"/>
      <c r="G16" s="2043"/>
      <c r="H16" s="2043"/>
      <c r="I16" s="2043"/>
    </row>
    <row r="17" spans="1:5">
      <c r="A17" s="310"/>
      <c r="B17" s="310"/>
      <c r="C17" s="310"/>
      <c r="D17" s="310"/>
      <c r="E17" s="310"/>
    </row>
    <row r="18" spans="1:5">
      <c r="A18" s="310"/>
      <c r="B18" s="310"/>
      <c r="C18" s="310"/>
      <c r="D18" s="310"/>
      <c r="E18" s="310"/>
    </row>
    <row r="19" spans="1:5">
      <c r="A19" s="310"/>
      <c r="B19" s="310"/>
      <c r="C19" s="310"/>
      <c r="D19" s="310"/>
      <c r="E19" s="310"/>
    </row>
    <row r="20" spans="1:5">
      <c r="A20" s="310"/>
      <c r="B20" s="310"/>
      <c r="C20" s="310"/>
      <c r="D20" s="310"/>
      <c r="E20" s="310"/>
    </row>
    <row r="21" spans="1:5">
      <c r="A21" s="310"/>
      <c r="B21" s="310"/>
      <c r="C21" s="310"/>
      <c r="D21" s="310"/>
      <c r="E21" s="310"/>
    </row>
    <row r="22" spans="1:5">
      <c r="A22" s="310"/>
      <c r="B22" s="310"/>
      <c r="C22" s="310"/>
      <c r="D22" s="310"/>
      <c r="E22" s="310"/>
    </row>
  </sheetData>
  <conditionalFormatting sqref="B4">
    <cfRule type="cellIs" dxfId="228" priority="4" stopIfTrue="1" operator="equal">
      <formula>"input"</formula>
    </cfRule>
  </conditionalFormatting>
  <conditionalFormatting sqref="D4">
    <cfRule type="cellIs" dxfId="227" priority="2" stopIfTrue="1" operator="equal">
      <formula>"input"</formula>
    </cfRule>
  </conditionalFormatting>
  <conditionalFormatting sqref="D4">
    <cfRule type="cellIs" dxfId="226" priority="3" stopIfTrue="1" operator="equal">
      <formula>"input"</formula>
    </cfRule>
  </conditionalFormatting>
  <conditionalFormatting sqref="C4">
    <cfRule type="cellIs" dxfId="225" priority="1" stopIfTrue="1" operator="equal">
      <formula>"input"</formula>
    </cfRule>
  </conditionalFormatting>
  <pageMargins left="0.5" right="0.5" top="0.5" bottom="0.5" header="0.5" footer="0.5"/>
  <pageSetup scale="95" fitToWidth="0" fitToHeight="0" orientation="landscape" horizontalDpi="4294967292"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3" tint="-0.499984740745262"/>
    <pageSetUpPr fitToPage="1"/>
  </sheetPr>
  <dimension ref="B6:F30"/>
  <sheetViews>
    <sheetView showGridLines="0" view="pageBreakPreview" topLeftCell="A7" zoomScale="85" zoomScaleNormal="100" zoomScaleSheetLayoutView="85" workbookViewId="0">
      <selection activeCell="I9" sqref="I9"/>
    </sheetView>
  </sheetViews>
  <sheetFormatPr defaultColWidth="9.33203125" defaultRowHeight="15"/>
  <cols>
    <col min="1" max="1" width="4.5" style="222" customWidth="1"/>
    <col min="2" max="2" width="3.83203125" style="222" customWidth="1"/>
    <col min="3" max="3" width="15.83203125" style="222" customWidth="1"/>
    <col min="4" max="4" width="106" style="223" customWidth="1"/>
    <col min="5" max="5" width="15.83203125" style="222" customWidth="1"/>
    <col min="6" max="6" width="3.83203125" style="222" customWidth="1"/>
    <col min="7" max="7" width="4.5" style="222" customWidth="1"/>
    <col min="8" max="8" width="9.33203125" style="222"/>
    <col min="9" max="9" width="16.33203125" style="222" bestFit="1" customWidth="1"/>
    <col min="10" max="10" width="19" style="222" bestFit="1" customWidth="1"/>
    <col min="11" max="16384" width="9.33203125" style="222"/>
  </cols>
  <sheetData>
    <row r="6" spans="2:6">
      <c r="B6" s="224"/>
      <c r="C6" s="213"/>
      <c r="D6" s="214"/>
      <c r="E6" s="213"/>
      <c r="F6" s="213"/>
    </row>
    <row r="7" spans="2:6" ht="15.75" thickBot="1">
      <c r="B7" s="224"/>
      <c r="C7" s="213"/>
      <c r="D7" s="214"/>
      <c r="E7" s="213"/>
      <c r="F7" s="213"/>
    </row>
    <row r="8" spans="2:6" ht="15.75" thickTop="1">
      <c r="B8" s="14"/>
      <c r="C8" s="225"/>
      <c r="D8" s="226"/>
      <c r="E8" s="225"/>
      <c r="F8" s="225"/>
    </row>
    <row r="9" spans="2:6" s="227" customFormat="1" ht="40.5">
      <c r="B9" s="228"/>
      <c r="C9" s="229"/>
      <c r="D9" s="230" t="s">
        <v>77</v>
      </c>
      <c r="E9" s="229"/>
      <c r="F9" s="229"/>
    </row>
    <row r="10" spans="2:6" ht="15.75" thickBot="1">
      <c r="B10" s="217"/>
      <c r="C10" s="232"/>
      <c r="D10" s="233"/>
      <c r="E10" s="232"/>
      <c r="F10" s="232"/>
    </row>
    <row r="11" spans="2:6" ht="15.75" thickTop="1"/>
    <row r="13" spans="2:6" ht="18.75">
      <c r="D13" s="218"/>
    </row>
    <row r="14" spans="2:6" ht="18.75">
      <c r="D14" s="219"/>
    </row>
    <row r="27" spans="4:4" ht="23.25">
      <c r="D27" s="687" t="s">
        <v>576</v>
      </c>
    </row>
    <row r="29" spans="4:4" ht="18.75">
      <c r="D29" s="220" t="s">
        <v>414</v>
      </c>
    </row>
    <row r="30" spans="4:4" ht="37.5">
      <c r="D30" s="221" t="s">
        <v>269</v>
      </c>
    </row>
  </sheetData>
  <pageMargins left="0.5" right="0.5" top="0.5" bottom="0.5" header="0.5" footer="0.5"/>
  <pageSetup scale="98"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K73"/>
  <sheetViews>
    <sheetView showGridLines="0" view="pageBreakPreview" zoomScale="85" zoomScaleNormal="100" zoomScaleSheetLayoutView="85" workbookViewId="0">
      <selection activeCell="I9" sqref="I9"/>
    </sheetView>
  </sheetViews>
  <sheetFormatPr defaultRowHeight="12.75" outlineLevelRow="1"/>
  <cols>
    <col min="1" max="1" width="4.5" customWidth="1"/>
    <col min="2" max="2" width="62.1640625" customWidth="1"/>
    <col min="3" max="3" width="18" customWidth="1"/>
    <col min="4" max="6" width="30.5" customWidth="1"/>
    <col min="7" max="7" width="4.5" customWidth="1"/>
    <col min="8" max="8" width="18.6640625" customWidth="1"/>
    <col min="9" max="10" width="18" customWidth="1"/>
    <col min="11" max="11" width="9" customWidth="1"/>
  </cols>
  <sheetData>
    <row r="1" spans="2:11" s="310" customFormat="1" ht="10.7" customHeight="1" thickBot="1">
      <c r="G1"/>
      <c r="H1"/>
      <c r="I1"/>
      <c r="J1"/>
    </row>
    <row r="2" spans="2:11" s="310" customFormat="1" ht="16.5" customHeight="1" thickTop="1">
      <c r="B2" s="10" t="str">
        <f>'MASTER PubCo Inputs'!$C$5</f>
        <v>Hua Medicine</v>
      </c>
      <c r="C2" s="10"/>
      <c r="D2" s="10"/>
      <c r="E2" s="10"/>
      <c r="F2" s="10"/>
      <c r="G2"/>
      <c r="H2"/>
      <c r="I2"/>
      <c r="J2"/>
    </row>
    <row r="3" spans="2:11" s="310" customFormat="1" ht="15.75" customHeight="1">
      <c r="B3" s="11" t="str">
        <f>VLOOKUP(B4,Outline!$E$8:$G$81,COLUMNS(Outline!$E$8:$G$8),FALSE)</f>
        <v>Exhibit B.1</v>
      </c>
      <c r="C3" s="11"/>
      <c r="D3" s="11"/>
      <c r="E3" s="11"/>
      <c r="F3" s="11"/>
      <c r="G3"/>
      <c r="H3"/>
      <c r="I3"/>
      <c r="J3"/>
    </row>
    <row r="4" spans="2:11" s="310" customFormat="1" ht="16.5" customHeight="1" thickBot="1">
      <c r="B4" s="12" t="s">
        <v>1046</v>
      </c>
      <c r="C4" s="12"/>
      <c r="D4" s="12"/>
      <c r="E4" s="12"/>
      <c r="F4" s="13" t="str">
        <f>+'MASTER PubCo Inputs'!$C$20</f>
        <v>(in thousands of USD and shares, except price per share)</v>
      </c>
      <c r="G4"/>
      <c r="H4"/>
      <c r="I4"/>
      <c r="J4"/>
    </row>
    <row r="5" spans="2:11" s="310" customFormat="1" ht="12.75" customHeight="1" thickTop="1">
      <c r="B5" s="757"/>
      <c r="C5" s="210"/>
      <c r="D5" s="210"/>
      <c r="E5" s="210"/>
      <c r="F5" s="210"/>
      <c r="I5" s="144" t="str">
        <f>D7</f>
        <v>OPM (Liquidation)</v>
      </c>
      <c r="J5" s="144" t="str">
        <f>E7</f>
        <v>OPM (Redemption)</v>
      </c>
      <c r="K5" s="144" t="str">
        <f>F7</f>
        <v>IPO</v>
      </c>
    </row>
    <row r="6" spans="2:11" s="16" customFormat="1" ht="12.75" customHeight="1">
      <c r="B6" s="310"/>
      <c r="C6" s="310"/>
      <c r="D6" s="586" t="s">
        <v>128</v>
      </c>
      <c r="E6" s="586" t="s">
        <v>127</v>
      </c>
      <c r="F6" s="586" t="s">
        <v>144</v>
      </c>
      <c r="G6" s="310"/>
    </row>
    <row r="7" spans="2:11" s="6" customFormat="1">
      <c r="B7" s="758" t="s">
        <v>1047</v>
      </c>
      <c r="C7" s="759"/>
      <c r="D7" s="760" t="s">
        <v>1551</v>
      </c>
      <c r="E7" s="760" t="s">
        <v>1552</v>
      </c>
      <c r="F7" s="761" t="s">
        <v>643</v>
      </c>
      <c r="H7" s="6" t="s">
        <v>32</v>
      </c>
      <c r="I7" s="337">
        <f>'OPM Hybrid (Liquidation)'!D10</f>
        <v>2.2506849315068491</v>
      </c>
      <c r="J7" s="337">
        <f>'OPM Hybrid (Redemption)'!D10</f>
        <v>2.7123287671232879</v>
      </c>
      <c r="K7" s="337">
        <f>'IPO Waterfall'!$D$12</f>
        <v>0.16986301369863013</v>
      </c>
    </row>
    <row r="8" spans="2:11" s="310" customFormat="1" ht="12.75" customHeight="1"/>
    <row r="9" spans="2:11" s="310" customFormat="1" ht="12.75" customHeight="1">
      <c r="B9" s="310" t="s">
        <v>1563</v>
      </c>
      <c r="C9" s="51">
        <f>SUM(D9:F9)</f>
        <v>1</v>
      </c>
      <c r="D9" s="762">
        <f>1-E9-F9</f>
        <v>0.44999999999999996</v>
      </c>
      <c r="E9" s="1518">
        <v>0.05</v>
      </c>
      <c r="F9" s="1518">
        <v>0.5</v>
      </c>
      <c r="H9" s="310" t="s">
        <v>2564</v>
      </c>
      <c r="I9" s="302">
        <f>SUMPRODUCT(I7:K7,D9:F9)</f>
        <v>1.2333561643835615</v>
      </c>
    </row>
    <row r="10" spans="2:11" s="310" customFormat="1" ht="12.75" customHeight="1">
      <c r="C10" s="144"/>
      <c r="D10" s="144"/>
      <c r="E10" s="763"/>
      <c r="F10" s="51"/>
    </row>
    <row r="11" spans="2:11" s="310" customFormat="1" ht="12.75" customHeight="1">
      <c r="B11" s="310" t="s">
        <v>1048</v>
      </c>
      <c r="C11" s="144"/>
      <c r="D11" s="685">
        <f>'OPM Hybrid (Liquidation)'!H142</f>
        <v>2.0061000024277771</v>
      </c>
      <c r="E11" s="1117">
        <f>'OPM Hybrid (Redemption)'!H142</f>
        <v>2.9118623268030754</v>
      </c>
      <c r="F11" s="1117">
        <f>'IPO Waterfall'!D105</f>
        <v>15.887883316236239</v>
      </c>
      <c r="I11" s="2503" t="s">
        <v>417</v>
      </c>
      <c r="J11" s="6"/>
    </row>
    <row r="12" spans="2:11" s="310" customFormat="1" ht="12.75" customHeight="1">
      <c r="C12" s="144"/>
      <c r="D12" s="316"/>
      <c r="E12" s="150"/>
      <c r="F12" s="149"/>
      <c r="I12" s="1530" t="s">
        <v>3378</v>
      </c>
      <c r="J12" s="1529"/>
    </row>
    <row r="13" spans="2:11" s="310" customFormat="1" ht="12.75" customHeight="1">
      <c r="B13" s="8" t="s">
        <v>1565</v>
      </c>
      <c r="C13" s="144"/>
      <c r="D13" s="1208">
        <f>DLOM!$D$58</f>
        <v>0.19</v>
      </c>
      <c r="E13" s="1208">
        <f>DLOM!$D$58</f>
        <v>0.19</v>
      </c>
      <c r="F13" s="1208">
        <f>DLOM!$D$58</f>
        <v>0.19</v>
      </c>
      <c r="I13" s="2504">
        <v>0.25</v>
      </c>
      <c r="J13" s="2505">
        <f>F9-I13</f>
        <v>0.25</v>
      </c>
    </row>
    <row r="14" spans="2:11" s="310" customFormat="1" ht="12.75" customHeight="1">
      <c r="B14" s="310" t="s">
        <v>1564</v>
      </c>
      <c r="C14" s="144"/>
      <c r="D14" s="1130">
        <f>D11*(1-D13)</f>
        <v>1.6249410019664996</v>
      </c>
      <c r="E14" s="1130">
        <f>E11*(1-E13)</f>
        <v>2.3586084847104911</v>
      </c>
      <c r="F14" s="1130">
        <f>F11*(1-F13)</f>
        <v>12.869185486151355</v>
      </c>
    </row>
    <row r="15" spans="2:11" s="310" customFormat="1" ht="12.75" customHeight="1">
      <c r="C15" s="144"/>
      <c r="D15" s="316"/>
      <c r="E15" s="150"/>
      <c r="F15" s="149"/>
    </row>
    <row r="16" spans="2:11" s="310" customFormat="1" ht="12.75" customHeight="1">
      <c r="B16" s="72" t="s">
        <v>1553</v>
      </c>
      <c r="C16" s="144"/>
      <c r="D16" s="316"/>
      <c r="E16" s="150"/>
      <c r="F16" s="149"/>
    </row>
    <row r="17" spans="2:10" s="310" customFormat="1" ht="12.75" customHeight="1">
      <c r="B17" s="2" t="s">
        <v>248</v>
      </c>
      <c r="C17" s="144"/>
      <c r="D17" s="764"/>
      <c r="E17" s="764"/>
      <c r="F17" s="1116">
        <f>'IPO Waterfall'!D130</f>
        <v>67237.305351061252</v>
      </c>
    </row>
    <row r="18" spans="2:10" s="310" customFormat="1" ht="12.75" customHeight="1">
      <c r="B18" s="2" t="s">
        <v>250</v>
      </c>
      <c r="C18" s="144"/>
      <c r="D18" s="589"/>
      <c r="E18" s="589"/>
      <c r="F18" s="1124">
        <f>'IPO Waterfall'!D137</f>
        <v>14151.710860332394</v>
      </c>
    </row>
    <row r="19" spans="2:10" s="310" customFormat="1" ht="12.75" customHeight="1">
      <c r="B19" s="2" t="s">
        <v>1049</v>
      </c>
      <c r="C19" s="144"/>
      <c r="D19" s="1510">
        <f>'OPM Hybrid (Liquidation)'!$D$140</f>
        <v>72823.259297083583</v>
      </c>
      <c r="E19" s="1510">
        <f>'OPM Hybrid (Redemption)'!$D$140</f>
        <v>63216.534064685038</v>
      </c>
      <c r="F19" s="765">
        <f>SUM(F17:F18)</f>
        <v>81389.016211393639</v>
      </c>
      <c r="H19" s="7">
        <f>D19/D20</f>
        <v>14.378215292998522</v>
      </c>
      <c r="I19" s="7">
        <f>E19/E20</f>
        <v>12.481464653362716</v>
      </c>
      <c r="J19" s="7">
        <f>F19/F20</f>
        <v>16.06943727688428</v>
      </c>
    </row>
    <row r="20" spans="2:10" s="310" customFormat="1" ht="12.75" customHeight="1">
      <c r="B20" s="137" t="s">
        <v>1560</v>
      </c>
      <c r="C20" s="766" t="str">
        <f>+'Cap Table'!B3</f>
        <v>Exhibit G.1</v>
      </c>
      <c r="D20" s="1511">
        <f>'OPM Hybrid (Liquidation)'!$F$140</f>
        <v>5064.8329999999996</v>
      </c>
      <c r="E20" s="1511">
        <f>'OPM Hybrid (Redemption)'!$F$140</f>
        <v>5064.8329999999996</v>
      </c>
      <c r="F20" s="1125">
        <f>'Cap Table'!L11</f>
        <v>5064.8329999999996</v>
      </c>
      <c r="I20" s="1209"/>
    </row>
    <row r="21" spans="2:10" ht="3" customHeight="1">
      <c r="B21" s="1123"/>
      <c r="I21" s="16"/>
    </row>
    <row r="22" spans="2:10" s="310" customFormat="1" ht="12.75" customHeight="1">
      <c r="B22" s="72" t="s">
        <v>1561</v>
      </c>
      <c r="C22" s="316"/>
      <c r="D22" s="1117">
        <f>'OPM Hybrid (Liquidation)'!$H$140</f>
        <v>14.378215292998522</v>
      </c>
      <c r="E22" s="1117">
        <f>'OPM Hybrid (Redemption)'!H140</f>
        <v>12.481464653362716</v>
      </c>
      <c r="F22" s="139">
        <f>+F19/F20</f>
        <v>16.06943727688428</v>
      </c>
    </row>
    <row r="23" spans="2:10" s="310" customFormat="1" ht="12.75" customHeight="1">
      <c r="C23" s="316"/>
      <c r="D23" s="316"/>
      <c r="E23" s="150"/>
      <c r="F23" s="149"/>
      <c r="I23" s="1211"/>
    </row>
    <row r="24" spans="2:10" s="310" customFormat="1" ht="12.75" customHeight="1">
      <c r="B24" s="167" t="s">
        <v>2556</v>
      </c>
      <c r="C24" s="254"/>
      <c r="D24" s="280"/>
      <c r="E24" s="1214"/>
      <c r="F24" s="1122"/>
    </row>
    <row r="25" spans="2:10" s="310" customFormat="1" ht="12.75" customHeight="1">
      <c r="B25" s="54" t="s">
        <v>248</v>
      </c>
      <c r="C25" s="254"/>
      <c r="D25" s="267"/>
      <c r="E25" s="267"/>
      <c r="F25" s="1504">
        <f>'IPO Waterfall'!D146</f>
        <v>20555.322022832534</v>
      </c>
    </row>
    <row r="26" spans="2:10" s="310" customFormat="1" ht="12.75" customHeight="1">
      <c r="B26" s="54" t="s">
        <v>250</v>
      </c>
      <c r="C26" s="254"/>
      <c r="D26" s="1507"/>
      <c r="E26" s="1507"/>
      <c r="F26" s="1508">
        <f>'IPO Waterfall'!D153</f>
        <v>9161.306705594865</v>
      </c>
    </row>
    <row r="27" spans="2:10" s="310" customFormat="1" ht="12.75" customHeight="1">
      <c r="B27" s="54" t="s">
        <v>1049</v>
      </c>
      <c r="C27" s="254"/>
      <c r="D27" s="1510">
        <f>'OPM Hybrid (Liquidation)'!$D$139</f>
        <v>17536.138849429597</v>
      </c>
      <c r="E27" s="1510">
        <f>'OPM Hybrid (Redemption)'!$D$139</f>
        <v>14067.221004286464</v>
      </c>
      <c r="F27" s="518">
        <f>SUM(F25:F26)</f>
        <v>29716.6287284274</v>
      </c>
      <c r="H27" s="7">
        <f>D27/D28</f>
        <v>9.4651697085821667</v>
      </c>
      <c r="I27" s="7">
        <f>E27/E28</f>
        <v>7.592813633431855</v>
      </c>
      <c r="J27" s="7">
        <f>F27/F28</f>
        <v>16.039616046416207</v>
      </c>
    </row>
    <row r="28" spans="2:10" s="310" customFormat="1" ht="12.75" customHeight="1">
      <c r="B28" s="49" t="s">
        <v>2557</v>
      </c>
      <c r="C28" s="1212" t="str">
        <f>+'Cap Table'!B3</f>
        <v>Exhibit G.1</v>
      </c>
      <c r="D28" s="1511">
        <f>'OPM Hybrid (Liquidation)'!$F$139</f>
        <v>1852.702</v>
      </c>
      <c r="E28" s="1511">
        <f>'OPM Hybrid (Redemption)'!$F$139</f>
        <v>1852.702</v>
      </c>
      <c r="F28" s="1509">
        <f>SUM('Cap Table'!K11)</f>
        <v>1852.702</v>
      </c>
      <c r="H28" s="16"/>
      <c r="I28" s="1209"/>
    </row>
    <row r="29" spans="2:10" ht="3" customHeight="1">
      <c r="B29" s="1505"/>
      <c r="C29" s="1210"/>
      <c r="D29" s="1210"/>
      <c r="E29" s="1210"/>
      <c r="F29" s="1210"/>
      <c r="H29" s="1210"/>
      <c r="I29" s="16"/>
    </row>
    <row r="30" spans="2:10" s="310" customFormat="1" ht="12.75" customHeight="1">
      <c r="B30" s="167" t="s">
        <v>2563</v>
      </c>
      <c r="C30" s="280"/>
      <c r="D30" s="1213">
        <f>'OPM Hybrid (Liquidation)'!$H$139</f>
        <v>9.4651697085821667</v>
      </c>
      <c r="E30" s="1213">
        <f>'OPM Hybrid (Redemption)'!$H$139</f>
        <v>7.592813633431855</v>
      </c>
      <c r="F30" s="1506">
        <f>+F27/F28</f>
        <v>16.039616046416207</v>
      </c>
    </row>
    <row r="31" spans="2:10" s="310" customFormat="1" ht="12.75" customHeight="1">
      <c r="B31" s="16"/>
      <c r="C31" s="280"/>
      <c r="D31" s="280"/>
      <c r="E31" s="1214"/>
      <c r="F31" s="1122"/>
      <c r="H31" s="16"/>
      <c r="I31" s="1211"/>
    </row>
    <row r="32" spans="2:10" s="310" customFormat="1" ht="12.75" customHeight="1">
      <c r="B32" s="310" t="s">
        <v>1050</v>
      </c>
      <c r="C32" s="316"/>
      <c r="D32" s="337">
        <f>'OPM Hybrid (Liquidation)'!D9</f>
        <v>262850</v>
      </c>
      <c r="E32" s="1116">
        <f>'OPM Hybrid (Redemption)'!D9</f>
        <v>262850</v>
      </c>
      <c r="F32" s="1116">
        <f>'IPO Waterfall'!D161</f>
        <v>970192.81593122985</v>
      </c>
      <c r="I32" s="767"/>
    </row>
    <row r="33" spans="2:10" s="310" customFormat="1" ht="12.75" customHeight="1">
      <c r="C33" s="316"/>
      <c r="D33" s="316"/>
      <c r="E33" s="150"/>
      <c r="F33" s="149"/>
      <c r="I33" s="768"/>
    </row>
    <row r="34" spans="2:10" s="310" customFormat="1" ht="12.75" customHeight="1">
      <c r="B34" s="769" t="s">
        <v>1051</v>
      </c>
      <c r="C34" s="770"/>
      <c r="D34" s="770"/>
      <c r="E34" s="770"/>
      <c r="F34" s="771"/>
    </row>
    <row r="35" spans="2:10" s="310" customFormat="1" ht="12.75" customHeight="1">
      <c r="C35" s="316"/>
      <c r="D35" s="316"/>
      <c r="E35" s="150"/>
      <c r="F35" s="51"/>
      <c r="J35" s="16"/>
    </row>
    <row r="36" spans="2:10" s="310" customFormat="1" ht="12.75" customHeight="1">
      <c r="B36" s="772" t="s">
        <v>74</v>
      </c>
      <c r="C36" s="148">
        <f>SUMPRODUCT(D9:F9,D14:F14)</f>
        <v>7.283746618196127</v>
      </c>
      <c r="E36" s="150"/>
      <c r="F36" s="149"/>
      <c r="J36" s="16"/>
    </row>
    <row r="37" spans="2:10" s="310" customFormat="1" ht="12.75" customHeight="1">
      <c r="B37" s="1"/>
      <c r="E37" s="150"/>
      <c r="F37" s="149"/>
      <c r="J37" s="16"/>
    </row>
    <row r="38" spans="2:10" s="310" customFormat="1" ht="12.75" customHeight="1">
      <c r="B38" s="1126" t="s">
        <v>315</v>
      </c>
      <c r="C38" s="148">
        <f>SUMPRODUCT(D9:F9,D22:F22)</f>
        <v>15.128988752959611</v>
      </c>
      <c r="E38" s="150"/>
      <c r="F38" s="149"/>
      <c r="H38" s="784" t="s">
        <v>1562</v>
      </c>
      <c r="I38" s="773">
        <f>'Econ Rights'!K12</f>
        <v>13.301299999999999</v>
      </c>
      <c r="J38" s="310" t="s">
        <v>1053</v>
      </c>
    </row>
    <row r="39" spans="2:10" s="310" customFormat="1" ht="12.75" customHeight="1">
      <c r="B39" s="1"/>
      <c r="E39" s="150"/>
      <c r="F39" s="149"/>
    </row>
    <row r="40" spans="2:10" s="310" customFormat="1" ht="12.75" customHeight="1">
      <c r="B40" s="1126" t="s">
        <v>2558</v>
      </c>
      <c r="C40" s="1119">
        <f>SUMPRODUCT(D9:F9,D30:F30)</f>
        <v>12.658775073741671</v>
      </c>
      <c r="E40" s="150"/>
      <c r="F40" s="149"/>
      <c r="I40" s="693" t="s">
        <v>1052</v>
      </c>
      <c r="J40" s="774">
        <f>'OPM Hybrid (Liquidation)'!D9</f>
        <v>262850</v>
      </c>
    </row>
    <row r="41" spans="2:10" s="310" customFormat="1" ht="12.75" customHeight="1">
      <c r="B41" s="1"/>
      <c r="E41" s="150"/>
      <c r="F41" s="149"/>
      <c r="I41" s="693"/>
      <c r="J41" s="774"/>
    </row>
    <row r="42" spans="2:10" s="310" customFormat="1" ht="12.75" customHeight="1">
      <c r="B42" s="772" t="s">
        <v>72</v>
      </c>
      <c r="C42" s="36">
        <f>ROUND(SUMPRODUCT(D9:F9,D32:F32),-3)</f>
        <v>617000</v>
      </c>
      <c r="E42" s="150"/>
      <c r="F42" s="149"/>
      <c r="I42" s="767" t="s">
        <v>402</v>
      </c>
      <c r="J42" s="1138">
        <f>C56</f>
        <v>-11106.681930903724</v>
      </c>
    </row>
    <row r="43" spans="2:10" s="310" customFormat="1" ht="12.75" customHeight="1">
      <c r="E43" s="150"/>
      <c r="F43" s="149"/>
      <c r="H43" s="16"/>
      <c r="I43" s="775"/>
      <c r="J43" s="795" t="str">
        <f>IF(OR(J42&lt;-0.01,J42&gt;0.01),"Check","")</f>
        <v>Check</v>
      </c>
    </row>
    <row r="44" spans="2:10" s="310" customFormat="1" ht="12.75" hidden="1" customHeight="1" outlineLevel="1">
      <c r="B44" s="1" t="s">
        <v>2559</v>
      </c>
      <c r="E44" s="150"/>
      <c r="F44" s="149"/>
      <c r="H44" s="16"/>
      <c r="I44" s="775"/>
      <c r="J44" s="1219"/>
    </row>
    <row r="45" spans="2:10" s="310" customFormat="1" ht="12.75" hidden="1" customHeight="1" outlineLevel="1">
      <c r="B45" s="2" t="s">
        <v>315</v>
      </c>
      <c r="C45" s="4">
        <f>'Econ Rights'!$K$13+'Econ Rights'!$K$26</f>
        <v>68140.589637035722</v>
      </c>
      <c r="E45" s="150"/>
      <c r="F45" s="149"/>
      <c r="H45" s="16"/>
      <c r="I45" s="775"/>
      <c r="J45" s="1219"/>
    </row>
    <row r="46" spans="2:10" s="310" customFormat="1" ht="12.75" hidden="1" customHeight="1" outlineLevel="1">
      <c r="B46" s="2" t="s">
        <v>2558</v>
      </c>
      <c r="C46" s="4">
        <f>'Econ Rights'!$J$13+'Econ Rights'!$J$26</f>
        <v>20831.467821350569</v>
      </c>
      <c r="E46" s="150"/>
      <c r="F46" s="149"/>
      <c r="H46" s="16"/>
      <c r="I46" s="775"/>
      <c r="J46" s="1219"/>
    </row>
    <row r="47" spans="2:10" s="310" customFormat="1" ht="3" hidden="1" customHeight="1" outlineLevel="1">
      <c r="B47" s="1512"/>
      <c r="C47" s="1512"/>
      <c r="E47" s="150"/>
      <c r="F47" s="149"/>
      <c r="H47" s="16"/>
      <c r="I47" s="775"/>
      <c r="J47" s="1219"/>
    </row>
    <row r="48" spans="2:10" s="310" customFormat="1" ht="12.75" hidden="1" customHeight="1" outlineLevel="1">
      <c r="B48" s="1" t="s">
        <v>81</v>
      </c>
      <c r="C48" s="36">
        <f>SUM(C45:C46)</f>
        <v>88972.057458386291</v>
      </c>
      <c r="E48" s="150"/>
      <c r="F48" s="149"/>
      <c r="H48" s="16"/>
      <c r="I48" s="775"/>
      <c r="J48" s="1219"/>
    </row>
    <row r="49" spans="1:10" s="310" customFormat="1" ht="12.75" hidden="1" customHeight="1" outlineLevel="1">
      <c r="E49" s="150"/>
      <c r="F49" s="149"/>
      <c r="H49" s="16"/>
      <c r="I49" s="775"/>
      <c r="J49" s="1219"/>
    </row>
    <row r="50" spans="1:10" s="310" customFormat="1" ht="12.75" hidden="1" customHeight="1" outlineLevel="1">
      <c r="B50" s="1" t="s">
        <v>2560</v>
      </c>
      <c r="E50" s="150"/>
      <c r="F50" s="149"/>
      <c r="H50" s="16"/>
      <c r="I50" s="775"/>
      <c r="J50" s="1219"/>
    </row>
    <row r="51" spans="1:10" s="310" customFormat="1" ht="12.75" hidden="1" customHeight="1" outlineLevel="1">
      <c r="B51" s="1513" t="str">
        <f>B45</f>
        <v>Series E</v>
      </c>
      <c r="C51" s="311">
        <f>C38*D20</f>
        <v>76625.801492618673</v>
      </c>
      <c r="E51" s="150"/>
      <c r="H51" s="16"/>
      <c r="I51" s="16"/>
      <c r="J51" s="16"/>
    </row>
    <row r="52" spans="1:10" s="310" customFormat="1" ht="12.75" hidden="1" customHeight="1" outlineLevel="1">
      <c r="B52" s="1513" t="str">
        <f>B46</f>
        <v>Series D (Tranche II)</v>
      </c>
      <c r="C52" s="311">
        <f>C40*D28</f>
        <v>23452.937896671341</v>
      </c>
      <c r="E52" s="150"/>
      <c r="H52" s="16"/>
      <c r="I52" s="16"/>
      <c r="J52" s="16"/>
    </row>
    <row r="53" spans="1:10" s="310" customFormat="1" ht="3" hidden="1" customHeight="1" outlineLevel="1">
      <c r="B53" s="1515"/>
      <c r="C53" s="1512"/>
      <c r="E53" s="150"/>
      <c r="H53" s="16"/>
      <c r="I53" s="16"/>
      <c r="J53" s="16"/>
    </row>
    <row r="54" spans="1:10" s="310" customFormat="1" ht="12.75" hidden="1" customHeight="1" outlineLevel="1">
      <c r="B54" s="1514" t="str">
        <f>B48</f>
        <v>Total</v>
      </c>
      <c r="C54" s="36">
        <f>SUM(C51:C52)</f>
        <v>100078.73938929001</v>
      </c>
      <c r="E54" s="150"/>
      <c r="H54" s="16"/>
      <c r="I54" s="16"/>
      <c r="J54" s="16"/>
    </row>
    <row r="55" spans="1:10" s="310" customFormat="1" ht="12.75" hidden="1" customHeight="1" outlineLevel="1">
      <c r="B55" s="1513"/>
      <c r="H55" s="16"/>
      <c r="I55" s="16"/>
      <c r="J55" s="16"/>
    </row>
    <row r="56" spans="1:10" s="310" customFormat="1" ht="12.75" hidden="1" customHeight="1" outlineLevel="1">
      <c r="B56" s="1516" t="s">
        <v>402</v>
      </c>
      <c r="C56" s="1517">
        <f>C48-C54</f>
        <v>-11106.681930903724</v>
      </c>
      <c r="D56" s="351" t="s">
        <v>161</v>
      </c>
      <c r="H56" s="16"/>
      <c r="I56" s="16"/>
      <c r="J56" s="16"/>
    </row>
    <row r="57" spans="1:10" s="310" customFormat="1" ht="12.75" customHeight="1" collapsed="1">
      <c r="B57" s="1513"/>
      <c r="H57" s="16"/>
      <c r="I57" s="16"/>
      <c r="J57" s="16"/>
    </row>
    <row r="58" spans="1:10" s="310" customFormat="1" ht="12.75" customHeight="1">
      <c r="B58" s="776" t="s">
        <v>16</v>
      </c>
    </row>
    <row r="59" spans="1:10" s="310" customFormat="1" ht="12.75" customHeight="1">
      <c r="A59" s="653" t="s">
        <v>128</v>
      </c>
      <c r="B59" s="1127" t="str">
        <f>"Refer to "&amp;'OPM Hybrid (Liquidation)'!B3&amp;"."</f>
        <v>Refer to Exhibit B.3.</v>
      </c>
      <c r="C59" s="1128"/>
      <c r="D59" s="1128"/>
      <c r="E59" s="1128"/>
      <c r="F59" s="1128"/>
    </row>
    <row r="60" spans="1:10" s="310" customFormat="1" ht="12.75" customHeight="1">
      <c r="A60" s="653" t="s">
        <v>127</v>
      </c>
      <c r="B60" s="1127" t="str">
        <f>"Refer to "&amp;'OPM Hybrid (Redemption)'!B3&amp;"."</f>
        <v>Refer to Exhibit B.4.</v>
      </c>
      <c r="C60" s="1128"/>
      <c r="D60" s="1128"/>
      <c r="E60" s="1128"/>
      <c r="F60" s="1128"/>
    </row>
    <row r="61" spans="1:10">
      <c r="A61" s="653" t="s">
        <v>144</v>
      </c>
      <c r="B61" s="1127" t="str">
        <f>"Refer to "&amp;'IPO Waterfall'!B3&amp;"."</f>
        <v>Refer to Exhibit B.2.</v>
      </c>
      <c r="C61" s="1129"/>
      <c r="D61" s="777"/>
      <c r="E61" s="777"/>
      <c r="F61" s="777"/>
    </row>
    <row r="62" spans="1:10" s="777" customFormat="1" ht="39.950000000000003" customHeight="1">
      <c r="A62" s="653" t="s">
        <v>145</v>
      </c>
      <c r="B62" s="2603" t="str">
        <f>"Probability weightings for the IPO and the OPM Redemption scenarios are based on discussions with Management. "&amp;"Residual probability has been assigned to the OPM Liquidation scenario. Relative to Previous Valuation, we increased the probability weighting of the IPO scenario by "&amp;TEXT(J13,"0.0%")&amp;", since Management has filed a prospectus and is in conversations with investment bankers regarding the IPO process. Refer to "&amp;'IPO Waterfall'!B3&amp;" for details."</f>
        <v>Probability weightings for the IPO and the OPM Redemption scenarios are based on discussions with Management. Residual probability has been assigned to the OPM Liquidation scenario. Relative to Previous Valuation, we increased the probability weighting of the IPO scenario by 25.0%, since Management has filed a prospectus and is in conversations with investment bankers regarding the IPO process. Refer to Exhibit B.2 for details.</v>
      </c>
      <c r="C62" s="2603"/>
      <c r="D62" s="2603"/>
      <c r="E62" s="2603"/>
      <c r="F62" s="2603"/>
    </row>
    <row r="63" spans="1:10">
      <c r="A63" s="653" t="s">
        <v>146</v>
      </c>
      <c r="B63" s="2603" t="str">
        <f>"Refer to "&amp;DLOM!B3&amp;" for DLOM calculations."</f>
        <v>Refer to Exhibit H.1 for DLOM calculations.</v>
      </c>
      <c r="C63" s="2603"/>
      <c r="D63" s="2603"/>
      <c r="E63" s="2603"/>
      <c r="F63" s="2603"/>
    </row>
    <row r="64" spans="1:10" hidden="1" outlineLevel="1">
      <c r="A64" s="653" t="s">
        <v>161</v>
      </c>
      <c r="B64" s="2603" t="s">
        <v>3296</v>
      </c>
      <c r="C64" s="2603"/>
      <c r="D64" s="2603"/>
      <c r="E64" s="2603"/>
      <c r="F64" s="2603"/>
    </row>
    <row r="65" spans="2:9" collapsed="1"/>
    <row r="68" spans="2:9">
      <c r="B68" s="310" t="s">
        <v>300</v>
      </c>
      <c r="D68" s="342">
        <f>SUM('OPM Hybrid (Liquidation)'!D132:D133)</f>
        <v>62126.626506847184</v>
      </c>
      <c r="E68" s="342">
        <f>SUM('OPM Hybrid (Redemption)'!D132:D133)</f>
        <v>77470.678818187997</v>
      </c>
      <c r="F68" s="342">
        <f>'IPO Waterfall'!D174+'IPO Waterfall'!D177</f>
        <v>420040.17833397264</v>
      </c>
      <c r="H68" s="312">
        <f t="shared" ref="H68:H73" si="0">SUMPRODUCT($D$9:$F$9,D68:F68)</f>
        <v>241850.60503597694</v>
      </c>
      <c r="I68" s="2499">
        <f>H68/SUM('OPM Hybrid (Liquidation)'!U33,'OPM Hybrid (Liquidation)'!U32)</f>
        <v>9.1553175979102441</v>
      </c>
    </row>
    <row r="69" spans="2:9">
      <c r="B69" s="310" t="s">
        <v>307</v>
      </c>
      <c r="D69" s="342">
        <f>'OPM Hybrid (Liquidation)'!D134</f>
        <v>13058.244198815504</v>
      </c>
      <c r="E69" s="342">
        <f>'OPM Hybrid (Redemption)'!D134</f>
        <v>11979.439332997705</v>
      </c>
      <c r="F69" s="342">
        <f>'IPO Waterfall'!D181+'IPO Waterfall'!D184</f>
        <v>56935.780189943878</v>
      </c>
      <c r="H69" s="312">
        <f t="shared" si="0"/>
        <v>34943.071951088801</v>
      </c>
    </row>
    <row r="70" spans="2:9">
      <c r="B70" s="310" t="s">
        <v>308</v>
      </c>
      <c r="D70" s="342">
        <f>'OPM Hybrid (Liquidation)'!D135</f>
        <v>12926.126808540181</v>
      </c>
      <c r="E70" s="342">
        <f>'OPM Hybrid (Redemption)'!D135</f>
        <v>11861.138352529893</v>
      </c>
      <c r="F70" s="342">
        <f>'IPO Waterfall'!D188+'IPO Waterfall'!D191</f>
        <v>56931.461694244703</v>
      </c>
      <c r="H70" s="312">
        <f t="shared" si="0"/>
        <v>34875.544828591926</v>
      </c>
    </row>
    <row r="71" spans="2:9">
      <c r="B71" s="310" t="s">
        <v>311</v>
      </c>
      <c r="D71" s="342">
        <f>'OPM Hybrid (Liquidation)'!D136</f>
        <v>17937.954585404212</v>
      </c>
      <c r="E71" s="342">
        <f>'OPM Hybrid (Redemption)'!D136</f>
        <v>14033.353072594087</v>
      </c>
      <c r="F71" s="342">
        <f>'IPO Waterfall'!D195+'IPO Waterfall'!D198</f>
        <v>38243.914421854875</v>
      </c>
      <c r="H71" s="312">
        <f t="shared" si="0"/>
        <v>27895.704427989036</v>
      </c>
    </row>
    <row r="72" spans="2:9">
      <c r="B72" s="310" t="s">
        <v>312</v>
      </c>
      <c r="D72" s="342">
        <f>'OPM Hybrid (Liquidation)'!D137</f>
        <v>17486.524779091418</v>
      </c>
      <c r="E72" s="342">
        <f>'OPM Hybrid (Redemption)'!D137</f>
        <v>13631.771773587516</v>
      </c>
      <c r="F72" s="342">
        <f>'IPO Waterfall'!D202+'IPO Waterfall'!D205</f>
        <v>38231.797453873645</v>
      </c>
      <c r="H72" s="312">
        <f t="shared" si="0"/>
        <v>27666.423466207336</v>
      </c>
    </row>
    <row r="73" spans="2:9">
      <c r="B73" s="310" t="s">
        <v>319</v>
      </c>
      <c r="D73" s="342">
        <f>'OPM Hybrid (Liquidation)'!D138</f>
        <v>25201.084378766598</v>
      </c>
      <c r="E73" s="342">
        <f>'OPM Hybrid (Redemption)'!D138</f>
        <v>20229.957540549225</v>
      </c>
      <c r="F73" s="342">
        <f>'IPO Waterfall'!D209+'IPO Waterfall'!D212</f>
        <v>42445.365256780169</v>
      </c>
      <c r="H73" s="312">
        <f t="shared" si="0"/>
        <v>33574.668475862512</v>
      </c>
    </row>
  </sheetData>
  <mergeCells count="3">
    <mergeCell ref="B62:F62"/>
    <mergeCell ref="B63:F63"/>
    <mergeCell ref="B64:F64"/>
  </mergeCells>
  <conditionalFormatting sqref="B5:F5 B4:E4">
    <cfRule type="cellIs" dxfId="224" priority="5" stopIfTrue="1" operator="equal">
      <formula>"input"</formula>
    </cfRule>
  </conditionalFormatting>
  <conditionalFormatting sqref="F4">
    <cfRule type="cellIs" dxfId="223" priority="1" stopIfTrue="1" operator="equal">
      <formula>"input"</formula>
    </cfRule>
  </conditionalFormatting>
  <conditionalFormatting sqref="F4">
    <cfRule type="cellIs" dxfId="222" priority="2" stopIfTrue="1" operator="equal">
      <formula>"input"</formula>
    </cfRule>
  </conditionalFormatting>
  <pageMargins left="0.5" right="0.5" top="0.5" bottom="0.5" header="0.5" footer="0.5"/>
  <pageSetup scale="85" fitToWidth="0" fitToHeight="0" orientation="landscape" r:id="rId1"/>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EV212"/>
  <sheetViews>
    <sheetView showGridLines="0" view="pageBreakPreview" topLeftCell="A10" zoomScale="85" zoomScaleNormal="100" zoomScaleSheetLayoutView="85" workbookViewId="0">
      <selection activeCell="I9" sqref="I9"/>
    </sheetView>
  </sheetViews>
  <sheetFormatPr defaultColWidth="9.33203125" defaultRowHeight="12.75"/>
  <cols>
    <col min="1" max="1" width="4.5" style="310" customWidth="1"/>
    <col min="2" max="2" width="59.6640625" style="310" customWidth="1"/>
    <col min="3" max="3" width="9.6640625" style="310" customWidth="1"/>
    <col min="4" max="4" width="74.5" style="310" bestFit="1" customWidth="1"/>
    <col min="5" max="5" width="4.5" style="310" customWidth="1"/>
    <col min="6" max="7" width="13.6640625" style="310" customWidth="1"/>
    <col min="8" max="8" width="17.33203125" style="310" customWidth="1"/>
    <col min="9" max="9" width="16.5" style="310" bestFit="1" customWidth="1"/>
    <col min="10" max="10" width="25" style="310" customWidth="1"/>
    <col min="11" max="11" width="9.33203125" style="310" customWidth="1"/>
    <col min="12" max="12" width="23.6640625" style="310" customWidth="1"/>
    <col min="13" max="13" width="8.6640625" style="310" customWidth="1"/>
    <col min="14" max="16384" width="9.33203125" style="310"/>
  </cols>
  <sheetData>
    <row r="1" spans="2:9" ht="10.7" customHeight="1" thickBot="1"/>
    <row r="2" spans="2:9" ht="16.5" customHeight="1" thickTop="1">
      <c r="B2" s="10" t="str">
        <f>'MASTER PubCo Inputs'!$C$5</f>
        <v>Hua Medicine</v>
      </c>
      <c r="C2" s="10"/>
      <c r="D2" s="10"/>
    </row>
    <row r="3" spans="2:9" ht="15.75" customHeight="1">
      <c r="B3" s="11" t="str">
        <f>VLOOKUP(B4,Outline!$E$8:$G$81,COLUMNS(Outline!$E$8:$G$8),FALSE)</f>
        <v>Exhibit B.2</v>
      </c>
      <c r="C3" s="11"/>
      <c r="D3" s="11"/>
    </row>
    <row r="4" spans="2:9" ht="16.5" customHeight="1" thickBot="1">
      <c r="B4" s="12" t="s">
        <v>1249</v>
      </c>
      <c r="C4" s="12"/>
      <c r="D4" s="13" t="str">
        <f>+'MASTER PubCo Inputs'!$C$20</f>
        <v>(in thousands of USD and shares, except price per share)</v>
      </c>
    </row>
    <row r="5" spans="2:9" ht="12.75" customHeight="1" thickTop="1"/>
    <row r="6" spans="2:9" ht="12.75" customHeight="1"/>
    <row r="7" spans="2:9" ht="14.25">
      <c r="B7" s="31" t="s">
        <v>378</v>
      </c>
      <c r="D7" s="1170" t="s">
        <v>643</v>
      </c>
      <c r="H7" s="1120"/>
      <c r="I7" s="1120"/>
    </row>
    <row r="8" spans="2:9" ht="8.1" customHeight="1"/>
    <row r="9" spans="2:9" ht="12.75" customHeight="1">
      <c r="B9" s="74" t="s">
        <v>232</v>
      </c>
      <c r="C9" s="94"/>
      <c r="D9" s="145"/>
    </row>
    <row r="10" spans="2:9" ht="12.75" customHeight="1">
      <c r="B10" s="2" t="s">
        <v>228</v>
      </c>
      <c r="D10" s="447">
        <f>'MASTER PubCo Inputs'!$C$6</f>
        <v>43281</v>
      </c>
    </row>
    <row r="11" spans="2:9" ht="8.1" customHeight="1">
      <c r="B11" s="2"/>
    </row>
    <row r="12" spans="2:9" ht="12.75" customHeight="1">
      <c r="B12" s="2" t="s">
        <v>230</v>
      </c>
      <c r="D12" s="302">
        <f>YEARFRAC(D10,D14,3)</f>
        <v>0.16986301369863013</v>
      </c>
    </row>
    <row r="13" spans="2:9" ht="8.1" customHeight="1">
      <c r="B13" s="2"/>
    </row>
    <row r="14" spans="2:9" ht="12.75" customHeight="1">
      <c r="B14" s="39" t="s">
        <v>229</v>
      </c>
      <c r="C14" s="1"/>
      <c r="D14" s="1519">
        <v>43343</v>
      </c>
    </row>
    <row r="15" spans="2:9" ht="8.1" customHeight="1"/>
    <row r="16" spans="2:9" ht="12.75" customHeight="1">
      <c r="B16" s="74" t="s">
        <v>231</v>
      </c>
      <c r="C16" s="94"/>
      <c r="D16" s="145"/>
    </row>
    <row r="17" spans="2:13" ht="8.1" customHeight="1"/>
    <row r="18" spans="2:13">
      <c r="B18" s="2" t="s">
        <v>233</v>
      </c>
      <c r="D18" s="1111" t="s">
        <v>1550</v>
      </c>
      <c r="H18" s="1118"/>
      <c r="I18" s="334"/>
      <c r="J18" s="1118"/>
      <c r="K18" s="334"/>
      <c r="M18" s="334"/>
    </row>
    <row r="19" spans="2:13" ht="12.75" customHeight="1">
      <c r="B19" s="2" t="s">
        <v>234</v>
      </c>
      <c r="D19" s="1116">
        <f>SUM('Econ Rights'!C13:K13)</f>
        <v>211556.11343834398</v>
      </c>
      <c r="H19" s="254"/>
      <c r="I19" s="1119"/>
      <c r="J19" s="334"/>
      <c r="K19" s="334"/>
      <c r="M19" s="16"/>
    </row>
    <row r="20" spans="2:13" ht="12.75" customHeight="1">
      <c r="B20" s="2" t="s">
        <v>235</v>
      </c>
      <c r="D20" s="330">
        <f>D22/D19</f>
        <v>4.7268782912834162</v>
      </c>
      <c r="H20" s="254"/>
      <c r="I20" s="1119"/>
      <c r="J20" s="254"/>
      <c r="K20" s="1119"/>
      <c r="M20" s="693"/>
    </row>
    <row r="21" spans="2:13" ht="8.1" customHeight="1">
      <c r="B21" s="5"/>
      <c r="C21" s="5"/>
      <c r="D21" s="5"/>
    </row>
    <row r="22" spans="2:13" ht="12.75" customHeight="1">
      <c r="B22" s="39" t="s">
        <v>231</v>
      </c>
      <c r="D22" s="1520">
        <v>1000000</v>
      </c>
      <c r="F22" s="310" t="s">
        <v>3351</v>
      </c>
    </row>
    <row r="23" spans="2:13" ht="8.1" customHeight="1"/>
    <row r="24" spans="2:13" ht="12.75" customHeight="1">
      <c r="B24" s="74" t="s">
        <v>236</v>
      </c>
      <c r="C24" s="94"/>
      <c r="D24" s="145"/>
    </row>
    <row r="25" spans="2:13" ht="8.1" customHeight="1"/>
    <row r="26" spans="2:13" ht="12.75" customHeight="1">
      <c r="B26" s="1" t="s">
        <v>237</v>
      </c>
      <c r="D26" s="36">
        <f>D22</f>
        <v>1000000</v>
      </c>
    </row>
    <row r="27" spans="2:13" ht="8.1" customHeight="1"/>
    <row r="28" spans="2:13" s="72" customFormat="1" ht="12.75" customHeight="1">
      <c r="B28" s="137" t="s">
        <v>922</v>
      </c>
      <c r="D28" s="1116">
        <f>-'Hist BS'!$I$62</f>
        <v>0</v>
      </c>
      <c r="L28" s="310"/>
    </row>
    <row r="29" spans="2:13" ht="8.1" customHeight="1">
      <c r="B29" s="5"/>
      <c r="C29" s="5"/>
      <c r="D29" s="5"/>
    </row>
    <row r="30" spans="2:13" ht="12.75" customHeight="1">
      <c r="B30" s="1" t="s">
        <v>246</v>
      </c>
      <c r="D30" s="36">
        <f>MAX(SUM(D26:D28),0)</f>
        <v>1000000</v>
      </c>
    </row>
    <row r="31" spans="2:13" ht="8.1" customHeight="1"/>
    <row r="32" spans="2:13" ht="12.75" customHeight="1">
      <c r="B32" s="1" t="s">
        <v>238</v>
      </c>
      <c r="F32" s="39" t="s">
        <v>1604</v>
      </c>
      <c r="G32" s="39" t="s">
        <v>1605</v>
      </c>
      <c r="K32" s="144"/>
    </row>
    <row r="33" spans="2:11" ht="12.75" customHeight="1">
      <c r="B33" s="2" t="str">
        <f>'Cap Table'!$D$7</f>
        <v>Series A-1</v>
      </c>
      <c r="D33" s="1112"/>
      <c r="F33" s="342">
        <f t="array" ref="F33:F41">TRANSPOSE('Econ Rights'!C16:K16)+TRANSPOSE('Econ Rights'!C28:K28)</f>
        <v>6509.3252067210342</v>
      </c>
      <c r="G33" s="1185">
        <f t="array" ref="G33:G41">TRANSPOSE('Econ Rights'!C22:K22)</f>
        <v>0.04</v>
      </c>
      <c r="H33" s="317">
        <f t="shared" ref="H33:H41" si="0">+F33/$F$43</f>
        <v>2.8883457184361219E-2</v>
      </c>
      <c r="K33" s="342"/>
    </row>
    <row r="34" spans="2:11" ht="12.75" customHeight="1">
      <c r="B34" s="2" t="str">
        <f>'Cap Table'!$E$7</f>
        <v>Series A-2</v>
      </c>
      <c r="D34" s="1112"/>
      <c r="F34" s="342">
        <v>18807.096361934782</v>
      </c>
      <c r="G34" s="1185">
        <v>0.04</v>
      </c>
      <c r="H34" s="317">
        <f t="shared" si="0"/>
        <v>8.3451655168682845E-2</v>
      </c>
    </row>
    <row r="35" spans="2:11" ht="12.75" customHeight="1">
      <c r="B35" s="2" t="str">
        <f>'Cap Table'!$F$7</f>
        <v>Series B Tranche I</v>
      </c>
      <c r="D35" s="1112"/>
      <c r="F35" s="342">
        <v>14423.476965162601</v>
      </c>
      <c r="G35" s="1185">
        <v>0.04</v>
      </c>
      <c r="H35" s="317">
        <f t="shared" si="0"/>
        <v>6.4000471038494891E-2</v>
      </c>
    </row>
    <row r="36" spans="2:11" ht="12.75" customHeight="1">
      <c r="B36" s="2" t="str">
        <f>'Cap Table'!$G$7</f>
        <v>Series B Tranche II</v>
      </c>
      <c r="D36" s="1112"/>
      <c r="F36" s="342">
        <v>14100.139740273529</v>
      </c>
      <c r="G36" s="1185">
        <v>0.04</v>
      </c>
      <c r="H36" s="317">
        <f t="shared" si="0"/>
        <v>6.2565745226739342E-2</v>
      </c>
    </row>
    <row r="37" spans="2:11" ht="12.75" customHeight="1">
      <c r="B37" s="2" t="str">
        <f>'Cap Table'!$H$7</f>
        <v>Series C Tranche I</v>
      </c>
      <c r="D37" s="1112"/>
      <c r="F37" s="342">
        <v>26337.685565775897</v>
      </c>
      <c r="G37" s="1185">
        <v>0.04</v>
      </c>
      <c r="H37" s="317">
        <f t="shared" si="0"/>
        <v>0.11686670879322351</v>
      </c>
    </row>
    <row r="38" spans="2:11" ht="12.75" customHeight="1">
      <c r="B38" s="2" t="str">
        <f>'Cap Table'!$I$7</f>
        <v>Series C Tranche II</v>
      </c>
      <c r="D38" s="1112"/>
      <c r="F38" s="342">
        <v>25433.781532695997</v>
      </c>
      <c r="G38" s="1185">
        <v>0.04</v>
      </c>
      <c r="H38" s="317">
        <f t="shared" si="0"/>
        <v>0.11285586702251621</v>
      </c>
    </row>
    <row r="39" spans="2:11" ht="12.75" customHeight="1">
      <c r="B39" s="2" t="str">
        <f>'Cap Table'!$J$7</f>
        <v>Series D Tranche I</v>
      </c>
      <c r="D39" s="1112"/>
      <c r="F39" s="342">
        <v>30186.882135172444</v>
      </c>
      <c r="G39" s="1185">
        <v>0.04</v>
      </c>
      <c r="H39" s="317">
        <f t="shared" si="0"/>
        <v>0.13394652901661031</v>
      </c>
    </row>
    <row r="40" spans="2:11" ht="12.75" customHeight="1">
      <c r="B40" s="2" t="str">
        <f>'Cap Table'!$K$7</f>
        <v>Series D Tranche II</v>
      </c>
      <c r="D40" s="1112"/>
      <c r="F40" s="342">
        <v>20970.713476785768</v>
      </c>
      <c r="G40" s="1185">
        <v>0.04</v>
      </c>
      <c r="H40" s="317">
        <f t="shared" si="0"/>
        <v>9.3052149892102767E-2</v>
      </c>
    </row>
    <row r="41" spans="2:11" ht="12.75" customHeight="1">
      <c r="B41" s="2" t="str">
        <f>'Cap Table'!$L$7</f>
        <v>Series E</v>
      </c>
      <c r="D41" s="1112"/>
      <c r="F41" s="342">
        <v>68596.067913800522</v>
      </c>
      <c r="G41" s="1185">
        <v>0.04</v>
      </c>
      <c r="H41" s="317">
        <f t="shared" si="0"/>
        <v>0.30437741665726897</v>
      </c>
    </row>
    <row r="42" spans="2:11" ht="8.1" customHeight="1">
      <c r="B42" s="5"/>
      <c r="C42" s="5"/>
      <c r="D42" s="5"/>
      <c r="H42" s="317"/>
    </row>
    <row r="43" spans="2:11" ht="12.75" customHeight="1">
      <c r="B43" s="1" t="s">
        <v>81</v>
      </c>
      <c r="D43" s="36">
        <f>SUM(D33:D41)</f>
        <v>0</v>
      </c>
      <c r="F43" s="695">
        <f>SUM(F33:F41)</f>
        <v>225365.16889832256</v>
      </c>
      <c r="G43" s="1182"/>
      <c r="H43" s="696">
        <f>SUM(H33:H41)</f>
        <v>1</v>
      </c>
    </row>
    <row r="44" spans="2:11" ht="8.1" customHeight="1"/>
    <row r="45" spans="2:11" ht="12.75" customHeight="1">
      <c r="B45" s="1" t="s">
        <v>239</v>
      </c>
      <c r="C45" s="1"/>
      <c r="D45" s="36">
        <f>D30-D43</f>
        <v>1000000</v>
      </c>
    </row>
    <row r="46" spans="2:11" ht="8.1" customHeight="1"/>
    <row r="47" spans="2:11" ht="12.75" customHeight="1">
      <c r="B47" s="1" t="s">
        <v>240</v>
      </c>
    </row>
    <row r="48" spans="2:11" ht="12.75" customHeight="1">
      <c r="B48" s="137" t="str">
        <f t="shared" ref="B48:B56" si="1">+$B33</f>
        <v>Series A-1</v>
      </c>
      <c r="D48" s="311">
        <f>F48</f>
        <v>5499.9989999999998</v>
      </c>
      <c r="F48" s="342">
        <f>'OPM Hybrid (Liquidation)'!U32</f>
        <v>5499.9989999999998</v>
      </c>
      <c r="G48" s="342"/>
    </row>
    <row r="49" spans="2:8" ht="12.75" customHeight="1">
      <c r="B49" s="137" t="str">
        <f t="shared" si="1"/>
        <v>Series A-2</v>
      </c>
      <c r="D49" s="311">
        <f t="shared" ref="D49:D66" si="2">F49</f>
        <v>20916.409</v>
      </c>
      <c r="F49" s="342">
        <f>'OPM Hybrid (Liquidation)'!U33</f>
        <v>20916.409</v>
      </c>
      <c r="G49" s="342"/>
    </row>
    <row r="50" spans="2:8" ht="12.75" customHeight="1">
      <c r="B50" s="137" t="str">
        <f t="shared" si="1"/>
        <v>Series B Tranche I</v>
      </c>
      <c r="D50" s="311">
        <f t="shared" si="2"/>
        <v>3571.4279999999999</v>
      </c>
      <c r="F50" s="342">
        <f>'OPM Hybrid (Liquidation)'!U34</f>
        <v>3571.4279999999999</v>
      </c>
      <c r="G50" s="342"/>
    </row>
    <row r="51" spans="2:8" ht="12.75" customHeight="1">
      <c r="B51" s="137" t="str">
        <f t="shared" si="1"/>
        <v>Series B Tranche II</v>
      </c>
      <c r="D51" s="311">
        <f t="shared" si="2"/>
        <v>3571.4290000000001</v>
      </c>
      <c r="F51" s="342">
        <f>'OPM Hybrid (Liquidation)'!U35</f>
        <v>3571.4290000000001</v>
      </c>
      <c r="G51" s="342"/>
    </row>
    <row r="52" spans="2:8" ht="12.75" customHeight="1">
      <c r="B52" s="137" t="str">
        <f t="shared" si="1"/>
        <v>Series C Tranche I</v>
      </c>
      <c r="D52" s="311">
        <f t="shared" si="2"/>
        <v>2384.889986666667</v>
      </c>
      <c r="F52" s="342">
        <f>'OPM Hybrid (Liquidation)'!U36</f>
        <v>2384.889986666667</v>
      </c>
      <c r="G52" s="342"/>
    </row>
    <row r="53" spans="2:8" ht="12.75" customHeight="1">
      <c r="B53" s="137" t="str">
        <f t="shared" si="1"/>
        <v>Series C Tranche II</v>
      </c>
      <c r="D53" s="311">
        <f t="shared" si="2"/>
        <v>2384.889986666667</v>
      </c>
      <c r="F53" s="342">
        <f>'OPM Hybrid (Liquidation)'!U37</f>
        <v>2384.889986666667</v>
      </c>
      <c r="G53" s="342"/>
    </row>
    <row r="54" spans="2:8" ht="12.75" customHeight="1">
      <c r="B54" s="137" t="str">
        <f t="shared" si="1"/>
        <v>Series D Tranche I</v>
      </c>
      <c r="D54" s="311">
        <f t="shared" si="2"/>
        <v>2646.0859999999998</v>
      </c>
      <c r="F54" s="342">
        <f>'OPM Hybrid (Liquidation)'!U38</f>
        <v>2646.0859999999998</v>
      </c>
      <c r="G54" s="342"/>
    </row>
    <row r="55" spans="2:8" ht="12.75" customHeight="1">
      <c r="B55" s="137" t="str">
        <f t="shared" si="1"/>
        <v>Series D Tranche II</v>
      </c>
      <c r="D55" s="311">
        <f t="shared" si="2"/>
        <v>1852.702</v>
      </c>
      <c r="F55" s="342">
        <f>'OPM Hybrid (Liquidation)'!U39</f>
        <v>1852.702</v>
      </c>
      <c r="G55" s="342"/>
    </row>
    <row r="56" spans="2:8" ht="12.75" customHeight="1">
      <c r="B56" s="137" t="str">
        <f t="shared" si="1"/>
        <v>Series E</v>
      </c>
      <c r="D56" s="311">
        <f t="shared" si="2"/>
        <v>5064.8329999999996</v>
      </c>
      <c r="F56" s="342">
        <f>'OPM Hybrid (Liquidation)'!U40</f>
        <v>5064.8329999999996</v>
      </c>
      <c r="G56" s="342"/>
    </row>
    <row r="57" spans="2:8" ht="12.75" customHeight="1">
      <c r="B57" s="259" t="str">
        <f>'Cap Table'!$B24</f>
        <v>Options at $1.00 Strike Price</v>
      </c>
      <c r="D57" s="311">
        <f t="shared" si="2"/>
        <v>1948.865</v>
      </c>
      <c r="F57" s="342">
        <f>'OPM Hybrid (Liquidation)'!U41</f>
        <v>1948.865</v>
      </c>
      <c r="G57" s="342"/>
      <c r="H57" s="1099">
        <f>'Cap Table'!E24</f>
        <v>1</v>
      </c>
    </row>
    <row r="58" spans="2:8" ht="12.75" customHeight="1">
      <c r="B58" s="259" t="str">
        <f>'Cap Table'!$B25</f>
        <v>Options at $3.50 Strike Price</v>
      </c>
      <c r="D58" s="311">
        <f t="shared" si="2"/>
        <v>960</v>
      </c>
      <c r="F58" s="342">
        <f>'OPM Hybrid (Liquidation)'!U42</f>
        <v>960</v>
      </c>
      <c r="G58" s="342"/>
      <c r="H58" s="661">
        <f>'Cap Table'!E25</f>
        <v>3.5</v>
      </c>
    </row>
    <row r="59" spans="2:8" ht="12.75" customHeight="1">
      <c r="B59" s="259" t="str">
        <f>'Cap Table'!$B26</f>
        <v>Options at $3.70 Strike Price</v>
      </c>
      <c r="D59" s="311">
        <f>F59</f>
        <v>1201.357</v>
      </c>
      <c r="F59" s="342">
        <f>'OPM Hybrid (Liquidation)'!U43</f>
        <v>1201.357</v>
      </c>
      <c r="G59" s="342"/>
      <c r="H59" s="661">
        <f>'Cap Table'!E26</f>
        <v>3.7</v>
      </c>
    </row>
    <row r="60" spans="2:8" ht="12.75" customHeight="1">
      <c r="B60" s="259" t="str">
        <f>'Cap Table'!$B27</f>
        <v>Options at $4.00 Strike Price</v>
      </c>
      <c r="D60" s="311">
        <f t="shared" si="2"/>
        <v>70</v>
      </c>
      <c r="F60" s="342">
        <f>'OPM Hybrid (Liquidation)'!U44</f>
        <v>70</v>
      </c>
      <c r="G60" s="342"/>
      <c r="H60" s="661">
        <f>'Cap Table'!E27</f>
        <v>4</v>
      </c>
    </row>
    <row r="61" spans="2:8" ht="12.75" customHeight="1">
      <c r="B61" s="259" t="str">
        <f>'Cap Table'!$B28</f>
        <v>Options at $6.00 Strike Price</v>
      </c>
      <c r="D61" s="311">
        <f t="shared" si="2"/>
        <v>75</v>
      </c>
      <c r="F61" s="342">
        <f>'OPM Hybrid (Liquidation)'!U45</f>
        <v>75</v>
      </c>
      <c r="G61" s="342"/>
      <c r="H61" s="661">
        <f>'Cap Table'!E28</f>
        <v>6</v>
      </c>
    </row>
    <row r="62" spans="2:8" ht="12.75" customHeight="1">
      <c r="B62" s="259" t="str">
        <f>'Cap Table'!$B29</f>
        <v>Options at $7.00 Strike Price</v>
      </c>
      <c r="D62" s="311">
        <f t="shared" si="2"/>
        <v>2739.67</v>
      </c>
      <c r="F62" s="342">
        <f>'OPM Hybrid (Liquidation)'!U46</f>
        <v>2739.67</v>
      </c>
      <c r="G62" s="342"/>
      <c r="H62" s="661">
        <f>'Cap Table'!E29</f>
        <v>7</v>
      </c>
    </row>
    <row r="63" spans="2:8" ht="12.75" customHeight="1">
      <c r="B63" s="259" t="str">
        <f>'Cap Table'!$B30</f>
        <v>Options at $10.00 Strike Price</v>
      </c>
      <c r="D63" s="311">
        <f t="shared" ref="D63:D64" si="3">F63</f>
        <v>100</v>
      </c>
      <c r="F63" s="342">
        <f>'OPM Hybrid (Liquidation)'!U47</f>
        <v>100</v>
      </c>
      <c r="G63" s="342"/>
      <c r="H63" s="661">
        <f>'Cap Table'!E30</f>
        <v>10</v>
      </c>
    </row>
    <row r="64" spans="2:8" ht="12.75" customHeight="1">
      <c r="B64" s="259" t="str">
        <f>'Cap Table'!$B31</f>
        <v>Options at $11.00 Strike Price</v>
      </c>
      <c r="D64" s="311">
        <f t="shared" si="3"/>
        <v>6</v>
      </c>
      <c r="F64" s="342">
        <f>'OPM Hybrid (Liquidation)'!U48</f>
        <v>6</v>
      </c>
      <c r="G64" s="342"/>
      <c r="H64" s="661">
        <f>'Cap Table'!E31</f>
        <v>11</v>
      </c>
    </row>
    <row r="65" spans="2:9" ht="12.75" customHeight="1">
      <c r="B65" s="259" t="str">
        <f>'Cap Table'!$B32</f>
        <v>Executive Option Grants Made</v>
      </c>
      <c r="D65" s="311">
        <f t="shared" si="2"/>
        <v>494.86500000000001</v>
      </c>
      <c r="F65" s="342">
        <f>'OPM Hybrid (Liquidation)'!U49</f>
        <v>494.86500000000001</v>
      </c>
      <c r="G65" s="342"/>
      <c r="H65" s="1100">
        <f>'Cap Table'!E32</f>
        <v>7.28</v>
      </c>
    </row>
    <row r="66" spans="2:9" ht="12.75" customHeight="1">
      <c r="B66" s="135" t="str">
        <f>'Cap Table'!$M7 &amp;" Stock"</f>
        <v>Common Stock</v>
      </c>
      <c r="D66" s="311">
        <f t="shared" si="2"/>
        <v>7451.1540000000005</v>
      </c>
      <c r="F66" s="342">
        <f>'OPM Hybrid (Liquidation)'!U50</f>
        <v>7451.1540000000005</v>
      </c>
      <c r="G66" s="342"/>
    </row>
    <row r="67" spans="2:9" ht="8.1" customHeight="1">
      <c r="B67" s="5"/>
      <c r="C67" s="5"/>
      <c r="D67" s="5"/>
    </row>
    <row r="68" spans="2:9" ht="12.75" customHeight="1">
      <c r="B68" s="147" t="s">
        <v>81</v>
      </c>
      <c r="D68" s="36">
        <f>SUM(D48:D66)</f>
        <v>62939.576973333329</v>
      </c>
      <c r="F68" s="1097">
        <f>SUM(F48:F66)</f>
        <v>62939.576973333329</v>
      </c>
      <c r="G68" s="1183"/>
    </row>
    <row r="69" spans="2:9" ht="8.1" customHeight="1"/>
    <row r="70" spans="2:9" ht="12.75" customHeight="1">
      <c r="B70" s="2" t="s">
        <v>247</v>
      </c>
      <c r="D70" s="311">
        <f>SUMPRODUCT(D57:D65,H57:H65)</f>
        <v>34330.193100000004</v>
      </c>
      <c r="F70" s="1121"/>
      <c r="G70" s="1121"/>
    </row>
    <row r="71" spans="2:9" ht="8.1" customHeight="1"/>
    <row r="72" spans="2:9" ht="12.75" customHeight="1">
      <c r="B72" s="74" t="s">
        <v>385</v>
      </c>
      <c r="C72" s="94"/>
      <c r="D72" s="145"/>
      <c r="I72" s="263" t="s">
        <v>12</v>
      </c>
    </row>
    <row r="73" spans="2:9" ht="8.1" customHeight="1"/>
    <row r="74" spans="2:9" ht="12.75" customHeight="1">
      <c r="B74" s="2" t="str">
        <f t="shared" ref="B74:B88" si="4">+B48</f>
        <v>Series A-1</v>
      </c>
      <c r="D74" s="211">
        <f t="shared" ref="D74:D82" si="5">D33+IF(D48&gt;0,(D$45+D$70)*(D48/D$68),0)</f>
        <v>90385.339420537945</v>
      </c>
      <c r="F74" s="1121"/>
      <c r="G74" s="1121"/>
      <c r="I74" s="7"/>
    </row>
    <row r="75" spans="2:9" ht="12.75" customHeight="1">
      <c r="B75" s="2" t="str">
        <f t="shared" si="4"/>
        <v>Series A-2</v>
      </c>
      <c r="D75" s="211">
        <f t="shared" si="5"/>
        <v>343734.01284687407</v>
      </c>
      <c r="F75" s="1121"/>
      <c r="G75" s="1121"/>
      <c r="I75" s="7"/>
    </row>
    <row r="76" spans="2:9" ht="12.75" customHeight="1">
      <c r="B76" s="2" t="str">
        <f t="shared" si="4"/>
        <v>Series B Tranche I</v>
      </c>
      <c r="D76" s="211">
        <f t="shared" si="5"/>
        <v>58691.780125053294</v>
      </c>
      <c r="F76" s="1121"/>
      <c r="G76" s="1121"/>
      <c r="I76" s="7"/>
    </row>
    <row r="77" spans="2:9" ht="12.75" customHeight="1">
      <c r="B77" s="2" t="str">
        <f t="shared" si="4"/>
        <v>Series B Tranche II</v>
      </c>
      <c r="D77" s="211">
        <f t="shared" si="5"/>
        <v>58691.796558754359</v>
      </c>
      <c r="F77" s="1121"/>
      <c r="G77" s="1121"/>
      <c r="I77" s="7"/>
    </row>
    <row r="78" spans="2:9" ht="12.75" customHeight="1">
      <c r="B78" s="2" t="str">
        <f t="shared" si="4"/>
        <v>Series C Tranche I</v>
      </c>
      <c r="D78" s="211">
        <f t="shared" si="5"/>
        <v>39192.569112377816</v>
      </c>
      <c r="F78" s="1121"/>
      <c r="G78" s="1121"/>
      <c r="I78" s="7"/>
    </row>
    <row r="79" spans="2:9" ht="12.75" customHeight="1">
      <c r="B79" s="2" t="str">
        <f t="shared" si="4"/>
        <v>Series C Tranche II</v>
      </c>
      <c r="D79" s="211">
        <f t="shared" si="5"/>
        <v>39192.569112377816</v>
      </c>
      <c r="F79" s="1121"/>
      <c r="G79" s="1121"/>
      <c r="I79" s="7"/>
    </row>
    <row r="80" spans="2:9" ht="12.75" customHeight="1">
      <c r="B80" s="2" t="str">
        <f t="shared" si="4"/>
        <v>Series D Tranche I</v>
      </c>
      <c r="D80" s="211">
        <f t="shared" si="5"/>
        <v>43484.986314712703</v>
      </c>
      <c r="F80" s="1121"/>
      <c r="G80" s="1121"/>
      <c r="I80" s="7"/>
    </row>
    <row r="81" spans="2:9" ht="12.75" customHeight="1">
      <c r="B81" s="2" t="str">
        <f t="shared" si="4"/>
        <v>Series D Tranche II</v>
      </c>
      <c r="D81" s="211">
        <f t="shared" si="5"/>
        <v>30446.750829429147</v>
      </c>
      <c r="F81" s="1121"/>
      <c r="G81" s="1121"/>
      <c r="I81" s="7"/>
    </row>
    <row r="82" spans="2:9" ht="12.75" customHeight="1">
      <c r="B82" s="2" t="str">
        <f t="shared" si="4"/>
        <v>Series E</v>
      </c>
      <c r="D82" s="211">
        <f t="shared" si="5"/>
        <v>83233.951463144171</v>
      </c>
      <c r="F82" s="1121"/>
      <c r="G82" s="1121"/>
      <c r="I82" s="7"/>
    </row>
    <row r="83" spans="2:9" ht="12.75" customHeight="1">
      <c r="B83" s="2" t="str">
        <f t="shared" si="4"/>
        <v>Options at $1.00 Strike Price</v>
      </c>
      <c r="D83" s="211">
        <f>IF(D57&gt;0,(D$45+D$70)*(D57/D$68)-(D57*$I83),0)</f>
        <v>30078.199824885727</v>
      </c>
      <c r="F83" s="1121"/>
      <c r="G83" s="1121"/>
      <c r="I83" s="1114">
        <f t="shared" ref="I83:I88" si="6">H57</f>
        <v>1</v>
      </c>
    </row>
    <row r="84" spans="2:9" ht="12.75" customHeight="1">
      <c r="B84" s="2" t="str">
        <f t="shared" si="4"/>
        <v>Options at $3.50 Strike Price</v>
      </c>
      <c r="D84" s="211">
        <f t="shared" ref="D84:D90" si="7">IF(D58&gt;0,(D$45+D$70)*(D58/D$68)-(D58*$I84),0)</f>
        <v>12416.353021830808</v>
      </c>
      <c r="F84" s="1121"/>
      <c r="G84" s="1121"/>
      <c r="I84" s="1113">
        <f t="shared" si="6"/>
        <v>3.5</v>
      </c>
    </row>
    <row r="85" spans="2:9" ht="12.75" customHeight="1">
      <c r="B85" s="2" t="str">
        <f t="shared" si="4"/>
        <v>Options at $3.70 Strike Price</v>
      </c>
      <c r="D85" s="211">
        <f t="shared" si="7"/>
        <v>15297.72090963291</v>
      </c>
      <c r="F85" s="1121"/>
      <c r="G85" s="1121"/>
      <c r="I85" s="1113">
        <f t="shared" si="6"/>
        <v>3.7</v>
      </c>
    </row>
    <row r="86" spans="2:9" ht="12.75" customHeight="1">
      <c r="B86" s="2" t="str">
        <f t="shared" si="4"/>
        <v>Options at $4.00 Strike Price</v>
      </c>
      <c r="D86" s="211">
        <f t="shared" si="7"/>
        <v>870.35907450849641</v>
      </c>
      <c r="F86" s="1121"/>
      <c r="G86" s="1121"/>
      <c r="I86" s="1113">
        <f t="shared" si="6"/>
        <v>4</v>
      </c>
    </row>
    <row r="87" spans="2:9" ht="12.75" customHeight="1">
      <c r="B87" s="2" t="str">
        <f t="shared" si="4"/>
        <v>Options at $6.00 Strike Price</v>
      </c>
      <c r="D87" s="211">
        <f t="shared" si="7"/>
        <v>782.52757983053198</v>
      </c>
      <c r="F87" s="1121"/>
      <c r="G87" s="1121"/>
      <c r="I87" s="1113">
        <f t="shared" si="6"/>
        <v>6</v>
      </c>
    </row>
    <row r="88" spans="2:9" ht="12.75" customHeight="1">
      <c r="B88" s="2" t="str">
        <f t="shared" si="4"/>
        <v>Options at $7.00 Strike Price</v>
      </c>
      <c r="D88" s="211">
        <f t="shared" si="7"/>
        <v>25845.227795124178</v>
      </c>
      <c r="F88" s="1121"/>
      <c r="G88" s="1121"/>
      <c r="I88" s="1113">
        <f t="shared" si="6"/>
        <v>7</v>
      </c>
    </row>
    <row r="89" spans="2:9" ht="12.75" customHeight="1">
      <c r="B89" s="2" t="str">
        <f t="shared" ref="B89:B90" si="8">+B63</f>
        <v>Options at $10.00 Strike Price</v>
      </c>
      <c r="D89" s="211">
        <f t="shared" si="7"/>
        <v>643.37010644070938</v>
      </c>
      <c r="F89" s="1121"/>
      <c r="G89" s="1121"/>
      <c r="I89" s="1113">
        <f t="shared" ref="I89:I90" si="9">H63</f>
        <v>10</v>
      </c>
    </row>
    <row r="90" spans="2:9" ht="12.75" customHeight="1">
      <c r="B90" s="2" t="str">
        <f t="shared" si="8"/>
        <v>Options at $11.00 Strike Price</v>
      </c>
      <c r="D90" s="211">
        <f t="shared" si="7"/>
        <v>32.60220638644256</v>
      </c>
      <c r="F90" s="1121"/>
      <c r="G90" s="1121"/>
      <c r="I90" s="1113">
        <f t="shared" si="9"/>
        <v>11</v>
      </c>
    </row>
    <row r="91" spans="2:9" ht="12.75" customHeight="1">
      <c r="B91" s="2" t="str">
        <f t="shared" ref="B91:B92" si="10">+B65</f>
        <v>Executive Option Grants Made</v>
      </c>
      <c r="D91" s="211">
        <f>IF(D65&gt;0,(D$45+D$70)*(D65/D$68)-(D65*$I$91),0)</f>
        <v>4529.846277237817</v>
      </c>
      <c r="F91" s="1121"/>
      <c r="G91" s="1121"/>
      <c r="I91" s="1115">
        <f t="shared" ref="I91" si="11">H65</f>
        <v>7.28</v>
      </c>
    </row>
    <row r="92" spans="2:9" ht="12.75" customHeight="1">
      <c r="B92" s="2" t="str">
        <f t="shared" si="10"/>
        <v>Common Stock</v>
      </c>
      <c r="D92" s="211">
        <f>IF(D66&gt;0,(D$45+D$70)*(D66/D$68),0)</f>
        <v>122450.03742086118</v>
      </c>
      <c r="F92" s="1121"/>
      <c r="G92" s="1121"/>
    </row>
    <row r="93" spans="2:9" ht="8.1" customHeight="1">
      <c r="B93" s="5"/>
      <c r="C93" s="5"/>
      <c r="D93" s="5"/>
    </row>
    <row r="94" spans="2:9" ht="12.75" customHeight="1">
      <c r="B94" s="1" t="str">
        <f>B68</f>
        <v>Total</v>
      </c>
      <c r="D94" s="36">
        <f>SUM(D74:D92)</f>
        <v>1000000</v>
      </c>
    </row>
    <row r="95" spans="2:9" ht="8.1" customHeight="1">
      <c r="B95" s="37"/>
      <c r="D95" s="332" t="str">
        <f>IF(ABS(D94-D30)&lt;0.1,"","Check")</f>
        <v/>
      </c>
      <c r="F95" s="789" t="str">
        <f>IF(COUNTIF($D$95:$D$95,$F$96)&gt;0,$F$96,"")</f>
        <v/>
      </c>
      <c r="G95" s="1184"/>
    </row>
    <row r="96" spans="2:9" ht="12.75" customHeight="1">
      <c r="B96" s="74" t="s">
        <v>241</v>
      </c>
      <c r="C96" s="94"/>
      <c r="D96" s="145"/>
      <c r="F96" s="310" t="s">
        <v>40</v>
      </c>
    </row>
    <row r="97" spans="2:7 16376:16376" ht="8.1" customHeight="1"/>
    <row r="98" spans="2:7 16376:16376" ht="12.75" customHeight="1">
      <c r="B98" s="310" t="s">
        <v>242</v>
      </c>
      <c r="D98" s="311">
        <f>D92</f>
        <v>122450.03742086118</v>
      </c>
    </row>
    <row r="99" spans="2:7 16376:16376" ht="12.75" customHeight="1">
      <c r="B99" s="310" t="s">
        <v>151</v>
      </c>
      <c r="D99" s="311">
        <f>D66</f>
        <v>7451.1540000000005</v>
      </c>
    </row>
    <row r="100" spans="2:7 16376:16376" ht="8.1" customHeight="1">
      <c r="B100" s="5"/>
      <c r="C100" s="5"/>
      <c r="D100" s="5"/>
    </row>
    <row r="101" spans="2:7 16376:16376" ht="12.75" customHeight="1">
      <c r="B101" s="1" t="s">
        <v>243</v>
      </c>
      <c r="C101" s="1"/>
      <c r="D101" s="148">
        <f>IFERROR(D98/D99,0)</f>
        <v>16.433701064407092</v>
      </c>
    </row>
    <row r="102" spans="2:7 16376:16376" ht="8.1" customHeight="1"/>
    <row r="103" spans="2:7 16376:16376" ht="12.75" customHeight="1">
      <c r="B103" s="72" t="s">
        <v>1067</v>
      </c>
      <c r="C103" s="338">
        <f>'WACC IPO'!$J$15</f>
        <v>0.22</v>
      </c>
      <c r="D103" s="42">
        <f>1/(1+$C103)^D12</f>
        <v>0.96678668146440783</v>
      </c>
    </row>
    <row r="104" spans="2:7 16376:16376" ht="8.1" customHeight="1">
      <c r="B104" s="5"/>
      <c r="C104" s="5"/>
      <c r="D104" s="5"/>
    </row>
    <row r="105" spans="2:7 16376:16376" ht="12.75" customHeight="1">
      <c r="B105" s="1" t="s">
        <v>244</v>
      </c>
      <c r="D105" s="148">
        <f>D101*D103</f>
        <v>15.887883316236239</v>
      </c>
    </row>
    <row r="106" spans="2:7 16376:16376" ht="8.1" customHeight="1"/>
    <row r="107" spans="2:7 16376:16376" ht="12.75" customHeight="1">
      <c r="B107" s="74" t="s">
        <v>245</v>
      </c>
      <c r="C107" s="94"/>
      <c r="D107" s="145"/>
    </row>
    <row r="108" spans="2:7 16376:16376" ht="8.1" customHeight="1"/>
    <row r="109" spans="2:7 16376:16376" ht="12.75" customHeight="1">
      <c r="B109" s="1" t="s">
        <v>248</v>
      </c>
    </row>
    <row r="110" spans="2:7 16376:16376" ht="12.75" customHeight="1">
      <c r="B110" s="2" t="s">
        <v>249</v>
      </c>
      <c r="D110" s="211">
        <f>MIN(SUM(D74:D82),SUM($F$33:$F$41))</f>
        <v>225365.16889832256</v>
      </c>
      <c r="G110" s="1121">
        <f>D110+D117</f>
        <v>787053.75578326127</v>
      </c>
      <c r="XEV110" s="146"/>
    </row>
    <row r="111" spans="2:7 16376:16376" ht="8.1" customHeight="1"/>
    <row r="112" spans="2:7 16376:16376" ht="12.75" customHeight="1">
      <c r="B112" s="137" t="s">
        <v>87</v>
      </c>
      <c r="C112" s="338">
        <f>'WACC IPO'!$J$11</f>
        <v>0.125</v>
      </c>
      <c r="D112" s="42">
        <f>1/(1+$C112)^D$12</f>
        <v>0.98019183017244194</v>
      </c>
    </row>
    <row r="113" spans="2:4" ht="8.1" customHeight="1"/>
    <row r="114" spans="2:4" ht="12.75" customHeight="1">
      <c r="B114" s="2" t="s">
        <v>88</v>
      </c>
      <c r="D114" s="311">
        <f>D110*D112</f>
        <v>220901.09735956829</v>
      </c>
    </row>
    <row r="115" spans="2:4" ht="8.1" customHeight="1"/>
    <row r="116" spans="2:4" ht="12.75" customHeight="1">
      <c r="B116" s="1" t="s">
        <v>250</v>
      </c>
    </row>
    <row r="117" spans="2:4" ht="12.75" customHeight="1">
      <c r="B117" s="2" t="s">
        <v>249</v>
      </c>
      <c r="D117" s="211">
        <f>MAX(SUM(D74:D82)-D110,0)</f>
        <v>561688.58688493865</v>
      </c>
    </row>
    <row r="118" spans="2:4" ht="8.1" customHeight="1"/>
    <row r="119" spans="2:4" ht="12.75" customHeight="1">
      <c r="B119" s="135" t="s">
        <v>87</v>
      </c>
      <c r="C119" s="338">
        <f>'WACC IPO'!$J$13</f>
        <v>0.22</v>
      </c>
      <c r="D119" s="42">
        <f>1/(1+$C119)^D$12</f>
        <v>0.96678668146440783</v>
      </c>
    </row>
    <row r="120" spans="2:4" ht="8.1" customHeight="1"/>
    <row r="121" spans="2:4" ht="12.75" customHeight="1">
      <c r="B121" s="2" t="s">
        <v>88</v>
      </c>
      <c r="D121" s="311">
        <f>D117*D119</f>
        <v>543033.04493092257</v>
      </c>
    </row>
    <row r="122" spans="2:4" ht="8.1" customHeight="1"/>
    <row r="123" spans="2:4" ht="12.75" customHeight="1">
      <c r="B123" s="74" t="s">
        <v>1554</v>
      </c>
      <c r="C123" s="94"/>
      <c r="D123" s="145"/>
    </row>
    <row r="124" spans="2:4" ht="8.1" customHeight="1"/>
    <row r="125" spans="2:4" ht="12.75" customHeight="1">
      <c r="B125" s="1" t="s">
        <v>251</v>
      </c>
    </row>
    <row r="126" spans="2:4" ht="12.75" customHeight="1">
      <c r="B126" s="2" t="s">
        <v>249</v>
      </c>
      <c r="D126" s="211">
        <f>MIN(D82,F41)</f>
        <v>68596.067913800522</v>
      </c>
    </row>
    <row r="127" spans="2:4" ht="8.1" customHeight="1"/>
    <row r="128" spans="2:4" ht="12.75" customHeight="1">
      <c r="B128" s="137" t="s">
        <v>87</v>
      </c>
      <c r="C128" s="272">
        <f>C112</f>
        <v>0.125</v>
      </c>
      <c r="D128" s="42">
        <f>+D112</f>
        <v>0.98019183017244194</v>
      </c>
    </row>
    <row r="129" spans="2:4" ht="8.1" customHeight="1">
      <c r="B129" s="2"/>
    </row>
    <row r="130" spans="2:4" ht="12.75" customHeight="1">
      <c r="B130" s="2" t="s">
        <v>88</v>
      </c>
      <c r="D130" s="311">
        <f>D126*D128</f>
        <v>67237.305351061252</v>
      </c>
    </row>
    <row r="131" spans="2:4" ht="8.1" customHeight="1"/>
    <row r="132" spans="2:4" ht="12.75" customHeight="1">
      <c r="B132" s="1" t="s">
        <v>252</v>
      </c>
    </row>
    <row r="133" spans="2:4" ht="12.75" customHeight="1">
      <c r="B133" s="2" t="s">
        <v>249</v>
      </c>
      <c r="D133" s="211">
        <f>MAX(D82-D126,0)</f>
        <v>14637.883549343649</v>
      </c>
    </row>
    <row r="134" spans="2:4" ht="8.1" customHeight="1"/>
    <row r="135" spans="2:4" ht="12.75" customHeight="1">
      <c r="B135" s="137" t="s">
        <v>87</v>
      </c>
      <c r="C135" s="272">
        <f>C119</f>
        <v>0.22</v>
      </c>
      <c r="D135" s="42">
        <f>+D119</f>
        <v>0.96678668146440783</v>
      </c>
    </row>
    <row r="136" spans="2:4" ht="8.1" customHeight="1"/>
    <row r="137" spans="2:4" ht="12.75" customHeight="1">
      <c r="B137" s="2" t="s">
        <v>88</v>
      </c>
      <c r="D137" s="311">
        <f>D133*D135</f>
        <v>14151.710860332394</v>
      </c>
    </row>
    <row r="138" spans="2:4" ht="8.1" customHeight="1"/>
    <row r="139" spans="2:4" ht="12.75" customHeight="1">
      <c r="B139" s="74" t="s">
        <v>2561</v>
      </c>
      <c r="C139" s="94"/>
      <c r="D139" s="145"/>
    </row>
    <row r="140" spans="2:4" ht="8.1" customHeight="1"/>
    <row r="141" spans="2:4" ht="12.75" customHeight="1">
      <c r="B141" s="1" t="s">
        <v>251</v>
      </c>
    </row>
    <row r="142" spans="2:4" ht="12.75" customHeight="1">
      <c r="B142" s="2" t="s">
        <v>249</v>
      </c>
      <c r="D142" s="211">
        <f>MIN(SUM(D81),SUM(F40))</f>
        <v>20970.713476785768</v>
      </c>
    </row>
    <row r="143" spans="2:4" ht="8.1" customHeight="1"/>
    <row r="144" spans="2:4" ht="12.75" customHeight="1">
      <c r="B144" s="137" t="s">
        <v>87</v>
      </c>
      <c r="C144" s="272">
        <f>C128</f>
        <v>0.125</v>
      </c>
      <c r="D144" s="42">
        <f>+D128</f>
        <v>0.98019183017244194</v>
      </c>
    </row>
    <row r="145" spans="2:5" ht="8.1" customHeight="1">
      <c r="B145" s="2"/>
    </row>
    <row r="146" spans="2:5" ht="12.75" customHeight="1">
      <c r="B146" s="2" t="s">
        <v>88</v>
      </c>
      <c r="D146" s="311">
        <f>D142*D144</f>
        <v>20555.322022832534</v>
      </c>
    </row>
    <row r="147" spans="2:5" ht="8.1" customHeight="1"/>
    <row r="148" spans="2:5" ht="12.75" customHeight="1">
      <c r="B148" s="1" t="s">
        <v>252</v>
      </c>
    </row>
    <row r="149" spans="2:5" ht="12.75" customHeight="1">
      <c r="B149" s="2" t="s">
        <v>249</v>
      </c>
      <c r="D149" s="211">
        <f>MAX(SUM(D81)-D142,0)</f>
        <v>9476.0373526433796</v>
      </c>
    </row>
    <row r="150" spans="2:5" ht="8.1" customHeight="1"/>
    <row r="151" spans="2:5" ht="12.75" customHeight="1">
      <c r="B151" s="137" t="s">
        <v>87</v>
      </c>
      <c r="C151" s="272">
        <f>C135</f>
        <v>0.22</v>
      </c>
      <c r="D151" s="42">
        <f>+D135</f>
        <v>0.96678668146440783</v>
      </c>
    </row>
    <row r="152" spans="2:5" ht="8.1" customHeight="1"/>
    <row r="153" spans="2:5" ht="12.75" customHeight="1">
      <c r="B153" s="2" t="s">
        <v>88</v>
      </c>
      <c r="D153" s="311">
        <f>D149*D151</f>
        <v>9161.306705594865</v>
      </c>
    </row>
    <row r="154" spans="2:5" ht="8.1" customHeight="1"/>
    <row r="155" spans="2:5" ht="12.75" customHeight="1">
      <c r="B155" s="74" t="s">
        <v>168</v>
      </c>
      <c r="C155" s="94"/>
      <c r="D155" s="145"/>
      <c r="E155" s="151"/>
    </row>
    <row r="156" spans="2:5" ht="8.1" customHeight="1">
      <c r="E156" s="72"/>
    </row>
    <row r="157" spans="2:5" ht="12.75" customHeight="1">
      <c r="B157" s="2" t="s">
        <v>249</v>
      </c>
      <c r="D157" s="211">
        <f>D26</f>
        <v>1000000</v>
      </c>
    </row>
    <row r="158" spans="2:5" ht="8.1" customHeight="1"/>
    <row r="159" spans="2:5" ht="12.75" customHeight="1">
      <c r="B159" s="137" t="s">
        <v>87</v>
      </c>
      <c r="C159" s="338">
        <f>'WACC IPO'!$J$23</f>
        <v>0.19500000000000001</v>
      </c>
      <c r="D159" s="42">
        <f>1/(1+$C159)^D$12</f>
        <v>0.97019281593122986</v>
      </c>
    </row>
    <row r="160" spans="2:5" ht="8.1" customHeight="1"/>
    <row r="161" spans="1:4" ht="12.75" customHeight="1">
      <c r="B161" s="2" t="s">
        <v>88</v>
      </c>
      <c r="D161" s="311">
        <f>D157*D159</f>
        <v>970192.81593122985</v>
      </c>
    </row>
    <row r="162" spans="1:4" ht="8.1" customHeight="1"/>
    <row r="163" spans="1:4" ht="12.75" customHeight="1">
      <c r="A163" s="72"/>
      <c r="B163" s="698" t="s">
        <v>16</v>
      </c>
    </row>
    <row r="164" spans="1:4" ht="12.75" customHeight="1">
      <c r="A164" s="587" t="s">
        <v>128</v>
      </c>
      <c r="B164" s="799" t="str">
        <f>"Refer to "&amp;'WACC IPO'!B3&amp;" for details regarding discount rate."</f>
        <v>Refer to Exhibit D.1 for details regarding discount rate.</v>
      </c>
    </row>
    <row r="166" spans="1:4">
      <c r="B166" s="1" t="s">
        <v>570</v>
      </c>
    </row>
    <row r="167" spans="1:4">
      <c r="B167" s="310" t="s">
        <v>571</v>
      </c>
      <c r="D167" s="312">
        <f>SUM(D83:D91)</f>
        <v>90496.206795877602</v>
      </c>
    </row>
    <row r="168" spans="1:4">
      <c r="B168" s="310" t="s">
        <v>572</v>
      </c>
      <c r="D168" s="312">
        <f>D167*D103*(1-'Hybrid OPM'!F13)</f>
        <v>70867.327237175676</v>
      </c>
    </row>
    <row r="169" spans="1:4">
      <c r="B169" s="310" t="s">
        <v>573</v>
      </c>
      <c r="D169" s="312">
        <f>D168/D105</f>
        <v>4460.4637273962426</v>
      </c>
    </row>
    <row r="172" spans="1:4">
      <c r="B172" s="310" t="s">
        <v>300</v>
      </c>
    </row>
    <row r="173" spans="1:4">
      <c r="B173" s="310" t="s">
        <v>2912</v>
      </c>
      <c r="D173" s="312">
        <f>MIN(SUM(D74:D75),SUM(F33:F34))</f>
        <v>25316.421568655816</v>
      </c>
    </row>
    <row r="174" spans="1:4">
      <c r="B174" s="310" t="s">
        <v>2913</v>
      </c>
      <c r="D174" s="312">
        <f>D$144*D173</f>
        <v>24814.949590797827</v>
      </c>
    </row>
    <row r="176" spans="1:4">
      <c r="B176" s="310" t="s">
        <v>2914</v>
      </c>
      <c r="D176" s="312">
        <f>MAX(SUM(D74:D75)-D173,0)</f>
        <v>408802.93069875619</v>
      </c>
    </row>
    <row r="177" spans="2:4">
      <c r="B177" s="310" t="s">
        <v>2913</v>
      </c>
      <c r="D177" s="312">
        <f>D$151*D176</f>
        <v>395225.22874317481</v>
      </c>
    </row>
    <row r="179" spans="2:4">
      <c r="B179" s="310" t="s">
        <v>307</v>
      </c>
    </row>
    <row r="180" spans="2:4">
      <c r="B180" s="310" t="s">
        <v>2912</v>
      </c>
      <c r="D180" s="312">
        <f>MIN(D$76,F$35)</f>
        <v>14423.476965162601</v>
      </c>
    </row>
    <row r="181" spans="2:4">
      <c r="B181" s="310" t="s">
        <v>2913</v>
      </c>
      <c r="D181" s="312">
        <f>D$144*D180</f>
        <v>14137.774283932789</v>
      </c>
    </row>
    <row r="182" spans="2:4">
      <c r="D182" s="312"/>
    </row>
    <row r="183" spans="2:4">
      <c r="B183" s="310" t="s">
        <v>2914</v>
      </c>
      <c r="D183" s="312">
        <f>MAX(D$76-D180,0)</f>
        <v>44268.303159890696</v>
      </c>
    </row>
    <row r="184" spans="2:4">
      <c r="B184" s="310" t="s">
        <v>2913</v>
      </c>
      <c r="D184" s="312">
        <f>D$151*D183</f>
        <v>42798.005906011087</v>
      </c>
    </row>
    <row r="186" spans="2:4">
      <c r="B186" s="310" t="s">
        <v>308</v>
      </c>
    </row>
    <row r="187" spans="2:4">
      <c r="B187" s="310" t="s">
        <v>2912</v>
      </c>
      <c r="D187" s="312">
        <f>MIN(D$77,F$36)</f>
        <v>14100.139740273529</v>
      </c>
    </row>
    <row r="188" spans="2:4">
      <c r="B188" s="310" t="s">
        <v>2913</v>
      </c>
      <c r="D188" s="312">
        <f>D$144*D187</f>
        <v>13820.841777705891</v>
      </c>
    </row>
    <row r="189" spans="2:4">
      <c r="D189" s="312"/>
    </row>
    <row r="190" spans="2:4">
      <c r="B190" s="310" t="s">
        <v>2914</v>
      </c>
      <c r="D190" s="312">
        <f>MAX(D$77-D187,0)</f>
        <v>44591.656818480827</v>
      </c>
    </row>
    <row r="191" spans="2:4">
      <c r="B191" s="310" t="s">
        <v>2913</v>
      </c>
      <c r="D191" s="312">
        <f>D$151*D190</f>
        <v>43110.61991653881</v>
      </c>
    </row>
    <row r="193" spans="2:4">
      <c r="B193" s="310" t="s">
        <v>311</v>
      </c>
    </row>
    <row r="194" spans="2:4">
      <c r="B194" s="310" t="s">
        <v>2912</v>
      </c>
      <c r="D194" s="312">
        <f>MIN(D$78,F$37)</f>
        <v>26337.685565775897</v>
      </c>
    </row>
    <row r="195" spans="2:4">
      <c r="B195" s="310" t="s">
        <v>2913</v>
      </c>
      <c r="D195" s="312">
        <f>D$144*D194</f>
        <v>25815.984217224184</v>
      </c>
    </row>
    <row r="196" spans="2:4">
      <c r="D196" s="312"/>
    </row>
    <row r="197" spans="2:4">
      <c r="B197" s="310" t="s">
        <v>2914</v>
      </c>
      <c r="D197" s="312">
        <f>MAX(D$78-D194,0)</f>
        <v>12854.883546601919</v>
      </c>
    </row>
    <row r="198" spans="2:4">
      <c r="B198" s="310" t="s">
        <v>2913</v>
      </c>
      <c r="D198" s="312">
        <f>D$151*D197</f>
        <v>12427.930204630688</v>
      </c>
    </row>
    <row r="200" spans="2:4">
      <c r="B200" s="310" t="s">
        <v>312</v>
      </c>
    </row>
    <row r="201" spans="2:4">
      <c r="B201" s="310" t="s">
        <v>2912</v>
      </c>
      <c r="D201" s="312">
        <f>MIN(D$79,F$38)</f>
        <v>25433.781532695997</v>
      </c>
    </row>
    <row r="202" spans="2:4">
      <c r="B202" s="310" t="s">
        <v>2913</v>
      </c>
      <c r="D202" s="312">
        <f>D$144*D201</f>
        <v>24929.984868739346</v>
      </c>
    </row>
    <row r="203" spans="2:4">
      <c r="D203" s="312"/>
    </row>
    <row r="204" spans="2:4">
      <c r="B204" s="310" t="s">
        <v>2914</v>
      </c>
      <c r="D204" s="312">
        <f>MAX(D$79-D201,0)</f>
        <v>13758.787579681819</v>
      </c>
    </row>
    <row r="205" spans="2:4">
      <c r="B205" s="310" t="s">
        <v>2913</v>
      </c>
      <c r="D205" s="312">
        <f>D$151*D204</f>
        <v>13301.812585134297</v>
      </c>
    </row>
    <row r="207" spans="2:4">
      <c r="B207" s="310" t="s">
        <v>319</v>
      </c>
    </row>
    <row r="208" spans="2:4">
      <c r="B208" s="310" t="s">
        <v>2912</v>
      </c>
      <c r="D208" s="312">
        <f>MIN(D$80,F$39)</f>
        <v>30186.882135172444</v>
      </c>
    </row>
    <row r="209" spans="2:4">
      <c r="B209" s="310" t="s">
        <v>2913</v>
      </c>
      <c r="D209" s="312">
        <f>D$144*D208</f>
        <v>29588.935247274469</v>
      </c>
    </row>
    <row r="210" spans="2:4">
      <c r="D210" s="312"/>
    </row>
    <row r="211" spans="2:4">
      <c r="B211" s="310" t="s">
        <v>2914</v>
      </c>
      <c r="D211" s="312">
        <f>MAX(D$80-D208,0)</f>
        <v>13298.10417954026</v>
      </c>
    </row>
    <row r="212" spans="2:4">
      <c r="B212" s="310" t="s">
        <v>2913</v>
      </c>
      <c r="D212" s="312">
        <f>D$151*D211</f>
        <v>12856.430009505699</v>
      </c>
    </row>
  </sheetData>
  <conditionalFormatting sqref="B4:C4">
    <cfRule type="cellIs" dxfId="221" priority="28" stopIfTrue="1" operator="equal">
      <formula>"input"</formula>
    </cfRule>
  </conditionalFormatting>
  <conditionalFormatting sqref="D4">
    <cfRule type="cellIs" dxfId="220" priority="22" stopIfTrue="1" operator="equal">
      <formula>"input"</formula>
    </cfRule>
  </conditionalFormatting>
  <conditionalFormatting sqref="D4">
    <cfRule type="cellIs" dxfId="219" priority="23" stopIfTrue="1" operator="equal">
      <formula>"input"</formula>
    </cfRule>
  </conditionalFormatting>
  <pageMargins left="0.5" right="0.5" top="0.5" bottom="0.5" header="0.5" footer="0.5"/>
  <pageSetup fitToWidth="0" fitToHeight="0" orientation="landscape" r:id="rId1"/>
  <rowBreaks count="4" manualBreakCount="4">
    <brk id="45" max="4" man="1"/>
    <brk id="68" max="13" man="1"/>
    <brk id="105" max="4" man="1"/>
    <brk id="137" max="4" man="1"/>
  </rowBreaks>
  <legacyDrawingHF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W176"/>
  <sheetViews>
    <sheetView showGridLines="0" view="pageBreakPreview" zoomScale="85" zoomScaleNormal="85" zoomScaleSheetLayoutView="85" workbookViewId="0">
      <selection activeCell="I9" sqref="I9"/>
    </sheetView>
  </sheetViews>
  <sheetFormatPr defaultColWidth="9.33203125" defaultRowHeight="12.75" outlineLevelRow="1"/>
  <cols>
    <col min="1" max="1" width="4.5" style="310" customWidth="1"/>
    <col min="2" max="2" width="52.6640625" style="310" customWidth="1"/>
    <col min="3" max="3" width="2.83203125" style="310" customWidth="1"/>
    <col min="4" max="10" width="15.1640625" style="310" customWidth="1"/>
    <col min="11" max="18" width="13.1640625" style="310" customWidth="1"/>
    <col min="19" max="19" width="4.5" style="310" customWidth="1"/>
    <col min="20" max="20" width="12.33203125" style="310" customWidth="1"/>
    <col min="21" max="21" width="12.5" style="144" customWidth="1"/>
    <col min="22" max="22" width="12.83203125" style="310" customWidth="1"/>
    <col min="23" max="23" width="12.33203125" style="310" bestFit="1" customWidth="1"/>
    <col min="24" max="16384" width="9.33203125" style="310"/>
  </cols>
  <sheetData>
    <row r="1" spans="2:23" ht="10.7" customHeight="1" thickBot="1"/>
    <row r="2" spans="2:23" ht="16.5" customHeight="1" thickTop="1">
      <c r="B2" s="10" t="str">
        <f>'MASTER PubCo Inputs'!$C$5</f>
        <v>Hua Medicine</v>
      </c>
      <c r="C2" s="10"/>
      <c r="D2" s="10"/>
      <c r="E2" s="10"/>
      <c r="F2" s="10"/>
      <c r="G2" s="10"/>
      <c r="H2" s="10"/>
      <c r="I2" s="10"/>
      <c r="J2" s="10"/>
      <c r="K2" s="10"/>
      <c r="L2" s="10"/>
      <c r="M2" s="10"/>
      <c r="N2" s="10"/>
      <c r="O2" s="10"/>
      <c r="P2" s="10"/>
      <c r="Q2" s="10"/>
      <c r="R2" s="10"/>
    </row>
    <row r="3" spans="2:23" ht="15.75" customHeight="1">
      <c r="B3" s="11" t="str">
        <f>VLOOKUP(B4,Outline!$E$8:$G$81,COLUMNS(Outline!$E$8:$G$8),FALSE)</f>
        <v>Exhibit B.3</v>
      </c>
      <c r="C3" s="11"/>
      <c r="D3" s="11"/>
      <c r="E3" s="11"/>
      <c r="F3" s="11"/>
      <c r="G3" s="11"/>
      <c r="H3" s="11"/>
      <c r="I3" s="11"/>
      <c r="J3" s="11"/>
      <c r="K3" s="11"/>
      <c r="L3" s="11"/>
      <c r="M3" s="11"/>
      <c r="N3" s="11"/>
      <c r="O3" s="11"/>
      <c r="P3" s="11"/>
      <c r="Q3" s="11"/>
      <c r="R3" s="11"/>
    </row>
    <row r="4" spans="2:23" ht="16.5" customHeight="1" thickBot="1">
      <c r="B4" s="12" t="s">
        <v>1557</v>
      </c>
      <c r="C4" s="12"/>
      <c r="D4" s="12"/>
      <c r="E4" s="12"/>
      <c r="F4" s="12"/>
      <c r="G4" s="12"/>
      <c r="H4" s="12"/>
      <c r="I4" s="12"/>
      <c r="J4" s="13" t="str">
        <f>+'MASTER PubCo Inputs'!$C$20</f>
        <v>(in thousands of USD and shares, except price per share)</v>
      </c>
      <c r="K4" s="13"/>
      <c r="L4" s="13"/>
      <c r="M4" s="13"/>
      <c r="N4" s="13"/>
      <c r="O4" s="13"/>
      <c r="P4" s="13"/>
      <c r="Q4" s="13"/>
      <c r="R4" s="13" t="str">
        <f>+'MASTER PubCo Inputs'!$C$20</f>
        <v>(in thousands of USD and shares, except price per share)</v>
      </c>
      <c r="V4" s="2439" t="s">
        <v>3298</v>
      </c>
    </row>
    <row r="5" spans="2:23" s="16" customFormat="1" ht="12.75" customHeight="1" thickTop="1">
      <c r="B5" s="310"/>
      <c r="C5" s="310"/>
      <c r="D5" s="310"/>
      <c r="E5" s="310"/>
      <c r="F5" s="310"/>
      <c r="G5" s="310"/>
      <c r="H5" s="310"/>
      <c r="I5" s="310"/>
      <c r="J5" s="310"/>
      <c r="K5" s="310"/>
      <c r="L5" s="310"/>
      <c r="M5" s="310"/>
      <c r="N5" s="310"/>
      <c r="O5" s="310"/>
      <c r="P5" s="310"/>
      <c r="Q5" s="310"/>
      <c r="R5" s="310"/>
      <c r="S5" s="310"/>
      <c r="T5" s="310"/>
      <c r="U5" s="254"/>
      <c r="V5" s="144" t="s">
        <v>3299</v>
      </c>
      <c r="W5" s="642">
        <v>262838.25243603828</v>
      </c>
    </row>
    <row r="6" spans="2:23" s="16" customFormat="1" ht="12.75" customHeight="1">
      <c r="B6" s="310"/>
      <c r="C6" s="310"/>
      <c r="D6" s="310"/>
      <c r="E6" s="310"/>
      <c r="F6" s="310"/>
      <c r="G6" s="310"/>
      <c r="H6" s="310"/>
      <c r="I6" s="310"/>
      <c r="J6" s="310"/>
      <c r="K6" s="310"/>
      <c r="L6" s="310"/>
      <c r="M6" s="310"/>
      <c r="N6" s="310"/>
      <c r="O6" s="310"/>
      <c r="P6" s="310"/>
      <c r="Q6" s="310"/>
      <c r="R6" s="310"/>
      <c r="S6" s="310"/>
      <c r="U6" s="254"/>
      <c r="V6" s="140" t="s">
        <v>3300</v>
      </c>
      <c r="W6" s="2440">
        <v>0</v>
      </c>
    </row>
    <row r="7" spans="2:23" ht="12.75" customHeight="1">
      <c r="B7" s="2549" t="s">
        <v>199</v>
      </c>
      <c r="C7" s="2550"/>
      <c r="D7" s="2550"/>
      <c r="E7" s="2551" t="s">
        <v>4</v>
      </c>
      <c r="F7" s="2550"/>
      <c r="G7" s="2550"/>
      <c r="H7" s="2550"/>
      <c r="I7" s="2550"/>
      <c r="J7" s="2150"/>
      <c r="K7" s="2550"/>
      <c r="L7" s="2551" t="s">
        <v>4</v>
      </c>
      <c r="M7" s="2550"/>
      <c r="N7" s="2550"/>
      <c r="O7" s="2550"/>
      <c r="P7" s="2550"/>
      <c r="Q7" s="2550"/>
      <c r="R7" s="2150"/>
      <c r="V7" s="144" t="s">
        <v>197</v>
      </c>
      <c r="W7" s="2441">
        <f>MROUND(W5*(1+W6),50)</f>
        <v>262850</v>
      </c>
    </row>
    <row r="8" spans="2:23" s="20" customFormat="1" ht="12.75" customHeight="1">
      <c r="B8" s="46"/>
      <c r="C8" s="46"/>
      <c r="D8" s="46"/>
      <c r="E8" s="46"/>
      <c r="F8" s="46"/>
      <c r="G8" s="46"/>
      <c r="H8" s="46"/>
      <c r="I8" s="46"/>
      <c r="J8" s="46"/>
      <c r="K8" s="46"/>
      <c r="L8" s="46"/>
      <c r="M8" s="46"/>
      <c r="N8" s="46"/>
      <c r="O8" s="46"/>
      <c r="P8" s="46"/>
      <c r="Q8" s="46"/>
      <c r="R8" s="46"/>
      <c r="U8" s="140"/>
    </row>
    <row r="9" spans="2:23" ht="12.75" customHeight="1">
      <c r="B9" s="310" t="s">
        <v>197</v>
      </c>
      <c r="C9" s="131"/>
      <c r="D9" s="642">
        <f>W7</f>
        <v>262850</v>
      </c>
      <c r="E9" s="351" t="s">
        <v>128</v>
      </c>
      <c r="K9" s="642">
        <f>D9</f>
        <v>262850</v>
      </c>
      <c r="L9" s="310" t="str">
        <f>E9</f>
        <v>(1)</v>
      </c>
    </row>
    <row r="10" spans="2:23" ht="12.75" customHeight="1">
      <c r="B10" s="310" t="s">
        <v>198</v>
      </c>
      <c r="D10" s="1426">
        <f>V10-YEARFRAC('Capital IQ Sheet-GPC'!B8,'Capital IQ Sheet-GPC'!B1,3)</f>
        <v>2.2506849315068491</v>
      </c>
      <c r="E10" s="1121" t="s">
        <v>1558</v>
      </c>
      <c r="K10" s="1426">
        <f t="shared" ref="K10:K13" si="0">D10</f>
        <v>2.2506849315068491</v>
      </c>
      <c r="L10" s="310" t="str">
        <f t="shared" ref="L10:L13" si="1">E10</f>
        <v>Based on discussions with Management</v>
      </c>
      <c r="T10" s="310" t="s">
        <v>3314</v>
      </c>
      <c r="V10" s="1426">
        <v>2.5</v>
      </c>
    </row>
    <row r="11" spans="2:23" ht="12.75" customHeight="1">
      <c r="B11" s="20" t="s">
        <v>8</v>
      </c>
      <c r="C11" s="132"/>
      <c r="D11" s="339">
        <f>'Asset Vol OPM Liquidation'!$Q$70</f>
        <v>0.73399999999999999</v>
      </c>
      <c r="E11" s="1121" t="str">
        <f>'Asset Vol OPM Liquidation'!$B$3</f>
        <v>Exhibit H.2</v>
      </c>
      <c r="G11" s="48"/>
      <c r="K11" s="339">
        <f t="shared" si="0"/>
        <v>0.73399999999999999</v>
      </c>
      <c r="L11" s="310" t="str">
        <f t="shared" si="1"/>
        <v>Exhibit H.2</v>
      </c>
    </row>
    <row r="12" spans="2:23" ht="12.75" customHeight="1">
      <c r="B12" s="310" t="s">
        <v>6</v>
      </c>
      <c r="C12" s="132"/>
      <c r="D12" s="341">
        <f>'Risk-Free Rates'!E26</f>
        <v>2.5475753424657535E-2</v>
      </c>
      <c r="E12" s="1121" t="str">
        <f>'Risk-Free Rates'!B3</f>
        <v>Exhibit H.6</v>
      </c>
      <c r="G12" s="48"/>
      <c r="K12" s="341">
        <f t="shared" si="0"/>
        <v>2.5475753424657535E-2</v>
      </c>
      <c r="L12" s="310" t="str">
        <f t="shared" si="1"/>
        <v>Exhibit H.6</v>
      </c>
    </row>
    <row r="13" spans="2:23" ht="12.75" customHeight="1">
      <c r="B13" s="310" t="s">
        <v>7</v>
      </c>
      <c r="D13" s="133">
        <v>0</v>
      </c>
      <c r="E13" s="1121" t="s">
        <v>1558</v>
      </c>
      <c r="G13" s="48"/>
      <c r="K13" s="133">
        <f t="shared" si="0"/>
        <v>0</v>
      </c>
      <c r="L13" s="310" t="str">
        <f t="shared" si="1"/>
        <v>Based on discussions with Management</v>
      </c>
    </row>
    <row r="14" spans="2:23" ht="12.75" customHeight="1">
      <c r="D14" s="697"/>
      <c r="E14" s="72"/>
      <c r="F14" s="72"/>
      <c r="G14" s="48"/>
    </row>
    <row r="15" spans="2:23" ht="12.75" customHeight="1">
      <c r="D15" s="2442">
        <v>1</v>
      </c>
      <c r="E15" s="2443">
        <f t="shared" ref="E15:O15" si="2">D15+1</f>
        <v>2</v>
      </c>
      <c r="F15" s="2443">
        <f t="shared" si="2"/>
        <v>3</v>
      </c>
      <c r="G15" s="2443">
        <f t="shared" si="2"/>
        <v>4</v>
      </c>
      <c r="H15" s="2443">
        <f t="shared" si="2"/>
        <v>5</v>
      </c>
      <c r="I15" s="2443">
        <f t="shared" si="2"/>
        <v>6</v>
      </c>
      <c r="J15" s="2444">
        <f t="shared" si="2"/>
        <v>7</v>
      </c>
      <c r="K15" s="2442">
        <f t="shared" si="2"/>
        <v>8</v>
      </c>
      <c r="L15" s="2443">
        <f t="shared" si="2"/>
        <v>9</v>
      </c>
      <c r="M15" s="2443">
        <f t="shared" si="2"/>
        <v>10</v>
      </c>
      <c r="N15" s="2443">
        <f t="shared" si="2"/>
        <v>11</v>
      </c>
      <c r="O15" s="2443">
        <f t="shared" si="2"/>
        <v>12</v>
      </c>
      <c r="P15" s="2443">
        <f t="shared" ref="P15" si="3">O15+1</f>
        <v>13</v>
      </c>
      <c r="Q15" s="2443">
        <f t="shared" ref="Q15" si="4">P15+1</f>
        <v>14</v>
      </c>
      <c r="R15" s="2444">
        <f t="shared" ref="R15" si="5">Q15+1</f>
        <v>15</v>
      </c>
    </row>
    <row r="16" spans="2:23" s="6" customFormat="1" ht="99.95" customHeight="1">
      <c r="B16" s="134" t="s">
        <v>200</v>
      </c>
      <c r="D16" s="2552" t="str">
        <f t="array" ref="D16:R16">TRANSPOSE('Econ Rights'!O9:O23)</f>
        <v>Series E Receives Liquidation Preference</v>
      </c>
      <c r="E16" s="2553" t="str">
        <v>Series D Receives Liquidation Preference</v>
      </c>
      <c r="F16" s="2553" t="str">
        <v>Series C Receives Liquidation Preference</v>
      </c>
      <c r="G16" s="2553" t="str">
        <v>Series B Receives Liquidation Preference</v>
      </c>
      <c r="H16" s="2553" t="str">
        <v>Series A Receives Liquidation Preference</v>
      </c>
      <c r="I16" s="2553" t="str">
        <v>Common Starts Receiving Value and Preferred Stock Starts Participating</v>
      </c>
      <c r="J16" s="2554" t="str">
        <v>Options at $1.00 Strike Price Exercise</v>
      </c>
      <c r="K16" s="2552" t="str">
        <v>Options at $3.50 Strike Price Exercise</v>
      </c>
      <c r="L16" s="2588" t="str">
        <v>Options at $3.70 Strike Price Exercise</v>
      </c>
      <c r="M16" s="2588" t="str">
        <v>Options at $4.00 Strike Price Exercise</v>
      </c>
      <c r="N16" s="2588" t="str">
        <v>Options at $6.00 Strike Price Exercise</v>
      </c>
      <c r="O16" s="2588" t="str">
        <v>Options at $7.00 Strike Price Exercise</v>
      </c>
      <c r="P16" s="2588" t="str">
        <v>Executive Option Grants Made Exercise at $7.28 Strike Price</v>
      </c>
      <c r="Q16" s="2588" t="str">
        <v>Options at $10.00 Strike Price Exercise</v>
      </c>
      <c r="R16" s="2589" t="str">
        <v>Options at $11.00 Strike Price Exercise</v>
      </c>
      <c r="T16" s="102"/>
      <c r="U16" s="260"/>
    </row>
    <row r="17" spans="2:22" ht="12.75" customHeight="1"/>
    <row r="18" spans="2:22" ht="12.75" customHeight="1">
      <c r="B18" s="1" t="s">
        <v>208</v>
      </c>
      <c r="T18" s="315" t="s">
        <v>1583</v>
      </c>
      <c r="U18" s="315" t="s">
        <v>1548</v>
      </c>
      <c r="V18" s="315" t="s">
        <v>1549</v>
      </c>
    </row>
    <row r="19" spans="2:22" ht="12.75" customHeight="1">
      <c r="B19" s="2" t="str">
        <f>'Cap Table'!$D$7</f>
        <v>Series A-1</v>
      </c>
      <c r="D19" s="1105">
        <v>0</v>
      </c>
      <c r="E19" s="1105">
        <v>0</v>
      </c>
      <c r="F19" s="1105">
        <v>0</v>
      </c>
      <c r="G19" s="1105">
        <v>0</v>
      </c>
      <c r="H19" s="1105">
        <f t="shared" ref="H19:J27" si="6">$V19</f>
        <v>7062.8391427201914</v>
      </c>
      <c r="I19" s="1105">
        <f t="shared" si="6"/>
        <v>7062.8391427201914</v>
      </c>
      <c r="J19" s="1105">
        <f t="shared" si="6"/>
        <v>7062.8391427201914</v>
      </c>
      <c r="K19" s="1105">
        <f t="shared" ref="K19:L27" si="7">$V19</f>
        <v>7062.8391427201914</v>
      </c>
      <c r="L19" s="1105">
        <f t="shared" si="7"/>
        <v>7062.8391427201914</v>
      </c>
      <c r="M19" s="1105">
        <f t="shared" ref="M19:R27" si="8">$V19</f>
        <v>7062.8391427201914</v>
      </c>
      <c r="N19" s="1105">
        <f t="shared" si="8"/>
        <v>7062.8391427201914</v>
      </c>
      <c r="O19" s="1105">
        <f t="shared" si="8"/>
        <v>7062.8391427201914</v>
      </c>
      <c r="P19" s="1105">
        <f t="shared" si="8"/>
        <v>7062.8391427201914</v>
      </c>
      <c r="Q19" s="1105">
        <f t="shared" si="8"/>
        <v>7062.8391427201914</v>
      </c>
      <c r="R19" s="1105">
        <f t="shared" si="8"/>
        <v>7062.8391427201914</v>
      </c>
      <c r="T19" s="596">
        <f t="array" ref="T19:T27">TRANSPOSE('Econ Rights'!C16:K16)</f>
        <v>5499.9989999999998</v>
      </c>
      <c r="U19" s="596">
        <f t="array" ref="U19:U27">TRANSPOSE('Econ Rights'!C30:K30)</f>
        <v>1562.8401427201916</v>
      </c>
      <c r="V19" s="691">
        <f>SUM(T19:U19)</f>
        <v>7062.8391427201914</v>
      </c>
    </row>
    <row r="20" spans="2:22" ht="12.75" customHeight="1">
      <c r="B20" s="2" t="str">
        <f>'Cap Table'!$E$7</f>
        <v>Series A-2</v>
      </c>
      <c r="D20" s="1105">
        <v>0</v>
      </c>
      <c r="E20" s="1105">
        <v>0</v>
      </c>
      <c r="F20" s="1105">
        <v>0</v>
      </c>
      <c r="G20" s="1105">
        <v>0</v>
      </c>
      <c r="H20" s="1105">
        <f t="shared" si="6"/>
        <v>20406.338925704895</v>
      </c>
      <c r="I20" s="1105">
        <f t="shared" si="6"/>
        <v>20406.338925704895</v>
      </c>
      <c r="J20" s="1105">
        <f t="shared" si="6"/>
        <v>20406.338925704895</v>
      </c>
      <c r="K20" s="1105">
        <f t="shared" si="7"/>
        <v>20406.338925704895</v>
      </c>
      <c r="L20" s="1105">
        <f t="shared" si="7"/>
        <v>20406.338925704895</v>
      </c>
      <c r="M20" s="1105">
        <f t="shared" si="8"/>
        <v>20406.338925704895</v>
      </c>
      <c r="N20" s="1105">
        <f t="shared" si="8"/>
        <v>20406.338925704895</v>
      </c>
      <c r="O20" s="1105">
        <f t="shared" si="8"/>
        <v>20406.338925704895</v>
      </c>
      <c r="P20" s="1105">
        <f t="shared" si="8"/>
        <v>20406.338925704895</v>
      </c>
      <c r="Q20" s="1105">
        <f t="shared" si="8"/>
        <v>20406.338925704895</v>
      </c>
      <c r="R20" s="1105">
        <f t="shared" si="8"/>
        <v>20406.338925704895</v>
      </c>
      <c r="T20" s="596">
        <v>15687.30675</v>
      </c>
      <c r="U20" s="596">
        <v>4719.0321757048951</v>
      </c>
      <c r="V20" s="691">
        <f t="shared" ref="V20:V27" si="9">SUM(T20:U20)</f>
        <v>20406.338925704895</v>
      </c>
    </row>
    <row r="21" spans="2:22" ht="12.75" customHeight="1">
      <c r="B21" s="2" t="str">
        <f>'Cap Table'!$F$7</f>
        <v>Series B Tranche I</v>
      </c>
      <c r="D21" s="1105">
        <v>0</v>
      </c>
      <c r="E21" s="1105">
        <v>0</v>
      </c>
      <c r="F21" s="1105">
        <v>0</v>
      </c>
      <c r="G21" s="1105">
        <f t="shared" ref="G21:G27" si="10">$V21</f>
        <v>15649.96285306033</v>
      </c>
      <c r="H21" s="1105">
        <f t="shared" si="6"/>
        <v>15649.96285306033</v>
      </c>
      <c r="I21" s="1105">
        <f t="shared" si="6"/>
        <v>15649.96285306033</v>
      </c>
      <c r="J21" s="1105">
        <f t="shared" si="6"/>
        <v>15649.96285306033</v>
      </c>
      <c r="K21" s="1105">
        <f t="shared" si="7"/>
        <v>15649.96285306033</v>
      </c>
      <c r="L21" s="1105">
        <f t="shared" si="7"/>
        <v>15649.96285306033</v>
      </c>
      <c r="M21" s="1105">
        <f t="shared" si="8"/>
        <v>15649.96285306033</v>
      </c>
      <c r="N21" s="1105">
        <f t="shared" si="8"/>
        <v>15649.96285306033</v>
      </c>
      <c r="O21" s="1105">
        <f t="shared" si="8"/>
        <v>15649.96285306033</v>
      </c>
      <c r="P21" s="1105">
        <f t="shared" si="8"/>
        <v>15649.96285306033</v>
      </c>
      <c r="Q21" s="1105">
        <f t="shared" si="8"/>
        <v>15649.96285306033</v>
      </c>
      <c r="R21" s="1105">
        <f t="shared" si="8"/>
        <v>15649.96285306033</v>
      </c>
      <c r="T21" s="596">
        <v>12499.998</v>
      </c>
      <c r="U21" s="596">
        <v>3149.9648530603304</v>
      </c>
      <c r="V21" s="691">
        <f t="shared" si="9"/>
        <v>15649.96285306033</v>
      </c>
    </row>
    <row r="22" spans="2:22" ht="12.75" customHeight="1">
      <c r="B22" s="2" t="str">
        <f>'Cap Table'!$G$7</f>
        <v>Series B Tranche II</v>
      </c>
      <c r="D22" s="1105">
        <v>0</v>
      </c>
      <c r="E22" s="1105">
        <v>0</v>
      </c>
      <c r="F22" s="1105">
        <v>0</v>
      </c>
      <c r="G22" s="1105">
        <f t="shared" si="10"/>
        <v>15299.130971763774</v>
      </c>
      <c r="H22" s="1105">
        <f t="shared" si="6"/>
        <v>15299.130971763774</v>
      </c>
      <c r="I22" s="1105">
        <f t="shared" si="6"/>
        <v>15299.130971763774</v>
      </c>
      <c r="J22" s="1105">
        <f t="shared" si="6"/>
        <v>15299.130971763774</v>
      </c>
      <c r="K22" s="1105">
        <f t="shared" si="7"/>
        <v>15299.130971763774</v>
      </c>
      <c r="L22" s="1105">
        <f t="shared" si="7"/>
        <v>15299.130971763774</v>
      </c>
      <c r="M22" s="1105">
        <f t="shared" si="8"/>
        <v>15299.130971763774</v>
      </c>
      <c r="N22" s="1105">
        <f t="shared" si="8"/>
        <v>15299.130971763774</v>
      </c>
      <c r="O22" s="1105">
        <f t="shared" si="8"/>
        <v>15299.130971763774</v>
      </c>
      <c r="P22" s="1105">
        <f t="shared" si="8"/>
        <v>15299.130971763774</v>
      </c>
      <c r="Q22" s="1105">
        <f t="shared" si="8"/>
        <v>15299.130971763774</v>
      </c>
      <c r="R22" s="1105">
        <f t="shared" si="8"/>
        <v>15299.130971763774</v>
      </c>
      <c r="T22" s="596">
        <v>12500.0015</v>
      </c>
      <c r="U22" s="596">
        <v>2799.1294717637743</v>
      </c>
      <c r="V22" s="691">
        <f t="shared" si="9"/>
        <v>15299.130971763774</v>
      </c>
    </row>
    <row r="23" spans="2:22" ht="12.75" customHeight="1">
      <c r="B23" s="2" t="str">
        <f>'Cap Table'!$H$7</f>
        <v>Series C Tranche I</v>
      </c>
      <c r="D23" s="1105">
        <v>0</v>
      </c>
      <c r="E23" s="1105">
        <v>0</v>
      </c>
      <c r="F23" s="1105">
        <f>$V23</f>
        <v>28577.284224569034</v>
      </c>
      <c r="G23" s="1105">
        <f t="shared" si="10"/>
        <v>28577.284224569034</v>
      </c>
      <c r="H23" s="1105">
        <f t="shared" si="6"/>
        <v>28577.284224569034</v>
      </c>
      <c r="I23" s="1105">
        <f t="shared" si="6"/>
        <v>28577.284224569034</v>
      </c>
      <c r="J23" s="1105">
        <f t="shared" si="6"/>
        <v>28577.284224569034</v>
      </c>
      <c r="K23" s="1105">
        <f t="shared" si="7"/>
        <v>28577.284224569034</v>
      </c>
      <c r="L23" s="1105">
        <f t="shared" si="7"/>
        <v>28577.284224569034</v>
      </c>
      <c r="M23" s="1105">
        <f t="shared" si="8"/>
        <v>28577.284224569034</v>
      </c>
      <c r="N23" s="1105">
        <f t="shared" si="8"/>
        <v>28577.284224569034</v>
      </c>
      <c r="O23" s="1105">
        <f t="shared" si="8"/>
        <v>28577.284224569034</v>
      </c>
      <c r="P23" s="1105">
        <f t="shared" si="8"/>
        <v>28577.284224569034</v>
      </c>
      <c r="Q23" s="1105">
        <f t="shared" si="8"/>
        <v>28577.284224569034</v>
      </c>
      <c r="R23" s="1105">
        <f t="shared" si="8"/>
        <v>28577.284224569034</v>
      </c>
      <c r="T23" s="596">
        <v>23999.982647322002</v>
      </c>
      <c r="U23" s="596">
        <v>4577.3015772470308</v>
      </c>
      <c r="V23" s="691">
        <f t="shared" si="9"/>
        <v>28577.284224569034</v>
      </c>
    </row>
    <row r="24" spans="2:22" ht="12.75" customHeight="1">
      <c r="B24" s="2" t="str">
        <f>'Cap Table'!$I$7</f>
        <v>Series C Tranche II</v>
      </c>
      <c r="D24" s="1105">
        <v>0</v>
      </c>
      <c r="E24" s="1105">
        <v>0</v>
      </c>
      <c r="F24" s="1105">
        <f>$V24</f>
        <v>27596.517619221435</v>
      </c>
      <c r="G24" s="1105">
        <f t="shared" si="10"/>
        <v>27596.517619221435</v>
      </c>
      <c r="H24" s="1105">
        <f t="shared" si="6"/>
        <v>27596.517619221435</v>
      </c>
      <c r="I24" s="1105">
        <f t="shared" si="6"/>
        <v>27596.517619221435</v>
      </c>
      <c r="J24" s="1105">
        <f t="shared" si="6"/>
        <v>27596.517619221435</v>
      </c>
      <c r="K24" s="1105">
        <f t="shared" si="7"/>
        <v>27596.517619221435</v>
      </c>
      <c r="L24" s="1105">
        <f t="shared" si="7"/>
        <v>27596.517619221435</v>
      </c>
      <c r="M24" s="1105">
        <f t="shared" si="8"/>
        <v>27596.517619221435</v>
      </c>
      <c r="N24" s="1105">
        <f t="shared" si="8"/>
        <v>27596.517619221435</v>
      </c>
      <c r="O24" s="1105">
        <f t="shared" si="8"/>
        <v>27596.517619221435</v>
      </c>
      <c r="P24" s="1105">
        <f t="shared" si="8"/>
        <v>27596.517619221435</v>
      </c>
      <c r="Q24" s="1105">
        <f t="shared" si="8"/>
        <v>27596.517619221435</v>
      </c>
      <c r="R24" s="1105">
        <f t="shared" si="8"/>
        <v>27596.517619221435</v>
      </c>
      <c r="T24" s="596">
        <v>23999.982647322002</v>
      </c>
      <c r="U24" s="596">
        <v>3596.5349718994321</v>
      </c>
      <c r="V24" s="691">
        <f t="shared" si="9"/>
        <v>27596.517619221435</v>
      </c>
    </row>
    <row r="25" spans="2:22" ht="12.75" customHeight="1">
      <c r="B25" s="2" t="str">
        <f>'Cap Table'!$J$7</f>
        <v>Series D Tranche I</v>
      </c>
      <c r="D25" s="1105">
        <v>0</v>
      </c>
      <c r="E25" s="1105">
        <f>$V25</f>
        <v>32753.793361074884</v>
      </c>
      <c r="F25" s="1105">
        <f>$V25</f>
        <v>32753.793361074884</v>
      </c>
      <c r="G25" s="1105">
        <f t="shared" si="10"/>
        <v>32753.793361074884</v>
      </c>
      <c r="H25" s="1105">
        <f t="shared" si="6"/>
        <v>32753.793361074884</v>
      </c>
      <c r="I25" s="1105">
        <f t="shared" si="6"/>
        <v>32753.793361074884</v>
      </c>
      <c r="J25" s="1105">
        <f t="shared" si="6"/>
        <v>32753.793361074884</v>
      </c>
      <c r="K25" s="1105">
        <f t="shared" si="7"/>
        <v>32753.793361074884</v>
      </c>
      <c r="L25" s="1105">
        <f t="shared" si="7"/>
        <v>32753.793361074884</v>
      </c>
      <c r="M25" s="1105">
        <f t="shared" si="8"/>
        <v>32753.793361074884</v>
      </c>
      <c r="N25" s="1105">
        <f t="shared" si="8"/>
        <v>32753.793361074884</v>
      </c>
      <c r="O25" s="1105">
        <f t="shared" si="8"/>
        <v>32753.793361074884</v>
      </c>
      <c r="P25" s="1105">
        <f t="shared" si="8"/>
        <v>32753.793361074884</v>
      </c>
      <c r="Q25" s="1105">
        <f t="shared" si="8"/>
        <v>32753.793361074884</v>
      </c>
      <c r="R25" s="1105">
        <f t="shared" si="8"/>
        <v>32753.793361074884</v>
      </c>
      <c r="T25" s="596">
        <v>29408.8644126</v>
      </c>
      <c r="U25" s="596">
        <v>3344.9289484748842</v>
      </c>
      <c r="V25" s="691">
        <f t="shared" si="9"/>
        <v>32753.793361074884</v>
      </c>
    </row>
    <row r="26" spans="2:22" ht="12.75" customHeight="1">
      <c r="B26" s="2" t="str">
        <f>'Cap Table'!$K$7</f>
        <v>Series D Tranche II</v>
      </c>
      <c r="D26" s="1105">
        <v>0</v>
      </c>
      <c r="E26" s="1105">
        <f>$V26</f>
        <v>22753.937050446086</v>
      </c>
      <c r="F26" s="1105">
        <f>$V26</f>
        <v>22753.937050446086</v>
      </c>
      <c r="G26" s="1105">
        <f t="shared" si="10"/>
        <v>22753.937050446086</v>
      </c>
      <c r="H26" s="1105">
        <f t="shared" si="6"/>
        <v>22753.937050446086</v>
      </c>
      <c r="I26" s="1105">
        <f t="shared" si="6"/>
        <v>22753.937050446086</v>
      </c>
      <c r="J26" s="1105">
        <f t="shared" si="6"/>
        <v>22753.937050446086</v>
      </c>
      <c r="K26" s="1105">
        <f t="shared" si="7"/>
        <v>22753.937050446086</v>
      </c>
      <c r="L26" s="1105">
        <f t="shared" si="7"/>
        <v>22753.937050446086</v>
      </c>
      <c r="M26" s="1105">
        <f t="shared" si="8"/>
        <v>22753.937050446086</v>
      </c>
      <c r="N26" s="1105">
        <f t="shared" si="8"/>
        <v>22753.937050446086</v>
      </c>
      <c r="O26" s="1105">
        <f t="shared" si="8"/>
        <v>22753.937050446086</v>
      </c>
      <c r="P26" s="1105">
        <f t="shared" si="8"/>
        <v>22753.937050446086</v>
      </c>
      <c r="Q26" s="1105">
        <f t="shared" si="8"/>
        <v>22753.937050446086</v>
      </c>
      <c r="R26" s="1105">
        <f t="shared" si="8"/>
        <v>22753.937050446086</v>
      </c>
      <c r="T26" s="596">
        <v>20591.115298200002</v>
      </c>
      <c r="U26" s="596">
        <v>2162.8217522460841</v>
      </c>
      <c r="V26" s="691">
        <f t="shared" si="9"/>
        <v>22753.937050446086</v>
      </c>
    </row>
    <row r="27" spans="2:22" ht="12.75" customHeight="1">
      <c r="B27" s="2" t="str">
        <f>'Cap Table'!$L$7</f>
        <v>Series E</v>
      </c>
      <c r="D27" s="1105">
        <f>$V27</f>
        <v>74429.065703775661</v>
      </c>
      <c r="E27" s="1105">
        <f>$V27</f>
        <v>74429.065703775661</v>
      </c>
      <c r="F27" s="1105">
        <f>$V27</f>
        <v>74429.065703775661</v>
      </c>
      <c r="G27" s="1105">
        <f t="shared" si="10"/>
        <v>74429.065703775661</v>
      </c>
      <c r="H27" s="1105">
        <f t="shared" si="6"/>
        <v>74429.065703775661</v>
      </c>
      <c r="I27" s="1105">
        <f t="shared" si="6"/>
        <v>74429.065703775661</v>
      </c>
      <c r="J27" s="1105">
        <f t="shared" si="6"/>
        <v>74429.065703775661</v>
      </c>
      <c r="K27" s="1105">
        <f t="shared" si="7"/>
        <v>74429.065703775661</v>
      </c>
      <c r="L27" s="1105">
        <f t="shared" si="7"/>
        <v>74429.065703775661</v>
      </c>
      <c r="M27" s="1105">
        <f t="shared" si="8"/>
        <v>74429.065703775661</v>
      </c>
      <c r="N27" s="1105">
        <f t="shared" si="8"/>
        <v>74429.065703775661</v>
      </c>
      <c r="O27" s="1105">
        <f t="shared" si="8"/>
        <v>74429.065703775661</v>
      </c>
      <c r="P27" s="1105">
        <f t="shared" si="8"/>
        <v>74429.065703775661</v>
      </c>
      <c r="Q27" s="1105">
        <f t="shared" si="8"/>
        <v>74429.065703775661</v>
      </c>
      <c r="R27" s="1105">
        <f t="shared" si="8"/>
        <v>74429.065703775661</v>
      </c>
      <c r="T27" s="596">
        <v>67368.863182899993</v>
      </c>
      <c r="U27" s="596">
        <v>7060.2025208756704</v>
      </c>
      <c r="V27" s="691">
        <f t="shared" si="9"/>
        <v>74429.065703775661</v>
      </c>
    </row>
    <row r="28" spans="2:22" ht="12.75" customHeight="1">
      <c r="B28" s="5"/>
      <c r="C28" s="5"/>
      <c r="D28" s="5"/>
      <c r="E28" s="5"/>
      <c r="F28" s="5"/>
      <c r="G28" s="5"/>
      <c r="H28" s="5"/>
      <c r="I28" s="5"/>
      <c r="J28" s="5"/>
      <c r="K28" s="5"/>
      <c r="L28" s="5"/>
      <c r="M28" s="5"/>
      <c r="N28" s="5"/>
      <c r="O28" s="5"/>
      <c r="P28" s="5"/>
      <c r="Q28" s="16"/>
      <c r="R28" s="16"/>
      <c r="T28" s="257"/>
      <c r="U28" s="310"/>
    </row>
    <row r="29" spans="2:22" ht="12.75" customHeight="1">
      <c r="B29" s="39" t="s">
        <v>345</v>
      </c>
      <c r="D29" s="1102">
        <f t="shared" ref="D29:R29" si="11">SUM(D19:D27)</f>
        <v>74429.065703775661</v>
      </c>
      <c r="E29" s="1102">
        <f t="shared" si="11"/>
        <v>129936.79611529663</v>
      </c>
      <c r="F29" s="1102">
        <f t="shared" si="11"/>
        <v>186110.59795908711</v>
      </c>
      <c r="G29" s="1102">
        <f t="shared" si="11"/>
        <v>217059.6917839112</v>
      </c>
      <c r="H29" s="1102">
        <f t="shared" si="11"/>
        <v>244528.8698523363</v>
      </c>
      <c r="I29" s="1102">
        <f t="shared" si="11"/>
        <v>244528.8698523363</v>
      </c>
      <c r="J29" s="1102">
        <f t="shared" si="11"/>
        <v>244528.8698523363</v>
      </c>
      <c r="K29" s="1102">
        <f>SUM(K19:K27)</f>
        <v>244528.8698523363</v>
      </c>
      <c r="L29" s="1102">
        <f>SUM(L19:L27)</f>
        <v>244528.8698523363</v>
      </c>
      <c r="M29" s="1102">
        <f t="shared" si="11"/>
        <v>244528.8698523363</v>
      </c>
      <c r="N29" s="1102">
        <f t="shared" si="11"/>
        <v>244528.8698523363</v>
      </c>
      <c r="O29" s="1102">
        <f t="shared" si="11"/>
        <v>244528.8698523363</v>
      </c>
      <c r="P29" s="1102">
        <f t="shared" si="11"/>
        <v>244528.8698523363</v>
      </c>
      <c r="Q29" s="2596">
        <f t="shared" si="11"/>
        <v>244528.8698523363</v>
      </c>
      <c r="R29" s="2596">
        <f t="shared" si="11"/>
        <v>244528.8698523363</v>
      </c>
      <c r="T29" s="1097">
        <f>SUM(T19:T27)</f>
        <v>211556.11343834398</v>
      </c>
      <c r="U29" s="1097">
        <f>SUM(U19:U27)</f>
        <v>32972.756413992291</v>
      </c>
      <c r="V29" s="1097">
        <f>SUM(V19:V27)</f>
        <v>244528.8698523363</v>
      </c>
    </row>
    <row r="30" spans="2:22" ht="12.75" customHeight="1"/>
    <row r="31" spans="2:22" ht="12.75" customHeight="1">
      <c r="B31" s="75" t="s">
        <v>347</v>
      </c>
      <c r="U31" s="39" t="str">
        <f>+B31</f>
        <v>Shares Outstanding / Converted to Common Stock</v>
      </c>
    </row>
    <row r="32" spans="2:22" ht="12.75" customHeight="1">
      <c r="B32" s="137" t="str">
        <f t="shared" ref="B32:B40" si="12">+$B19</f>
        <v>Series A-1</v>
      </c>
      <c r="D32" s="1105">
        <v>0</v>
      </c>
      <c r="E32" s="1105">
        <v>0</v>
      </c>
      <c r="F32" s="1105">
        <v>0</v>
      </c>
      <c r="G32" s="1105">
        <v>0</v>
      </c>
      <c r="H32" s="1105">
        <v>0</v>
      </c>
      <c r="I32" s="1105">
        <f t="shared" ref="I32:P40" si="13">IF(I$50&gt;0,$U32,0)</f>
        <v>5499.9989999999998</v>
      </c>
      <c r="J32" s="1105">
        <f t="shared" si="13"/>
        <v>5499.9989999999998</v>
      </c>
      <c r="K32" s="1105">
        <f t="shared" si="13"/>
        <v>5499.9989999999998</v>
      </c>
      <c r="L32" s="1105">
        <f t="shared" si="13"/>
        <v>5499.9989999999998</v>
      </c>
      <c r="M32" s="1105">
        <f t="shared" si="13"/>
        <v>5499.9989999999998</v>
      </c>
      <c r="N32" s="1105">
        <f t="shared" si="13"/>
        <v>5499.9989999999998</v>
      </c>
      <c r="O32" s="1105">
        <f t="shared" si="13"/>
        <v>5499.9989999999998</v>
      </c>
      <c r="P32" s="1105">
        <f t="shared" si="13"/>
        <v>5499.9989999999998</v>
      </c>
      <c r="Q32" s="1105">
        <f t="shared" ref="Q32:R40" si="14">IF(Q$50&gt;0,$U32,0)</f>
        <v>5499.9989999999998</v>
      </c>
      <c r="R32" s="1105">
        <f t="shared" si="14"/>
        <v>5499.9989999999998</v>
      </c>
      <c r="U32" s="596">
        <f>+'Cap Table'!$D$11*'Cap Table'!$D$18</f>
        <v>5499.9989999999998</v>
      </c>
    </row>
    <row r="33" spans="2:23" ht="12.75" customHeight="1">
      <c r="B33" s="137" t="str">
        <f t="shared" si="12"/>
        <v>Series A-2</v>
      </c>
      <c r="D33" s="1105">
        <v>0</v>
      </c>
      <c r="E33" s="1105">
        <v>0</v>
      </c>
      <c r="F33" s="1105">
        <v>0</v>
      </c>
      <c r="G33" s="1105">
        <v>0</v>
      </c>
      <c r="H33" s="1105">
        <v>0</v>
      </c>
      <c r="I33" s="1105">
        <f t="shared" si="13"/>
        <v>20916.409</v>
      </c>
      <c r="J33" s="1105">
        <f t="shared" si="13"/>
        <v>20916.409</v>
      </c>
      <c r="K33" s="1105">
        <f t="shared" si="13"/>
        <v>20916.409</v>
      </c>
      <c r="L33" s="1105">
        <f t="shared" si="13"/>
        <v>20916.409</v>
      </c>
      <c r="M33" s="1105">
        <f t="shared" si="13"/>
        <v>20916.409</v>
      </c>
      <c r="N33" s="1105">
        <f t="shared" si="13"/>
        <v>20916.409</v>
      </c>
      <c r="O33" s="1105">
        <f t="shared" si="13"/>
        <v>20916.409</v>
      </c>
      <c r="P33" s="1105">
        <f t="shared" si="13"/>
        <v>20916.409</v>
      </c>
      <c r="Q33" s="1105">
        <f t="shared" si="14"/>
        <v>20916.409</v>
      </c>
      <c r="R33" s="1105">
        <f t="shared" si="14"/>
        <v>20916.409</v>
      </c>
      <c r="U33" s="596">
        <f>+'Cap Table'!$E$11*'Cap Table'!$E$18</f>
        <v>20916.409</v>
      </c>
    </row>
    <row r="34" spans="2:23" ht="12.75" customHeight="1">
      <c r="B34" s="137" t="str">
        <f t="shared" si="12"/>
        <v>Series B Tranche I</v>
      </c>
      <c r="D34" s="1105">
        <v>0</v>
      </c>
      <c r="E34" s="1105">
        <v>0</v>
      </c>
      <c r="F34" s="1105">
        <v>0</v>
      </c>
      <c r="G34" s="1105">
        <v>0</v>
      </c>
      <c r="H34" s="1105">
        <v>0</v>
      </c>
      <c r="I34" s="1105">
        <f t="shared" si="13"/>
        <v>3571.4279999999999</v>
      </c>
      <c r="J34" s="1105">
        <f t="shared" si="13"/>
        <v>3571.4279999999999</v>
      </c>
      <c r="K34" s="1105">
        <f t="shared" si="13"/>
        <v>3571.4279999999999</v>
      </c>
      <c r="L34" s="1105">
        <f t="shared" si="13"/>
        <v>3571.4279999999999</v>
      </c>
      <c r="M34" s="1105">
        <f t="shared" si="13"/>
        <v>3571.4279999999999</v>
      </c>
      <c r="N34" s="1105">
        <f t="shared" si="13"/>
        <v>3571.4279999999999</v>
      </c>
      <c r="O34" s="1105">
        <f t="shared" si="13"/>
        <v>3571.4279999999999</v>
      </c>
      <c r="P34" s="1105">
        <f t="shared" si="13"/>
        <v>3571.4279999999999</v>
      </c>
      <c r="Q34" s="1105">
        <f t="shared" si="14"/>
        <v>3571.4279999999999</v>
      </c>
      <c r="R34" s="1105">
        <f t="shared" si="14"/>
        <v>3571.4279999999999</v>
      </c>
      <c r="U34" s="596">
        <f>+'Cap Table'!$F$11*'Cap Table'!$F$18</f>
        <v>3571.4279999999999</v>
      </c>
    </row>
    <row r="35" spans="2:23" ht="12.75" customHeight="1">
      <c r="B35" s="137" t="str">
        <f t="shared" si="12"/>
        <v>Series B Tranche II</v>
      </c>
      <c r="D35" s="1105">
        <v>0</v>
      </c>
      <c r="E35" s="1105">
        <v>0</v>
      </c>
      <c r="F35" s="1105">
        <v>0</v>
      </c>
      <c r="G35" s="1105">
        <v>0</v>
      </c>
      <c r="H35" s="1105">
        <v>0</v>
      </c>
      <c r="I35" s="1105">
        <f t="shared" si="13"/>
        <v>3571.4290000000001</v>
      </c>
      <c r="J35" s="1105">
        <f t="shared" si="13"/>
        <v>3571.4290000000001</v>
      </c>
      <c r="K35" s="1105">
        <f t="shared" si="13"/>
        <v>3571.4290000000001</v>
      </c>
      <c r="L35" s="1105">
        <f t="shared" si="13"/>
        <v>3571.4290000000001</v>
      </c>
      <c r="M35" s="1105">
        <f t="shared" si="13"/>
        <v>3571.4290000000001</v>
      </c>
      <c r="N35" s="1105">
        <f t="shared" si="13"/>
        <v>3571.4290000000001</v>
      </c>
      <c r="O35" s="1105">
        <f t="shared" si="13"/>
        <v>3571.4290000000001</v>
      </c>
      <c r="P35" s="1105">
        <f t="shared" si="13"/>
        <v>3571.4290000000001</v>
      </c>
      <c r="Q35" s="1105">
        <f t="shared" si="14"/>
        <v>3571.4290000000001</v>
      </c>
      <c r="R35" s="1105">
        <f t="shared" si="14"/>
        <v>3571.4290000000001</v>
      </c>
      <c r="U35" s="596">
        <f>+'Cap Table'!$G$11*'Cap Table'!$G$18</f>
        <v>3571.4290000000001</v>
      </c>
    </row>
    <row r="36" spans="2:23" ht="12.75" customHeight="1">
      <c r="B36" s="137" t="str">
        <f t="shared" si="12"/>
        <v>Series C Tranche I</v>
      </c>
      <c r="D36" s="1105">
        <v>0</v>
      </c>
      <c r="E36" s="1105">
        <v>0</v>
      </c>
      <c r="F36" s="1105">
        <v>0</v>
      </c>
      <c r="G36" s="1105">
        <v>0</v>
      </c>
      <c r="H36" s="1105">
        <v>0</v>
      </c>
      <c r="I36" s="1105">
        <f t="shared" si="13"/>
        <v>2384.889986666667</v>
      </c>
      <c r="J36" s="1105">
        <f t="shared" si="13"/>
        <v>2384.889986666667</v>
      </c>
      <c r="K36" s="1105">
        <f t="shared" si="13"/>
        <v>2384.889986666667</v>
      </c>
      <c r="L36" s="1105">
        <f t="shared" si="13"/>
        <v>2384.889986666667</v>
      </c>
      <c r="M36" s="1105">
        <f t="shared" si="13"/>
        <v>2384.889986666667</v>
      </c>
      <c r="N36" s="1105">
        <f t="shared" si="13"/>
        <v>2384.889986666667</v>
      </c>
      <c r="O36" s="1105">
        <f t="shared" si="13"/>
        <v>2384.889986666667</v>
      </c>
      <c r="P36" s="1105">
        <f t="shared" si="13"/>
        <v>2384.889986666667</v>
      </c>
      <c r="Q36" s="1105">
        <f t="shared" si="14"/>
        <v>2384.889986666667</v>
      </c>
      <c r="R36" s="1105">
        <f t="shared" si="14"/>
        <v>2384.889986666667</v>
      </c>
      <c r="U36" s="596">
        <f>+'Cap Table'!$H$11*'Cap Table'!$H$18</f>
        <v>2384.889986666667</v>
      </c>
    </row>
    <row r="37" spans="2:23" ht="12.75" customHeight="1">
      <c r="B37" s="137" t="str">
        <f t="shared" si="12"/>
        <v>Series C Tranche II</v>
      </c>
      <c r="D37" s="1105">
        <v>0</v>
      </c>
      <c r="E37" s="1105">
        <v>0</v>
      </c>
      <c r="F37" s="1105">
        <v>0</v>
      </c>
      <c r="G37" s="1105">
        <v>0</v>
      </c>
      <c r="H37" s="1105">
        <v>0</v>
      </c>
      <c r="I37" s="1105">
        <f t="shared" si="13"/>
        <v>2384.889986666667</v>
      </c>
      <c r="J37" s="1105">
        <f t="shared" si="13"/>
        <v>2384.889986666667</v>
      </c>
      <c r="K37" s="1105">
        <f t="shared" si="13"/>
        <v>2384.889986666667</v>
      </c>
      <c r="L37" s="1105">
        <f t="shared" si="13"/>
        <v>2384.889986666667</v>
      </c>
      <c r="M37" s="1105">
        <f t="shared" si="13"/>
        <v>2384.889986666667</v>
      </c>
      <c r="N37" s="1105">
        <f t="shared" si="13"/>
        <v>2384.889986666667</v>
      </c>
      <c r="O37" s="1105">
        <f t="shared" si="13"/>
        <v>2384.889986666667</v>
      </c>
      <c r="P37" s="1105">
        <f t="shared" si="13"/>
        <v>2384.889986666667</v>
      </c>
      <c r="Q37" s="1105">
        <f t="shared" si="14"/>
        <v>2384.889986666667</v>
      </c>
      <c r="R37" s="1105">
        <f t="shared" si="14"/>
        <v>2384.889986666667</v>
      </c>
      <c r="U37" s="596">
        <f>+'Cap Table'!$I$11*'Cap Table'!$I$18</f>
        <v>2384.889986666667</v>
      </c>
    </row>
    <row r="38" spans="2:23" ht="12.75" customHeight="1">
      <c r="B38" s="137" t="str">
        <f t="shared" si="12"/>
        <v>Series D Tranche I</v>
      </c>
      <c r="D38" s="1105">
        <v>0</v>
      </c>
      <c r="E38" s="1105">
        <v>0</v>
      </c>
      <c r="F38" s="1105">
        <v>0</v>
      </c>
      <c r="G38" s="1105">
        <v>0</v>
      </c>
      <c r="H38" s="1105">
        <v>0</v>
      </c>
      <c r="I38" s="1105">
        <f t="shared" si="13"/>
        <v>2646.0859999999998</v>
      </c>
      <c r="J38" s="1105">
        <f t="shared" si="13"/>
        <v>2646.0859999999998</v>
      </c>
      <c r="K38" s="1105">
        <f t="shared" si="13"/>
        <v>2646.0859999999998</v>
      </c>
      <c r="L38" s="1105">
        <f t="shared" si="13"/>
        <v>2646.0859999999998</v>
      </c>
      <c r="M38" s="1105">
        <f t="shared" si="13"/>
        <v>2646.0859999999998</v>
      </c>
      <c r="N38" s="1105">
        <f t="shared" si="13"/>
        <v>2646.0859999999998</v>
      </c>
      <c r="O38" s="1105">
        <f t="shared" si="13"/>
        <v>2646.0859999999998</v>
      </c>
      <c r="P38" s="1105">
        <f t="shared" si="13"/>
        <v>2646.0859999999998</v>
      </c>
      <c r="Q38" s="1105">
        <f t="shared" si="14"/>
        <v>2646.0859999999998</v>
      </c>
      <c r="R38" s="1105">
        <f t="shared" si="14"/>
        <v>2646.0859999999998</v>
      </c>
      <c r="U38" s="596">
        <f>+'Cap Table'!$J$11*'Cap Table'!$J$18</f>
        <v>2646.0859999999998</v>
      </c>
    </row>
    <row r="39" spans="2:23" ht="12.75" customHeight="1">
      <c r="B39" s="137" t="str">
        <f t="shared" si="12"/>
        <v>Series D Tranche II</v>
      </c>
      <c r="D39" s="1105">
        <v>0</v>
      </c>
      <c r="E39" s="1105">
        <v>0</v>
      </c>
      <c r="F39" s="1105">
        <v>0</v>
      </c>
      <c r="G39" s="1105">
        <v>0</v>
      </c>
      <c r="H39" s="1105">
        <v>0</v>
      </c>
      <c r="I39" s="1105">
        <f t="shared" si="13"/>
        <v>1852.702</v>
      </c>
      <c r="J39" s="1105">
        <f t="shared" si="13"/>
        <v>1852.702</v>
      </c>
      <c r="K39" s="1105">
        <f t="shared" si="13"/>
        <v>1852.702</v>
      </c>
      <c r="L39" s="1105">
        <f t="shared" si="13"/>
        <v>1852.702</v>
      </c>
      <c r="M39" s="1105">
        <f t="shared" si="13"/>
        <v>1852.702</v>
      </c>
      <c r="N39" s="1105">
        <f t="shared" si="13"/>
        <v>1852.702</v>
      </c>
      <c r="O39" s="1105">
        <f t="shared" si="13"/>
        <v>1852.702</v>
      </c>
      <c r="P39" s="1105">
        <f t="shared" si="13"/>
        <v>1852.702</v>
      </c>
      <c r="Q39" s="1105">
        <f t="shared" si="14"/>
        <v>1852.702</v>
      </c>
      <c r="R39" s="1105">
        <f t="shared" si="14"/>
        <v>1852.702</v>
      </c>
      <c r="U39" s="596">
        <f>+'Cap Table'!$K$11*'Cap Table'!$K$18</f>
        <v>1852.702</v>
      </c>
    </row>
    <row r="40" spans="2:23" ht="12.75" customHeight="1">
      <c r="B40" s="137" t="str">
        <f t="shared" si="12"/>
        <v>Series E</v>
      </c>
      <c r="D40" s="1105">
        <v>0</v>
      </c>
      <c r="E40" s="1105">
        <v>0</v>
      </c>
      <c r="F40" s="1105">
        <v>0</v>
      </c>
      <c r="G40" s="1105">
        <v>0</v>
      </c>
      <c r="H40" s="1105">
        <v>0</v>
      </c>
      <c r="I40" s="1105">
        <f t="shared" si="13"/>
        <v>5064.8329999999996</v>
      </c>
      <c r="J40" s="1105">
        <f t="shared" si="13"/>
        <v>5064.8329999999996</v>
      </c>
      <c r="K40" s="1105">
        <f t="shared" si="13"/>
        <v>5064.8329999999996</v>
      </c>
      <c r="L40" s="1105">
        <f t="shared" si="13"/>
        <v>5064.8329999999996</v>
      </c>
      <c r="M40" s="1105">
        <f t="shared" si="13"/>
        <v>5064.8329999999996</v>
      </c>
      <c r="N40" s="1105">
        <f t="shared" si="13"/>
        <v>5064.8329999999996</v>
      </c>
      <c r="O40" s="1105">
        <f t="shared" si="13"/>
        <v>5064.8329999999996</v>
      </c>
      <c r="P40" s="1105">
        <f t="shared" si="13"/>
        <v>5064.8329999999996</v>
      </c>
      <c r="Q40" s="1105">
        <f t="shared" si="14"/>
        <v>5064.8329999999996</v>
      </c>
      <c r="R40" s="1105">
        <f t="shared" si="14"/>
        <v>5064.8329999999996</v>
      </c>
      <c r="U40" s="596">
        <f>+'Cap Table'!$L$11*'Cap Table'!$L$18</f>
        <v>5064.8329999999996</v>
      </c>
    </row>
    <row r="41" spans="2:23" ht="12.75" customHeight="1">
      <c r="B41" s="259" t="str">
        <f>'Cap Table'!$B24</f>
        <v>Options at $1.00 Strike Price</v>
      </c>
      <c r="D41" s="1105">
        <v>0</v>
      </c>
      <c r="E41" s="1105">
        <v>0</v>
      </c>
      <c r="F41" s="1105">
        <v>0</v>
      </c>
      <c r="G41" s="1105">
        <v>0</v>
      </c>
      <c r="H41" s="1105">
        <v>0</v>
      </c>
      <c r="I41" s="1105">
        <f t="shared" ref="I41:P45" si="15">IF(I$54&lt;$W41,0,$U41)</f>
        <v>0</v>
      </c>
      <c r="J41" s="1105">
        <f t="shared" si="15"/>
        <v>1948.865</v>
      </c>
      <c r="K41" s="1105">
        <f t="shared" si="15"/>
        <v>1948.865</v>
      </c>
      <c r="L41" s="1105">
        <f t="shared" si="15"/>
        <v>1948.865</v>
      </c>
      <c r="M41" s="1105">
        <f t="shared" si="15"/>
        <v>1948.865</v>
      </c>
      <c r="N41" s="1105">
        <f t="shared" si="15"/>
        <v>1948.865</v>
      </c>
      <c r="O41" s="1105">
        <f t="shared" si="15"/>
        <v>1948.865</v>
      </c>
      <c r="P41" s="1105">
        <f t="shared" si="15"/>
        <v>1948.865</v>
      </c>
      <c r="Q41" s="1105">
        <f t="shared" ref="Q41:R46" si="16">IF(Q$54&lt;$W41,0,$U41)</f>
        <v>1948.865</v>
      </c>
      <c r="R41" s="1105">
        <f t="shared" si="16"/>
        <v>1948.865</v>
      </c>
      <c r="U41" s="596">
        <f>+'Cap Table'!$D24</f>
        <v>1948.865</v>
      </c>
      <c r="W41" s="1099">
        <f>'Cap Table'!E24</f>
        <v>1</v>
      </c>
    </row>
    <row r="42" spans="2:23" ht="12.75" customHeight="1">
      <c r="B42" s="259" t="str">
        <f>'Cap Table'!$B25</f>
        <v>Options at $3.50 Strike Price</v>
      </c>
      <c r="D42" s="1105">
        <v>0</v>
      </c>
      <c r="E42" s="1105">
        <v>0</v>
      </c>
      <c r="F42" s="1105">
        <v>0</v>
      </c>
      <c r="G42" s="1105">
        <v>0</v>
      </c>
      <c r="H42" s="1105">
        <v>0</v>
      </c>
      <c r="I42" s="1105">
        <f t="shared" si="15"/>
        <v>0</v>
      </c>
      <c r="J42" s="1105">
        <f t="shared" si="15"/>
        <v>0</v>
      </c>
      <c r="K42" s="1105">
        <f t="shared" si="15"/>
        <v>960</v>
      </c>
      <c r="L42" s="1105">
        <f t="shared" si="15"/>
        <v>960</v>
      </c>
      <c r="M42" s="1105">
        <f t="shared" si="15"/>
        <v>960</v>
      </c>
      <c r="N42" s="1105">
        <f t="shared" si="15"/>
        <v>960</v>
      </c>
      <c r="O42" s="1105">
        <f t="shared" si="15"/>
        <v>960</v>
      </c>
      <c r="P42" s="1105">
        <f t="shared" si="15"/>
        <v>960</v>
      </c>
      <c r="Q42" s="1105">
        <f t="shared" si="16"/>
        <v>960</v>
      </c>
      <c r="R42" s="1105">
        <f t="shared" si="16"/>
        <v>960</v>
      </c>
      <c r="U42" s="596">
        <f>+'Cap Table'!$D25</f>
        <v>960</v>
      </c>
      <c r="W42" s="661">
        <f>'Cap Table'!E25</f>
        <v>3.5</v>
      </c>
    </row>
    <row r="43" spans="2:23" ht="12.75" customHeight="1">
      <c r="B43" s="259" t="str">
        <f>'Cap Table'!$B26</f>
        <v>Options at $3.70 Strike Price</v>
      </c>
      <c r="D43" s="1105">
        <v>0</v>
      </c>
      <c r="E43" s="1105">
        <v>0</v>
      </c>
      <c r="F43" s="1105">
        <v>0</v>
      </c>
      <c r="G43" s="1105">
        <v>0</v>
      </c>
      <c r="H43" s="1105">
        <v>0</v>
      </c>
      <c r="I43" s="1105">
        <f t="shared" si="15"/>
        <v>0</v>
      </c>
      <c r="J43" s="1105">
        <f t="shared" si="15"/>
        <v>0</v>
      </c>
      <c r="K43" s="1105">
        <f t="shared" si="15"/>
        <v>0</v>
      </c>
      <c r="L43" s="1105">
        <f t="shared" si="15"/>
        <v>1201.357</v>
      </c>
      <c r="M43" s="1105">
        <f t="shared" si="15"/>
        <v>1201.357</v>
      </c>
      <c r="N43" s="1105">
        <f t="shared" si="15"/>
        <v>1201.357</v>
      </c>
      <c r="O43" s="1105">
        <f t="shared" si="15"/>
        <v>1201.357</v>
      </c>
      <c r="P43" s="1105">
        <f t="shared" si="15"/>
        <v>1201.357</v>
      </c>
      <c r="Q43" s="1105">
        <f t="shared" si="16"/>
        <v>1201.357</v>
      </c>
      <c r="R43" s="1105">
        <f t="shared" si="16"/>
        <v>1201.357</v>
      </c>
      <c r="U43" s="596">
        <f>+'Cap Table'!$D26</f>
        <v>1201.357</v>
      </c>
      <c r="W43" s="661">
        <f>'Cap Table'!E26</f>
        <v>3.7</v>
      </c>
    </row>
    <row r="44" spans="2:23" ht="12.75" customHeight="1">
      <c r="B44" s="259" t="str">
        <f>'Cap Table'!$B27</f>
        <v>Options at $4.00 Strike Price</v>
      </c>
      <c r="D44" s="1105">
        <v>0</v>
      </c>
      <c r="E44" s="1105">
        <v>0</v>
      </c>
      <c r="F44" s="1105">
        <v>0</v>
      </c>
      <c r="G44" s="1105">
        <v>0</v>
      </c>
      <c r="H44" s="1105">
        <v>0</v>
      </c>
      <c r="I44" s="1105">
        <f t="shared" si="15"/>
        <v>0</v>
      </c>
      <c r="J44" s="1105">
        <f t="shared" si="15"/>
        <v>0</v>
      </c>
      <c r="K44" s="1105">
        <f t="shared" si="15"/>
        <v>0</v>
      </c>
      <c r="L44" s="1105">
        <f t="shared" si="15"/>
        <v>0</v>
      </c>
      <c r="M44" s="1105">
        <f t="shared" si="15"/>
        <v>70</v>
      </c>
      <c r="N44" s="1105">
        <f t="shared" si="15"/>
        <v>70</v>
      </c>
      <c r="O44" s="1105">
        <f t="shared" si="15"/>
        <v>70</v>
      </c>
      <c r="P44" s="1105">
        <f t="shared" si="15"/>
        <v>70</v>
      </c>
      <c r="Q44" s="1105">
        <f t="shared" si="16"/>
        <v>70</v>
      </c>
      <c r="R44" s="1105">
        <f t="shared" si="16"/>
        <v>70</v>
      </c>
      <c r="U44" s="596">
        <f>+'Cap Table'!$D27</f>
        <v>70</v>
      </c>
      <c r="W44" s="661">
        <f>'Cap Table'!E27</f>
        <v>4</v>
      </c>
    </row>
    <row r="45" spans="2:23" ht="12.75" customHeight="1">
      <c r="B45" s="259" t="str">
        <f>'Cap Table'!$B28</f>
        <v>Options at $6.00 Strike Price</v>
      </c>
      <c r="D45" s="1105">
        <v>0</v>
      </c>
      <c r="E45" s="1105">
        <v>0</v>
      </c>
      <c r="F45" s="1105">
        <v>0</v>
      </c>
      <c r="G45" s="1105">
        <v>0</v>
      </c>
      <c r="H45" s="1105">
        <v>0</v>
      </c>
      <c r="I45" s="1105">
        <f t="shared" si="15"/>
        <v>0</v>
      </c>
      <c r="J45" s="1105">
        <f t="shared" si="15"/>
        <v>0</v>
      </c>
      <c r="K45" s="1105">
        <f t="shared" si="15"/>
        <v>0</v>
      </c>
      <c r="L45" s="1105">
        <f t="shared" si="15"/>
        <v>0</v>
      </c>
      <c r="M45" s="1105">
        <f t="shared" si="15"/>
        <v>0</v>
      </c>
      <c r="N45" s="1105">
        <f t="shared" si="15"/>
        <v>75</v>
      </c>
      <c r="O45" s="1105">
        <f t="shared" si="15"/>
        <v>75</v>
      </c>
      <c r="P45" s="1105">
        <f t="shared" si="15"/>
        <v>75</v>
      </c>
      <c r="Q45" s="1105">
        <f t="shared" si="16"/>
        <v>75</v>
      </c>
      <c r="R45" s="1105">
        <f t="shared" si="16"/>
        <v>75</v>
      </c>
      <c r="U45" s="596">
        <f>+'Cap Table'!$D28</f>
        <v>75</v>
      </c>
      <c r="W45" s="661">
        <f>'Cap Table'!E28</f>
        <v>6</v>
      </c>
    </row>
    <row r="46" spans="2:23" ht="12.75" customHeight="1">
      <c r="B46" s="259" t="str">
        <f>'Cap Table'!$B29</f>
        <v>Options at $7.00 Strike Price</v>
      </c>
      <c r="D46" s="1105">
        <v>0</v>
      </c>
      <c r="E46" s="1105">
        <v>0</v>
      </c>
      <c r="F46" s="1105">
        <v>0</v>
      </c>
      <c r="G46" s="1105">
        <v>0</v>
      </c>
      <c r="H46" s="1105">
        <v>0</v>
      </c>
      <c r="I46" s="1105">
        <f>IF(I$54&lt;$W46,0,$U46)</f>
        <v>0</v>
      </c>
      <c r="J46" s="1105">
        <f t="shared" ref="J46:P46" si="17">IF(J$54&lt;$W46,0,$U46)</f>
        <v>0</v>
      </c>
      <c r="K46" s="1105">
        <f t="shared" si="17"/>
        <v>0</v>
      </c>
      <c r="L46" s="1105">
        <f t="shared" si="17"/>
        <v>0</v>
      </c>
      <c r="M46" s="1105">
        <f t="shared" si="17"/>
        <v>0</v>
      </c>
      <c r="N46" s="1105">
        <f t="shared" si="17"/>
        <v>0</v>
      </c>
      <c r="O46" s="1105">
        <f t="shared" si="17"/>
        <v>2739.67</v>
      </c>
      <c r="P46" s="1105">
        <f t="shared" si="17"/>
        <v>2739.67</v>
      </c>
      <c r="Q46" s="1105">
        <f t="shared" si="16"/>
        <v>2739.67</v>
      </c>
      <c r="R46" s="1105">
        <f t="shared" si="16"/>
        <v>2739.67</v>
      </c>
      <c r="U46" s="596">
        <f>+'Cap Table'!$D29</f>
        <v>2739.67</v>
      </c>
      <c r="W46" s="661">
        <f>'Cap Table'!E29</f>
        <v>7</v>
      </c>
    </row>
    <row r="47" spans="2:23" ht="12.75" customHeight="1">
      <c r="B47" s="259" t="str">
        <f>'Cap Table'!$B30</f>
        <v>Options at $10.00 Strike Price</v>
      </c>
      <c r="D47" s="1105">
        <v>0</v>
      </c>
      <c r="E47" s="1105">
        <v>0</v>
      </c>
      <c r="F47" s="1105">
        <v>0</v>
      </c>
      <c r="G47" s="1105">
        <v>0</v>
      </c>
      <c r="H47" s="1105">
        <v>0</v>
      </c>
      <c r="I47" s="1105">
        <f t="shared" ref="I47:R49" si="18">IF(I$54&lt;$W47,0,$U47)</f>
        <v>0</v>
      </c>
      <c r="J47" s="1105">
        <f t="shared" si="18"/>
        <v>0</v>
      </c>
      <c r="K47" s="1105">
        <f t="shared" si="18"/>
        <v>0</v>
      </c>
      <c r="L47" s="1105">
        <f t="shared" si="18"/>
        <v>0</v>
      </c>
      <c r="M47" s="1105">
        <f t="shared" si="18"/>
        <v>0</v>
      </c>
      <c r="N47" s="1105">
        <f t="shared" si="18"/>
        <v>0</v>
      </c>
      <c r="O47" s="1105">
        <f t="shared" si="18"/>
        <v>0</v>
      </c>
      <c r="P47" s="1105">
        <f t="shared" si="18"/>
        <v>0</v>
      </c>
      <c r="Q47" s="1105">
        <f t="shared" si="18"/>
        <v>100</v>
      </c>
      <c r="R47" s="1105">
        <f t="shared" si="18"/>
        <v>100</v>
      </c>
      <c r="U47" s="596">
        <f>+'Cap Table'!$D30</f>
        <v>100</v>
      </c>
      <c r="W47" s="661">
        <f>'Cap Table'!E30</f>
        <v>10</v>
      </c>
    </row>
    <row r="48" spans="2:23" ht="12.75" customHeight="1">
      <c r="B48" s="259" t="str">
        <f>'Cap Table'!$B31</f>
        <v>Options at $11.00 Strike Price</v>
      </c>
      <c r="D48" s="1105">
        <v>0</v>
      </c>
      <c r="E48" s="1105">
        <v>0</v>
      </c>
      <c r="F48" s="1105">
        <v>0</v>
      </c>
      <c r="G48" s="1105">
        <v>0</v>
      </c>
      <c r="H48" s="1105">
        <v>0</v>
      </c>
      <c r="I48" s="1105">
        <f t="shared" si="18"/>
        <v>0</v>
      </c>
      <c r="J48" s="1105">
        <f t="shared" si="18"/>
        <v>0</v>
      </c>
      <c r="K48" s="1105">
        <f t="shared" si="18"/>
        <v>0</v>
      </c>
      <c r="L48" s="1105">
        <f t="shared" si="18"/>
        <v>0</v>
      </c>
      <c r="M48" s="1105">
        <f t="shared" si="18"/>
        <v>0</v>
      </c>
      <c r="N48" s="1105">
        <f t="shared" si="18"/>
        <v>0</v>
      </c>
      <c r="O48" s="1105">
        <f t="shared" si="18"/>
        <v>0</v>
      </c>
      <c r="P48" s="1105">
        <f t="shared" si="18"/>
        <v>0</v>
      </c>
      <c r="Q48" s="1105">
        <f t="shared" si="18"/>
        <v>0</v>
      </c>
      <c r="R48" s="1105">
        <f t="shared" si="18"/>
        <v>6</v>
      </c>
      <c r="U48" s="596">
        <f>+'Cap Table'!$D31</f>
        <v>6</v>
      </c>
      <c r="W48" s="661">
        <f>'Cap Table'!E31</f>
        <v>11</v>
      </c>
    </row>
    <row r="49" spans="1:23" ht="12.75" customHeight="1">
      <c r="B49" s="259" t="str">
        <f>'Cap Table'!$B32</f>
        <v>Executive Option Grants Made</v>
      </c>
      <c r="D49" s="1105">
        <v>0</v>
      </c>
      <c r="E49" s="1105">
        <v>0</v>
      </c>
      <c r="F49" s="1105">
        <v>0</v>
      </c>
      <c r="G49" s="1105">
        <v>0</v>
      </c>
      <c r="H49" s="1105">
        <v>0</v>
      </c>
      <c r="I49" s="1105">
        <f t="shared" si="18"/>
        <v>0</v>
      </c>
      <c r="J49" s="1105">
        <f t="shared" si="18"/>
        <v>0</v>
      </c>
      <c r="K49" s="1105">
        <f t="shared" si="18"/>
        <v>0</v>
      </c>
      <c r="L49" s="1105">
        <f t="shared" si="18"/>
        <v>0</v>
      </c>
      <c r="M49" s="1105">
        <f t="shared" si="18"/>
        <v>0</v>
      </c>
      <c r="N49" s="1105">
        <f t="shared" si="18"/>
        <v>0</v>
      </c>
      <c r="O49" s="1105">
        <f t="shared" si="18"/>
        <v>0</v>
      </c>
      <c r="P49" s="1105">
        <f t="shared" si="18"/>
        <v>494.86500000000001</v>
      </c>
      <c r="Q49" s="1105">
        <f t="shared" si="18"/>
        <v>494.86500000000001</v>
      </c>
      <c r="R49" s="1105">
        <f t="shared" si="18"/>
        <v>494.86500000000001</v>
      </c>
      <c r="U49" s="596">
        <f>+'Cap Table'!$D32</f>
        <v>494.86500000000001</v>
      </c>
      <c r="W49" s="1100">
        <f>'Cap Table'!E32</f>
        <v>7.28</v>
      </c>
    </row>
    <row r="50" spans="1:23" ht="12.75" customHeight="1">
      <c r="B50" s="135" t="str">
        <f>'Cap Table'!$M7 &amp;" Stock"</f>
        <v>Common Stock</v>
      </c>
      <c r="D50" s="1105">
        <v>0</v>
      </c>
      <c r="E50" s="1105">
        <v>0</v>
      </c>
      <c r="F50" s="1105">
        <v>0</v>
      </c>
      <c r="G50" s="1105">
        <v>0</v>
      </c>
      <c r="H50" s="1105">
        <v>0</v>
      </c>
      <c r="I50" s="1105">
        <f t="shared" ref="I50:R50" si="19">$U$50</f>
        <v>7451.1540000000005</v>
      </c>
      <c r="J50" s="1105">
        <f t="shared" si="19"/>
        <v>7451.1540000000005</v>
      </c>
      <c r="K50" s="1105">
        <f t="shared" si="19"/>
        <v>7451.1540000000005</v>
      </c>
      <c r="L50" s="1105">
        <f t="shared" si="19"/>
        <v>7451.1540000000005</v>
      </c>
      <c r="M50" s="1105">
        <f t="shared" si="19"/>
        <v>7451.1540000000005</v>
      </c>
      <c r="N50" s="1105">
        <f t="shared" si="19"/>
        <v>7451.1540000000005</v>
      </c>
      <c r="O50" s="1105">
        <f t="shared" si="19"/>
        <v>7451.1540000000005</v>
      </c>
      <c r="P50" s="1105">
        <f t="shared" si="19"/>
        <v>7451.1540000000005</v>
      </c>
      <c r="Q50" s="1105">
        <f t="shared" si="19"/>
        <v>7451.1540000000005</v>
      </c>
      <c r="R50" s="1105">
        <f t="shared" si="19"/>
        <v>7451.1540000000005</v>
      </c>
      <c r="U50" s="596">
        <f>+'Cap Table'!M11</f>
        <v>7451.1540000000005</v>
      </c>
      <c r="W50" s="7"/>
    </row>
    <row r="51" spans="1:23" ht="12.75" customHeight="1" thickBot="1">
      <c r="B51" s="5"/>
      <c r="C51" s="5"/>
      <c r="D51" s="1104"/>
      <c r="E51" s="1104"/>
      <c r="F51" s="1104"/>
      <c r="G51" s="1104"/>
      <c r="H51" s="1104"/>
      <c r="I51" s="1104"/>
      <c r="J51" s="1104"/>
      <c r="K51" s="1104"/>
      <c r="L51" s="1104"/>
      <c r="M51" s="1104"/>
      <c r="N51" s="1104"/>
      <c r="O51" s="1104"/>
      <c r="P51" s="2587"/>
      <c r="Q51" s="2587"/>
      <c r="R51" s="2587"/>
      <c r="U51" s="142"/>
    </row>
    <row r="52" spans="1:23" ht="12.75" customHeight="1" thickBot="1">
      <c r="B52" s="39" t="s">
        <v>3248</v>
      </c>
      <c r="D52" s="1102">
        <f t="shared" ref="D52:J52" si="20">SUM(D32:D50)</f>
        <v>0</v>
      </c>
      <c r="E52" s="1102">
        <f t="shared" si="20"/>
        <v>0</v>
      </c>
      <c r="F52" s="1102">
        <f t="shared" si="20"/>
        <v>0</v>
      </c>
      <c r="G52" s="1102">
        <f t="shared" si="20"/>
        <v>0</v>
      </c>
      <c r="H52" s="1102">
        <f t="shared" si="20"/>
        <v>0</v>
      </c>
      <c r="I52" s="1102">
        <f t="shared" si="20"/>
        <v>55343.819973333339</v>
      </c>
      <c r="J52" s="1102">
        <f t="shared" si="20"/>
        <v>57292.684973333337</v>
      </c>
      <c r="K52" s="1102">
        <f t="shared" ref="K52:R52" si="21">SUM(K32:K50)</f>
        <v>58252.684973333337</v>
      </c>
      <c r="L52" s="1102">
        <f t="shared" si="21"/>
        <v>59454.041973333333</v>
      </c>
      <c r="M52" s="1102">
        <f t="shared" si="21"/>
        <v>59524.041973333333</v>
      </c>
      <c r="N52" s="1102">
        <f t="shared" si="21"/>
        <v>59599.041973333333</v>
      </c>
      <c r="O52" s="1102">
        <f t="shared" si="21"/>
        <v>62338.711973333331</v>
      </c>
      <c r="P52" s="2596">
        <f t="shared" si="21"/>
        <v>62833.576973333329</v>
      </c>
      <c r="Q52" s="2596">
        <f t="shared" si="21"/>
        <v>62933.576973333329</v>
      </c>
      <c r="R52" s="2596">
        <f t="shared" si="21"/>
        <v>62939.576973333329</v>
      </c>
      <c r="T52" s="309" t="str">
        <f>IF(U52&lt;&gt;('Cap Table'!O20-'Cap Table'!O14+U49),"ERROR","")</f>
        <v/>
      </c>
      <c r="U52" s="36">
        <f>SUM(U32:U50)</f>
        <v>62939.576973333329</v>
      </c>
    </row>
    <row r="53" spans="1:23" ht="12.75" customHeight="1"/>
    <row r="54" spans="1:23" ht="12.75" customHeight="1">
      <c r="B54" s="2" t="s">
        <v>210</v>
      </c>
      <c r="D54" s="1098">
        <f t="array" ref="D54:R54">TRANSPOSE('Econ Rights'!M9:M23)</f>
        <v>0</v>
      </c>
      <c r="E54" s="1098">
        <v>0</v>
      </c>
      <c r="F54" s="1098">
        <v>0</v>
      </c>
      <c r="G54" s="1098">
        <v>0</v>
      </c>
      <c r="H54" s="1098">
        <v>0</v>
      </c>
      <c r="I54" s="1098">
        <v>0</v>
      </c>
      <c r="J54" s="1098">
        <v>1</v>
      </c>
      <c r="K54" s="1098">
        <v>3.5</v>
      </c>
      <c r="L54" s="1098">
        <v>3.7</v>
      </c>
      <c r="M54" s="1098">
        <v>4</v>
      </c>
      <c r="N54" s="1098">
        <v>6</v>
      </c>
      <c r="O54" s="1098">
        <v>7</v>
      </c>
      <c r="P54" s="1098">
        <v>7.28</v>
      </c>
      <c r="Q54" s="1098">
        <v>10</v>
      </c>
      <c r="R54" s="1098">
        <v>11</v>
      </c>
    </row>
    <row r="55" spans="1:23" ht="12.75" customHeight="1"/>
    <row r="56" spans="1:23" ht="12.75" customHeight="1">
      <c r="B56" s="2428" t="s">
        <v>3249</v>
      </c>
      <c r="C56" s="2428"/>
      <c r="D56" s="2430">
        <f>D52*D54</f>
        <v>0</v>
      </c>
      <c r="E56" s="2430">
        <f t="shared" ref="E56:R56" si="22">E52*E54</f>
        <v>0</v>
      </c>
      <c r="F56" s="2430">
        <f t="shared" si="22"/>
        <v>0</v>
      </c>
      <c r="G56" s="2430">
        <f t="shared" si="22"/>
        <v>0</v>
      </c>
      <c r="H56" s="2430">
        <f t="shared" si="22"/>
        <v>0</v>
      </c>
      <c r="I56" s="2430">
        <f t="shared" si="22"/>
        <v>0</v>
      </c>
      <c r="J56" s="2430">
        <f>J52*J54</f>
        <v>57292.684973333337</v>
      </c>
      <c r="K56" s="2430">
        <f>K52*K54</f>
        <v>203884.39740666669</v>
      </c>
      <c r="L56" s="2430">
        <f>L52*L54</f>
        <v>219979.95530133334</v>
      </c>
      <c r="M56" s="2430">
        <f>M52*M54</f>
        <v>238096.16789333333</v>
      </c>
      <c r="N56" s="2430">
        <f t="shared" si="22"/>
        <v>357594.25183999998</v>
      </c>
      <c r="O56" s="2430">
        <f t="shared" si="22"/>
        <v>436370.98381333333</v>
      </c>
      <c r="P56" s="2430">
        <f t="shared" si="22"/>
        <v>457428.44036586664</v>
      </c>
      <c r="Q56" s="2430">
        <f t="shared" si="22"/>
        <v>629335.76973333326</v>
      </c>
      <c r="R56" s="2430">
        <f t="shared" si="22"/>
        <v>692335.34670666663</v>
      </c>
    </row>
    <row r="57" spans="1:23" ht="12.75" customHeight="1">
      <c r="D57" s="691"/>
      <c r="E57" s="691"/>
      <c r="F57" s="691"/>
      <c r="G57" s="691"/>
      <c r="H57" s="691"/>
      <c r="I57" s="691"/>
      <c r="J57" s="691"/>
      <c r="K57" s="691"/>
      <c r="L57" s="691"/>
      <c r="M57" s="691"/>
      <c r="N57" s="691"/>
      <c r="O57" s="691"/>
      <c r="P57" s="691"/>
      <c r="Q57" s="691"/>
      <c r="R57" s="691"/>
    </row>
    <row r="58" spans="1:23" ht="12.75" customHeight="1">
      <c r="B58" s="2" t="s">
        <v>212</v>
      </c>
      <c r="D58" s="1103">
        <f t="shared" ref="D58:P58" si="23">-SUMPRODUCT(D41:D49,$W$41:$W$49)</f>
        <v>0</v>
      </c>
      <c r="E58" s="1103">
        <f t="shared" si="23"/>
        <v>0</v>
      </c>
      <c r="F58" s="1103">
        <f t="shared" si="23"/>
        <v>0</v>
      </c>
      <c r="G58" s="1103">
        <f t="shared" si="23"/>
        <v>0</v>
      </c>
      <c r="H58" s="1103">
        <f t="shared" si="23"/>
        <v>0</v>
      </c>
      <c r="I58" s="1103">
        <f t="shared" si="23"/>
        <v>0</v>
      </c>
      <c r="J58" s="1103">
        <f t="shared" si="23"/>
        <v>-1948.865</v>
      </c>
      <c r="K58" s="1103">
        <f t="shared" si="23"/>
        <v>-5308.8649999999998</v>
      </c>
      <c r="L58" s="1103">
        <f t="shared" si="23"/>
        <v>-9753.8859000000011</v>
      </c>
      <c r="M58" s="1103">
        <f t="shared" si="23"/>
        <v>-10033.885900000001</v>
      </c>
      <c r="N58" s="1103">
        <f t="shared" si="23"/>
        <v>-10483.885900000001</v>
      </c>
      <c r="O58" s="1103">
        <f t="shared" si="23"/>
        <v>-29661.575900000003</v>
      </c>
      <c r="P58" s="1103">
        <f t="shared" si="23"/>
        <v>-33264.193100000004</v>
      </c>
      <c r="Q58" s="1103">
        <f t="shared" ref="Q58:R58" si="24">-SUMPRODUCT(Q41:Q49,$W$41:$W$49)</f>
        <v>-34264.193100000004</v>
      </c>
      <c r="R58" s="1103">
        <f t="shared" si="24"/>
        <v>-34330.193100000004</v>
      </c>
    </row>
    <row r="59" spans="1:23" ht="12.75" customHeight="1">
      <c r="B59" s="5"/>
      <c r="C59" s="5"/>
      <c r="D59" s="1104"/>
      <c r="E59" s="1104"/>
      <c r="F59" s="1104"/>
      <c r="G59" s="1104"/>
      <c r="H59" s="1104"/>
      <c r="I59" s="1104"/>
      <c r="J59" s="1104"/>
      <c r="K59" s="1104"/>
      <c r="L59" s="1104"/>
      <c r="M59" s="1104"/>
      <c r="N59" s="1104"/>
      <c r="O59" s="1104"/>
      <c r="P59" s="1104"/>
      <c r="Q59" s="2587"/>
      <c r="R59" s="2587"/>
    </row>
    <row r="60" spans="1:23" ht="12.75" customHeight="1">
      <c r="B60" s="39" t="s">
        <v>213</v>
      </c>
      <c r="D60" s="2430">
        <f t="shared" ref="D60:R60" si="25">SUM(D56:D58)+D29</f>
        <v>74429.065703775661</v>
      </c>
      <c r="E60" s="2430">
        <f t="shared" si="25"/>
        <v>129936.79611529663</v>
      </c>
      <c r="F60" s="2430">
        <f t="shared" si="25"/>
        <v>186110.59795908711</v>
      </c>
      <c r="G60" s="2430">
        <f t="shared" si="25"/>
        <v>217059.6917839112</v>
      </c>
      <c r="H60" s="2430">
        <f t="shared" si="25"/>
        <v>244528.8698523363</v>
      </c>
      <c r="I60" s="2430">
        <f t="shared" si="25"/>
        <v>244528.8698523363</v>
      </c>
      <c r="J60" s="2430">
        <f>SUM(J56:J58)+J29</f>
        <v>299872.68982566963</v>
      </c>
      <c r="K60" s="2430">
        <f>SUM(K56:K58)+K29</f>
        <v>443104.40225900302</v>
      </c>
      <c r="L60" s="2430">
        <f>SUM(L56:L58)+L29</f>
        <v>454754.93925366964</v>
      </c>
      <c r="M60" s="2430">
        <f>SUM(M56:M58)+M29</f>
        <v>472591.15184566961</v>
      </c>
      <c r="N60" s="2430">
        <f t="shared" si="25"/>
        <v>591639.23579233629</v>
      </c>
      <c r="O60" s="2430">
        <f t="shared" si="25"/>
        <v>651238.27776566963</v>
      </c>
      <c r="P60" s="2430">
        <f t="shared" si="25"/>
        <v>668693.11711820285</v>
      </c>
      <c r="Q60" s="2430">
        <f t="shared" si="25"/>
        <v>839600.44648566958</v>
      </c>
      <c r="R60" s="2430">
        <f t="shared" si="25"/>
        <v>902534.02345900284</v>
      </c>
    </row>
    <row r="61" spans="1:23" ht="12.75" customHeight="1">
      <c r="B61" s="39"/>
      <c r="D61" s="36"/>
      <c r="E61" s="36"/>
      <c r="F61" s="36"/>
      <c r="G61" s="36"/>
      <c r="H61" s="36"/>
      <c r="I61" s="36"/>
      <c r="J61" s="36"/>
      <c r="K61" s="36"/>
      <c r="L61" s="36"/>
      <c r="M61" s="36"/>
      <c r="N61" s="36"/>
      <c r="O61" s="36"/>
      <c r="P61" s="36"/>
      <c r="Q61" s="36"/>
      <c r="R61" s="36"/>
    </row>
    <row r="62" spans="1:23" s="6" customFormat="1" ht="12.75" customHeight="1">
      <c r="A62" s="71"/>
      <c r="B62" s="212" t="s">
        <v>215</v>
      </c>
      <c r="D62" s="2445">
        <f>D$15</f>
        <v>1</v>
      </c>
      <c r="E62" s="2446">
        <f t="shared" ref="E62:R62" si="26">E$15</f>
        <v>2</v>
      </c>
      <c r="F62" s="2446">
        <f t="shared" si="26"/>
        <v>3</v>
      </c>
      <c r="G62" s="2446">
        <f t="shared" si="26"/>
        <v>4</v>
      </c>
      <c r="H62" s="2446">
        <f t="shared" si="26"/>
        <v>5</v>
      </c>
      <c r="I62" s="2446">
        <f t="shared" si="26"/>
        <v>6</v>
      </c>
      <c r="J62" s="2447">
        <f t="shared" si="26"/>
        <v>7</v>
      </c>
      <c r="K62" s="2445">
        <f t="shared" si="26"/>
        <v>8</v>
      </c>
      <c r="L62" s="2446">
        <f t="shared" si="26"/>
        <v>9</v>
      </c>
      <c r="M62" s="2446">
        <f t="shared" si="26"/>
        <v>10</v>
      </c>
      <c r="N62" s="2446">
        <f t="shared" si="26"/>
        <v>11</v>
      </c>
      <c r="O62" s="2446">
        <f t="shared" si="26"/>
        <v>12</v>
      </c>
      <c r="P62" s="2446">
        <f t="shared" si="26"/>
        <v>13</v>
      </c>
      <c r="Q62" s="2446">
        <f t="shared" si="26"/>
        <v>14</v>
      </c>
      <c r="R62" s="2447">
        <f t="shared" si="26"/>
        <v>15</v>
      </c>
      <c r="U62" s="260"/>
    </row>
    <row r="63" spans="1:23" ht="12.75" customHeight="1"/>
    <row r="64" spans="1:23" ht="12.75" customHeight="1">
      <c r="B64" s="310" t="s">
        <v>216</v>
      </c>
      <c r="D64" s="81">
        <v>1E-10</v>
      </c>
      <c r="E64" s="81">
        <f t="shared" ref="E64:O64" si="27">D65</f>
        <v>74429.065703775661</v>
      </c>
      <c r="F64" s="81">
        <f t="shared" si="27"/>
        <v>129936.79611529663</v>
      </c>
      <c r="G64" s="81">
        <f t="shared" si="27"/>
        <v>186110.59795908711</v>
      </c>
      <c r="H64" s="81">
        <f t="shared" si="27"/>
        <v>217059.6917839112</v>
      </c>
      <c r="I64" s="81">
        <f t="shared" si="27"/>
        <v>244528.8698523363</v>
      </c>
      <c r="J64" s="81">
        <f t="shared" si="27"/>
        <v>299872.68982566963</v>
      </c>
      <c r="K64" s="81">
        <f t="shared" si="27"/>
        <v>443104.40225900302</v>
      </c>
      <c r="L64" s="81">
        <f t="shared" si="27"/>
        <v>454754.93925366964</v>
      </c>
      <c r="M64" s="81">
        <f t="shared" si="27"/>
        <v>472591.15184566961</v>
      </c>
      <c r="N64" s="81">
        <f t="shared" si="27"/>
        <v>591639.23579233629</v>
      </c>
      <c r="O64" s="81">
        <f t="shared" si="27"/>
        <v>651238.27776566963</v>
      </c>
      <c r="P64" s="81">
        <f t="shared" ref="P64" si="28">O65</f>
        <v>668693.11711820285</v>
      </c>
      <c r="Q64" s="81">
        <f t="shared" ref="Q64" si="29">P65</f>
        <v>839600.44648566958</v>
      </c>
      <c r="R64" s="81">
        <f t="shared" ref="R64" si="30">Q65</f>
        <v>902534.02345900284</v>
      </c>
    </row>
    <row r="65" spans="2:21" ht="12.75" customHeight="1">
      <c r="B65" s="310" t="s">
        <v>217</v>
      </c>
      <c r="D65" s="81">
        <f>D60</f>
        <v>74429.065703775661</v>
      </c>
      <c r="E65" s="81">
        <f t="shared" ref="E65:O65" si="31">IF(F60=0,"n/a",IF(D65=E60,F60,E60))</f>
        <v>129936.79611529663</v>
      </c>
      <c r="F65" s="81">
        <f t="shared" si="31"/>
        <v>186110.59795908711</v>
      </c>
      <c r="G65" s="81">
        <f t="shared" si="31"/>
        <v>217059.6917839112</v>
      </c>
      <c r="H65" s="81">
        <f t="shared" si="31"/>
        <v>244528.8698523363</v>
      </c>
      <c r="I65" s="81">
        <f t="shared" si="31"/>
        <v>299872.68982566963</v>
      </c>
      <c r="J65" s="81">
        <f>IF(K60=0,"n/a",IF(I65=J60,K60,J60))</f>
        <v>443104.40225900302</v>
      </c>
      <c r="K65" s="81">
        <f>IF(L60=0,"n/a",IF(J65=K60,L60,K60))</f>
        <v>454754.93925366964</v>
      </c>
      <c r="L65" s="81">
        <f>IF(M60=0,"n/a",IF(K65=L60,M60,L60))</f>
        <v>472591.15184566961</v>
      </c>
      <c r="M65" s="81">
        <f>IF(N60=0,"n/a",IF(L65=M60,N60,M60))</f>
        <v>591639.23579233629</v>
      </c>
      <c r="N65" s="81">
        <f t="shared" si="31"/>
        <v>651238.27776566963</v>
      </c>
      <c r="O65" s="81">
        <f t="shared" si="31"/>
        <v>668693.11711820285</v>
      </c>
      <c r="P65" s="81">
        <f t="shared" ref="P65" si="32">IF(Q60=0,"n/a",IF(O65=P60,Q60,P60))</f>
        <v>839600.44648566958</v>
      </c>
      <c r="Q65" s="81">
        <f t="shared" ref="Q65" si="33">IF(R60=0,"n/a",IF(P65=Q60,R60,Q60))</f>
        <v>902534.02345900284</v>
      </c>
      <c r="R65" s="81" t="str">
        <f t="shared" ref="R65" si="34">IF(S60=0,"n/a",IF(Q65=R60,S60,R60))</f>
        <v>n/a</v>
      </c>
    </row>
    <row r="66" spans="2:21" ht="12.75" customHeight="1"/>
    <row r="67" spans="2:21" ht="12.75" hidden="1" customHeight="1" outlineLevel="1">
      <c r="B67" s="310" t="s">
        <v>221</v>
      </c>
      <c r="D67" s="311">
        <f>(LN($D$9/D64)+($D$12+$D$11^2/2)*$D$10)/($D$11*SQRT($D$10))</f>
        <v>32.845875337023827</v>
      </c>
      <c r="E67" s="311">
        <f>(LN($D$9/E64)+($D$12+$D$11^2/2)*$D$10)/($D$11*SQRT($D$10))</f>
        <v>1.7484713052868759</v>
      </c>
      <c r="F67" s="311">
        <f>(LN($D$9/F64)+($D$12+$D$11^2/2)*$D$10)/($D$11*SQRT($D$10))</f>
        <v>1.2424614739854496</v>
      </c>
      <c r="G67" s="311">
        <f>(LN($D$9/G64)+($D$12+$D$11^2/2)*$D$10)/($D$11*SQRT($D$10))</f>
        <v>0.91617783478375669</v>
      </c>
      <c r="H67" s="311">
        <f t="shared" ref="H67:O67" si="35">(LN($D$9/H64)+($D$12+$D$11^2/2)*$D$10)/($D$11*SQRT($D$10))</f>
        <v>0.7764794928033617</v>
      </c>
      <c r="I67" s="311">
        <f t="shared" si="35"/>
        <v>0.66826618399802107</v>
      </c>
      <c r="J67" s="311">
        <f>(LN($D$9/J64)+($D$12+$D$11^2/2)*$D$10)/($D$11*SQRT($D$10))</f>
        <v>0.48298590116528095</v>
      </c>
      <c r="K67" s="311">
        <f>(LN($D$9/K64)+($D$12+$D$11^2/2)*$D$10)/($D$11*SQRT($D$10))</f>
        <v>0.12841007855777894</v>
      </c>
      <c r="L67" s="311">
        <f>(LN($D$9/L64)+($D$12+$D$11^2/2)*$D$10)/($D$11*SQRT($D$10))</f>
        <v>0.10484121738615558</v>
      </c>
      <c r="M67" s="311">
        <f>(LN($D$9/M64)+($D$12+$D$11^2/2)*$D$10)/($D$11*SQRT($D$10))</f>
        <v>6.9903788583158863E-2</v>
      </c>
      <c r="N67" s="311">
        <f t="shared" si="35"/>
        <v>-0.13412184251870415</v>
      </c>
      <c r="O67" s="311">
        <f t="shared" si="35"/>
        <v>-0.22128254907290154</v>
      </c>
      <c r="P67" s="311">
        <f t="shared" ref="P67:R67" si="36">(LN($D$9/P64)+($D$12+$D$11^2/2)*$D$10)/($D$11*SQRT($D$10))</f>
        <v>-0.24530218382518693</v>
      </c>
      <c r="Q67" s="311">
        <f t="shared" si="36"/>
        <v>-0.45199269164681422</v>
      </c>
      <c r="R67" s="311">
        <f t="shared" si="36"/>
        <v>-0.51763235544154917</v>
      </c>
    </row>
    <row r="68" spans="2:21" ht="12.75" hidden="1" customHeight="1" outlineLevel="1">
      <c r="B68" s="310" t="s">
        <v>223</v>
      </c>
      <c r="D68" s="311">
        <f>D67-$D$11*SQRT($D$10)</f>
        <v>31.744707769866629</v>
      </c>
      <c r="E68" s="311">
        <f>E67-$D$11*SQRT($D$10)</f>
        <v>0.64730373812967712</v>
      </c>
      <c r="F68" s="311">
        <f>F67-$D$11*SQRT($D$10)</f>
        <v>0.14129390682825083</v>
      </c>
      <c r="G68" s="311">
        <f>G67-$D$11*SQRT($D$10)</f>
        <v>-0.18498973237344207</v>
      </c>
      <c r="H68" s="311">
        <f t="shared" ref="H68:O68" si="37">H67-$D$11*SQRT($D$10)</f>
        <v>-0.32468807435383706</v>
      </c>
      <c r="I68" s="311">
        <f t="shared" si="37"/>
        <v>-0.4329013831591777</v>
      </c>
      <c r="J68" s="311">
        <f>J67-$D$11*SQRT($D$10)</f>
        <v>-0.61818166599191782</v>
      </c>
      <c r="K68" s="311">
        <f>K67-$D$11*SQRT($D$10)</f>
        <v>-0.9727574885994198</v>
      </c>
      <c r="L68" s="311">
        <f>L67-$D$11*SQRT($D$10)</f>
        <v>-0.99632634977104317</v>
      </c>
      <c r="M68" s="311">
        <f>M67-$D$11*SQRT($D$10)</f>
        <v>-1.0312637785740399</v>
      </c>
      <c r="N68" s="311">
        <f t="shared" si="37"/>
        <v>-1.2352894096759028</v>
      </c>
      <c r="O68" s="311">
        <f t="shared" si="37"/>
        <v>-1.3224501162301003</v>
      </c>
      <c r="P68" s="311">
        <f t="shared" ref="P68:R68" si="38">P67-$D$11*SQRT($D$10)</f>
        <v>-1.3464697509823857</v>
      </c>
      <c r="Q68" s="311">
        <f t="shared" si="38"/>
        <v>-1.553160258804013</v>
      </c>
      <c r="R68" s="311">
        <f t="shared" si="38"/>
        <v>-1.6187999225987479</v>
      </c>
    </row>
    <row r="69" spans="2:21" ht="12.75" hidden="1" customHeight="1" outlineLevel="1">
      <c r="D69" s="311"/>
      <c r="E69" s="311"/>
      <c r="F69" s="311"/>
      <c r="G69" s="311"/>
      <c r="H69" s="311"/>
      <c r="I69" s="311"/>
      <c r="J69" s="311"/>
      <c r="K69" s="311"/>
      <c r="L69" s="311"/>
      <c r="M69" s="311"/>
      <c r="N69" s="311"/>
      <c r="O69" s="311"/>
      <c r="P69" s="311"/>
      <c r="Q69" s="311"/>
      <c r="R69" s="311"/>
    </row>
    <row r="70" spans="2:21" ht="12.75" hidden="1" customHeight="1" outlineLevel="1">
      <c r="B70" s="310" t="s">
        <v>222</v>
      </c>
      <c r="D70" s="311">
        <f>(LN($D$9/D65)+($D$12+$D$11^2/2)*$D$10)/($D$11*SQRT($D$10))</f>
        <v>1.7484713052868759</v>
      </c>
      <c r="E70" s="81">
        <f>IF(E65="n/a","n/a",(LN($D$9/E65)+($D$12+$D$11^2/2)*$D$10)/($D$11*SQRT($D$10)))</f>
        <v>1.2424614739854496</v>
      </c>
      <c r="F70" s="81">
        <f>IF(F65="n/a","n/a",(LN($D$9/F65)+($D$12+$D$11^2/2)*$D$10)/($D$11*SQRT($D$10)))</f>
        <v>0.91617783478375669</v>
      </c>
      <c r="G70" s="81">
        <f>IF(G65="n/a","n/a",(LN($D$9/G65)+($D$12+$D$11^2/2)*$D$10)/($D$11*SQRT($D$10)))</f>
        <v>0.7764794928033617</v>
      </c>
      <c r="H70" s="81">
        <f t="shared" ref="H70:O70" si="39">IF(H65="n/a","n/a",(LN($D$9/H65)+($D$12+$D$11^2/2)*$D$10)/($D$11*SQRT($D$10)))</f>
        <v>0.66826618399802107</v>
      </c>
      <c r="I70" s="81">
        <f t="shared" si="39"/>
        <v>0.48298590116528095</v>
      </c>
      <c r="J70" s="81">
        <f>IF(J65="n/a","n/a",(LN($D$9/J65)+($D$12+$D$11^2/2)*$D$10)/($D$11*SQRT($D$10)))</f>
        <v>0.12841007855777894</v>
      </c>
      <c r="K70" s="81">
        <f>IF(K65="n/a","n/a",(LN($D$9/K65)+($D$12+$D$11^2/2)*$D$10)/($D$11*SQRT($D$10)))</f>
        <v>0.10484121738615558</v>
      </c>
      <c r="L70" s="81">
        <f>IF(L65="n/a","n/a",(LN($D$9/L65)+($D$12+$D$11^2/2)*$D$10)/($D$11*SQRT($D$10)))</f>
        <v>6.9903788583158863E-2</v>
      </c>
      <c r="M70" s="81">
        <f>IF(M65="n/a","n/a",(LN($D$9/M65)+($D$12+$D$11^2/2)*$D$10)/($D$11*SQRT($D$10)))</f>
        <v>-0.13412184251870415</v>
      </c>
      <c r="N70" s="81">
        <f t="shared" si="39"/>
        <v>-0.22128254907290154</v>
      </c>
      <c r="O70" s="81">
        <f t="shared" si="39"/>
        <v>-0.24530218382518693</v>
      </c>
      <c r="P70" s="81">
        <f t="shared" ref="P70:R70" si="40">IF(P65="n/a","n/a",(LN($D$9/P65)+($D$12+$D$11^2/2)*$D$10)/($D$11*SQRT($D$10)))</f>
        <v>-0.45199269164681422</v>
      </c>
      <c r="Q70" s="81">
        <f t="shared" si="40"/>
        <v>-0.51763235544154917</v>
      </c>
      <c r="R70" s="81" t="str">
        <f t="shared" si="40"/>
        <v>n/a</v>
      </c>
    </row>
    <row r="71" spans="2:21" ht="12.75" hidden="1" customHeight="1" outlineLevel="1">
      <c r="B71" s="310" t="s">
        <v>224</v>
      </c>
      <c r="D71" s="311">
        <f>D70-$D$11*SQRT($D$10)</f>
        <v>0.64730373812967712</v>
      </c>
      <c r="E71" s="81">
        <f>IF(E65="n/a","n/a",E70-$D$11*SQRT($D$10))</f>
        <v>0.14129390682825083</v>
      </c>
      <c r="F71" s="81">
        <f>IF(F65="n/a","n/a",F70-$D$11*SQRT($D$10))</f>
        <v>-0.18498973237344207</v>
      </c>
      <c r="G71" s="81">
        <f>IF(G65="n/a","n/a",G70-$D$11*SQRT($D$10))</f>
        <v>-0.32468807435383706</v>
      </c>
      <c r="H71" s="81">
        <f t="shared" ref="H71:O71" si="41">IF(H65="n/a","n/a",H70-$D$11*SQRT($D$10))</f>
        <v>-0.4329013831591777</v>
      </c>
      <c r="I71" s="81">
        <f t="shared" si="41"/>
        <v>-0.61818166599191782</v>
      </c>
      <c r="J71" s="81">
        <f>IF(J65="n/a","n/a",J70-$D$11*SQRT($D$10))</f>
        <v>-0.9727574885994198</v>
      </c>
      <c r="K71" s="81">
        <f>IF(K65="n/a","n/a",K70-$D$11*SQRT($D$10))</f>
        <v>-0.99632634977104317</v>
      </c>
      <c r="L71" s="81">
        <f>IF(L65="n/a","n/a",L70-$D$11*SQRT($D$10))</f>
        <v>-1.0312637785740399</v>
      </c>
      <c r="M71" s="81">
        <f>IF(M65="n/a","n/a",M70-$D$11*SQRT($D$10))</f>
        <v>-1.2352894096759028</v>
      </c>
      <c r="N71" s="81">
        <f t="shared" si="41"/>
        <v>-1.3224501162301003</v>
      </c>
      <c r="O71" s="81">
        <f t="shared" si="41"/>
        <v>-1.3464697509823857</v>
      </c>
      <c r="P71" s="81">
        <f t="shared" ref="P71:R71" si="42">IF(P65="n/a","n/a",P70-$D$11*SQRT($D$10))</f>
        <v>-1.553160258804013</v>
      </c>
      <c r="Q71" s="81">
        <f t="shared" si="42"/>
        <v>-1.6187999225987479</v>
      </c>
      <c r="R71" s="81" t="str">
        <f t="shared" si="42"/>
        <v>n/a</v>
      </c>
    </row>
    <row r="72" spans="2:21" ht="12.75" hidden="1" customHeight="1" outlineLevel="1">
      <c r="D72" s="311"/>
      <c r="E72" s="311"/>
      <c r="F72" s="311"/>
      <c r="G72" s="311"/>
      <c r="H72" s="311"/>
      <c r="I72" s="311"/>
      <c r="J72" s="311"/>
      <c r="K72" s="311"/>
      <c r="L72" s="311"/>
      <c r="M72" s="311"/>
      <c r="N72" s="311"/>
      <c r="O72" s="311"/>
      <c r="P72" s="311"/>
      <c r="Q72" s="311"/>
      <c r="R72" s="311"/>
    </row>
    <row r="73" spans="2:21" ht="12.75" customHeight="1" collapsed="1">
      <c r="B73" s="310" t="s">
        <v>218</v>
      </c>
      <c r="D73" s="311">
        <f>$D$9*NORMSDIST(D67)-D64*EXP(-$D$12*$D$10)*NORMSDIST(D68)</f>
        <v>262849.99999999988</v>
      </c>
      <c r="E73" s="311">
        <f>$D$9*NORMSDIST(E67)-E64*EXP(-$D$12*$D$10)*NORMSDIST(E68)</f>
        <v>200187.30219651258</v>
      </c>
      <c r="F73" s="311">
        <f>$D$9*NORMSDIST(F67)-F64*EXP(-$D$12*$D$10)*NORMSDIST(F68)</f>
        <v>166475.09758603844</v>
      </c>
      <c r="G73" s="311">
        <f>$D$9*NORMSDIST(G67)-G64*EXP(-$D$12*$D$10)*NORMSDIST(G68)</f>
        <v>140619.27383762677</v>
      </c>
      <c r="H73" s="311">
        <f t="shared" ref="H73:I73" si="43">$D$9*NORMSDIST(H67)-H64*EXP(-$D$12*$D$10)*NORMSDIST(H68)</f>
        <v>128964.18827531235</v>
      </c>
      <c r="I73" s="311">
        <f t="shared" si="43"/>
        <v>119831.51792139832</v>
      </c>
      <c r="J73" s="311">
        <f>$D$9*NORMSDIST(J67)-J64*EXP(-$D$12*$D$10)*NORMSDIST(J68)</f>
        <v>104217.78550595352</v>
      </c>
      <c r="K73" s="311">
        <f>$D$9*NORMSDIST(K67)-K64*EXP(-$D$12*$D$10)*NORMSDIST(K68)</f>
        <v>75674.404315707812</v>
      </c>
      <c r="L73" s="311">
        <f>$D$9*NORMSDIST(L67)-L64*EXP(-$D$12*$D$10)*NORMSDIST(L68)</f>
        <v>73887.597469304805</v>
      </c>
      <c r="M73" s="311">
        <f>$D$9*NORMSDIST(M67)-M64*EXP(-$D$12*$D$10)*NORMSDIST(M68)</f>
        <v>71271.55462818878</v>
      </c>
      <c r="N73" s="311">
        <f t="shared" ref="N73:R73" si="44">$D$9*NORMSDIST(N67)-N64*EXP(-$D$12*$D$10)*NORMSDIST(N68)</f>
        <v>56864.491911573808</v>
      </c>
      <c r="O73" s="311">
        <f t="shared" si="44"/>
        <v>51213.066932729853</v>
      </c>
      <c r="P73" s="311">
        <f t="shared" si="44"/>
        <v>49712.807823480551</v>
      </c>
      <c r="Q73" s="311">
        <f t="shared" si="44"/>
        <v>37872.339416841947</v>
      </c>
      <c r="R73" s="311">
        <f t="shared" si="44"/>
        <v>34523.094037134091</v>
      </c>
    </row>
    <row r="74" spans="2:21" ht="12.75" customHeight="1">
      <c r="B74" s="310" t="s">
        <v>219</v>
      </c>
      <c r="D74" s="311">
        <f>$D$9*NORMSDIST(D70)-D65*EXP(-$D$12*$D$10)*NORMSDIST(D71)</f>
        <v>200187.30219651258</v>
      </c>
      <c r="E74" s="81">
        <f>IF(E65="n/a","n/a",$D$9*NORMSDIST(E70)-E65*EXP(-$D$12*$D$10)*NORMSDIST(E71))</f>
        <v>166475.09758603844</v>
      </c>
      <c r="F74" s="81">
        <f>IF(F65="n/a","n/a",$D$9*NORMSDIST(F70)-F65*EXP(-$D$12*$D$10)*NORMSDIST(F71))</f>
        <v>140619.27383762677</v>
      </c>
      <c r="G74" s="81">
        <f>IF(G65="n/a","n/a",$D$9*NORMSDIST(G70)-G65*EXP(-$D$12*$D$10)*NORMSDIST(G71))</f>
        <v>128964.18827531235</v>
      </c>
      <c r="H74" s="81">
        <f t="shared" ref="H74:I74" si="45">IF(H65="n/a","n/a",$D$9*NORMSDIST(H70)-H65*EXP(-$D$12*$D$10)*NORMSDIST(H71))</f>
        <v>119831.51792139832</v>
      </c>
      <c r="I74" s="81">
        <f t="shared" si="45"/>
        <v>104217.78550595352</v>
      </c>
      <c r="J74" s="81">
        <f>IF(J65="n/a","n/a",$D$9*NORMSDIST(J70)-J65*EXP(-$D$12*$D$10)*NORMSDIST(J71))</f>
        <v>75674.404315707812</v>
      </c>
      <c r="K74" s="81">
        <f>IF(K65="n/a","n/a",$D$9*NORMSDIST(K70)-K65*EXP(-$D$12*$D$10)*NORMSDIST(K71))</f>
        <v>73887.597469304805</v>
      </c>
      <c r="L74" s="81">
        <f>IF(L65="n/a","n/a",$D$9*NORMSDIST(L70)-L65*EXP(-$D$12*$D$10)*NORMSDIST(L71))</f>
        <v>71271.55462818878</v>
      </c>
      <c r="M74" s="81">
        <f>IF(M65="n/a","n/a",$D$9*NORMSDIST(M70)-M65*EXP(-$D$12*$D$10)*NORMSDIST(M71))</f>
        <v>56864.491911573808</v>
      </c>
      <c r="N74" s="81">
        <f t="shared" ref="N74:R74" si="46">IF(N65="n/a","n/a",$D$9*NORMSDIST(N70)-N65*EXP(-$D$12*$D$10)*NORMSDIST(N71))</f>
        <v>51213.066932729853</v>
      </c>
      <c r="O74" s="81">
        <f t="shared" si="46"/>
        <v>49712.807823480551</v>
      </c>
      <c r="P74" s="81">
        <f t="shared" si="46"/>
        <v>37872.339416841947</v>
      </c>
      <c r="Q74" s="81">
        <f t="shared" si="46"/>
        <v>34523.094037134091</v>
      </c>
      <c r="R74" s="81" t="str">
        <f t="shared" si="46"/>
        <v>n/a</v>
      </c>
    </row>
    <row r="75" spans="2:21" ht="12.75" customHeight="1"/>
    <row r="76" spans="2:21" ht="12.75" customHeight="1">
      <c r="B76" s="1" t="s">
        <v>220</v>
      </c>
      <c r="C76" s="1"/>
      <c r="D76" s="2429">
        <f>D73-D74</f>
        <v>62662.697803487303</v>
      </c>
      <c r="E76" s="2429">
        <f>IF(E65="n/a",E73,E73-E74)</f>
        <v>33712.204610474146</v>
      </c>
      <c r="F76" s="2429">
        <f>IF(F65="n/a",F73,F73-F74)</f>
        <v>25855.823748411669</v>
      </c>
      <c r="G76" s="2429">
        <f>IF(G65="n/a",G73,G73-G74)</f>
        <v>11655.085562314416</v>
      </c>
      <c r="H76" s="2429">
        <f t="shared" ref="H76:R76" si="47">IF(H65="n/a",H73,H73-H74)</f>
        <v>9132.670353914029</v>
      </c>
      <c r="I76" s="2429">
        <f t="shared" si="47"/>
        <v>15613.7324154448</v>
      </c>
      <c r="J76" s="2429">
        <f>IF(J65="n/a",J73,J73-J74)</f>
        <v>28543.381190245709</v>
      </c>
      <c r="K76" s="2429">
        <f>IF(K65="n/a",K73,K73-K74)</f>
        <v>1786.8068464030075</v>
      </c>
      <c r="L76" s="2429">
        <f>IF(L65="n/a",L73,L73-L74)</f>
        <v>2616.0428411160246</v>
      </c>
      <c r="M76" s="2429">
        <f>IF(M65="n/a",M73,M73-M74)</f>
        <v>14407.062716614972</v>
      </c>
      <c r="N76" s="2429">
        <f t="shared" si="47"/>
        <v>5651.4249788439556</v>
      </c>
      <c r="O76" s="2429">
        <f t="shared" si="47"/>
        <v>1500.2591092493021</v>
      </c>
      <c r="P76" s="2429">
        <f t="shared" si="47"/>
        <v>11840.468406638603</v>
      </c>
      <c r="Q76" s="2429">
        <f t="shared" si="47"/>
        <v>3349.245379707856</v>
      </c>
      <c r="R76" s="2429">
        <f t="shared" si="47"/>
        <v>34523.094037134091</v>
      </c>
    </row>
    <row r="77" spans="2:21" ht="12.75" customHeight="1"/>
    <row r="78" spans="2:21" s="6" customFormat="1" ht="12.75" customHeight="1">
      <c r="B78" s="212" t="s">
        <v>214</v>
      </c>
      <c r="D78" s="2445">
        <f>D$15</f>
        <v>1</v>
      </c>
      <c r="E78" s="2446">
        <f t="shared" ref="E78:R78" si="48">E$15</f>
        <v>2</v>
      </c>
      <c r="F78" s="2446">
        <f t="shared" si="48"/>
        <v>3</v>
      </c>
      <c r="G78" s="2446">
        <f t="shared" si="48"/>
        <v>4</v>
      </c>
      <c r="H78" s="2446">
        <f t="shared" si="48"/>
        <v>5</v>
      </c>
      <c r="I78" s="2446">
        <f t="shared" si="48"/>
        <v>6</v>
      </c>
      <c r="J78" s="2447">
        <f t="shared" si="48"/>
        <v>7</v>
      </c>
      <c r="K78" s="2445">
        <f t="shared" si="48"/>
        <v>8</v>
      </c>
      <c r="L78" s="2446">
        <f t="shared" si="48"/>
        <v>9</v>
      </c>
      <c r="M78" s="2446">
        <f t="shared" si="48"/>
        <v>10</v>
      </c>
      <c r="N78" s="2446">
        <f t="shared" si="48"/>
        <v>11</v>
      </c>
      <c r="O78" s="2446">
        <f t="shared" si="48"/>
        <v>12</v>
      </c>
      <c r="P78" s="2446">
        <f t="shared" si="48"/>
        <v>13</v>
      </c>
      <c r="Q78" s="2446">
        <f t="shared" si="48"/>
        <v>14</v>
      </c>
      <c r="R78" s="2447">
        <f t="shared" si="48"/>
        <v>15</v>
      </c>
      <c r="U78" s="260"/>
    </row>
    <row r="79" spans="2:21" ht="12.75" customHeight="1"/>
    <row r="80" spans="2:21" ht="12.75" customHeight="1">
      <c r="D80" s="136" t="s">
        <v>207</v>
      </c>
      <c r="E80" s="136" t="s">
        <v>207</v>
      </c>
      <c r="F80" s="136" t="s">
        <v>207</v>
      </c>
      <c r="G80" s="136" t="s">
        <v>207</v>
      </c>
      <c r="H80" s="136" t="s">
        <v>207</v>
      </c>
      <c r="I80" s="136" t="s">
        <v>151</v>
      </c>
      <c r="J80" s="136" t="s">
        <v>151</v>
      </c>
      <c r="K80" s="136" t="s">
        <v>151</v>
      </c>
      <c r="L80" s="136" t="s">
        <v>151</v>
      </c>
      <c r="M80" s="136" t="s">
        <v>151</v>
      </c>
      <c r="N80" s="136" t="s">
        <v>151</v>
      </c>
      <c r="O80" s="136" t="s">
        <v>151</v>
      </c>
      <c r="P80" s="136" t="s">
        <v>151</v>
      </c>
      <c r="Q80" s="136" t="s">
        <v>151</v>
      </c>
      <c r="R80" s="136" t="s">
        <v>151</v>
      </c>
    </row>
    <row r="81" spans="2:18" ht="12.75" customHeight="1"/>
    <row r="82" spans="2:18" ht="12.75" customHeight="1">
      <c r="B82" s="137" t="str">
        <f t="shared" ref="B82:B96" si="49">B32</f>
        <v>Series A-1</v>
      </c>
      <c r="D82" s="980">
        <v>0</v>
      </c>
      <c r="E82" s="980">
        <f t="shared" ref="E82:E89" si="50">E19</f>
        <v>0</v>
      </c>
      <c r="F82" s="980">
        <v>0</v>
      </c>
      <c r="G82" s="980">
        <v>0</v>
      </c>
      <c r="H82" s="980">
        <f>H19</f>
        <v>7062.8391427201914</v>
      </c>
      <c r="I82" s="980">
        <f t="shared" ref="I82:P95" si="51">I32</f>
        <v>5499.9989999999998</v>
      </c>
      <c r="J82" s="980">
        <f t="shared" si="51"/>
        <v>5499.9989999999998</v>
      </c>
      <c r="K82" s="980">
        <f t="shared" si="51"/>
        <v>5499.9989999999998</v>
      </c>
      <c r="L82" s="980">
        <f t="shared" si="51"/>
        <v>5499.9989999999998</v>
      </c>
      <c r="M82" s="980">
        <f t="shared" si="51"/>
        <v>5499.9989999999998</v>
      </c>
      <c r="N82" s="980">
        <f t="shared" si="51"/>
        <v>5499.9989999999998</v>
      </c>
      <c r="O82" s="980">
        <f t="shared" si="51"/>
        <v>5499.9989999999998</v>
      </c>
      <c r="P82" s="980">
        <f t="shared" si="51"/>
        <v>5499.9989999999998</v>
      </c>
      <c r="Q82" s="980">
        <f t="shared" ref="Q82:R82" si="52">Q32</f>
        <v>5499.9989999999998</v>
      </c>
      <c r="R82" s="980">
        <f t="shared" si="52"/>
        <v>5499.9989999999998</v>
      </c>
    </row>
    <row r="83" spans="2:18" ht="12.75" customHeight="1">
      <c r="B83" s="137" t="str">
        <f t="shared" si="49"/>
        <v>Series A-2</v>
      </c>
      <c r="D83" s="980">
        <v>0</v>
      </c>
      <c r="E83" s="980">
        <f t="shared" si="50"/>
        <v>0</v>
      </c>
      <c r="F83" s="980">
        <v>0</v>
      </c>
      <c r="G83" s="980">
        <v>0</v>
      </c>
      <c r="H83" s="980">
        <f>H20</f>
        <v>20406.338925704895</v>
      </c>
      <c r="I83" s="980">
        <f t="shared" si="51"/>
        <v>20916.409</v>
      </c>
      <c r="J83" s="980">
        <f t="shared" si="51"/>
        <v>20916.409</v>
      </c>
      <c r="K83" s="980">
        <f t="shared" si="51"/>
        <v>20916.409</v>
      </c>
      <c r="L83" s="980">
        <f t="shared" si="51"/>
        <v>20916.409</v>
      </c>
      <c r="M83" s="980">
        <f t="shared" si="51"/>
        <v>20916.409</v>
      </c>
      <c r="N83" s="980">
        <f t="shared" si="51"/>
        <v>20916.409</v>
      </c>
      <c r="O83" s="980">
        <f t="shared" si="51"/>
        <v>20916.409</v>
      </c>
      <c r="P83" s="980">
        <f t="shared" si="51"/>
        <v>20916.409</v>
      </c>
      <c r="Q83" s="980">
        <f t="shared" ref="Q83:R83" si="53">Q33</f>
        <v>20916.409</v>
      </c>
      <c r="R83" s="980">
        <f t="shared" si="53"/>
        <v>20916.409</v>
      </c>
    </row>
    <row r="84" spans="2:18" ht="12.75" customHeight="1">
      <c r="B84" s="137" t="str">
        <f t="shared" si="49"/>
        <v>Series B Tranche I</v>
      </c>
      <c r="D84" s="980">
        <v>0</v>
      </c>
      <c r="E84" s="980">
        <f t="shared" si="50"/>
        <v>0</v>
      </c>
      <c r="F84" s="980">
        <v>0</v>
      </c>
      <c r="G84" s="980">
        <f>G21</f>
        <v>15649.96285306033</v>
      </c>
      <c r="H84" s="980">
        <v>0</v>
      </c>
      <c r="I84" s="980">
        <f t="shared" si="51"/>
        <v>3571.4279999999999</v>
      </c>
      <c r="J84" s="980">
        <f t="shared" si="51"/>
        <v>3571.4279999999999</v>
      </c>
      <c r="K84" s="980">
        <f t="shared" si="51"/>
        <v>3571.4279999999999</v>
      </c>
      <c r="L84" s="980">
        <f t="shared" si="51"/>
        <v>3571.4279999999999</v>
      </c>
      <c r="M84" s="980">
        <f t="shared" si="51"/>
        <v>3571.4279999999999</v>
      </c>
      <c r="N84" s="980">
        <f t="shared" si="51"/>
        <v>3571.4279999999999</v>
      </c>
      <c r="O84" s="980">
        <f t="shared" si="51"/>
        <v>3571.4279999999999</v>
      </c>
      <c r="P84" s="980">
        <f t="shared" si="51"/>
        <v>3571.4279999999999</v>
      </c>
      <c r="Q84" s="980">
        <f t="shared" ref="Q84:R84" si="54">Q34</f>
        <v>3571.4279999999999</v>
      </c>
      <c r="R84" s="980">
        <f t="shared" si="54"/>
        <v>3571.4279999999999</v>
      </c>
    </row>
    <row r="85" spans="2:18" ht="12.75" customHeight="1">
      <c r="B85" s="137" t="str">
        <f t="shared" si="49"/>
        <v>Series B Tranche II</v>
      </c>
      <c r="D85" s="980">
        <v>0</v>
      </c>
      <c r="E85" s="980">
        <f t="shared" si="50"/>
        <v>0</v>
      </c>
      <c r="F85" s="980">
        <v>0</v>
      </c>
      <c r="G85" s="980">
        <f>G22</f>
        <v>15299.130971763774</v>
      </c>
      <c r="H85" s="980">
        <v>0</v>
      </c>
      <c r="I85" s="980">
        <f t="shared" si="51"/>
        <v>3571.4290000000001</v>
      </c>
      <c r="J85" s="980">
        <f t="shared" si="51"/>
        <v>3571.4290000000001</v>
      </c>
      <c r="K85" s="980">
        <f t="shared" si="51"/>
        <v>3571.4290000000001</v>
      </c>
      <c r="L85" s="980">
        <f t="shared" si="51"/>
        <v>3571.4290000000001</v>
      </c>
      <c r="M85" s="980">
        <f t="shared" si="51"/>
        <v>3571.4290000000001</v>
      </c>
      <c r="N85" s="980">
        <f t="shared" si="51"/>
        <v>3571.4290000000001</v>
      </c>
      <c r="O85" s="980">
        <f t="shared" si="51"/>
        <v>3571.4290000000001</v>
      </c>
      <c r="P85" s="980">
        <f t="shared" si="51"/>
        <v>3571.4290000000001</v>
      </c>
      <c r="Q85" s="980">
        <f t="shared" ref="Q85:R85" si="55">Q35</f>
        <v>3571.4290000000001</v>
      </c>
      <c r="R85" s="980">
        <f t="shared" si="55"/>
        <v>3571.4290000000001</v>
      </c>
    </row>
    <row r="86" spans="2:18" ht="12.75" customHeight="1">
      <c r="B86" s="137" t="str">
        <f t="shared" si="49"/>
        <v>Series C Tranche I</v>
      </c>
      <c r="D86" s="980">
        <v>0</v>
      </c>
      <c r="E86" s="980">
        <f t="shared" si="50"/>
        <v>0</v>
      </c>
      <c r="F86" s="980">
        <f>F23</f>
        <v>28577.284224569034</v>
      </c>
      <c r="G86" s="980">
        <v>0</v>
      </c>
      <c r="H86" s="980">
        <v>0</v>
      </c>
      <c r="I86" s="980">
        <f t="shared" si="51"/>
        <v>2384.889986666667</v>
      </c>
      <c r="J86" s="980">
        <f t="shared" si="51"/>
        <v>2384.889986666667</v>
      </c>
      <c r="K86" s="980">
        <f t="shared" si="51"/>
        <v>2384.889986666667</v>
      </c>
      <c r="L86" s="980">
        <f t="shared" si="51"/>
        <v>2384.889986666667</v>
      </c>
      <c r="M86" s="980">
        <f t="shared" si="51"/>
        <v>2384.889986666667</v>
      </c>
      <c r="N86" s="980">
        <f t="shared" si="51"/>
        <v>2384.889986666667</v>
      </c>
      <c r="O86" s="980">
        <f t="shared" si="51"/>
        <v>2384.889986666667</v>
      </c>
      <c r="P86" s="980">
        <f t="shared" si="51"/>
        <v>2384.889986666667</v>
      </c>
      <c r="Q86" s="980">
        <f t="shared" ref="Q86:R86" si="56">Q36</f>
        <v>2384.889986666667</v>
      </c>
      <c r="R86" s="980">
        <f t="shared" si="56"/>
        <v>2384.889986666667</v>
      </c>
    </row>
    <row r="87" spans="2:18" ht="12.75" customHeight="1">
      <c r="B87" s="137" t="str">
        <f t="shared" si="49"/>
        <v>Series C Tranche II</v>
      </c>
      <c r="D87" s="980">
        <v>0</v>
      </c>
      <c r="E87" s="980">
        <f t="shared" si="50"/>
        <v>0</v>
      </c>
      <c r="F87" s="980">
        <f>F24</f>
        <v>27596.517619221435</v>
      </c>
      <c r="G87" s="980">
        <v>0</v>
      </c>
      <c r="H87" s="980">
        <v>0</v>
      </c>
      <c r="I87" s="980">
        <f t="shared" si="51"/>
        <v>2384.889986666667</v>
      </c>
      <c r="J87" s="980">
        <f t="shared" si="51"/>
        <v>2384.889986666667</v>
      </c>
      <c r="K87" s="980">
        <f t="shared" si="51"/>
        <v>2384.889986666667</v>
      </c>
      <c r="L87" s="980">
        <f t="shared" si="51"/>
        <v>2384.889986666667</v>
      </c>
      <c r="M87" s="980">
        <f t="shared" si="51"/>
        <v>2384.889986666667</v>
      </c>
      <c r="N87" s="980">
        <f t="shared" si="51"/>
        <v>2384.889986666667</v>
      </c>
      <c r="O87" s="980">
        <f t="shared" si="51"/>
        <v>2384.889986666667</v>
      </c>
      <c r="P87" s="980">
        <f t="shared" si="51"/>
        <v>2384.889986666667</v>
      </c>
      <c r="Q87" s="980">
        <f t="shared" ref="Q87:R87" si="57">Q37</f>
        <v>2384.889986666667</v>
      </c>
      <c r="R87" s="980">
        <f t="shared" si="57"/>
        <v>2384.889986666667</v>
      </c>
    </row>
    <row r="88" spans="2:18" ht="12.75" customHeight="1">
      <c r="B88" s="137" t="str">
        <f t="shared" si="49"/>
        <v>Series D Tranche I</v>
      </c>
      <c r="D88" s="980">
        <v>0</v>
      </c>
      <c r="E88" s="980">
        <f t="shared" si="50"/>
        <v>32753.793361074884</v>
      </c>
      <c r="F88" s="980">
        <v>0</v>
      </c>
      <c r="G88" s="980">
        <v>0</v>
      </c>
      <c r="H88" s="980">
        <v>0</v>
      </c>
      <c r="I88" s="980">
        <f t="shared" si="51"/>
        <v>2646.0859999999998</v>
      </c>
      <c r="J88" s="980">
        <f t="shared" si="51"/>
        <v>2646.0859999999998</v>
      </c>
      <c r="K88" s="980">
        <f t="shared" si="51"/>
        <v>2646.0859999999998</v>
      </c>
      <c r="L88" s="980">
        <f t="shared" si="51"/>
        <v>2646.0859999999998</v>
      </c>
      <c r="M88" s="980">
        <f t="shared" si="51"/>
        <v>2646.0859999999998</v>
      </c>
      <c r="N88" s="980">
        <f t="shared" si="51"/>
        <v>2646.0859999999998</v>
      </c>
      <c r="O88" s="980">
        <f t="shared" si="51"/>
        <v>2646.0859999999998</v>
      </c>
      <c r="P88" s="980">
        <f t="shared" si="51"/>
        <v>2646.0859999999998</v>
      </c>
      <c r="Q88" s="980">
        <f t="shared" ref="Q88:R88" si="58">Q38</f>
        <v>2646.0859999999998</v>
      </c>
      <c r="R88" s="980">
        <f t="shared" si="58"/>
        <v>2646.0859999999998</v>
      </c>
    </row>
    <row r="89" spans="2:18" ht="12.75" customHeight="1">
      <c r="B89" s="137" t="str">
        <f t="shared" si="49"/>
        <v>Series D Tranche II</v>
      </c>
      <c r="D89" s="980">
        <v>0</v>
      </c>
      <c r="E89" s="980">
        <f t="shared" si="50"/>
        <v>22753.937050446086</v>
      </c>
      <c r="F89" s="980">
        <v>0</v>
      </c>
      <c r="G89" s="980">
        <v>0</v>
      </c>
      <c r="H89" s="980">
        <v>0</v>
      </c>
      <c r="I89" s="980">
        <f t="shared" si="51"/>
        <v>1852.702</v>
      </c>
      <c r="J89" s="980">
        <f t="shared" si="51"/>
        <v>1852.702</v>
      </c>
      <c r="K89" s="980">
        <f t="shared" si="51"/>
        <v>1852.702</v>
      </c>
      <c r="L89" s="980">
        <f t="shared" si="51"/>
        <v>1852.702</v>
      </c>
      <c r="M89" s="980">
        <f t="shared" si="51"/>
        <v>1852.702</v>
      </c>
      <c r="N89" s="980">
        <f t="shared" si="51"/>
        <v>1852.702</v>
      </c>
      <c r="O89" s="980">
        <f t="shared" si="51"/>
        <v>1852.702</v>
      </c>
      <c r="P89" s="980">
        <f t="shared" si="51"/>
        <v>1852.702</v>
      </c>
      <c r="Q89" s="980">
        <f t="shared" ref="Q89:R89" si="59">Q39</f>
        <v>1852.702</v>
      </c>
      <c r="R89" s="980">
        <f t="shared" si="59"/>
        <v>1852.702</v>
      </c>
    </row>
    <row r="90" spans="2:18" ht="12.75" customHeight="1">
      <c r="B90" s="137" t="str">
        <f t="shared" si="49"/>
        <v>Series E</v>
      </c>
      <c r="D90" s="980">
        <f>D27</f>
        <v>74429.065703775661</v>
      </c>
      <c r="E90" s="980">
        <v>0</v>
      </c>
      <c r="F90" s="980">
        <v>0</v>
      </c>
      <c r="G90" s="980">
        <v>0</v>
      </c>
      <c r="H90" s="980">
        <v>0</v>
      </c>
      <c r="I90" s="980">
        <f t="shared" si="51"/>
        <v>5064.8329999999996</v>
      </c>
      <c r="J90" s="980">
        <f t="shared" si="51"/>
        <v>5064.8329999999996</v>
      </c>
      <c r="K90" s="980">
        <f t="shared" si="51"/>
        <v>5064.8329999999996</v>
      </c>
      <c r="L90" s="980">
        <f t="shared" si="51"/>
        <v>5064.8329999999996</v>
      </c>
      <c r="M90" s="980">
        <f t="shared" si="51"/>
        <v>5064.8329999999996</v>
      </c>
      <c r="N90" s="980">
        <f t="shared" si="51"/>
        <v>5064.8329999999996</v>
      </c>
      <c r="O90" s="980">
        <f t="shared" si="51"/>
        <v>5064.8329999999996</v>
      </c>
      <c r="P90" s="980">
        <f t="shared" si="51"/>
        <v>5064.8329999999996</v>
      </c>
      <c r="Q90" s="980">
        <f t="shared" ref="Q90:R90" si="60">Q40</f>
        <v>5064.8329999999996</v>
      </c>
      <c r="R90" s="980">
        <f t="shared" si="60"/>
        <v>5064.8329999999996</v>
      </c>
    </row>
    <row r="91" spans="2:18" ht="12.75" customHeight="1">
      <c r="B91" s="137" t="str">
        <f t="shared" si="49"/>
        <v>Options at $1.00 Strike Price</v>
      </c>
      <c r="D91" s="980">
        <v>0</v>
      </c>
      <c r="E91" s="980">
        <v>0</v>
      </c>
      <c r="F91" s="980">
        <v>0</v>
      </c>
      <c r="G91" s="980">
        <v>0</v>
      </c>
      <c r="H91" s="980">
        <v>0</v>
      </c>
      <c r="I91" s="980">
        <f t="shared" si="51"/>
        <v>0</v>
      </c>
      <c r="J91" s="980">
        <f t="shared" si="51"/>
        <v>1948.865</v>
      </c>
      <c r="K91" s="980">
        <f t="shared" si="51"/>
        <v>1948.865</v>
      </c>
      <c r="L91" s="980">
        <f t="shared" si="51"/>
        <v>1948.865</v>
      </c>
      <c r="M91" s="980">
        <f t="shared" si="51"/>
        <v>1948.865</v>
      </c>
      <c r="N91" s="980">
        <f t="shared" si="51"/>
        <v>1948.865</v>
      </c>
      <c r="O91" s="980">
        <f t="shared" si="51"/>
        <v>1948.865</v>
      </c>
      <c r="P91" s="980">
        <f t="shared" si="51"/>
        <v>1948.865</v>
      </c>
      <c r="Q91" s="980">
        <f t="shared" ref="Q91:R91" si="61">Q41</f>
        <v>1948.865</v>
      </c>
      <c r="R91" s="980">
        <f t="shared" si="61"/>
        <v>1948.865</v>
      </c>
    </row>
    <row r="92" spans="2:18" ht="12.75" customHeight="1">
      <c r="B92" s="137" t="str">
        <f t="shared" si="49"/>
        <v>Options at $3.50 Strike Price</v>
      </c>
      <c r="D92" s="980">
        <v>0</v>
      </c>
      <c r="E92" s="980">
        <v>0</v>
      </c>
      <c r="F92" s="980">
        <v>0</v>
      </c>
      <c r="G92" s="980">
        <v>0</v>
      </c>
      <c r="H92" s="980">
        <v>0</v>
      </c>
      <c r="I92" s="980">
        <f t="shared" si="51"/>
        <v>0</v>
      </c>
      <c r="J92" s="980">
        <f t="shared" si="51"/>
        <v>0</v>
      </c>
      <c r="K92" s="980">
        <f t="shared" si="51"/>
        <v>960</v>
      </c>
      <c r="L92" s="980">
        <f t="shared" si="51"/>
        <v>960</v>
      </c>
      <c r="M92" s="980">
        <f t="shared" si="51"/>
        <v>960</v>
      </c>
      <c r="N92" s="980">
        <f t="shared" si="51"/>
        <v>960</v>
      </c>
      <c r="O92" s="980">
        <f t="shared" si="51"/>
        <v>960</v>
      </c>
      <c r="P92" s="980">
        <f t="shared" si="51"/>
        <v>960</v>
      </c>
      <c r="Q92" s="980">
        <f t="shared" ref="Q92:R92" si="62">Q42</f>
        <v>960</v>
      </c>
      <c r="R92" s="980">
        <f t="shared" si="62"/>
        <v>960</v>
      </c>
    </row>
    <row r="93" spans="2:18" ht="12.75" customHeight="1">
      <c r="B93" s="137" t="str">
        <f t="shared" si="49"/>
        <v>Options at $3.70 Strike Price</v>
      </c>
      <c r="D93" s="980">
        <v>0</v>
      </c>
      <c r="E93" s="980">
        <v>0</v>
      </c>
      <c r="F93" s="980">
        <v>0</v>
      </c>
      <c r="G93" s="980">
        <v>0</v>
      </c>
      <c r="H93" s="980">
        <v>0</v>
      </c>
      <c r="I93" s="980">
        <f t="shared" si="51"/>
        <v>0</v>
      </c>
      <c r="J93" s="980">
        <f t="shared" si="51"/>
        <v>0</v>
      </c>
      <c r="K93" s="980">
        <f t="shared" si="51"/>
        <v>0</v>
      </c>
      <c r="L93" s="980">
        <f t="shared" si="51"/>
        <v>1201.357</v>
      </c>
      <c r="M93" s="980">
        <f t="shared" si="51"/>
        <v>1201.357</v>
      </c>
      <c r="N93" s="980">
        <f t="shared" si="51"/>
        <v>1201.357</v>
      </c>
      <c r="O93" s="980">
        <f t="shared" si="51"/>
        <v>1201.357</v>
      </c>
      <c r="P93" s="980">
        <f t="shared" si="51"/>
        <v>1201.357</v>
      </c>
      <c r="Q93" s="980">
        <f t="shared" ref="Q93:R93" si="63">Q43</f>
        <v>1201.357</v>
      </c>
      <c r="R93" s="980">
        <f t="shared" si="63"/>
        <v>1201.357</v>
      </c>
    </row>
    <row r="94" spans="2:18" ht="12.75" customHeight="1">
      <c r="B94" s="137" t="str">
        <f t="shared" si="49"/>
        <v>Options at $4.00 Strike Price</v>
      </c>
      <c r="D94" s="980">
        <v>0</v>
      </c>
      <c r="E94" s="980">
        <v>0</v>
      </c>
      <c r="F94" s="980">
        <v>0</v>
      </c>
      <c r="G94" s="980">
        <v>0</v>
      </c>
      <c r="H94" s="980">
        <v>0</v>
      </c>
      <c r="I94" s="980">
        <f t="shared" si="51"/>
        <v>0</v>
      </c>
      <c r="J94" s="980">
        <f t="shared" si="51"/>
        <v>0</v>
      </c>
      <c r="K94" s="980">
        <f t="shared" si="51"/>
        <v>0</v>
      </c>
      <c r="L94" s="980">
        <f t="shared" si="51"/>
        <v>0</v>
      </c>
      <c r="M94" s="980">
        <f t="shared" si="51"/>
        <v>70</v>
      </c>
      <c r="N94" s="980">
        <f t="shared" si="51"/>
        <v>70</v>
      </c>
      <c r="O94" s="980">
        <f t="shared" si="51"/>
        <v>70</v>
      </c>
      <c r="P94" s="980">
        <f t="shared" si="51"/>
        <v>70</v>
      </c>
      <c r="Q94" s="980">
        <f t="shared" ref="Q94:R94" si="64">Q44</f>
        <v>70</v>
      </c>
      <c r="R94" s="980">
        <f t="shared" si="64"/>
        <v>70</v>
      </c>
    </row>
    <row r="95" spans="2:18" ht="12.75" customHeight="1">
      <c r="B95" s="137" t="str">
        <f t="shared" si="49"/>
        <v>Options at $6.00 Strike Price</v>
      </c>
      <c r="D95" s="980">
        <v>0</v>
      </c>
      <c r="E95" s="980">
        <v>0</v>
      </c>
      <c r="F95" s="980">
        <v>0</v>
      </c>
      <c r="G95" s="980">
        <v>0</v>
      </c>
      <c r="H95" s="980">
        <v>0</v>
      </c>
      <c r="I95" s="980">
        <f t="shared" si="51"/>
        <v>0</v>
      </c>
      <c r="J95" s="980">
        <f t="shared" si="51"/>
        <v>0</v>
      </c>
      <c r="K95" s="980">
        <f t="shared" si="51"/>
        <v>0</v>
      </c>
      <c r="L95" s="980">
        <f t="shared" si="51"/>
        <v>0</v>
      </c>
      <c r="M95" s="980">
        <f t="shared" si="51"/>
        <v>0</v>
      </c>
      <c r="N95" s="980">
        <f t="shared" si="51"/>
        <v>75</v>
      </c>
      <c r="O95" s="980">
        <f t="shared" si="51"/>
        <v>75</v>
      </c>
      <c r="P95" s="980">
        <f t="shared" si="51"/>
        <v>75</v>
      </c>
      <c r="Q95" s="980">
        <f t="shared" ref="Q95:R95" si="65">Q45</f>
        <v>75</v>
      </c>
      <c r="R95" s="980">
        <f t="shared" si="65"/>
        <v>75</v>
      </c>
    </row>
    <row r="96" spans="2:18" ht="12.75" customHeight="1">
      <c r="B96" s="137" t="str">
        <f t="shared" si="49"/>
        <v>Options at $7.00 Strike Price</v>
      </c>
      <c r="D96" s="980">
        <v>0</v>
      </c>
      <c r="E96" s="980">
        <v>0</v>
      </c>
      <c r="F96" s="980">
        <v>0</v>
      </c>
      <c r="G96" s="980">
        <v>0</v>
      </c>
      <c r="H96" s="980">
        <v>0</v>
      </c>
      <c r="I96" s="980">
        <f>I46</f>
        <v>0</v>
      </c>
      <c r="J96" s="980">
        <f t="shared" ref="J96:R96" si="66">J46</f>
        <v>0</v>
      </c>
      <c r="K96" s="980">
        <f t="shared" si="66"/>
        <v>0</v>
      </c>
      <c r="L96" s="980">
        <f t="shared" si="66"/>
        <v>0</v>
      </c>
      <c r="M96" s="980">
        <f t="shared" si="66"/>
        <v>0</v>
      </c>
      <c r="N96" s="980">
        <f t="shared" si="66"/>
        <v>0</v>
      </c>
      <c r="O96" s="980">
        <f t="shared" si="66"/>
        <v>2739.67</v>
      </c>
      <c r="P96" s="980">
        <f t="shared" si="66"/>
        <v>2739.67</v>
      </c>
      <c r="Q96" s="980">
        <f t="shared" si="66"/>
        <v>2739.67</v>
      </c>
      <c r="R96" s="980">
        <f t="shared" si="66"/>
        <v>2739.67</v>
      </c>
    </row>
    <row r="97" spans="2:21" ht="12.75" customHeight="1">
      <c r="B97" s="137" t="str">
        <f t="shared" ref="B97:B98" si="67">B47</f>
        <v>Options at $10.00 Strike Price</v>
      </c>
      <c r="D97" s="980">
        <v>0</v>
      </c>
      <c r="E97" s="980">
        <v>0</v>
      </c>
      <c r="F97" s="980">
        <v>0</v>
      </c>
      <c r="G97" s="980">
        <v>0</v>
      </c>
      <c r="H97" s="980">
        <v>0</v>
      </c>
      <c r="I97" s="980">
        <f t="shared" ref="I97:R99" si="68">I47</f>
        <v>0</v>
      </c>
      <c r="J97" s="980">
        <f t="shared" si="68"/>
        <v>0</v>
      </c>
      <c r="K97" s="980">
        <f t="shared" si="68"/>
        <v>0</v>
      </c>
      <c r="L97" s="980">
        <f t="shared" si="68"/>
        <v>0</v>
      </c>
      <c r="M97" s="980">
        <f t="shared" si="68"/>
        <v>0</v>
      </c>
      <c r="N97" s="980">
        <f t="shared" si="68"/>
        <v>0</v>
      </c>
      <c r="O97" s="980">
        <f t="shared" si="68"/>
        <v>0</v>
      </c>
      <c r="P97" s="980">
        <f t="shared" si="68"/>
        <v>0</v>
      </c>
      <c r="Q97" s="980">
        <f t="shared" si="68"/>
        <v>100</v>
      </c>
      <c r="R97" s="980">
        <f t="shared" si="68"/>
        <v>100</v>
      </c>
    </row>
    <row r="98" spans="2:21" ht="12.75" customHeight="1">
      <c r="B98" s="137" t="str">
        <f t="shared" si="67"/>
        <v>Options at $11.00 Strike Price</v>
      </c>
      <c r="D98" s="980">
        <v>0</v>
      </c>
      <c r="E98" s="980">
        <v>0</v>
      </c>
      <c r="F98" s="980">
        <v>0</v>
      </c>
      <c r="G98" s="980">
        <v>0</v>
      </c>
      <c r="H98" s="980">
        <v>0</v>
      </c>
      <c r="I98" s="980">
        <f t="shared" si="68"/>
        <v>0</v>
      </c>
      <c r="J98" s="980">
        <f t="shared" si="68"/>
        <v>0</v>
      </c>
      <c r="K98" s="980">
        <f t="shared" si="68"/>
        <v>0</v>
      </c>
      <c r="L98" s="980">
        <f t="shared" si="68"/>
        <v>0</v>
      </c>
      <c r="M98" s="980">
        <f t="shared" si="68"/>
        <v>0</v>
      </c>
      <c r="N98" s="980">
        <f t="shared" si="68"/>
        <v>0</v>
      </c>
      <c r="O98" s="980">
        <f t="shared" si="68"/>
        <v>0</v>
      </c>
      <c r="P98" s="980">
        <f t="shared" si="68"/>
        <v>0</v>
      </c>
      <c r="Q98" s="980">
        <f t="shared" si="68"/>
        <v>0</v>
      </c>
      <c r="R98" s="980">
        <f t="shared" si="68"/>
        <v>6</v>
      </c>
    </row>
    <row r="99" spans="2:21" ht="12.75" customHeight="1">
      <c r="B99" s="259" t="str">
        <f>B49</f>
        <v>Executive Option Grants Made</v>
      </c>
      <c r="D99" s="980">
        <v>0</v>
      </c>
      <c r="E99" s="980">
        <v>0</v>
      </c>
      <c r="F99" s="980">
        <v>0</v>
      </c>
      <c r="G99" s="980">
        <v>0</v>
      </c>
      <c r="H99" s="980">
        <v>0</v>
      </c>
      <c r="I99" s="980">
        <f t="shared" si="68"/>
        <v>0</v>
      </c>
      <c r="J99" s="980">
        <f t="shared" si="68"/>
        <v>0</v>
      </c>
      <c r="K99" s="980">
        <f t="shared" si="68"/>
        <v>0</v>
      </c>
      <c r="L99" s="980">
        <f t="shared" si="68"/>
        <v>0</v>
      </c>
      <c r="M99" s="980">
        <f t="shared" si="68"/>
        <v>0</v>
      </c>
      <c r="N99" s="980">
        <f t="shared" si="68"/>
        <v>0</v>
      </c>
      <c r="O99" s="980">
        <f t="shared" si="68"/>
        <v>0</v>
      </c>
      <c r="P99" s="980">
        <f t="shared" si="68"/>
        <v>494.86500000000001</v>
      </c>
      <c r="Q99" s="980">
        <f t="shared" si="68"/>
        <v>494.86500000000001</v>
      </c>
      <c r="R99" s="980">
        <f t="shared" si="68"/>
        <v>494.86500000000001</v>
      </c>
    </row>
    <row r="100" spans="2:21" ht="12.75" customHeight="1">
      <c r="B100" s="137" t="str">
        <f>B50</f>
        <v>Common Stock</v>
      </c>
      <c r="D100" s="980">
        <v>0</v>
      </c>
      <c r="E100" s="980">
        <v>0</v>
      </c>
      <c r="F100" s="980">
        <v>0</v>
      </c>
      <c r="G100" s="980">
        <v>0</v>
      </c>
      <c r="H100" s="980">
        <v>0</v>
      </c>
      <c r="I100" s="980">
        <f t="shared" ref="I100:P100" si="69">I50</f>
        <v>7451.1540000000005</v>
      </c>
      <c r="J100" s="980">
        <f t="shared" si="69"/>
        <v>7451.1540000000005</v>
      </c>
      <c r="K100" s="980">
        <f t="shared" si="69"/>
        <v>7451.1540000000005</v>
      </c>
      <c r="L100" s="980">
        <f t="shared" si="69"/>
        <v>7451.1540000000005</v>
      </c>
      <c r="M100" s="980">
        <f t="shared" si="69"/>
        <v>7451.1540000000005</v>
      </c>
      <c r="N100" s="980">
        <f t="shared" si="69"/>
        <v>7451.1540000000005</v>
      </c>
      <c r="O100" s="980">
        <f t="shared" si="69"/>
        <v>7451.1540000000005</v>
      </c>
      <c r="P100" s="980">
        <f t="shared" si="69"/>
        <v>7451.1540000000005</v>
      </c>
      <c r="Q100" s="980">
        <f t="shared" ref="Q100:R100" si="70">Q50</f>
        <v>7451.1540000000005</v>
      </c>
      <c r="R100" s="980">
        <f t="shared" si="70"/>
        <v>7451.1540000000005</v>
      </c>
    </row>
    <row r="101" spans="2:21" ht="12.75" customHeight="1">
      <c r="B101" s="5"/>
      <c r="C101" s="5"/>
      <c r="D101" s="520"/>
      <c r="E101" s="520"/>
      <c r="F101" s="520"/>
      <c r="G101" s="520"/>
      <c r="H101" s="520"/>
      <c r="I101" s="520"/>
      <c r="J101" s="520"/>
      <c r="K101" s="520"/>
      <c r="L101" s="520"/>
      <c r="M101" s="520"/>
      <c r="N101" s="520"/>
      <c r="O101" s="520"/>
      <c r="P101" s="518"/>
      <c r="Q101" s="518"/>
      <c r="R101" s="518"/>
    </row>
    <row r="102" spans="2:21" ht="12.75" customHeight="1">
      <c r="B102" s="39" t="s">
        <v>3250</v>
      </c>
      <c r="D102" s="1101">
        <f t="shared" ref="D102:I102" si="71">SUM(D82:D100)</f>
        <v>74429.065703775661</v>
      </c>
      <c r="E102" s="1101">
        <f t="shared" si="71"/>
        <v>55507.73041152097</v>
      </c>
      <c r="F102" s="1101">
        <f t="shared" si="71"/>
        <v>56173.801843790468</v>
      </c>
      <c r="G102" s="1101">
        <f t="shared" si="71"/>
        <v>30949.093824824104</v>
      </c>
      <c r="H102" s="1101">
        <f t="shared" si="71"/>
        <v>27469.178068425084</v>
      </c>
      <c r="I102" s="1101">
        <f t="shared" si="71"/>
        <v>55343.819973333339</v>
      </c>
      <c r="J102" s="1101">
        <f t="shared" ref="J102:R102" si="72">SUM(J82:J100)</f>
        <v>57292.684973333337</v>
      </c>
      <c r="K102" s="1101">
        <f t="shared" si="72"/>
        <v>58252.684973333337</v>
      </c>
      <c r="L102" s="1101">
        <f t="shared" si="72"/>
        <v>59454.041973333333</v>
      </c>
      <c r="M102" s="1101">
        <f t="shared" si="72"/>
        <v>59524.041973333333</v>
      </c>
      <c r="N102" s="1101">
        <f t="shared" si="72"/>
        <v>59599.041973333333</v>
      </c>
      <c r="O102" s="1101">
        <f t="shared" si="72"/>
        <v>62338.711973333331</v>
      </c>
      <c r="P102" s="2597">
        <f t="shared" si="72"/>
        <v>62833.576973333329</v>
      </c>
      <c r="Q102" s="2597">
        <f t="shared" si="72"/>
        <v>62933.576973333329</v>
      </c>
      <c r="R102" s="2597">
        <f t="shared" si="72"/>
        <v>62939.576973333329</v>
      </c>
    </row>
    <row r="103" spans="2:21" ht="12.75" customHeight="1"/>
    <row r="104" spans="2:21" s="6" customFormat="1" ht="12.75" customHeight="1">
      <c r="B104" s="212" t="s">
        <v>225</v>
      </c>
      <c r="D104" s="2445">
        <f>D$15</f>
        <v>1</v>
      </c>
      <c r="E104" s="2446">
        <f t="shared" ref="E104:R104" si="73">E$15</f>
        <v>2</v>
      </c>
      <c r="F104" s="2446">
        <f t="shared" si="73"/>
        <v>3</v>
      </c>
      <c r="G104" s="2446">
        <f t="shared" si="73"/>
        <v>4</v>
      </c>
      <c r="H104" s="2446">
        <f t="shared" si="73"/>
        <v>5</v>
      </c>
      <c r="I104" s="2446">
        <f t="shared" si="73"/>
        <v>6</v>
      </c>
      <c r="J104" s="2447">
        <f t="shared" si="73"/>
        <v>7</v>
      </c>
      <c r="K104" s="2445">
        <f t="shared" si="73"/>
        <v>8</v>
      </c>
      <c r="L104" s="2446">
        <f t="shared" si="73"/>
        <v>9</v>
      </c>
      <c r="M104" s="2446">
        <f t="shared" si="73"/>
        <v>10</v>
      </c>
      <c r="N104" s="2446">
        <f t="shared" si="73"/>
        <v>11</v>
      </c>
      <c r="O104" s="2446">
        <f t="shared" si="73"/>
        <v>12</v>
      </c>
      <c r="P104" s="2446">
        <f t="shared" si="73"/>
        <v>13</v>
      </c>
      <c r="Q104" s="2446">
        <f t="shared" si="73"/>
        <v>14</v>
      </c>
      <c r="R104" s="2447">
        <f t="shared" si="73"/>
        <v>15</v>
      </c>
      <c r="T104" s="98" t="s">
        <v>81</v>
      </c>
      <c r="U104" s="260"/>
    </row>
    <row r="105" spans="2:21" ht="12.75" customHeight="1"/>
    <row r="106" spans="2:21" ht="12.75" customHeight="1">
      <c r="B106" s="2" t="str">
        <f t="shared" ref="B106:B117" si="74">B82</f>
        <v>Series A-1</v>
      </c>
      <c r="D106" s="312">
        <f t="shared" ref="D106:P106" si="75">D$76*D82/D$102</f>
        <v>0</v>
      </c>
      <c r="E106" s="312">
        <f t="shared" si="75"/>
        <v>0</v>
      </c>
      <c r="F106" s="312">
        <f t="shared" si="75"/>
        <v>0</v>
      </c>
      <c r="G106" s="312">
        <f t="shared" si="75"/>
        <v>0</v>
      </c>
      <c r="H106" s="312">
        <f t="shared" si="75"/>
        <v>2348.1802583429994</v>
      </c>
      <c r="I106" s="312">
        <f t="shared" si="75"/>
        <v>1551.6730271345912</v>
      </c>
      <c r="J106" s="312">
        <f t="shared" si="75"/>
        <v>2740.1153930216387</v>
      </c>
      <c r="K106" s="312">
        <f t="shared" si="75"/>
        <v>168.70356916438197</v>
      </c>
      <c r="L106" s="312">
        <f t="shared" si="75"/>
        <v>242.00596851848672</v>
      </c>
      <c r="M106" s="312">
        <f t="shared" si="75"/>
        <v>1331.2071544102882</v>
      </c>
      <c r="N106" s="312">
        <f t="shared" si="75"/>
        <v>521.53240560686038</v>
      </c>
      <c r="O106" s="312">
        <f t="shared" si="75"/>
        <v>132.3643581879229</v>
      </c>
      <c r="P106" s="312">
        <f t="shared" si="75"/>
        <v>1036.4293667967054</v>
      </c>
      <c r="Q106" s="312">
        <f t="shared" ref="Q106:R106" si="76">Q$76*Q82/Q$102</f>
        <v>292.70299139286556</v>
      </c>
      <c r="R106" s="312">
        <f t="shared" si="76"/>
        <v>3016.8137730190315</v>
      </c>
      <c r="S106" s="312"/>
      <c r="T106" s="312">
        <f>SUM(D106:R106)</f>
        <v>13381.728265595772</v>
      </c>
    </row>
    <row r="107" spans="2:21" ht="12.75" customHeight="1">
      <c r="B107" s="2" t="str">
        <f t="shared" si="74"/>
        <v>Series A-2</v>
      </c>
      <c r="D107" s="312">
        <f t="shared" ref="D107:P107" si="77">D$76*D83/D$102</f>
        <v>0</v>
      </c>
      <c r="E107" s="312">
        <f t="shared" si="77"/>
        <v>0</v>
      </c>
      <c r="F107" s="312">
        <f t="shared" si="77"/>
        <v>0</v>
      </c>
      <c r="G107" s="312">
        <f t="shared" si="77"/>
        <v>0</v>
      </c>
      <c r="H107" s="312">
        <f t="shared" si="77"/>
        <v>6784.4900955710309</v>
      </c>
      <c r="I107" s="312">
        <f t="shared" si="77"/>
        <v>5900.9879219642053</v>
      </c>
      <c r="J107" s="312">
        <f t="shared" si="77"/>
        <v>10420.615397863952</v>
      </c>
      <c r="K107" s="312">
        <f t="shared" si="77"/>
        <v>641.57699890527283</v>
      </c>
      <c r="L107" s="312">
        <f t="shared" si="77"/>
        <v>920.34486151248257</v>
      </c>
      <c r="M107" s="312">
        <f t="shared" si="77"/>
        <v>5062.5597032602627</v>
      </c>
      <c r="N107" s="312">
        <f t="shared" si="77"/>
        <v>1983.3794701466281</v>
      </c>
      <c r="O107" s="312">
        <f t="shared" si="77"/>
        <v>503.37955568375457</v>
      </c>
      <c r="P107" s="312">
        <f t="shared" si="77"/>
        <v>3941.5244503737017</v>
      </c>
      <c r="Q107" s="312">
        <f t="shared" ref="Q107:R107" si="78">Q$76*Q83/Q$102</f>
        <v>1113.1448357529985</v>
      </c>
      <c r="R107" s="312">
        <f t="shared" si="78"/>
        <v>11472.894950217122</v>
      </c>
      <c r="S107" s="312"/>
      <c r="T107" s="312">
        <f t="shared" ref="T107:T124" si="79">SUM(D107:R107)</f>
        <v>48744.898241251409</v>
      </c>
    </row>
    <row r="108" spans="2:21" ht="12.75" customHeight="1">
      <c r="B108" s="2" t="str">
        <f t="shared" si="74"/>
        <v>Series B Tranche I</v>
      </c>
      <c r="D108" s="312">
        <f t="shared" ref="D108:P108" si="80">D$76*D84/D$102</f>
        <v>0</v>
      </c>
      <c r="E108" s="312">
        <f t="shared" si="80"/>
        <v>0</v>
      </c>
      <c r="F108" s="312">
        <f t="shared" si="80"/>
        <v>0</v>
      </c>
      <c r="G108" s="312">
        <f t="shared" si="80"/>
        <v>5893.6024793448705</v>
      </c>
      <c r="H108" s="312">
        <f t="shared" si="80"/>
        <v>0</v>
      </c>
      <c r="I108" s="312">
        <f t="shared" si="80"/>
        <v>1007.5799097332996</v>
      </c>
      <c r="J108" s="312">
        <f t="shared" si="80"/>
        <v>1779.2957485753152</v>
      </c>
      <c r="K108" s="312">
        <f t="shared" si="80"/>
        <v>109.54777457479726</v>
      </c>
      <c r="L108" s="312">
        <f t="shared" si="80"/>
        <v>157.14673623286876</v>
      </c>
      <c r="M108" s="312">
        <f t="shared" si="80"/>
        <v>864.42024899663193</v>
      </c>
      <c r="N108" s="312">
        <f t="shared" si="80"/>
        <v>338.65741362711123</v>
      </c>
      <c r="O108" s="312">
        <f t="shared" si="80"/>
        <v>85.950883815501996</v>
      </c>
      <c r="P108" s="312">
        <f t="shared" si="80"/>
        <v>673.00609701929477</v>
      </c>
      <c r="Q108" s="312">
        <f t="shared" ref="Q108:R108" si="81">Q$76*Q84/Q$102</f>
        <v>190.06688167474923</v>
      </c>
      <c r="R108" s="312">
        <f t="shared" si="81"/>
        <v>1958.9700252210614</v>
      </c>
      <c r="S108" s="312"/>
      <c r="T108" s="312">
        <f t="shared" si="79"/>
        <v>13058.244198815504</v>
      </c>
    </row>
    <row r="109" spans="2:21" ht="12.75" customHeight="1">
      <c r="B109" s="2" t="str">
        <f t="shared" si="74"/>
        <v>Series B Tranche II</v>
      </c>
      <c r="D109" s="312">
        <f t="shared" ref="D109:P109" si="82">D$76*D85/D$102</f>
        <v>0</v>
      </c>
      <c r="E109" s="312">
        <f t="shared" si="82"/>
        <v>0</v>
      </c>
      <c r="F109" s="312">
        <f t="shared" si="82"/>
        <v>0</v>
      </c>
      <c r="G109" s="312">
        <f t="shared" si="82"/>
        <v>5761.4830829695447</v>
      </c>
      <c r="H109" s="312">
        <f t="shared" si="82"/>
        <v>0</v>
      </c>
      <c r="I109" s="312">
        <f t="shared" si="82"/>
        <v>1007.5801918557196</v>
      </c>
      <c r="J109" s="312">
        <f t="shared" si="82"/>
        <v>1779.2962467782047</v>
      </c>
      <c r="K109" s="312">
        <f t="shared" si="82"/>
        <v>109.54780524817906</v>
      </c>
      <c r="L109" s="312">
        <f t="shared" si="82"/>
        <v>157.14678023396195</v>
      </c>
      <c r="M109" s="312">
        <f t="shared" si="82"/>
        <v>864.42049103434056</v>
      </c>
      <c r="N109" s="312">
        <f t="shared" si="82"/>
        <v>338.65750845120226</v>
      </c>
      <c r="O109" s="312">
        <f t="shared" si="82"/>
        <v>85.950907881753324</v>
      </c>
      <c r="P109" s="312">
        <f t="shared" si="82"/>
        <v>673.00628546103212</v>
      </c>
      <c r="Q109" s="312">
        <f t="shared" ref="Q109:R109" si="83">Q$76*Q85/Q$102</f>
        <v>190.06693489348461</v>
      </c>
      <c r="R109" s="312">
        <f t="shared" si="83"/>
        <v>1958.9705737327563</v>
      </c>
      <c r="S109" s="312"/>
      <c r="T109" s="312">
        <f t="shared" si="79"/>
        <v>12926.126808540181</v>
      </c>
    </row>
    <row r="110" spans="2:21" ht="12.75" customHeight="1">
      <c r="B110" s="2" t="str">
        <f t="shared" si="74"/>
        <v>Series C Tranche I</v>
      </c>
      <c r="D110" s="312">
        <f t="shared" ref="D110:P110" si="84">D$76*D86/D$102</f>
        <v>0</v>
      </c>
      <c r="E110" s="312">
        <f t="shared" si="84"/>
        <v>0</v>
      </c>
      <c r="F110" s="312">
        <f t="shared" si="84"/>
        <v>13153.626777362231</v>
      </c>
      <c r="G110" s="312">
        <f t="shared" si="84"/>
        <v>0</v>
      </c>
      <c r="H110" s="312">
        <f t="shared" si="84"/>
        <v>0</v>
      </c>
      <c r="I110" s="312">
        <f t="shared" si="84"/>
        <v>672.83093414999553</v>
      </c>
      <c r="J110" s="312">
        <f t="shared" si="84"/>
        <v>1188.1590820522886</v>
      </c>
      <c r="K110" s="312">
        <f t="shared" si="84"/>
        <v>73.152641085036933</v>
      </c>
      <c r="L110" s="312">
        <f t="shared" si="84"/>
        <v>104.9377665401953</v>
      </c>
      <c r="M110" s="312">
        <f t="shared" si="84"/>
        <v>577.23330726644213</v>
      </c>
      <c r="N110" s="312">
        <f t="shared" si="84"/>
        <v>226.14502509072821</v>
      </c>
      <c r="O110" s="312">
        <f t="shared" si="84"/>
        <v>57.395361787145312</v>
      </c>
      <c r="P110" s="312">
        <f t="shared" si="84"/>
        <v>449.41281239519077</v>
      </c>
      <c r="Q110" s="312">
        <f t="shared" ref="Q110:R110" si="85">Q$76*Q86/Q$102</f>
        <v>126.92082912019161</v>
      </c>
      <c r="R110" s="312">
        <f t="shared" si="85"/>
        <v>1308.1400485547679</v>
      </c>
      <c r="S110" s="312"/>
      <c r="T110" s="312">
        <f t="shared" si="79"/>
        <v>17937.954585404212</v>
      </c>
    </row>
    <row r="111" spans="2:21" ht="12.75" customHeight="1">
      <c r="B111" s="2" t="str">
        <f t="shared" si="74"/>
        <v>Series C Tranche II</v>
      </c>
      <c r="D111" s="312">
        <f t="shared" ref="D111:P111" si="86">D$76*D87/D$102</f>
        <v>0</v>
      </c>
      <c r="E111" s="312">
        <f t="shared" si="86"/>
        <v>0</v>
      </c>
      <c r="F111" s="312">
        <f t="shared" si="86"/>
        <v>12702.196971049438</v>
      </c>
      <c r="G111" s="312">
        <f t="shared" si="86"/>
        <v>0</v>
      </c>
      <c r="H111" s="312">
        <f t="shared" si="86"/>
        <v>0</v>
      </c>
      <c r="I111" s="312">
        <f t="shared" si="86"/>
        <v>672.83093414999553</v>
      </c>
      <c r="J111" s="312">
        <f t="shared" si="86"/>
        <v>1188.1590820522886</v>
      </c>
      <c r="K111" s="312">
        <f t="shared" si="86"/>
        <v>73.152641085036933</v>
      </c>
      <c r="L111" s="312">
        <f t="shared" si="86"/>
        <v>104.9377665401953</v>
      </c>
      <c r="M111" s="312">
        <f t="shared" si="86"/>
        <v>577.23330726644213</v>
      </c>
      <c r="N111" s="312">
        <f t="shared" si="86"/>
        <v>226.14502509072821</v>
      </c>
      <c r="O111" s="312">
        <f t="shared" si="86"/>
        <v>57.395361787145312</v>
      </c>
      <c r="P111" s="312">
        <f t="shared" si="86"/>
        <v>449.41281239519077</v>
      </c>
      <c r="Q111" s="312">
        <f t="shared" ref="Q111:R111" si="87">Q$76*Q87/Q$102</f>
        <v>126.92082912019161</v>
      </c>
      <c r="R111" s="312">
        <f t="shared" si="87"/>
        <v>1308.1400485547679</v>
      </c>
      <c r="S111" s="312"/>
      <c r="T111" s="312">
        <f t="shared" si="79"/>
        <v>17486.524779091418</v>
      </c>
    </row>
    <row r="112" spans="2:21" ht="12.75" customHeight="1">
      <c r="B112" s="2" t="str">
        <f t="shared" si="74"/>
        <v>Series D Tranche I</v>
      </c>
      <c r="D112" s="312">
        <f t="shared" ref="D112:P112" si="88">D$76*D88/D$102</f>
        <v>0</v>
      </c>
      <c r="E112" s="312">
        <f t="shared" si="88"/>
        <v>19892.771247742498</v>
      </c>
      <c r="F112" s="312">
        <f t="shared" si="88"/>
        <v>0</v>
      </c>
      <c r="G112" s="312">
        <f t="shared" si="88"/>
        <v>0</v>
      </c>
      <c r="H112" s="312">
        <f t="shared" si="88"/>
        <v>0</v>
      </c>
      <c r="I112" s="312">
        <f t="shared" si="88"/>
        <v>746.52018549066304</v>
      </c>
      <c r="J112" s="312">
        <f t="shared" si="88"/>
        <v>1318.2876905721355</v>
      </c>
      <c r="K112" s="312">
        <f t="shared" si="88"/>
        <v>81.16440612369253</v>
      </c>
      <c r="L112" s="312">
        <f t="shared" si="88"/>
        <v>116.43067666252456</v>
      </c>
      <c r="M112" s="312">
        <f t="shared" si="88"/>
        <v>640.45259178863523</v>
      </c>
      <c r="N112" s="312">
        <f t="shared" si="88"/>
        <v>250.91269962460626</v>
      </c>
      <c r="O112" s="312">
        <f t="shared" si="88"/>
        <v>63.681370687530702</v>
      </c>
      <c r="P112" s="312">
        <f t="shared" si="88"/>
        <v>498.63304292775814</v>
      </c>
      <c r="Q112" s="312">
        <f t="shared" ref="Q112:R112" si="89">Q$76*Q88/Q$102</f>
        <v>140.82135063711505</v>
      </c>
      <c r="R112" s="312">
        <f t="shared" si="89"/>
        <v>1451.409116509446</v>
      </c>
      <c r="S112" s="312"/>
      <c r="T112" s="312">
        <f t="shared" si="79"/>
        <v>25201.084378766598</v>
      </c>
    </row>
    <row r="113" spans="2:21" ht="12.75" customHeight="1">
      <c r="B113" s="2" t="str">
        <f t="shared" si="74"/>
        <v>Series D Tranche II</v>
      </c>
      <c r="D113" s="312">
        <f t="shared" ref="D113:P113" si="90">D$76*D89/D$102</f>
        <v>0</v>
      </c>
      <c r="E113" s="312">
        <f t="shared" si="90"/>
        <v>13819.43336273165</v>
      </c>
      <c r="F113" s="312">
        <f t="shared" si="90"/>
        <v>0</v>
      </c>
      <c r="G113" s="312">
        <f t="shared" si="90"/>
        <v>0</v>
      </c>
      <c r="H113" s="312">
        <f t="shared" si="90"/>
        <v>0</v>
      </c>
      <c r="I113" s="312">
        <f t="shared" si="90"/>
        <v>522.68877152856044</v>
      </c>
      <c r="J113" s="312">
        <f t="shared" si="90"/>
        <v>923.02148943699365</v>
      </c>
      <c r="K113" s="312">
        <f t="shared" si="90"/>
        <v>56.828635786659014</v>
      </c>
      <c r="L113" s="312">
        <f t="shared" si="90"/>
        <v>81.520913346736492</v>
      </c>
      <c r="M113" s="312">
        <f t="shared" si="90"/>
        <v>448.42374651163567</v>
      </c>
      <c r="N113" s="312">
        <f t="shared" si="90"/>
        <v>175.68078302062264</v>
      </c>
      <c r="O113" s="312">
        <f t="shared" si="90"/>
        <v>44.587591951104201</v>
      </c>
      <c r="P113" s="312">
        <f t="shared" si="90"/>
        <v>349.12638360897699</v>
      </c>
      <c r="Q113" s="312">
        <f t="shared" ref="Q113:R113" si="91">Q$76*Q89/Q$102</f>
        <v>98.598457483273151</v>
      </c>
      <c r="R113" s="312">
        <f t="shared" si="91"/>
        <v>1016.2287140233854</v>
      </c>
      <c r="S113" s="312"/>
      <c r="T113" s="312">
        <f t="shared" si="79"/>
        <v>17536.138849429597</v>
      </c>
    </row>
    <row r="114" spans="2:21" ht="12.75" customHeight="1">
      <c r="B114" s="2" t="str">
        <f t="shared" si="74"/>
        <v>Series E</v>
      </c>
      <c r="D114" s="312">
        <f t="shared" ref="D114:P114" si="92">D$76*D90/D$102</f>
        <v>62662.697803487303</v>
      </c>
      <c r="E114" s="312">
        <f t="shared" si="92"/>
        <v>0</v>
      </c>
      <c r="F114" s="312">
        <f t="shared" si="92"/>
        <v>0</v>
      </c>
      <c r="G114" s="312">
        <f t="shared" si="92"/>
        <v>0</v>
      </c>
      <c r="H114" s="312">
        <f t="shared" si="92"/>
        <v>0</v>
      </c>
      <c r="I114" s="312">
        <f t="shared" si="92"/>
        <v>1428.9029421716571</v>
      </c>
      <c r="J114" s="312">
        <f t="shared" si="92"/>
        <v>2523.3144344906182</v>
      </c>
      <c r="K114" s="312">
        <f t="shared" si="92"/>
        <v>155.35555630492735</v>
      </c>
      <c r="L114" s="312">
        <f t="shared" si="92"/>
        <v>222.85818880137845</v>
      </c>
      <c r="M114" s="312">
        <f t="shared" si="92"/>
        <v>1225.880572977072</v>
      </c>
      <c r="N114" s="312">
        <f t="shared" si="92"/>
        <v>480.26818522821753</v>
      </c>
      <c r="O114" s="312">
        <f t="shared" si="92"/>
        <v>121.89154386646473</v>
      </c>
      <c r="P114" s="312">
        <f t="shared" si="92"/>
        <v>954.42592973581588</v>
      </c>
      <c r="Q114" s="312">
        <f t="shared" ref="Q114:R114" si="93">Q$76*Q90/Q$102</f>
        <v>269.54400719078342</v>
      </c>
      <c r="R114" s="312">
        <f t="shared" si="93"/>
        <v>2778.1201328293514</v>
      </c>
      <c r="S114" s="312"/>
      <c r="T114" s="312">
        <f t="shared" si="79"/>
        <v>72823.259297083583</v>
      </c>
    </row>
    <row r="115" spans="2:21" ht="12.75" customHeight="1">
      <c r="B115" s="2" t="str">
        <f t="shared" si="74"/>
        <v>Options at $1.00 Strike Price</v>
      </c>
      <c r="D115" s="312">
        <f t="shared" ref="D115:P115" si="94">D$76*D91/D$102</f>
        <v>0</v>
      </c>
      <c r="E115" s="312">
        <f t="shared" si="94"/>
        <v>0</v>
      </c>
      <c r="F115" s="312">
        <f t="shared" si="94"/>
        <v>0</v>
      </c>
      <c r="G115" s="312">
        <f t="shared" si="94"/>
        <v>0</v>
      </c>
      <c r="H115" s="312">
        <f t="shared" si="94"/>
        <v>0</v>
      </c>
      <c r="I115" s="312">
        <f t="shared" si="94"/>
        <v>0</v>
      </c>
      <c r="J115" s="312">
        <f t="shared" si="94"/>
        <v>970.93017388205271</v>
      </c>
      <c r="K115" s="312">
        <f t="shared" si="94"/>
        <v>59.778280199604268</v>
      </c>
      <c r="L115" s="312">
        <f t="shared" si="94"/>
        <v>85.752190470722013</v>
      </c>
      <c r="M115" s="312">
        <f t="shared" si="94"/>
        <v>471.69881866884094</v>
      </c>
      <c r="N115" s="312">
        <f t="shared" si="94"/>
        <v>184.79935208224839</v>
      </c>
      <c r="O115" s="312">
        <f t="shared" si="94"/>
        <v>46.901874876687508</v>
      </c>
      <c r="P115" s="312">
        <f t="shared" si="94"/>
        <v>367.2475063945032</v>
      </c>
      <c r="Q115" s="312">
        <f t="shared" ref="Q115:R115" si="95">Q$76*Q91/Q$102</f>
        <v>103.71613073399776</v>
      </c>
      <c r="R115" s="312">
        <f t="shared" si="95"/>
        <v>1068.9752441327232</v>
      </c>
      <c r="S115" s="312"/>
      <c r="T115" s="312">
        <f t="shared" si="79"/>
        <v>3359.7995714413801</v>
      </c>
    </row>
    <row r="116" spans="2:21" ht="12.75" customHeight="1">
      <c r="B116" s="2" t="str">
        <f t="shared" si="74"/>
        <v>Options at $3.50 Strike Price</v>
      </c>
      <c r="D116" s="312">
        <f t="shared" ref="D116:P116" si="96">D$76*D92/D$102</f>
        <v>0</v>
      </c>
      <c r="E116" s="312">
        <f t="shared" si="96"/>
        <v>0</v>
      </c>
      <c r="F116" s="312">
        <f t="shared" si="96"/>
        <v>0</v>
      </c>
      <c r="G116" s="312">
        <f t="shared" si="96"/>
        <v>0</v>
      </c>
      <c r="H116" s="312">
        <f t="shared" si="96"/>
        <v>0</v>
      </c>
      <c r="I116" s="312">
        <f t="shared" si="96"/>
        <v>0</v>
      </c>
      <c r="J116" s="312">
        <f t="shared" si="96"/>
        <v>0</v>
      </c>
      <c r="K116" s="312">
        <f t="shared" si="96"/>
        <v>29.446446517136948</v>
      </c>
      <c r="L116" s="312">
        <f t="shared" si="96"/>
        <v>42.241049457963037</v>
      </c>
      <c r="M116" s="312">
        <f t="shared" si="96"/>
        <v>232.3562001072867</v>
      </c>
      <c r="N116" s="312">
        <f t="shared" si="96"/>
        <v>91.031127347947887</v>
      </c>
      <c r="O116" s="312">
        <f t="shared" si="96"/>
        <v>23.103601266183141</v>
      </c>
      <c r="P116" s="312">
        <f t="shared" si="96"/>
        <v>180.90406782343729</v>
      </c>
      <c r="Q116" s="312">
        <f t="shared" ref="Q116:R116" si="97">Q$76*Q92/Q$102</f>
        <v>51.089985968570346</v>
      </c>
      <c r="R116" s="312">
        <f t="shared" si="97"/>
        <v>526.57122703081768</v>
      </c>
      <c r="S116" s="312"/>
      <c r="T116" s="312">
        <f t="shared" si="79"/>
        <v>1176.7437055193429</v>
      </c>
    </row>
    <row r="117" spans="2:21" ht="12.75" customHeight="1">
      <c r="B117" s="2" t="str">
        <f t="shared" si="74"/>
        <v>Options at $3.70 Strike Price</v>
      </c>
      <c r="D117" s="312">
        <f t="shared" ref="D117:P117" si="98">D$76*D93/D$102</f>
        <v>0</v>
      </c>
      <c r="E117" s="312">
        <f t="shared" si="98"/>
        <v>0</v>
      </c>
      <c r="F117" s="312">
        <f t="shared" si="98"/>
        <v>0</v>
      </c>
      <c r="G117" s="312">
        <f t="shared" si="98"/>
        <v>0</v>
      </c>
      <c r="H117" s="312">
        <f t="shared" si="98"/>
        <v>0</v>
      </c>
      <c r="I117" s="312">
        <f t="shared" si="98"/>
        <v>0</v>
      </c>
      <c r="J117" s="312">
        <f t="shared" si="98"/>
        <v>0</v>
      </c>
      <c r="K117" s="312">
        <f t="shared" si="98"/>
        <v>0</v>
      </c>
      <c r="L117" s="312">
        <f t="shared" si="98"/>
        <v>52.861021305906355</v>
      </c>
      <c r="M117" s="312">
        <f t="shared" si="98"/>
        <v>290.77369530446833</v>
      </c>
      <c r="N117" s="312">
        <f t="shared" si="98"/>
        <v>113.91758547640481</v>
      </c>
      <c r="O117" s="312">
        <f t="shared" si="98"/>
        <v>28.912159485768729</v>
      </c>
      <c r="P117" s="312">
        <f t="shared" si="98"/>
        <v>226.3858002168345</v>
      </c>
      <c r="Q117" s="312">
        <f t="shared" ref="Q117:R117" si="99">Q$76*Q93/Q$102</f>
        <v>63.934700284628924</v>
      </c>
      <c r="R117" s="312">
        <f t="shared" si="99"/>
        <v>658.9583641583979</v>
      </c>
      <c r="S117" s="312"/>
      <c r="T117" s="312">
        <f t="shared" si="79"/>
        <v>1435.7433262324093</v>
      </c>
    </row>
    <row r="118" spans="2:21" ht="12.75" customHeight="1">
      <c r="B118" s="2" t="str">
        <f t="shared" ref="B118:B122" si="100">B94</f>
        <v>Options at $4.00 Strike Price</v>
      </c>
      <c r="D118" s="312">
        <f t="shared" ref="D118:P118" si="101">D$76*D94/D$102</f>
        <v>0</v>
      </c>
      <c r="E118" s="312">
        <f t="shared" si="101"/>
        <v>0</v>
      </c>
      <c r="F118" s="312">
        <f t="shared" si="101"/>
        <v>0</v>
      </c>
      <c r="G118" s="312">
        <f t="shared" si="101"/>
        <v>0</v>
      </c>
      <c r="H118" s="312">
        <f t="shared" si="101"/>
        <v>0</v>
      </c>
      <c r="I118" s="312">
        <f t="shared" si="101"/>
        <v>0</v>
      </c>
      <c r="J118" s="312">
        <f t="shared" si="101"/>
        <v>0</v>
      </c>
      <c r="K118" s="312">
        <f t="shared" si="101"/>
        <v>0</v>
      </c>
      <c r="L118" s="312">
        <f t="shared" si="101"/>
        <v>0</v>
      </c>
      <c r="M118" s="312">
        <f t="shared" si="101"/>
        <v>16.942639591156322</v>
      </c>
      <c r="N118" s="312">
        <f t="shared" si="101"/>
        <v>6.6376863691211998</v>
      </c>
      <c r="O118" s="312">
        <f t="shared" si="101"/>
        <v>1.6846375923258541</v>
      </c>
      <c r="P118" s="312">
        <f t="shared" si="101"/>
        <v>13.190921612125635</v>
      </c>
      <c r="Q118" s="312">
        <f t="shared" ref="Q118:R118" si="102">Q$76*Q94/Q$102</f>
        <v>3.7253114768749209</v>
      </c>
      <c r="R118" s="312">
        <f t="shared" si="102"/>
        <v>38.395818637663787</v>
      </c>
      <c r="S118" s="312"/>
      <c r="T118" s="312">
        <f t="shared" si="79"/>
        <v>80.577015279267727</v>
      </c>
    </row>
    <row r="119" spans="2:21" ht="12.75" customHeight="1">
      <c r="B119" s="2" t="str">
        <f t="shared" si="100"/>
        <v>Options at $6.00 Strike Price</v>
      </c>
      <c r="D119" s="312">
        <f t="shared" ref="D119:P119" si="103">D$76*D95/D$102</f>
        <v>0</v>
      </c>
      <c r="E119" s="312">
        <f t="shared" si="103"/>
        <v>0</v>
      </c>
      <c r="F119" s="312">
        <f t="shared" si="103"/>
        <v>0</v>
      </c>
      <c r="G119" s="312">
        <f t="shared" si="103"/>
        <v>0</v>
      </c>
      <c r="H119" s="312">
        <f t="shared" si="103"/>
        <v>0</v>
      </c>
      <c r="I119" s="312">
        <f t="shared" si="103"/>
        <v>0</v>
      </c>
      <c r="J119" s="312">
        <f t="shared" si="103"/>
        <v>0</v>
      </c>
      <c r="K119" s="312">
        <f t="shared" si="103"/>
        <v>0</v>
      </c>
      <c r="L119" s="312">
        <f t="shared" si="103"/>
        <v>0</v>
      </c>
      <c r="M119" s="312">
        <f t="shared" si="103"/>
        <v>0</v>
      </c>
      <c r="N119" s="312">
        <f t="shared" si="103"/>
        <v>7.1118068240584273</v>
      </c>
      <c r="O119" s="312">
        <f t="shared" si="103"/>
        <v>1.8049688489205578</v>
      </c>
      <c r="P119" s="312">
        <f t="shared" si="103"/>
        <v>14.133130298706037</v>
      </c>
      <c r="Q119" s="312">
        <f t="shared" ref="Q119:R119" si="104">Q$76*Q95/Q$102</f>
        <v>3.9914051537945583</v>
      </c>
      <c r="R119" s="312">
        <f t="shared" si="104"/>
        <v>41.138377111782624</v>
      </c>
      <c r="S119" s="312"/>
      <c r="T119" s="312">
        <f t="shared" si="79"/>
        <v>68.179688237262212</v>
      </c>
    </row>
    <row r="120" spans="2:21" ht="12.75" customHeight="1">
      <c r="B120" s="2" t="str">
        <f t="shared" si="100"/>
        <v>Options at $7.00 Strike Price</v>
      </c>
      <c r="D120" s="312">
        <f t="shared" ref="D120:P120" si="105">D$76*D96/D$102</f>
        <v>0</v>
      </c>
      <c r="E120" s="312">
        <f t="shared" si="105"/>
        <v>0</v>
      </c>
      <c r="F120" s="312">
        <f t="shared" si="105"/>
        <v>0</v>
      </c>
      <c r="G120" s="312">
        <f t="shared" si="105"/>
        <v>0</v>
      </c>
      <c r="H120" s="312">
        <f t="shared" si="105"/>
        <v>0</v>
      </c>
      <c r="I120" s="312">
        <f t="shared" si="105"/>
        <v>0</v>
      </c>
      <c r="J120" s="312">
        <f t="shared" si="105"/>
        <v>0</v>
      </c>
      <c r="K120" s="312">
        <f t="shared" si="105"/>
        <v>0</v>
      </c>
      <c r="L120" s="312">
        <f t="shared" si="105"/>
        <v>0</v>
      </c>
      <c r="M120" s="312">
        <f t="shared" si="105"/>
        <v>0</v>
      </c>
      <c r="N120" s="312">
        <f t="shared" si="105"/>
        <v>0</v>
      </c>
      <c r="O120" s="312">
        <f t="shared" si="105"/>
        <v>65.933586750962462</v>
      </c>
      <c r="P120" s="312">
        <f t="shared" si="105"/>
        <v>516.2681744727463</v>
      </c>
      <c r="Q120" s="312">
        <f t="shared" ref="Q120:R120" si="106">Q$76*Q96/Q$102</f>
        <v>145.80177276928453</v>
      </c>
      <c r="R120" s="312">
        <f t="shared" si="106"/>
        <v>1502.7410349578336</v>
      </c>
      <c r="S120" s="312"/>
      <c r="T120" s="312">
        <f t="shared" si="79"/>
        <v>2230.7445689508268</v>
      </c>
    </row>
    <row r="121" spans="2:21" ht="12.75" customHeight="1">
      <c r="B121" s="2" t="str">
        <f t="shared" si="100"/>
        <v>Options at $10.00 Strike Price</v>
      </c>
      <c r="D121" s="312">
        <f t="shared" ref="D121:P121" si="107">D$76*D97/D$102</f>
        <v>0</v>
      </c>
      <c r="E121" s="312">
        <f t="shared" si="107"/>
        <v>0</v>
      </c>
      <c r="F121" s="312">
        <f t="shared" si="107"/>
        <v>0</v>
      </c>
      <c r="G121" s="312">
        <f t="shared" si="107"/>
        <v>0</v>
      </c>
      <c r="H121" s="312">
        <f t="shared" si="107"/>
        <v>0</v>
      </c>
      <c r="I121" s="312">
        <f t="shared" si="107"/>
        <v>0</v>
      </c>
      <c r="J121" s="312">
        <f t="shared" si="107"/>
        <v>0</v>
      </c>
      <c r="K121" s="312">
        <f t="shared" si="107"/>
        <v>0</v>
      </c>
      <c r="L121" s="312">
        <f t="shared" si="107"/>
        <v>0</v>
      </c>
      <c r="M121" s="312">
        <f t="shared" si="107"/>
        <v>0</v>
      </c>
      <c r="N121" s="312">
        <f t="shared" si="107"/>
        <v>0</v>
      </c>
      <c r="O121" s="312">
        <f t="shared" si="107"/>
        <v>0</v>
      </c>
      <c r="P121" s="312">
        <f t="shared" si="107"/>
        <v>0</v>
      </c>
      <c r="Q121" s="312">
        <f t="shared" ref="Q121:R121" si="108">Q$76*Q97/Q$102</f>
        <v>5.3218735383927456</v>
      </c>
      <c r="R121" s="312">
        <f t="shared" si="108"/>
        <v>54.851169482376839</v>
      </c>
      <c r="S121" s="312"/>
      <c r="T121" s="312">
        <f t="shared" si="79"/>
        <v>60.173043020769583</v>
      </c>
    </row>
    <row r="122" spans="2:21" ht="12.75" customHeight="1">
      <c r="B122" s="2" t="str">
        <f t="shared" si="100"/>
        <v>Options at $11.00 Strike Price</v>
      </c>
      <c r="D122" s="312">
        <f t="shared" ref="D122:P122" si="109">D$76*D98/D$102</f>
        <v>0</v>
      </c>
      <c r="E122" s="312">
        <f t="shared" si="109"/>
        <v>0</v>
      </c>
      <c r="F122" s="312">
        <f t="shared" si="109"/>
        <v>0</v>
      </c>
      <c r="G122" s="312">
        <f t="shared" si="109"/>
        <v>0</v>
      </c>
      <c r="H122" s="312">
        <f t="shared" si="109"/>
        <v>0</v>
      </c>
      <c r="I122" s="312">
        <f t="shared" si="109"/>
        <v>0</v>
      </c>
      <c r="J122" s="312">
        <f t="shared" si="109"/>
        <v>0</v>
      </c>
      <c r="K122" s="312">
        <f t="shared" si="109"/>
        <v>0</v>
      </c>
      <c r="L122" s="312">
        <f t="shared" si="109"/>
        <v>0</v>
      </c>
      <c r="M122" s="312">
        <f t="shared" si="109"/>
        <v>0</v>
      </c>
      <c r="N122" s="312">
        <f t="shared" si="109"/>
        <v>0</v>
      </c>
      <c r="O122" s="312">
        <f t="shared" si="109"/>
        <v>0</v>
      </c>
      <c r="P122" s="312">
        <f t="shared" si="109"/>
        <v>0</v>
      </c>
      <c r="Q122" s="312">
        <f t="shared" ref="Q122:R122" si="110">Q$76*Q98/Q$102</f>
        <v>0</v>
      </c>
      <c r="R122" s="312">
        <f t="shared" si="110"/>
        <v>3.2910701689426105</v>
      </c>
      <c r="S122" s="312"/>
      <c r="T122" s="312">
        <f t="shared" si="79"/>
        <v>3.2910701689426105</v>
      </c>
    </row>
    <row r="123" spans="2:21" ht="12.75" customHeight="1">
      <c r="B123" s="2" t="str">
        <f>B99</f>
        <v>Executive Option Grants Made</v>
      </c>
      <c r="D123" s="312">
        <f t="shared" ref="D123:P123" si="111">D$76*D99/D$102</f>
        <v>0</v>
      </c>
      <c r="E123" s="312">
        <f t="shared" si="111"/>
        <v>0</v>
      </c>
      <c r="F123" s="312">
        <f t="shared" si="111"/>
        <v>0</v>
      </c>
      <c r="G123" s="312">
        <f t="shared" si="111"/>
        <v>0</v>
      </c>
      <c r="H123" s="312">
        <f t="shared" si="111"/>
        <v>0</v>
      </c>
      <c r="I123" s="312">
        <f t="shared" si="111"/>
        <v>0</v>
      </c>
      <c r="J123" s="312">
        <f t="shared" si="111"/>
        <v>0</v>
      </c>
      <c r="K123" s="312">
        <f t="shared" si="111"/>
        <v>0</v>
      </c>
      <c r="L123" s="312">
        <f t="shared" si="111"/>
        <v>0</v>
      </c>
      <c r="M123" s="312">
        <f t="shared" si="111"/>
        <v>0</v>
      </c>
      <c r="N123" s="312">
        <f t="shared" si="111"/>
        <v>0</v>
      </c>
      <c r="O123" s="312">
        <f t="shared" si="111"/>
        <v>0</v>
      </c>
      <c r="P123" s="312">
        <f t="shared" si="111"/>
        <v>93.253220336922169</v>
      </c>
      <c r="Q123" s="312">
        <f t="shared" ref="Q123:R123" si="112">Q$76*Q99/Q$102</f>
        <v>26.336089485767257</v>
      </c>
      <c r="R123" s="312">
        <f t="shared" si="112"/>
        <v>271.43923985896413</v>
      </c>
      <c r="S123" s="312"/>
      <c r="T123" s="312">
        <f t="shared" si="79"/>
        <v>391.02854968165354</v>
      </c>
    </row>
    <row r="124" spans="2:21" ht="12.75" customHeight="1">
      <c r="B124" s="2" t="str">
        <f>B100</f>
        <v>Common Stock</v>
      </c>
      <c r="D124" s="312">
        <f t="shared" ref="D124:P124" si="113">D$76*D100/D$102</f>
        <v>0</v>
      </c>
      <c r="E124" s="312">
        <f t="shared" si="113"/>
        <v>0</v>
      </c>
      <c r="F124" s="312">
        <f t="shared" si="113"/>
        <v>0</v>
      </c>
      <c r="G124" s="312">
        <f t="shared" si="113"/>
        <v>0</v>
      </c>
      <c r="H124" s="312">
        <f t="shared" si="113"/>
        <v>0</v>
      </c>
      <c r="I124" s="312">
        <f t="shared" si="113"/>
        <v>2102.1375972661117</v>
      </c>
      <c r="J124" s="312">
        <f t="shared" si="113"/>
        <v>3712.1864515202201</v>
      </c>
      <c r="K124" s="312">
        <f t="shared" si="113"/>
        <v>228.55209140828234</v>
      </c>
      <c r="L124" s="312">
        <f t="shared" si="113"/>
        <v>327.85892149260332</v>
      </c>
      <c r="M124" s="312">
        <f t="shared" si="113"/>
        <v>1803.4602394314686</v>
      </c>
      <c r="N124" s="312">
        <f t="shared" si="113"/>
        <v>706.54890485747001</v>
      </c>
      <c r="O124" s="312">
        <f t="shared" si="113"/>
        <v>179.32134478013083</v>
      </c>
      <c r="P124" s="312">
        <f t="shared" si="113"/>
        <v>1404.1084047696627</v>
      </c>
      <c r="Q124" s="312">
        <f t="shared" ref="Q124:R124" si="114">Q$76*Q100/Q$102</f>
        <v>396.54099303089254</v>
      </c>
      <c r="R124" s="312">
        <f t="shared" si="114"/>
        <v>4087.0451089329013</v>
      </c>
      <c r="S124" s="312"/>
      <c r="T124" s="312">
        <f t="shared" si="79"/>
        <v>14947.760057489742</v>
      </c>
    </row>
    <row r="125" spans="2:21" ht="12.75" customHeight="1">
      <c r="B125" s="56"/>
      <c r="C125" s="56"/>
      <c r="D125" s="520"/>
      <c r="E125" s="520"/>
      <c r="F125" s="520"/>
      <c r="G125" s="520"/>
      <c r="H125" s="520"/>
      <c r="I125" s="520"/>
      <c r="J125" s="520"/>
      <c r="K125" s="520"/>
      <c r="L125" s="520"/>
      <c r="M125" s="520"/>
      <c r="N125" s="520"/>
      <c r="O125" s="520"/>
      <c r="P125" s="520"/>
      <c r="Q125" s="518"/>
      <c r="R125" s="518"/>
      <c r="S125" s="312"/>
      <c r="T125" s="520"/>
    </row>
    <row r="126" spans="2:21" ht="12.75" customHeight="1">
      <c r="B126" s="1" t="str">
        <f>B102</f>
        <v>Total Allocation</v>
      </c>
      <c r="D126" s="1101">
        <f t="shared" ref="D126:I126" si="115">SUM(D106:D124)</f>
        <v>62662.697803487303</v>
      </c>
      <c r="E126" s="1101">
        <f t="shared" si="115"/>
        <v>33712.204610474146</v>
      </c>
      <c r="F126" s="1101">
        <f t="shared" si="115"/>
        <v>25855.823748411669</v>
      </c>
      <c r="G126" s="1101">
        <f t="shared" si="115"/>
        <v>11655.085562314416</v>
      </c>
      <c r="H126" s="1101">
        <f t="shared" si="115"/>
        <v>9132.6703539140308</v>
      </c>
      <c r="I126" s="1101">
        <f t="shared" si="115"/>
        <v>15613.732415444798</v>
      </c>
      <c r="J126" s="1101">
        <f t="shared" ref="J126:R126" si="116">SUM(J106:J124)</f>
        <v>28543.381190245706</v>
      </c>
      <c r="K126" s="1101">
        <f t="shared" si="116"/>
        <v>1786.8068464030077</v>
      </c>
      <c r="L126" s="1101">
        <f t="shared" si="116"/>
        <v>2616.0428411160246</v>
      </c>
      <c r="M126" s="1101">
        <f t="shared" si="116"/>
        <v>14407.062716614968</v>
      </c>
      <c r="N126" s="1101">
        <f t="shared" si="116"/>
        <v>5651.4249788439556</v>
      </c>
      <c r="O126" s="1101">
        <f t="shared" si="116"/>
        <v>1500.2591092493021</v>
      </c>
      <c r="P126" s="1101">
        <f t="shared" si="116"/>
        <v>11840.468406638605</v>
      </c>
      <c r="Q126" s="2597">
        <f t="shared" si="116"/>
        <v>3349.2453797078565</v>
      </c>
      <c r="R126" s="2597">
        <f t="shared" si="116"/>
        <v>34523.094037134091</v>
      </c>
      <c r="S126" s="312"/>
      <c r="T126" s="1101">
        <f>SUM(T106:T124)</f>
        <v>262849.99999999988</v>
      </c>
      <c r="U126" s="261">
        <f>T126-D9</f>
        <v>0</v>
      </c>
    </row>
    <row r="127" spans="2:21" ht="12.75" customHeight="1"/>
    <row r="128" spans="2:21" ht="12.75" customHeight="1">
      <c r="B128" s="1" t="s">
        <v>1556</v>
      </c>
    </row>
    <row r="129" spans="2:20" ht="12.75" customHeight="1">
      <c r="B129" s="1"/>
    </row>
    <row r="130" spans="2:20">
      <c r="B130" s="822" t="s">
        <v>226</v>
      </c>
      <c r="C130" s="823"/>
      <c r="D130" s="1135" t="s">
        <v>153</v>
      </c>
      <c r="E130" s="1135"/>
      <c r="F130" s="1135" t="s">
        <v>151</v>
      </c>
      <c r="G130" s="1135"/>
      <c r="H130" s="1136" t="s">
        <v>227</v>
      </c>
      <c r="I130" s="1132"/>
      <c r="J130" s="1132"/>
      <c r="K130" s="1132"/>
      <c r="L130" s="1132"/>
      <c r="M130" s="1132"/>
    </row>
    <row r="131" spans="2:20">
      <c r="J131" s="167"/>
      <c r="K131" s="167"/>
      <c r="L131" s="167"/>
      <c r="M131" s="167"/>
    </row>
    <row r="132" spans="2:20">
      <c r="B132" s="2" t="str">
        <f>'OPM Hybrid (Liquidation)'!B106</f>
        <v>Series A-1</v>
      </c>
      <c r="D132" s="81">
        <f t="shared" ref="D132:D140" si="117">T106</f>
        <v>13381.728265595772</v>
      </c>
      <c r="E132" s="81"/>
      <c r="F132" s="81">
        <f t="shared" ref="F132:F140" si="118">U32</f>
        <v>5499.9989999999998</v>
      </c>
      <c r="G132" s="4"/>
      <c r="H132" s="139">
        <f t="shared" ref="H132:H142" si="119">D132/F132</f>
        <v>2.4330419452068575</v>
      </c>
      <c r="I132" s="139"/>
      <c r="J132" s="271"/>
      <c r="K132" s="271"/>
      <c r="L132" s="1131"/>
      <c r="M132" s="271"/>
    </row>
    <row r="133" spans="2:20">
      <c r="B133" s="2" t="str">
        <f>'OPM Hybrid (Liquidation)'!B107</f>
        <v>Series A-2</v>
      </c>
      <c r="D133" s="81">
        <f t="shared" si="117"/>
        <v>48744.898241251409</v>
      </c>
      <c r="E133" s="81"/>
      <c r="F133" s="81">
        <f t="shared" si="118"/>
        <v>20916.409</v>
      </c>
      <c r="G133" s="4"/>
      <c r="H133" s="139">
        <f t="shared" si="119"/>
        <v>2.3304620903737066</v>
      </c>
      <c r="I133" s="139"/>
      <c r="J133" s="271"/>
      <c r="K133" s="271"/>
      <c r="L133" s="1131"/>
      <c r="M133" s="271"/>
    </row>
    <row r="134" spans="2:20">
      <c r="B134" s="2" t="str">
        <f>'OPM Hybrid (Liquidation)'!B108</f>
        <v>Series B Tranche I</v>
      </c>
      <c r="D134" s="81">
        <f t="shared" si="117"/>
        <v>13058.244198815504</v>
      </c>
      <c r="E134" s="81"/>
      <c r="F134" s="81">
        <f t="shared" si="118"/>
        <v>3571.4279999999999</v>
      </c>
      <c r="G134" s="4"/>
      <c r="H134" s="139">
        <f t="shared" si="119"/>
        <v>3.6563089606777752</v>
      </c>
      <c r="I134" s="139"/>
      <c r="J134" s="271"/>
      <c r="K134" s="271"/>
      <c r="L134" s="1131"/>
      <c r="M134" s="271"/>
    </row>
    <row r="135" spans="2:20">
      <c r="B135" s="2" t="str">
        <f>'OPM Hybrid (Liquidation)'!B109</f>
        <v>Series B Tranche II</v>
      </c>
      <c r="D135" s="81">
        <f t="shared" si="117"/>
        <v>12926.126808540181</v>
      </c>
      <c r="E135" s="81"/>
      <c r="F135" s="81">
        <f t="shared" si="118"/>
        <v>3571.4290000000001</v>
      </c>
      <c r="G135" s="4"/>
      <c r="H135" s="139">
        <f t="shared" si="119"/>
        <v>3.6193150720734417</v>
      </c>
      <c r="I135" s="139"/>
      <c r="J135" s="271"/>
      <c r="K135" s="271"/>
      <c r="L135" s="1131"/>
      <c r="M135" s="271"/>
    </row>
    <row r="136" spans="2:20">
      <c r="B136" s="2" t="str">
        <f>'OPM Hybrid (Liquidation)'!B110</f>
        <v>Series C Tranche I</v>
      </c>
      <c r="D136" s="81">
        <f t="shared" si="117"/>
        <v>17937.954585404212</v>
      </c>
      <c r="E136" s="81"/>
      <c r="F136" s="81">
        <f t="shared" si="118"/>
        <v>2384.889986666667</v>
      </c>
      <c r="G136" s="4"/>
      <c r="H136" s="139">
        <f t="shared" si="119"/>
        <v>7.521501908134506</v>
      </c>
      <c r="I136" s="139"/>
      <c r="J136" s="271"/>
      <c r="K136" s="271"/>
      <c r="L136" s="1131"/>
      <c r="M136" s="271"/>
    </row>
    <row r="137" spans="2:20">
      <c r="B137" s="2" t="str">
        <f>'OPM Hybrid (Liquidation)'!B111</f>
        <v>Series C Tranche II</v>
      </c>
      <c r="D137" s="81">
        <f t="shared" si="117"/>
        <v>17486.524779091418</v>
      </c>
      <c r="E137" s="81"/>
      <c r="F137" s="81">
        <f t="shared" si="118"/>
        <v>2384.889986666667</v>
      </c>
      <c r="G137" s="4"/>
      <c r="H137" s="139">
        <f t="shared" si="119"/>
        <v>7.3322144320510692</v>
      </c>
      <c r="I137" s="139"/>
      <c r="J137" s="271"/>
      <c r="K137" s="271"/>
      <c r="L137" s="1131"/>
      <c r="M137" s="271"/>
    </row>
    <row r="138" spans="2:20">
      <c r="B138" s="2" t="str">
        <f>'OPM Hybrid (Liquidation)'!B112</f>
        <v>Series D Tranche I</v>
      </c>
      <c r="D138" s="81">
        <f t="shared" si="117"/>
        <v>25201.084378766598</v>
      </c>
      <c r="E138" s="81"/>
      <c r="F138" s="81">
        <f t="shared" si="118"/>
        <v>2646.0859999999998</v>
      </c>
      <c r="G138" s="4"/>
      <c r="H138" s="139">
        <f t="shared" si="119"/>
        <v>9.523909796872287</v>
      </c>
      <c r="I138" s="139"/>
      <c r="J138" s="271"/>
      <c r="K138" s="271"/>
      <c r="L138" s="1131"/>
      <c r="M138" s="271"/>
    </row>
    <row r="139" spans="2:20">
      <c r="B139" s="2" t="str">
        <f>'OPM Hybrid (Liquidation)'!B113</f>
        <v>Series D Tranche II</v>
      </c>
      <c r="D139" s="81">
        <f t="shared" si="117"/>
        <v>17536.138849429597</v>
      </c>
      <c r="E139" s="81"/>
      <c r="F139" s="81">
        <f t="shared" si="118"/>
        <v>1852.702</v>
      </c>
      <c r="G139" s="4"/>
      <c r="H139" s="139">
        <f t="shared" si="119"/>
        <v>9.4651697085821667</v>
      </c>
      <c r="I139" s="139"/>
      <c r="J139" s="271"/>
      <c r="K139" s="271"/>
      <c r="L139" s="1131"/>
      <c r="M139" s="271"/>
    </row>
    <row r="140" spans="2:20">
      <c r="B140" s="2" t="str">
        <f>'OPM Hybrid (Liquidation)'!B114</f>
        <v>Series E</v>
      </c>
      <c r="D140" s="81">
        <f t="shared" si="117"/>
        <v>72823.259297083583</v>
      </c>
      <c r="E140" s="81"/>
      <c r="F140" s="81">
        <f t="shared" si="118"/>
        <v>5064.8329999999996</v>
      </c>
      <c r="G140" s="4"/>
      <c r="H140" s="139">
        <f t="shared" si="119"/>
        <v>14.378215292998522</v>
      </c>
      <c r="I140" s="139"/>
      <c r="J140" s="271"/>
      <c r="K140" s="271"/>
      <c r="L140" s="1131"/>
      <c r="M140" s="271"/>
      <c r="T140" s="692" t="s">
        <v>40</v>
      </c>
    </row>
    <row r="141" spans="2:20">
      <c r="B141" s="2" t="s">
        <v>2774</v>
      </c>
      <c r="D141" s="81">
        <f>SUM(T115:T123)</f>
        <v>8806.2805385318552</v>
      </c>
      <c r="E141" s="81"/>
      <c r="F141" s="81">
        <f>SUM(U41:U49)</f>
        <v>7595.7569999999996</v>
      </c>
      <c r="G141" s="4"/>
      <c r="H141" s="139">
        <f t="shared" si="119"/>
        <v>1.1593683866574267</v>
      </c>
      <c r="I141" s="139"/>
      <c r="J141" s="271"/>
      <c r="K141" s="271"/>
      <c r="L141" s="1131"/>
      <c r="M141" s="271"/>
      <c r="T141" s="582" t="str">
        <f>IF((D144&lt;&gt;T126),"Check","")</f>
        <v/>
      </c>
    </row>
    <row r="142" spans="2:20">
      <c r="B142" s="2" t="str">
        <f>'OPM Hybrid (Liquidation)'!B124</f>
        <v>Common Stock</v>
      </c>
      <c r="C142" s="351"/>
      <c r="D142" s="81">
        <f>T124</f>
        <v>14947.760057489742</v>
      </c>
      <c r="E142" s="81"/>
      <c r="F142" s="81">
        <f>U50</f>
        <v>7451.1540000000005</v>
      </c>
      <c r="G142" s="4"/>
      <c r="H142" s="1110">
        <f t="shared" si="119"/>
        <v>2.0061000024277771</v>
      </c>
      <c r="I142" s="139"/>
      <c r="J142" s="1133"/>
      <c r="K142" s="1133"/>
      <c r="L142" s="1131"/>
      <c r="M142" s="1134"/>
    </row>
    <row r="143" spans="2:20">
      <c r="B143" s="5"/>
      <c r="C143" s="5"/>
      <c r="D143" s="141"/>
      <c r="E143" s="141"/>
      <c r="F143" s="141"/>
      <c r="G143" s="5"/>
      <c r="H143" s="142"/>
      <c r="I143" s="16"/>
      <c r="J143" s="271"/>
      <c r="K143" s="271"/>
      <c r="L143" s="271"/>
      <c r="M143" s="271"/>
    </row>
    <row r="144" spans="2:20">
      <c r="B144" s="1" t="str">
        <f>'OPM Hybrid (Liquidation)'!B126</f>
        <v>Total Allocation</v>
      </c>
      <c r="D144" s="143">
        <f>SUM(D132:D142)</f>
        <v>262849.99999999994</v>
      </c>
      <c r="E144" s="81"/>
      <c r="F144" s="143">
        <f>SUM(F132:F142)</f>
        <v>62939.576973333336</v>
      </c>
      <c r="H144" s="144"/>
      <c r="J144" s="144"/>
      <c r="K144" s="144"/>
      <c r="L144" s="144"/>
      <c r="M144" s="144"/>
    </row>
    <row r="145" spans="1:18">
      <c r="B145" s="1"/>
      <c r="D145" s="143"/>
      <c r="E145" s="81"/>
      <c r="F145" s="143"/>
      <c r="H145" s="144"/>
      <c r="J145" s="144"/>
      <c r="K145" s="144"/>
      <c r="L145" s="144"/>
      <c r="M145" s="144"/>
    </row>
    <row r="146" spans="1:18">
      <c r="B146" s="8" t="s">
        <v>16</v>
      </c>
      <c r="D146" s="143"/>
      <c r="E146" s="81"/>
      <c r="F146" s="143"/>
      <c r="H146" s="144"/>
      <c r="J146" s="144"/>
      <c r="K146" s="144"/>
      <c r="L146" s="144"/>
      <c r="M146" s="144"/>
    </row>
    <row r="147" spans="1:18" ht="27" customHeight="1">
      <c r="A147" s="653" t="s">
        <v>128</v>
      </c>
      <c r="B147" s="2604" t="str">
        <f>"Based on discussions with Management, as well as the progress made by the Company since the Previous Valuation, we considered a step-up of "&amp;TEXT(W6,"0.0%")&amp;" on the total allocable value. We noted that this step-up reconciled well with various rNPV calculations we performed as workpapers."</f>
        <v>Based on discussions with Management, as well as the progress made by the Company since the Previous Valuation, we considered a step-up of 0.0% on the total allocable value. We noted that this step-up reconciled well with various rNPV calculations we performed as workpapers.</v>
      </c>
      <c r="C147" s="2604"/>
      <c r="D147" s="2604"/>
      <c r="E147" s="2604"/>
      <c r="F147" s="2604"/>
      <c r="G147" s="2604"/>
      <c r="H147" s="2604"/>
      <c r="I147" s="2604"/>
      <c r="J147" s="2604"/>
      <c r="K147" s="2604"/>
      <c r="L147" s="2604"/>
      <c r="M147" s="2604"/>
      <c r="N147" s="2604"/>
      <c r="O147" s="2604"/>
      <c r="P147" s="2604"/>
      <c r="Q147" s="2555"/>
      <c r="R147" s="2555"/>
    </row>
    <row r="148" spans="1:18">
      <c r="B148" s="1"/>
      <c r="D148" s="143"/>
      <c r="E148" s="81"/>
      <c r="F148" s="143"/>
      <c r="H148" s="144"/>
      <c r="J148" s="144"/>
      <c r="K148" s="144"/>
      <c r="L148" s="144"/>
      <c r="M148" s="144"/>
    </row>
    <row r="149" spans="1:18">
      <c r="B149" s="8"/>
    </row>
    <row r="150" spans="1:18">
      <c r="B150" s="310" t="s">
        <v>1055</v>
      </c>
      <c r="D150" s="785">
        <f t="shared" ref="D150:P150" si="120">NORMSDIST(D67)</f>
        <v>1</v>
      </c>
      <c r="E150" s="785">
        <f t="shared" si="120"/>
        <v>0.95980877492972683</v>
      </c>
      <c r="F150" s="785">
        <f t="shared" si="120"/>
        <v>0.89296682676411121</v>
      </c>
      <c r="G150" s="785">
        <f t="shared" si="120"/>
        <v>0.82021318547746547</v>
      </c>
      <c r="H150" s="785">
        <f t="shared" si="120"/>
        <v>0.78126703771340922</v>
      </c>
      <c r="I150" s="785">
        <f t="shared" si="120"/>
        <v>0.74801815252229165</v>
      </c>
      <c r="J150" s="785">
        <f t="shared" ref="J150:O150" si="121">NORMSDIST(J67)</f>
        <v>0.68544712651341633</v>
      </c>
      <c r="K150" s="785">
        <f t="shared" si="121"/>
        <v>0.55108777217354121</v>
      </c>
      <c r="L150" s="785">
        <f t="shared" si="121"/>
        <v>0.54174909824592843</v>
      </c>
      <c r="M150" s="785">
        <f t="shared" si="121"/>
        <v>0.52786488117237329</v>
      </c>
      <c r="N150" s="785">
        <f t="shared" si="121"/>
        <v>0.44665311392930962</v>
      </c>
      <c r="O150" s="785">
        <f t="shared" si="121"/>
        <v>0.41243621851187717</v>
      </c>
      <c r="P150" s="785">
        <f t="shared" si="120"/>
        <v>0.40311123047619007</v>
      </c>
      <c r="Q150" s="785"/>
      <c r="R150" s="785"/>
    </row>
    <row r="152" spans="1:18">
      <c r="D152" s="317">
        <f t="shared" ref="D152:P152" si="122">NORMSDIST(D68)</f>
        <v>1</v>
      </c>
      <c r="E152" s="317">
        <f t="shared" si="122"/>
        <v>0.74128230866121914</v>
      </c>
      <c r="F152" s="317">
        <f t="shared" si="122"/>
        <v>0.55618111851351715</v>
      </c>
      <c r="G152" s="317">
        <f t="shared" si="122"/>
        <v>0.4266185444810987</v>
      </c>
      <c r="H152" s="317">
        <f t="shared" si="122"/>
        <v>0.37270858067874418</v>
      </c>
      <c r="I152" s="317">
        <f t="shared" si="122"/>
        <v>0.33254320756229505</v>
      </c>
      <c r="J152" s="317">
        <f t="shared" ref="J152:O152" si="123">NORMSDIST(J68)</f>
        <v>0.26822779705849631</v>
      </c>
      <c r="K152" s="317">
        <f t="shared" si="123"/>
        <v>0.1653369228090302</v>
      </c>
      <c r="L152" s="317">
        <f t="shared" si="123"/>
        <v>0.15954580251819225</v>
      </c>
      <c r="M152" s="317">
        <f t="shared" si="123"/>
        <v>0.15120856961562235</v>
      </c>
      <c r="N152" s="317">
        <f t="shared" si="123"/>
        <v>0.10836140685728272</v>
      </c>
      <c r="O152" s="317">
        <f t="shared" si="123"/>
        <v>9.3009154942754274E-2</v>
      </c>
      <c r="P152" s="317">
        <f t="shared" si="122"/>
        <v>8.9075534678576415E-2</v>
      </c>
      <c r="Q152" s="317"/>
      <c r="R152" s="317"/>
    </row>
    <row r="153" spans="1:18">
      <c r="B153" s="310" t="s">
        <v>988</v>
      </c>
      <c r="D153" s="694">
        <f>D152-J152</f>
        <v>0.73177220294150369</v>
      </c>
      <c r="E153" s="317"/>
      <c r="F153" s="317"/>
      <c r="G153" s="317"/>
      <c r="H153" s="317"/>
      <c r="I153" s="317"/>
      <c r="J153" s="317"/>
      <c r="K153" s="317"/>
      <c r="L153" s="317"/>
      <c r="M153" s="317"/>
      <c r="N153" s="317"/>
      <c r="O153" s="317"/>
      <c r="P153" s="317"/>
      <c r="Q153" s="317"/>
      <c r="R153" s="317"/>
    </row>
    <row r="156" spans="1:18">
      <c r="B156" s="1" t="s">
        <v>1056</v>
      </c>
    </row>
    <row r="157" spans="1:18">
      <c r="B157" s="310" t="str">
        <f t="shared" ref="B157:B171" si="124">B82</f>
        <v>Series A-1</v>
      </c>
      <c r="D157" s="149">
        <f t="shared" ref="D157:P157" si="125">D82/D$102</f>
        <v>0</v>
      </c>
      <c r="E157" s="149">
        <f t="shared" si="125"/>
        <v>0</v>
      </c>
      <c r="F157" s="149">
        <f t="shared" si="125"/>
        <v>0</v>
      </c>
      <c r="G157" s="149">
        <f t="shared" si="125"/>
        <v>0</v>
      </c>
      <c r="H157" s="149">
        <f t="shared" si="125"/>
        <v>0.25711869227127304</v>
      </c>
      <c r="I157" s="149">
        <f t="shared" si="125"/>
        <v>9.9378738270146497E-2</v>
      </c>
      <c r="J157" s="149">
        <f t="shared" ref="J157:O157" si="126">J82/J$102</f>
        <v>9.5998276264412347E-2</v>
      </c>
      <c r="K157" s="149">
        <f t="shared" si="126"/>
        <v>9.4416231672716303E-2</v>
      </c>
      <c r="L157" s="149">
        <f t="shared" si="126"/>
        <v>9.2508411832906007E-2</v>
      </c>
      <c r="M157" s="149">
        <f t="shared" si="126"/>
        <v>9.2399622365429923E-2</v>
      </c>
      <c r="N157" s="149">
        <f t="shared" si="126"/>
        <v>9.2283345803794783E-2</v>
      </c>
      <c r="O157" s="149">
        <f t="shared" si="126"/>
        <v>8.82276650559084E-2</v>
      </c>
      <c r="P157" s="149">
        <f t="shared" si="125"/>
        <v>8.7532801169893731E-2</v>
      </c>
      <c r="Q157" s="149"/>
      <c r="R157" s="149"/>
    </row>
    <row r="158" spans="1:18">
      <c r="B158" s="310" t="str">
        <f t="shared" si="124"/>
        <v>Series A-2</v>
      </c>
      <c r="D158" s="149">
        <f t="shared" ref="D158:P158" si="127">D83/D$102</f>
        <v>0</v>
      </c>
      <c r="E158" s="149">
        <f t="shared" si="127"/>
        <v>0</v>
      </c>
      <c r="F158" s="149">
        <f t="shared" si="127"/>
        <v>0</v>
      </c>
      <c r="G158" s="149">
        <f t="shared" si="127"/>
        <v>0</v>
      </c>
      <c r="H158" s="149">
        <f t="shared" si="127"/>
        <v>0.74288130772872707</v>
      </c>
      <c r="I158" s="149">
        <f t="shared" si="127"/>
        <v>0.37793576609056412</v>
      </c>
      <c r="J158" s="149">
        <f t="shared" ref="J158:O158" si="128">J83/J$102</f>
        <v>0.36507992267661155</v>
      </c>
      <c r="K158" s="149">
        <f t="shared" si="128"/>
        <v>0.35906343217613101</v>
      </c>
      <c r="L158" s="149">
        <f t="shared" si="128"/>
        <v>0.35180802357191371</v>
      </c>
      <c r="M158" s="149">
        <f t="shared" si="128"/>
        <v>0.35139429895185065</v>
      </c>
      <c r="N158" s="149">
        <f t="shared" si="128"/>
        <v>0.35095210103140118</v>
      </c>
      <c r="O158" s="149">
        <f t="shared" si="128"/>
        <v>0.33552841144596351</v>
      </c>
      <c r="P158" s="149">
        <f t="shared" si="127"/>
        <v>0.33288585510382385</v>
      </c>
      <c r="Q158" s="149"/>
      <c r="R158" s="149"/>
    </row>
    <row r="159" spans="1:18">
      <c r="B159" s="310" t="str">
        <f t="shared" si="124"/>
        <v>Series B Tranche I</v>
      </c>
      <c r="D159" s="149">
        <f t="shared" ref="D159:P159" si="129">D84/D$102</f>
        <v>0</v>
      </c>
      <c r="E159" s="149">
        <f t="shared" si="129"/>
        <v>0</v>
      </c>
      <c r="F159" s="149">
        <f t="shared" si="129"/>
        <v>0</v>
      </c>
      <c r="G159" s="149">
        <f t="shared" si="129"/>
        <v>0.50566788616303771</v>
      </c>
      <c r="H159" s="149">
        <f t="shared" si="129"/>
        <v>0</v>
      </c>
      <c r="I159" s="149">
        <f t="shared" si="129"/>
        <v>6.453164963533134E-2</v>
      </c>
      <c r="J159" s="149">
        <f t="shared" ref="J159:O159" si="130">J84/J$102</f>
        <v>6.2336544388909468E-2</v>
      </c>
      <c r="K159" s="149">
        <f t="shared" si="130"/>
        <v>6.1309242683576091E-2</v>
      </c>
      <c r="L159" s="149">
        <f t="shared" si="130"/>
        <v>6.0070398604721902E-2</v>
      </c>
      <c r="M159" s="149">
        <f t="shared" si="130"/>
        <v>5.9999756091832494E-2</v>
      </c>
      <c r="N159" s="149">
        <f t="shared" si="130"/>
        <v>5.9924251829383095E-2</v>
      </c>
      <c r="O159" s="149">
        <f t="shared" si="130"/>
        <v>5.7290692844724669E-2</v>
      </c>
      <c r="P159" s="149">
        <f t="shared" si="129"/>
        <v>5.6839482519286139E-2</v>
      </c>
      <c r="Q159" s="149"/>
      <c r="R159" s="149"/>
    </row>
    <row r="160" spans="1:18">
      <c r="B160" s="310" t="str">
        <f t="shared" si="124"/>
        <v>Series B Tranche II</v>
      </c>
      <c r="D160" s="149">
        <f t="shared" ref="D160:P160" si="131">D85/D$102</f>
        <v>0</v>
      </c>
      <c r="E160" s="149">
        <f t="shared" si="131"/>
        <v>0</v>
      </c>
      <c r="F160" s="149">
        <f t="shared" si="131"/>
        <v>0</v>
      </c>
      <c r="G160" s="149">
        <f t="shared" si="131"/>
        <v>0.49433211383696224</v>
      </c>
      <c r="H160" s="149">
        <f t="shared" si="131"/>
        <v>0</v>
      </c>
      <c r="I160" s="149">
        <f t="shared" si="131"/>
        <v>6.4531667704196133E-2</v>
      </c>
      <c r="J160" s="149">
        <f t="shared" ref="J160:O160" si="132">J85/J$102</f>
        <v>6.2336561843144692E-2</v>
      </c>
      <c r="K160" s="149">
        <f t="shared" si="132"/>
        <v>6.1309259850166796E-2</v>
      </c>
      <c r="L160" s="149">
        <f t="shared" si="132"/>
        <v>6.0070415424436203E-2</v>
      </c>
      <c r="M160" s="149">
        <f t="shared" si="132"/>
        <v>5.9999772891766896E-2</v>
      </c>
      <c r="N160" s="149">
        <f t="shared" si="132"/>
        <v>5.9924268608176297E-2</v>
      </c>
      <c r="O160" s="149">
        <f t="shared" si="132"/>
        <v>5.7290708886121235E-2</v>
      </c>
      <c r="P160" s="149">
        <f t="shared" si="131"/>
        <v>5.6839498434343792E-2</v>
      </c>
      <c r="Q160" s="149"/>
      <c r="R160" s="149"/>
    </row>
    <row r="161" spans="2:18">
      <c r="B161" s="310" t="str">
        <f t="shared" si="124"/>
        <v>Series C Tranche I</v>
      </c>
      <c r="D161" s="149">
        <f t="shared" ref="D161:P161" si="133">D86/D$102</f>
        <v>0</v>
      </c>
      <c r="E161" s="149">
        <f t="shared" si="133"/>
        <v>0</v>
      </c>
      <c r="F161" s="149">
        <f t="shared" si="133"/>
        <v>0.50872975099740392</v>
      </c>
      <c r="G161" s="149">
        <f t="shared" si="133"/>
        <v>0</v>
      </c>
      <c r="H161" s="149">
        <f t="shared" si="133"/>
        <v>0</v>
      </c>
      <c r="I161" s="149">
        <f t="shared" si="133"/>
        <v>4.3092254705508107E-2</v>
      </c>
      <c r="J161" s="149">
        <f t="shared" ref="J161:O161" si="134">J86/J$102</f>
        <v>4.1626430804852399E-2</v>
      </c>
      <c r="K161" s="149">
        <f t="shared" si="134"/>
        <v>4.0940430260998473E-2</v>
      </c>
      <c r="L161" s="149">
        <f t="shared" si="134"/>
        <v>4.0113168213800357E-2</v>
      </c>
      <c r="M161" s="149">
        <f t="shared" si="134"/>
        <v>4.0065995312198281E-2</v>
      </c>
      <c r="N161" s="149">
        <f t="shared" si="134"/>
        <v>4.0015575883480627E-2</v>
      </c>
      <c r="O161" s="149">
        <f t="shared" si="134"/>
        <v>3.8256966035596834E-2</v>
      </c>
      <c r="P161" s="149">
        <f t="shared" si="133"/>
        <v>3.7955661631022826E-2</v>
      </c>
      <c r="Q161" s="149"/>
      <c r="R161" s="149"/>
    </row>
    <row r="162" spans="2:18">
      <c r="B162" s="310" t="str">
        <f t="shared" si="124"/>
        <v>Series C Tranche II</v>
      </c>
      <c r="D162" s="149">
        <f t="shared" ref="D162:P162" si="135">D87/D$102</f>
        <v>0</v>
      </c>
      <c r="E162" s="149">
        <f t="shared" si="135"/>
        <v>0</v>
      </c>
      <c r="F162" s="149">
        <f t="shared" si="135"/>
        <v>0.49127024900259608</v>
      </c>
      <c r="G162" s="149">
        <f t="shared" si="135"/>
        <v>0</v>
      </c>
      <c r="H162" s="149">
        <f t="shared" si="135"/>
        <v>0</v>
      </c>
      <c r="I162" s="149">
        <f t="shared" si="135"/>
        <v>4.3092254705508107E-2</v>
      </c>
      <c r="J162" s="149">
        <f t="shared" ref="J162:O162" si="136">J87/J$102</f>
        <v>4.1626430804852399E-2</v>
      </c>
      <c r="K162" s="149">
        <f t="shared" si="136"/>
        <v>4.0940430260998473E-2</v>
      </c>
      <c r="L162" s="149">
        <f t="shared" si="136"/>
        <v>4.0113168213800357E-2</v>
      </c>
      <c r="M162" s="149">
        <f t="shared" si="136"/>
        <v>4.0065995312198281E-2</v>
      </c>
      <c r="N162" s="149">
        <f t="shared" si="136"/>
        <v>4.0015575883480627E-2</v>
      </c>
      <c r="O162" s="149">
        <f t="shared" si="136"/>
        <v>3.8256966035596834E-2</v>
      </c>
      <c r="P162" s="149">
        <f t="shared" si="135"/>
        <v>3.7955661631022826E-2</v>
      </c>
      <c r="Q162" s="149"/>
      <c r="R162" s="149"/>
    </row>
    <row r="163" spans="2:18">
      <c r="B163" s="310" t="str">
        <f t="shared" si="124"/>
        <v>Series D Tranche I</v>
      </c>
      <c r="D163" s="149">
        <f t="shared" ref="D163:P163" si="137">D88/D$102</f>
        <v>0</v>
      </c>
      <c r="E163" s="149">
        <f t="shared" si="137"/>
        <v>0.59007624916828938</v>
      </c>
      <c r="F163" s="149">
        <f t="shared" si="137"/>
        <v>0</v>
      </c>
      <c r="G163" s="149">
        <f t="shared" si="137"/>
        <v>0</v>
      </c>
      <c r="H163" s="149">
        <f t="shared" si="137"/>
        <v>0</v>
      </c>
      <c r="I163" s="149">
        <f t="shared" si="137"/>
        <v>4.7811770153830729E-2</v>
      </c>
      <c r="J163" s="149">
        <f t="shared" ref="J163:O163" si="138">J88/J$102</f>
        <v>4.6185407460509323E-2</v>
      </c>
      <c r="K163" s="149">
        <f t="shared" si="138"/>
        <v>4.5424275313855726E-2</v>
      </c>
      <c r="L163" s="149">
        <f t="shared" si="138"/>
        <v>4.4506410534490448E-2</v>
      </c>
      <c r="M163" s="149">
        <f t="shared" si="138"/>
        <v>4.4454071200094938E-2</v>
      </c>
      <c r="N163" s="149">
        <f t="shared" si="138"/>
        <v>4.439812977503816E-2</v>
      </c>
      <c r="O163" s="149">
        <f t="shared" si="138"/>
        <v>4.2446914866189692E-2</v>
      </c>
      <c r="P163" s="149">
        <f t="shared" si="137"/>
        <v>4.211261124164558E-2</v>
      </c>
      <c r="Q163" s="149"/>
      <c r="R163" s="149"/>
    </row>
    <row r="164" spans="2:18">
      <c r="B164" s="310" t="str">
        <f t="shared" si="124"/>
        <v>Series D Tranche II</v>
      </c>
      <c r="D164" s="149">
        <f t="shared" ref="D164:P164" si="139">D89/D$102</f>
        <v>0</v>
      </c>
      <c r="E164" s="149">
        <f t="shared" si="139"/>
        <v>0.40992375083171056</v>
      </c>
      <c r="F164" s="149">
        <f t="shared" si="139"/>
        <v>0</v>
      </c>
      <c r="G164" s="149">
        <f t="shared" si="139"/>
        <v>0</v>
      </c>
      <c r="H164" s="149">
        <f t="shared" si="139"/>
        <v>0</v>
      </c>
      <c r="I164" s="149">
        <f t="shared" si="139"/>
        <v>3.347622193214525E-2</v>
      </c>
      <c r="J164" s="149">
        <f t="shared" ref="J164:O164" si="140">J89/J$102</f>
        <v>3.233749650347742E-2</v>
      </c>
      <c r="K164" s="149">
        <f t="shared" si="140"/>
        <v>3.1804576919469411E-2</v>
      </c>
      <c r="L164" s="149">
        <f t="shared" si="140"/>
        <v>3.1161918323921265E-2</v>
      </c>
      <c r="M164" s="149">
        <f t="shared" si="140"/>
        <v>3.11252720510816E-2</v>
      </c>
      <c r="N164" s="149">
        <f t="shared" si="140"/>
        <v>3.1086103713361075E-2</v>
      </c>
      <c r="O164" s="149">
        <f t="shared" si="140"/>
        <v>2.9719927495334385E-2</v>
      </c>
      <c r="P164" s="149">
        <f t="shared" si="139"/>
        <v>2.9485859141622474E-2</v>
      </c>
      <c r="Q164" s="149"/>
      <c r="R164" s="149"/>
    </row>
    <row r="165" spans="2:18">
      <c r="B165" s="310" t="str">
        <f t="shared" si="124"/>
        <v>Series E</v>
      </c>
      <c r="D165" s="149">
        <f t="shared" ref="D165:P165" si="141">D90/D$102</f>
        <v>1</v>
      </c>
      <c r="E165" s="149">
        <f t="shared" si="141"/>
        <v>0</v>
      </c>
      <c r="F165" s="149">
        <f t="shared" si="141"/>
        <v>0</v>
      </c>
      <c r="G165" s="149">
        <f t="shared" si="141"/>
        <v>0</v>
      </c>
      <c r="H165" s="149">
        <f t="shared" si="141"/>
        <v>0</v>
      </c>
      <c r="I165" s="149">
        <f t="shared" si="141"/>
        <v>9.1515782655415184E-2</v>
      </c>
      <c r="J165" s="149">
        <f t="shared" ref="J165:O165" si="142">J90/J$102</f>
        <v>8.8402786539981626E-2</v>
      </c>
      <c r="K165" s="149">
        <f t="shared" si="142"/>
        <v>8.6945915065006138E-2</v>
      </c>
      <c r="L165" s="149">
        <f t="shared" si="142"/>
        <v>8.5189044039624878E-2</v>
      </c>
      <c r="M165" s="149">
        <f t="shared" si="142"/>
        <v>8.5088862115059935E-2</v>
      </c>
      <c r="N165" s="149">
        <f t="shared" si="142"/>
        <v>8.4981785483501243E-2</v>
      </c>
      <c r="O165" s="149">
        <f t="shared" si="142"/>
        <v>8.1246994679110257E-2</v>
      </c>
      <c r="P165" s="149">
        <f t="shared" si="141"/>
        <v>8.0607109191786472E-2</v>
      </c>
      <c r="Q165" s="149"/>
      <c r="R165" s="149"/>
    </row>
    <row r="166" spans="2:18">
      <c r="B166" s="310" t="str">
        <f t="shared" si="124"/>
        <v>Options at $1.00 Strike Price</v>
      </c>
      <c r="D166" s="149">
        <f t="shared" ref="D166:P166" si="143">D91/D$102</f>
        <v>0</v>
      </c>
      <c r="E166" s="149">
        <f t="shared" si="143"/>
        <v>0</v>
      </c>
      <c r="F166" s="149">
        <f t="shared" si="143"/>
        <v>0</v>
      </c>
      <c r="G166" s="149">
        <f t="shared" si="143"/>
        <v>0</v>
      </c>
      <c r="H166" s="149">
        <f t="shared" si="143"/>
        <v>0</v>
      </c>
      <c r="I166" s="149">
        <f t="shared" si="143"/>
        <v>0</v>
      </c>
      <c r="J166" s="149">
        <f t="shared" ref="J166:O166" si="144">J91/J$102</f>
        <v>3.4015948125089478E-2</v>
      </c>
      <c r="K166" s="149">
        <f t="shared" si="144"/>
        <v>3.3455367780766555E-2</v>
      </c>
      <c r="L166" s="149">
        <f t="shared" si="144"/>
        <v>3.2779352510197979E-2</v>
      </c>
      <c r="M166" s="149">
        <f t="shared" si="144"/>
        <v>3.2740804142183222E-2</v>
      </c>
      <c r="N166" s="149">
        <f t="shared" si="144"/>
        <v>3.2699602803548243E-2</v>
      </c>
      <c r="O166" s="149">
        <f t="shared" si="144"/>
        <v>3.1262516313036226E-2</v>
      </c>
      <c r="P166" s="149">
        <f t="shared" si="143"/>
        <v>3.1016298830593418E-2</v>
      </c>
      <c r="Q166" s="149"/>
      <c r="R166" s="149"/>
    </row>
    <row r="167" spans="2:18">
      <c r="B167" s="310" t="str">
        <f t="shared" si="124"/>
        <v>Options at $3.50 Strike Price</v>
      </c>
      <c r="D167" s="149">
        <f t="shared" ref="D167:P167" si="145">D92/D$102</f>
        <v>0</v>
      </c>
      <c r="E167" s="149">
        <f t="shared" si="145"/>
        <v>0</v>
      </c>
      <c r="F167" s="149">
        <f t="shared" si="145"/>
        <v>0</v>
      </c>
      <c r="G167" s="149">
        <f t="shared" si="145"/>
        <v>0</v>
      </c>
      <c r="H167" s="149">
        <f t="shared" si="145"/>
        <v>0</v>
      </c>
      <c r="I167" s="149">
        <f t="shared" si="145"/>
        <v>0</v>
      </c>
      <c r="J167" s="149">
        <f t="shared" si="145"/>
        <v>0</v>
      </c>
      <c r="K167" s="149">
        <f t="shared" si="145"/>
        <v>1.6479927070133585E-2</v>
      </c>
      <c r="L167" s="149">
        <f t="shared" si="145"/>
        <v>1.6146925728457363E-2</v>
      </c>
      <c r="M167" s="149">
        <f t="shared" si="145"/>
        <v>1.6127937017954497E-2</v>
      </c>
      <c r="N167" s="149">
        <f t="shared" si="145"/>
        <v>1.610764146896081E-2</v>
      </c>
      <c r="O167" s="149">
        <f t="shared" si="145"/>
        <v>1.5399740700620503E-2</v>
      </c>
      <c r="P167" s="149">
        <f t="shared" si="145"/>
        <v>1.527845534573697E-2</v>
      </c>
      <c r="Q167" s="149"/>
      <c r="R167" s="149"/>
    </row>
    <row r="168" spans="2:18">
      <c r="B168" s="310" t="str">
        <f t="shared" si="124"/>
        <v>Options at $3.70 Strike Price</v>
      </c>
      <c r="D168" s="149">
        <f t="shared" ref="D168:P168" si="146">D93/D$102</f>
        <v>0</v>
      </c>
      <c r="E168" s="149">
        <f t="shared" si="146"/>
        <v>0</v>
      </c>
      <c r="F168" s="149">
        <f t="shared" si="146"/>
        <v>0</v>
      </c>
      <c r="G168" s="149">
        <f t="shared" si="146"/>
        <v>0</v>
      </c>
      <c r="H168" s="149">
        <f t="shared" si="146"/>
        <v>0</v>
      </c>
      <c r="I168" s="149">
        <f t="shared" si="146"/>
        <v>0</v>
      </c>
      <c r="J168" s="149">
        <f t="shared" si="146"/>
        <v>0</v>
      </c>
      <c r="K168" s="149">
        <f t="shared" si="146"/>
        <v>0</v>
      </c>
      <c r="L168" s="149">
        <f t="shared" si="146"/>
        <v>2.0206481512877451E-2</v>
      </c>
      <c r="M168" s="149">
        <f t="shared" si="146"/>
        <v>2.0182718783415377E-2</v>
      </c>
      <c r="N168" s="149">
        <f t="shared" si="146"/>
        <v>2.0157320658569119E-2</v>
      </c>
      <c r="O168" s="149">
        <f t="shared" si="146"/>
        <v>1.9271444050911819E-2</v>
      </c>
      <c r="P168" s="149">
        <f t="shared" si="146"/>
        <v>1.9119665915404718E-2</v>
      </c>
      <c r="Q168" s="149"/>
      <c r="R168" s="149"/>
    </row>
    <row r="169" spans="2:18">
      <c r="B169" s="310" t="str">
        <f t="shared" si="124"/>
        <v>Options at $4.00 Strike Price</v>
      </c>
      <c r="D169" s="149">
        <f t="shared" ref="D169:I171" si="147">D94/D$102</f>
        <v>0</v>
      </c>
      <c r="E169" s="149">
        <f t="shared" si="147"/>
        <v>0</v>
      </c>
      <c r="F169" s="149">
        <f t="shared" si="147"/>
        <v>0</v>
      </c>
      <c r="G169" s="149">
        <f t="shared" si="147"/>
        <v>0</v>
      </c>
      <c r="H169" s="149">
        <f t="shared" si="147"/>
        <v>0</v>
      </c>
      <c r="I169" s="149">
        <f t="shared" si="147"/>
        <v>0</v>
      </c>
      <c r="J169" s="149">
        <f t="shared" ref="J169:O169" si="148">J94/J$102</f>
        <v>0</v>
      </c>
      <c r="K169" s="149">
        <f t="shared" si="148"/>
        <v>0</v>
      </c>
      <c r="L169" s="149">
        <f t="shared" si="148"/>
        <v>0</v>
      </c>
      <c r="M169" s="149">
        <f t="shared" si="148"/>
        <v>1.1759954075591821E-3</v>
      </c>
      <c r="N169" s="149">
        <f t="shared" si="148"/>
        <v>1.1745155237783925E-3</v>
      </c>
      <c r="O169" s="149">
        <f t="shared" si="148"/>
        <v>1.1228977594202451E-3</v>
      </c>
      <c r="P169" s="149">
        <f>P94/P$102</f>
        <v>1.1140540356266541E-3</v>
      </c>
      <c r="Q169" s="149"/>
      <c r="R169" s="149"/>
    </row>
    <row r="170" spans="2:18">
      <c r="B170" s="310" t="str">
        <f t="shared" si="124"/>
        <v>Options at $6.00 Strike Price</v>
      </c>
      <c r="D170" s="149">
        <f t="shared" si="147"/>
        <v>0</v>
      </c>
      <c r="E170" s="149">
        <f t="shared" si="147"/>
        <v>0</v>
      </c>
      <c r="F170" s="149">
        <f t="shared" si="147"/>
        <v>0</v>
      </c>
      <c r="G170" s="149">
        <f t="shared" si="147"/>
        <v>0</v>
      </c>
      <c r="H170" s="149">
        <f t="shared" si="147"/>
        <v>0</v>
      </c>
      <c r="I170" s="149">
        <f t="shared" si="147"/>
        <v>0</v>
      </c>
      <c r="J170" s="149">
        <f t="shared" ref="J170:O170" si="149">J95/J$102</f>
        <v>0</v>
      </c>
      <c r="K170" s="149">
        <f t="shared" si="149"/>
        <v>0</v>
      </c>
      <c r="L170" s="149">
        <f t="shared" si="149"/>
        <v>0</v>
      </c>
      <c r="M170" s="149">
        <f t="shared" si="149"/>
        <v>0</v>
      </c>
      <c r="N170" s="149">
        <f t="shared" si="149"/>
        <v>1.2584094897625635E-3</v>
      </c>
      <c r="O170" s="149">
        <f t="shared" si="149"/>
        <v>1.2031047422359769E-3</v>
      </c>
      <c r="P170" s="149">
        <f>P95/P$102</f>
        <v>1.1936293238857009E-3</v>
      </c>
      <c r="Q170" s="149"/>
      <c r="R170" s="149"/>
    </row>
    <row r="171" spans="2:18">
      <c r="B171" s="310" t="str">
        <f t="shared" si="124"/>
        <v>Options at $7.00 Strike Price</v>
      </c>
      <c r="D171" s="149">
        <f t="shared" si="147"/>
        <v>0</v>
      </c>
      <c r="E171" s="149">
        <f t="shared" si="147"/>
        <v>0</v>
      </c>
      <c r="F171" s="149">
        <f t="shared" si="147"/>
        <v>0</v>
      </c>
      <c r="G171" s="149">
        <f t="shared" si="147"/>
        <v>0</v>
      </c>
      <c r="H171" s="149">
        <f t="shared" si="147"/>
        <v>0</v>
      </c>
      <c r="I171" s="149">
        <f t="shared" si="147"/>
        <v>0</v>
      </c>
      <c r="J171" s="149">
        <f t="shared" ref="J171:O171" si="150">J96/J$102</f>
        <v>0</v>
      </c>
      <c r="K171" s="149">
        <f t="shared" si="150"/>
        <v>0</v>
      </c>
      <c r="L171" s="149">
        <f t="shared" si="150"/>
        <v>0</v>
      </c>
      <c r="M171" s="149">
        <f t="shared" si="150"/>
        <v>0</v>
      </c>
      <c r="N171" s="149">
        <f t="shared" si="150"/>
        <v>0</v>
      </c>
      <c r="O171" s="149">
        <f t="shared" si="150"/>
        <v>4.3948132922155186E-2</v>
      </c>
      <c r="P171" s="149">
        <f>P96/P$102</f>
        <v>4.3602005996932508E-2</v>
      </c>
      <c r="Q171" s="149"/>
      <c r="R171" s="149"/>
    </row>
    <row r="172" spans="2:18">
      <c r="B172" s="310" t="str">
        <f t="shared" ref="B172:B173" si="151">B97</f>
        <v>Options at $10.00 Strike Price</v>
      </c>
      <c r="D172" s="149">
        <f t="shared" ref="D172:P172" si="152">D97/D$102</f>
        <v>0</v>
      </c>
      <c r="E172" s="149">
        <f t="shared" si="152"/>
        <v>0</v>
      </c>
      <c r="F172" s="149">
        <f t="shared" si="152"/>
        <v>0</v>
      </c>
      <c r="G172" s="149">
        <f t="shared" si="152"/>
        <v>0</v>
      </c>
      <c r="H172" s="149">
        <f t="shared" si="152"/>
        <v>0</v>
      </c>
      <c r="I172" s="149">
        <f t="shared" si="152"/>
        <v>0</v>
      </c>
      <c r="J172" s="149">
        <f t="shared" si="152"/>
        <v>0</v>
      </c>
      <c r="K172" s="149">
        <f t="shared" si="152"/>
        <v>0</v>
      </c>
      <c r="L172" s="149">
        <f t="shared" si="152"/>
        <v>0</v>
      </c>
      <c r="M172" s="149">
        <f t="shared" si="152"/>
        <v>0</v>
      </c>
      <c r="N172" s="149">
        <f t="shared" si="152"/>
        <v>0</v>
      </c>
      <c r="O172" s="149">
        <f t="shared" si="152"/>
        <v>0</v>
      </c>
      <c r="P172" s="149">
        <f t="shared" si="152"/>
        <v>0</v>
      </c>
      <c r="Q172" s="149"/>
      <c r="R172" s="149"/>
    </row>
    <row r="173" spans="2:18">
      <c r="B173" s="310" t="str">
        <f t="shared" si="151"/>
        <v>Options at $11.00 Strike Price</v>
      </c>
      <c r="D173" s="149">
        <f t="shared" ref="D173:P173" si="153">D98/D$102</f>
        <v>0</v>
      </c>
      <c r="E173" s="149">
        <f t="shared" si="153"/>
        <v>0</v>
      </c>
      <c r="F173" s="149">
        <f t="shared" si="153"/>
        <v>0</v>
      </c>
      <c r="G173" s="149">
        <f t="shared" si="153"/>
        <v>0</v>
      </c>
      <c r="H173" s="149">
        <f t="shared" si="153"/>
        <v>0</v>
      </c>
      <c r="I173" s="149">
        <f t="shared" si="153"/>
        <v>0</v>
      </c>
      <c r="J173" s="149">
        <f t="shared" si="153"/>
        <v>0</v>
      </c>
      <c r="K173" s="149">
        <f t="shared" si="153"/>
        <v>0</v>
      </c>
      <c r="L173" s="149">
        <f t="shared" si="153"/>
        <v>0</v>
      </c>
      <c r="M173" s="149">
        <f t="shared" si="153"/>
        <v>0</v>
      </c>
      <c r="N173" s="149">
        <f t="shared" si="153"/>
        <v>0</v>
      </c>
      <c r="O173" s="149">
        <f t="shared" si="153"/>
        <v>0</v>
      </c>
      <c r="P173" s="149">
        <f t="shared" si="153"/>
        <v>0</v>
      </c>
      <c r="Q173" s="149"/>
      <c r="R173" s="149"/>
    </row>
    <row r="174" spans="2:18">
      <c r="B174" s="310" t="str">
        <f>B99</f>
        <v>Executive Option Grants Made</v>
      </c>
      <c r="D174" s="149">
        <f t="shared" ref="D174:P174" si="154">D99/D$102</f>
        <v>0</v>
      </c>
      <c r="E174" s="149">
        <f t="shared" si="154"/>
        <v>0</v>
      </c>
      <c r="F174" s="149">
        <f t="shared" si="154"/>
        <v>0</v>
      </c>
      <c r="G174" s="149">
        <f t="shared" si="154"/>
        <v>0</v>
      </c>
      <c r="H174" s="149">
        <f t="shared" si="154"/>
        <v>0</v>
      </c>
      <c r="I174" s="149">
        <f t="shared" si="154"/>
        <v>0</v>
      </c>
      <c r="J174" s="149">
        <f t="shared" si="154"/>
        <v>0</v>
      </c>
      <c r="K174" s="149">
        <f t="shared" si="154"/>
        <v>0</v>
      </c>
      <c r="L174" s="149">
        <f t="shared" si="154"/>
        <v>0</v>
      </c>
      <c r="M174" s="149">
        <f t="shared" si="154"/>
        <v>0</v>
      </c>
      <c r="N174" s="149">
        <f t="shared" si="154"/>
        <v>0</v>
      </c>
      <c r="O174" s="149">
        <f t="shared" si="154"/>
        <v>0</v>
      </c>
      <c r="P174" s="149">
        <f t="shared" si="154"/>
        <v>7.8758050048626307E-3</v>
      </c>
      <c r="Q174" s="149"/>
      <c r="R174" s="149"/>
    </row>
    <row r="175" spans="2:18">
      <c r="B175" s="310" t="str">
        <f>B100</f>
        <v>Common Stock</v>
      </c>
      <c r="D175" s="149">
        <f t="shared" ref="D175:P175" si="155">D100/D$102</f>
        <v>0</v>
      </c>
      <c r="E175" s="149">
        <f t="shared" si="155"/>
        <v>0</v>
      </c>
      <c r="F175" s="149">
        <f t="shared" si="155"/>
        <v>0</v>
      </c>
      <c r="G175" s="149">
        <f t="shared" si="155"/>
        <v>0</v>
      </c>
      <c r="H175" s="149">
        <f t="shared" si="155"/>
        <v>0</v>
      </c>
      <c r="I175" s="149">
        <f t="shared" si="155"/>
        <v>0.13463389414735444</v>
      </c>
      <c r="J175" s="149">
        <f t="shared" si="155"/>
        <v>0.13005419458815923</v>
      </c>
      <c r="K175" s="149">
        <f t="shared" si="155"/>
        <v>0.1279109109461814</v>
      </c>
      <c r="L175" s="149">
        <f t="shared" si="155"/>
        <v>0.12532628148885208</v>
      </c>
      <c r="M175" s="149">
        <f t="shared" si="155"/>
        <v>0.12517889835737472</v>
      </c>
      <c r="N175" s="149">
        <f t="shared" si="155"/>
        <v>0.12502137204376379</v>
      </c>
      <c r="O175" s="149">
        <f t="shared" si="155"/>
        <v>0.11952691616707424</v>
      </c>
      <c r="P175" s="149">
        <f t="shared" si="155"/>
        <v>0.11858554548250981</v>
      </c>
      <c r="Q175" s="149"/>
      <c r="R175" s="149"/>
    </row>
    <row r="176" spans="2:18">
      <c r="B176" s="786" t="s">
        <v>81</v>
      </c>
      <c r="C176" s="779"/>
      <c r="D176" s="787">
        <f t="shared" ref="D176:I176" si="156">SUM(D157:D175)</f>
        <v>1</v>
      </c>
      <c r="E176" s="787">
        <f t="shared" si="156"/>
        <v>1</v>
      </c>
      <c r="F176" s="787">
        <f t="shared" si="156"/>
        <v>1</v>
      </c>
      <c r="G176" s="787">
        <f t="shared" si="156"/>
        <v>1</v>
      </c>
      <c r="H176" s="787">
        <f t="shared" si="156"/>
        <v>1</v>
      </c>
      <c r="I176" s="787">
        <f t="shared" si="156"/>
        <v>1</v>
      </c>
      <c r="J176" s="787">
        <f t="shared" ref="J176:O176" si="157">SUM(J157:J175)</f>
        <v>1</v>
      </c>
      <c r="K176" s="787">
        <f t="shared" si="157"/>
        <v>0.99999999999999978</v>
      </c>
      <c r="L176" s="787">
        <f t="shared" si="157"/>
        <v>1</v>
      </c>
      <c r="M176" s="787">
        <f t="shared" si="157"/>
        <v>0.99999999999999989</v>
      </c>
      <c r="N176" s="787">
        <f t="shared" si="157"/>
        <v>0.99999999999999978</v>
      </c>
      <c r="O176" s="787">
        <f t="shared" si="157"/>
        <v>0.99999999999999989</v>
      </c>
      <c r="P176" s="787">
        <f>SUM(P157:P175)</f>
        <v>1.0000000000000002</v>
      </c>
      <c r="Q176" s="1122"/>
      <c r="R176" s="1122"/>
    </row>
  </sheetData>
  <mergeCells count="1">
    <mergeCell ref="B147:P147"/>
  </mergeCells>
  <conditionalFormatting sqref="B4:I4 L4:O4">
    <cfRule type="cellIs" dxfId="218" priority="7" stopIfTrue="1" operator="equal">
      <formula>"input"</formula>
    </cfRule>
  </conditionalFormatting>
  <conditionalFormatting sqref="J4:K4">
    <cfRule type="cellIs" dxfId="217" priority="5" stopIfTrue="1" operator="equal">
      <formula>"input"</formula>
    </cfRule>
  </conditionalFormatting>
  <conditionalFormatting sqref="J4:K4">
    <cfRule type="cellIs" dxfId="216" priority="6" stopIfTrue="1" operator="equal">
      <formula>"input"</formula>
    </cfRule>
  </conditionalFormatting>
  <conditionalFormatting sqref="P4:R4">
    <cfRule type="cellIs" dxfId="215" priority="1" stopIfTrue="1" operator="equal">
      <formula>"input"</formula>
    </cfRule>
  </conditionalFormatting>
  <conditionalFormatting sqref="P4:R4">
    <cfRule type="cellIs" dxfId="214" priority="2" stopIfTrue="1" operator="equal">
      <formula>"input"</formula>
    </cfRule>
  </conditionalFormatting>
  <pageMargins left="0.5" right="0.5" top="0.5" bottom="0.5" header="0.5" footer="0.5"/>
  <pageSetup scale="89" fitToWidth="0" fitToHeight="0" pageOrder="overThenDown" orientation="landscape" r:id="rId1"/>
  <rowBreaks count="5" manualBreakCount="5">
    <brk id="29" max="18" man="1"/>
    <brk id="52" max="16" man="1"/>
    <brk id="77" max="18" man="1"/>
    <brk id="102" max="16" man="1"/>
    <brk id="126" max="18" man="1"/>
  </rowBreaks>
  <colBreaks count="1" manualBreakCount="1">
    <brk id="10" max="146" man="1"/>
  </colBreaks>
  <legacyDrawing r:id="rId2"/>
  <legacyDrawingHF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AS175"/>
  <sheetViews>
    <sheetView showGridLines="0" view="pageBreakPreview" zoomScale="85" zoomScaleNormal="85" zoomScaleSheetLayoutView="85" workbookViewId="0">
      <selection activeCell="I9" sqref="I9"/>
    </sheetView>
  </sheetViews>
  <sheetFormatPr defaultColWidth="9.33203125" defaultRowHeight="12.75" outlineLevelRow="1"/>
  <cols>
    <col min="1" max="1" width="4.5" style="310" customWidth="1"/>
    <col min="2" max="2" width="55.1640625" style="310" customWidth="1"/>
    <col min="3" max="3" width="2.83203125" style="310" customWidth="1"/>
    <col min="4" max="13" width="14.5" style="310" customWidth="1"/>
    <col min="14" max="24" width="13" style="310" customWidth="1"/>
    <col min="25" max="25" width="4.5" style="310" customWidth="1"/>
    <col min="26" max="26" width="13.6640625" style="310" customWidth="1"/>
    <col min="27" max="27" width="21.6640625" style="144" bestFit="1" customWidth="1"/>
    <col min="28" max="28" width="12.6640625" style="310" customWidth="1"/>
    <col min="29" max="29" width="12.33203125" style="310" bestFit="1" customWidth="1"/>
    <col min="30" max="30" width="16.5" style="310" customWidth="1"/>
    <col min="31" max="16384" width="9.33203125" style="310"/>
  </cols>
  <sheetData>
    <row r="1" spans="2:30" ht="10.7" customHeight="1" thickBot="1"/>
    <row r="2" spans="2:30" ht="16.5" customHeight="1" thickTop="1">
      <c r="B2" s="10" t="str">
        <f>'MASTER PubCo Inputs'!$C$5</f>
        <v>Hua Medicine</v>
      </c>
      <c r="C2" s="10"/>
      <c r="D2" s="10"/>
      <c r="E2" s="10"/>
      <c r="F2" s="10"/>
      <c r="G2" s="10"/>
      <c r="H2" s="10"/>
      <c r="I2" s="10"/>
      <c r="J2" s="10"/>
      <c r="K2" s="10"/>
      <c r="L2" s="10"/>
      <c r="M2" s="10"/>
      <c r="N2" s="10"/>
      <c r="O2" s="10"/>
      <c r="P2" s="10"/>
      <c r="Q2" s="10"/>
      <c r="R2" s="10"/>
      <c r="S2" s="10"/>
      <c r="T2" s="10"/>
      <c r="U2" s="10"/>
      <c r="V2" s="10"/>
      <c r="W2" s="10"/>
      <c r="X2" s="10"/>
    </row>
    <row r="3" spans="2:30" ht="15.75" customHeight="1">
      <c r="B3" s="11" t="str">
        <f>VLOOKUP(B4,Outline!$E$8:$G$81,COLUMNS(Outline!$E$8:$G$8),FALSE)</f>
        <v>Exhibit B.4</v>
      </c>
      <c r="C3" s="11"/>
      <c r="D3" s="11"/>
      <c r="E3" s="11"/>
      <c r="F3" s="11"/>
      <c r="G3" s="11"/>
      <c r="H3" s="11"/>
      <c r="I3" s="11"/>
      <c r="J3" s="11"/>
      <c r="K3" s="11"/>
      <c r="L3" s="11"/>
      <c r="M3" s="11"/>
      <c r="N3" s="11"/>
      <c r="O3" s="11"/>
      <c r="P3" s="11"/>
      <c r="Q3" s="11"/>
      <c r="R3" s="11"/>
      <c r="S3" s="11"/>
      <c r="T3" s="11"/>
      <c r="U3" s="11"/>
      <c r="V3" s="11"/>
      <c r="W3" s="11"/>
      <c r="X3" s="11"/>
    </row>
    <row r="4" spans="2:30" ht="16.5" customHeight="1" thickBot="1">
      <c r="B4" s="12" t="s">
        <v>1559</v>
      </c>
      <c r="C4" s="12"/>
      <c r="D4" s="12"/>
      <c r="E4" s="12"/>
      <c r="F4" s="12"/>
      <c r="G4" s="12"/>
      <c r="H4" s="12"/>
      <c r="I4" s="12"/>
      <c r="J4" s="12"/>
      <c r="K4" s="12"/>
      <c r="L4" s="13" t="str">
        <f>+'MASTER PubCo Inputs'!$C$20</f>
        <v>(in thousands of USD and shares, except price per share)</v>
      </c>
      <c r="M4" s="12"/>
      <c r="N4" s="12"/>
      <c r="O4" s="13"/>
      <c r="P4" s="13"/>
      <c r="Q4" s="13"/>
      <c r="R4" s="13"/>
      <c r="S4" s="13"/>
      <c r="T4" s="13"/>
      <c r="U4" s="13"/>
      <c r="V4" s="13"/>
      <c r="W4" s="13"/>
      <c r="X4" s="13" t="str">
        <f>+'MASTER PubCo Inputs'!$C$20</f>
        <v>(in thousands of USD and shares, except price per share)</v>
      </c>
    </row>
    <row r="5" spans="2:30" s="16" customFormat="1" ht="12.75" customHeight="1" thickTop="1">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254"/>
    </row>
    <row r="6" spans="2:30" s="16" customFormat="1" ht="12.75" customHeight="1">
      <c r="B6" s="310"/>
      <c r="C6" s="310"/>
      <c r="D6" s="310"/>
      <c r="E6" s="310"/>
      <c r="F6" s="310"/>
      <c r="G6" s="310"/>
      <c r="H6" s="310"/>
      <c r="I6" s="310"/>
      <c r="J6" s="310"/>
      <c r="K6" s="310"/>
      <c r="L6" s="310"/>
      <c r="M6" s="310"/>
      <c r="N6" s="310"/>
      <c r="O6" s="310"/>
      <c r="P6" s="310"/>
      <c r="Q6" s="310"/>
      <c r="R6" s="310"/>
      <c r="S6" s="310"/>
      <c r="T6" s="310"/>
      <c r="U6" s="310"/>
      <c r="V6" s="310"/>
      <c r="W6" s="310"/>
      <c r="X6" s="310"/>
      <c r="Y6" s="310"/>
      <c r="AA6" s="254"/>
    </row>
    <row r="7" spans="2:30" ht="12.75" customHeight="1">
      <c r="B7" s="2549" t="s">
        <v>199</v>
      </c>
      <c r="C7" s="2550"/>
      <c r="D7" s="2550"/>
      <c r="E7" s="2551" t="s">
        <v>4</v>
      </c>
      <c r="F7" s="2550"/>
      <c r="G7" s="2550"/>
      <c r="H7" s="2550"/>
      <c r="I7" s="2550"/>
      <c r="J7" s="2550"/>
      <c r="K7" s="2550"/>
      <c r="L7" s="2550"/>
      <c r="M7" s="2150"/>
      <c r="N7" s="2551"/>
      <c r="O7" s="2551" t="s">
        <v>4</v>
      </c>
      <c r="P7" s="2550"/>
      <c r="Q7" s="2550"/>
      <c r="R7" s="2550"/>
      <c r="S7" s="2550"/>
      <c r="T7" s="2550"/>
      <c r="U7" s="2550"/>
      <c r="V7" s="2550"/>
      <c r="W7" s="2550"/>
      <c r="X7" s="2150"/>
    </row>
    <row r="8" spans="2:30" s="20" customFormat="1" ht="12.75" customHeight="1">
      <c r="B8" s="46"/>
      <c r="C8" s="46"/>
      <c r="D8" s="46"/>
      <c r="E8" s="46"/>
      <c r="F8" s="46"/>
      <c r="G8" s="46"/>
      <c r="H8" s="46"/>
      <c r="I8" s="46"/>
      <c r="J8" s="46"/>
      <c r="K8" s="46"/>
      <c r="L8" s="46"/>
      <c r="M8" s="46"/>
      <c r="N8" s="46"/>
      <c r="O8" s="46"/>
      <c r="P8" s="46"/>
      <c r="Q8" s="46"/>
      <c r="R8" s="46"/>
      <c r="S8" s="46"/>
      <c r="T8" s="46"/>
      <c r="U8" s="46"/>
      <c r="V8" s="46"/>
      <c r="W8" s="46"/>
      <c r="X8" s="46"/>
      <c r="AA8" s="140"/>
    </row>
    <row r="9" spans="2:30" ht="12.75" customHeight="1">
      <c r="B9" s="310" t="s">
        <v>197</v>
      </c>
      <c r="C9" s="131"/>
      <c r="D9" s="1186">
        <f>'OPM Hybrid (Liquidation)'!D9</f>
        <v>262850</v>
      </c>
      <c r="E9" s="2506" t="str">
        <f>'OPM Hybrid (Liquidation)'!B3</f>
        <v>Exhibit B.3</v>
      </c>
      <c r="N9" s="1186">
        <f>D9</f>
        <v>262850</v>
      </c>
      <c r="O9" s="351" t="str">
        <f>E9</f>
        <v>Exhibit B.3</v>
      </c>
    </row>
    <row r="10" spans="2:30" ht="12.75" customHeight="1">
      <c r="B10" s="310" t="s">
        <v>198</v>
      </c>
      <c r="D10" s="1426">
        <f>YEARFRAC('MASTER PubCo Inputs'!C6,'Econ Rights'!K36,3)</f>
        <v>2.7123287671232879</v>
      </c>
      <c r="E10" s="1121" t="s">
        <v>1695</v>
      </c>
      <c r="N10" s="1426">
        <f>D10</f>
        <v>2.7123287671232879</v>
      </c>
      <c r="O10" s="351" t="str">
        <f>E10</f>
        <v>Based on redemption start date of the latest round of financing</v>
      </c>
    </row>
    <row r="11" spans="2:30" ht="12.75" customHeight="1">
      <c r="B11" s="20" t="s">
        <v>8</v>
      </c>
      <c r="C11" s="132"/>
      <c r="D11" s="339">
        <f>'Asset Vol OPM Redemption'!$Q$70</f>
        <v>0.76</v>
      </c>
      <c r="E11" s="1121" t="str">
        <f>'Asset Vol OPM Redemption'!$B$3</f>
        <v>Exhibit H.3</v>
      </c>
      <c r="G11" s="48"/>
      <c r="H11" s="48"/>
      <c r="I11" s="48"/>
      <c r="J11" s="48"/>
      <c r="K11" s="48"/>
      <c r="L11" s="48"/>
      <c r="N11" s="339">
        <f>D11</f>
        <v>0.76</v>
      </c>
      <c r="O11" s="351" t="str">
        <f>E11</f>
        <v>Exhibit H.3</v>
      </c>
    </row>
    <row r="12" spans="2:30" ht="12.75" customHeight="1">
      <c r="B12" s="310" t="s">
        <v>6</v>
      </c>
      <c r="C12" s="132"/>
      <c r="D12" s="341">
        <f>'Risk-Free Rates'!E34</f>
        <v>2.5983561643835616E-2</v>
      </c>
      <c r="E12" s="1121" t="str">
        <f>'Risk-Free Rates'!B3</f>
        <v>Exhibit H.6</v>
      </c>
      <c r="G12" s="48"/>
      <c r="H12" s="48"/>
      <c r="I12" s="48"/>
      <c r="J12" s="48"/>
      <c r="K12" s="48"/>
      <c r="L12" s="48"/>
      <c r="N12" s="341">
        <f>D12</f>
        <v>2.5983561643835616E-2</v>
      </c>
      <c r="O12" s="351" t="str">
        <f>E12</f>
        <v>Exhibit H.6</v>
      </c>
    </row>
    <row r="13" spans="2:30" ht="12.75" customHeight="1">
      <c r="B13" s="310" t="s">
        <v>7</v>
      </c>
      <c r="D13" s="133">
        <v>0</v>
      </c>
      <c r="E13" s="1121" t="s">
        <v>1558</v>
      </c>
      <c r="G13" s="48"/>
      <c r="H13" s="48"/>
      <c r="I13" s="48"/>
      <c r="J13" s="48"/>
      <c r="K13" s="48"/>
      <c r="L13" s="48"/>
      <c r="N13" s="133">
        <f>D13</f>
        <v>0</v>
      </c>
      <c r="O13" s="351" t="str">
        <f>E13</f>
        <v>Based on discussions with Management</v>
      </c>
    </row>
    <row r="14" spans="2:30" ht="12.75" customHeight="1">
      <c r="D14" s="697"/>
      <c r="E14" s="72"/>
      <c r="F14" s="72"/>
      <c r="G14" s="48"/>
      <c r="H14" s="48"/>
      <c r="I14" s="48"/>
      <c r="J14" s="48"/>
      <c r="K14" s="48"/>
      <c r="L14" s="48"/>
      <c r="M14" s="48"/>
    </row>
    <row r="15" spans="2:30" ht="12.75" customHeight="1">
      <c r="D15" s="2442">
        <v>1</v>
      </c>
      <c r="E15" s="2443">
        <f>D15+1</f>
        <v>2</v>
      </c>
      <c r="F15" s="2443">
        <f t="shared" ref="F15:X15" si="0">E15+1</f>
        <v>3</v>
      </c>
      <c r="G15" s="2443">
        <f t="shared" si="0"/>
        <v>4</v>
      </c>
      <c r="H15" s="2443">
        <f t="shared" si="0"/>
        <v>5</v>
      </c>
      <c r="I15" s="2443">
        <f t="shared" si="0"/>
        <v>6</v>
      </c>
      <c r="J15" s="2443">
        <f t="shared" si="0"/>
        <v>7</v>
      </c>
      <c r="K15" s="2443">
        <f t="shared" si="0"/>
        <v>8</v>
      </c>
      <c r="L15" s="2443">
        <f t="shared" si="0"/>
        <v>9</v>
      </c>
      <c r="M15" s="2444">
        <f t="shared" si="0"/>
        <v>10</v>
      </c>
      <c r="N15" s="2690">
        <f t="shared" si="0"/>
        <v>11</v>
      </c>
      <c r="O15" s="2691">
        <f t="shared" si="0"/>
        <v>12</v>
      </c>
      <c r="P15" s="2691">
        <f t="shared" si="0"/>
        <v>13</v>
      </c>
      <c r="Q15" s="2691">
        <f t="shared" si="0"/>
        <v>14</v>
      </c>
      <c r="R15" s="2691">
        <f t="shared" si="0"/>
        <v>15</v>
      </c>
      <c r="S15" s="2691">
        <f t="shared" si="0"/>
        <v>16</v>
      </c>
      <c r="T15" s="2691">
        <f t="shared" si="0"/>
        <v>17</v>
      </c>
      <c r="U15" s="2691">
        <f t="shared" si="0"/>
        <v>18</v>
      </c>
      <c r="V15" s="2691">
        <f t="shared" si="0"/>
        <v>19</v>
      </c>
      <c r="W15" s="2691">
        <f t="shared" si="0"/>
        <v>20</v>
      </c>
      <c r="X15" s="2692">
        <f t="shared" si="0"/>
        <v>21</v>
      </c>
    </row>
    <row r="16" spans="2:30" s="6" customFormat="1" ht="84.95" customHeight="1">
      <c r="B16" s="134" t="s">
        <v>200</v>
      </c>
      <c r="D16" s="2552" t="str">
        <f t="array" ref="D16:X16">TRANSPOSE('Econ Rights'!P29:P49)</f>
        <v>Series E Redeem</v>
      </c>
      <c r="E16" s="2553" t="str">
        <v>Series D Redeem</v>
      </c>
      <c r="F16" s="2553" t="str">
        <v>Series C Redeem</v>
      </c>
      <c r="G16" s="2553" t="str">
        <v>Series B Redeem</v>
      </c>
      <c r="H16" s="2553" t="str">
        <v>Series A Redeem</v>
      </c>
      <c r="I16" s="2553" t="str">
        <v>Common Receives Value</v>
      </c>
      <c r="J16" s="2553" t="str">
        <v xml:space="preserve">Series A Tranche II Converts </v>
      </c>
      <c r="K16" s="2553" t="str">
        <v>Options at $1.00 Strike Price Exercise</v>
      </c>
      <c r="L16" s="2553" t="str">
        <v xml:space="preserve">Series A Tranche I Converts </v>
      </c>
      <c r="M16" s="2554" t="str">
        <v>Options at $3.50 Strike Price Exercise</v>
      </c>
      <c r="N16" s="2598" t="str">
        <v>Options at $3.70 Strike Price Exercise</v>
      </c>
      <c r="O16" s="2588" t="str">
        <v>Options at $4.00 Strike Price Exercise</v>
      </c>
      <c r="P16" s="2588" t="str">
        <v>Series B Converts</v>
      </c>
      <c r="Q16" s="2588" t="str">
        <v>Options at $6.00 Strike Price Exercise</v>
      </c>
      <c r="R16" s="2588" t="str">
        <v>Options at $7.00 Strike Price Exercise</v>
      </c>
      <c r="S16" s="2588" t="str">
        <v>Executive Option Grants Made Exercise at $7.28 Strike Price</v>
      </c>
      <c r="T16" s="2588" t="str">
        <v>Options at $10.00 Strike Price Exercise</v>
      </c>
      <c r="U16" s="2588" t="str">
        <v>Options at $11.00 Strike Price Exercise</v>
      </c>
      <c r="V16" s="2588" t="str">
        <v>Series C Converts</v>
      </c>
      <c r="W16" s="2588" t="str">
        <v>Series D Converts</v>
      </c>
      <c r="X16" s="2589" t="str">
        <v>Series E Converts</v>
      </c>
      <c r="Z16" s="1525" t="s">
        <v>2640</v>
      </c>
      <c r="AA16" s="260"/>
      <c r="AC16" s="260"/>
      <c r="AD16" s="6" t="s">
        <v>2636</v>
      </c>
    </row>
    <row r="17" spans="2:33" ht="12.75" customHeight="1"/>
    <row r="18" spans="2:33" ht="12.75" customHeight="1">
      <c r="B18" s="1" t="s">
        <v>208</v>
      </c>
      <c r="Z18" s="315" t="s">
        <v>1583</v>
      </c>
      <c r="AA18" s="315" t="s">
        <v>1548</v>
      </c>
      <c r="AB18" s="315" t="s">
        <v>1549</v>
      </c>
    </row>
    <row r="19" spans="2:33" ht="12.75" customHeight="1">
      <c r="B19" s="2" t="str">
        <f>'Cap Table'!$D$7</f>
        <v>Series A-1</v>
      </c>
      <c r="D19" s="1105">
        <v>0</v>
      </c>
      <c r="E19" s="1105">
        <v>0</v>
      </c>
      <c r="F19" s="1105">
        <v>0</v>
      </c>
      <c r="G19" s="1105">
        <v>0</v>
      </c>
      <c r="H19" s="1105">
        <f t="shared" ref="H19:K20" si="1">$AB19</f>
        <v>7191.8836258530382</v>
      </c>
      <c r="I19" s="1105">
        <f t="shared" si="1"/>
        <v>7191.8836258530382</v>
      </c>
      <c r="J19" s="1105">
        <f t="shared" si="1"/>
        <v>7191.8836258530382</v>
      </c>
      <c r="K19" s="1105">
        <f t="shared" si="1"/>
        <v>7191.8836258530382</v>
      </c>
      <c r="L19" s="1526">
        <v>0</v>
      </c>
      <c r="M19" s="1105">
        <f t="shared" ref="M19:V19" si="2">L19</f>
        <v>0</v>
      </c>
      <c r="N19" s="1105">
        <f t="shared" si="2"/>
        <v>0</v>
      </c>
      <c r="O19" s="1105">
        <f t="shared" si="2"/>
        <v>0</v>
      </c>
      <c r="P19" s="1105">
        <f t="shared" si="2"/>
        <v>0</v>
      </c>
      <c r="Q19" s="1105">
        <f t="shared" si="2"/>
        <v>0</v>
      </c>
      <c r="R19" s="1105">
        <f t="shared" ref="R19:T20" si="3">O19</f>
        <v>0</v>
      </c>
      <c r="S19" s="1105">
        <f t="shared" si="3"/>
        <v>0</v>
      </c>
      <c r="T19" s="1105">
        <f t="shared" si="3"/>
        <v>0</v>
      </c>
      <c r="U19" s="1105">
        <f t="shared" si="2"/>
        <v>0</v>
      </c>
      <c r="V19" s="1105">
        <f t="shared" si="2"/>
        <v>0</v>
      </c>
      <c r="W19" s="1105">
        <f t="shared" ref="W19:W24" si="4">V19</f>
        <v>0</v>
      </c>
      <c r="X19" s="1105">
        <f t="shared" ref="X19:X26" si="5">W19</f>
        <v>0</v>
      </c>
      <c r="Z19" s="596">
        <f t="array" ref="Z19:Z27">TRANSPOSE('Econ Rights'!C16:K16)</f>
        <v>5499.9989999999998</v>
      </c>
      <c r="AA19" s="596">
        <f t="array" ref="AA19:AA27">TRANSPOSE('Econ Rights'!C32:K32)</f>
        <v>1691.8846258530382</v>
      </c>
      <c r="AB19" s="691">
        <f>SUM(Z19:AA19)</f>
        <v>7191.8836258530382</v>
      </c>
      <c r="AC19" s="1591"/>
      <c r="AD19" s="1591">
        <f t="array" ref="AD19:AD27">TRANSPOSE('Econ Rights'!C41:K41)</f>
        <v>1.3076154424488147</v>
      </c>
    </row>
    <row r="20" spans="2:33" ht="12.75" customHeight="1">
      <c r="B20" s="2" t="str">
        <f>'Cap Table'!$E$7</f>
        <v>Series A-2</v>
      </c>
      <c r="D20" s="1105">
        <v>0</v>
      </c>
      <c r="E20" s="1105">
        <v>0</v>
      </c>
      <c r="F20" s="1105">
        <v>0</v>
      </c>
      <c r="G20" s="1105">
        <v>0</v>
      </c>
      <c r="H20" s="1105">
        <f t="shared" si="1"/>
        <v>20779.181263763166</v>
      </c>
      <c r="I20" s="1105">
        <f t="shared" si="1"/>
        <v>20779.181263763166</v>
      </c>
      <c r="J20" s="1526">
        <v>0</v>
      </c>
      <c r="K20" s="1105">
        <f t="shared" ref="K20:Q20" si="6">J20</f>
        <v>0</v>
      </c>
      <c r="L20" s="1105">
        <f t="shared" si="6"/>
        <v>0</v>
      </c>
      <c r="M20" s="1105">
        <f t="shared" si="6"/>
        <v>0</v>
      </c>
      <c r="N20" s="1105">
        <f t="shared" si="6"/>
        <v>0</v>
      </c>
      <c r="O20" s="1105">
        <f t="shared" si="6"/>
        <v>0</v>
      </c>
      <c r="P20" s="1105">
        <f t="shared" si="6"/>
        <v>0</v>
      </c>
      <c r="Q20" s="1105">
        <f t="shared" si="6"/>
        <v>0</v>
      </c>
      <c r="R20" s="1105">
        <f t="shared" si="3"/>
        <v>0</v>
      </c>
      <c r="S20" s="1105">
        <f t="shared" si="3"/>
        <v>0</v>
      </c>
      <c r="T20" s="1105">
        <f t="shared" si="3"/>
        <v>0</v>
      </c>
      <c r="U20" s="1105">
        <f t="shared" ref="U20:V22" si="7">T20</f>
        <v>0</v>
      </c>
      <c r="V20" s="1105">
        <f t="shared" si="7"/>
        <v>0</v>
      </c>
      <c r="W20" s="1105">
        <f t="shared" si="4"/>
        <v>0</v>
      </c>
      <c r="X20" s="1105">
        <f t="shared" si="5"/>
        <v>0</v>
      </c>
      <c r="Z20" s="596">
        <v>15687.30675</v>
      </c>
      <c r="AA20" s="596">
        <v>5091.8745137631659</v>
      </c>
      <c r="AB20" s="691">
        <f t="shared" ref="AB20:AB27" si="8">SUM(Z20:AA20)</f>
        <v>20779.181263763166</v>
      </c>
      <c r="AC20" s="1590"/>
      <c r="AD20" s="1591">
        <v>0.99343923059465733</v>
      </c>
    </row>
    <row r="21" spans="2:33" ht="12.75" customHeight="1">
      <c r="B21" s="2" t="str">
        <f>'Cap Table'!$F$7</f>
        <v>Series B Tranche I</v>
      </c>
      <c r="D21" s="1105">
        <v>0</v>
      </c>
      <c r="E21" s="1105">
        <v>0</v>
      </c>
      <c r="F21" s="1105">
        <v>0</v>
      </c>
      <c r="G21" s="1105">
        <f t="shared" ref="G21:G27" si="9">$AB21</f>
        <v>15935.901882197501</v>
      </c>
      <c r="H21" s="1105">
        <f t="shared" ref="H21:O22" si="10">$AB21</f>
        <v>15935.901882197501</v>
      </c>
      <c r="I21" s="1105">
        <f t="shared" si="10"/>
        <v>15935.901882197501</v>
      </c>
      <c r="J21" s="1105">
        <f t="shared" si="10"/>
        <v>15935.901882197501</v>
      </c>
      <c r="K21" s="1105">
        <f t="shared" si="10"/>
        <v>15935.901882197501</v>
      </c>
      <c r="L21" s="1105">
        <f t="shared" si="10"/>
        <v>15935.901882197501</v>
      </c>
      <c r="M21" s="1105">
        <f t="shared" si="10"/>
        <v>15935.901882197501</v>
      </c>
      <c r="N21" s="1105">
        <f t="shared" si="10"/>
        <v>15935.901882197501</v>
      </c>
      <c r="O21" s="1105">
        <f t="shared" si="10"/>
        <v>15935.901882197501</v>
      </c>
      <c r="P21" s="1526">
        <v>0</v>
      </c>
      <c r="Q21" s="1105">
        <f t="shared" ref="Q21:T22" si="11">P21</f>
        <v>0</v>
      </c>
      <c r="R21" s="1105">
        <f t="shared" si="11"/>
        <v>0</v>
      </c>
      <c r="S21" s="1105">
        <f t="shared" si="11"/>
        <v>0</v>
      </c>
      <c r="T21" s="1105">
        <f t="shared" si="11"/>
        <v>0</v>
      </c>
      <c r="U21" s="1105">
        <f t="shared" si="7"/>
        <v>0</v>
      </c>
      <c r="V21" s="1105">
        <f t="shared" si="7"/>
        <v>0</v>
      </c>
      <c r="W21" s="1105">
        <f t="shared" si="4"/>
        <v>0</v>
      </c>
      <c r="X21" s="1105">
        <f t="shared" si="5"/>
        <v>0</v>
      </c>
      <c r="Z21" s="596">
        <v>12499.998</v>
      </c>
      <c r="AA21" s="596">
        <v>3435.9038821975014</v>
      </c>
      <c r="AB21" s="691">
        <f t="shared" si="8"/>
        <v>15935.901882197501</v>
      </c>
      <c r="AC21" s="1591"/>
      <c r="AD21" s="1591">
        <v>4.4120387494982181</v>
      </c>
    </row>
    <row r="22" spans="2:33" ht="12.75" customHeight="1">
      <c r="B22" s="2" t="str">
        <f>'Cap Table'!$G$7</f>
        <v>Series B Tranche II</v>
      </c>
      <c r="D22" s="1105">
        <v>0</v>
      </c>
      <c r="E22" s="1105">
        <v>0</v>
      </c>
      <c r="F22" s="1105">
        <v>0</v>
      </c>
      <c r="G22" s="1105">
        <f t="shared" si="9"/>
        <v>15578.659983927091</v>
      </c>
      <c r="H22" s="1105">
        <f t="shared" si="10"/>
        <v>15578.659983927091</v>
      </c>
      <c r="I22" s="1105">
        <f t="shared" si="10"/>
        <v>15578.659983927091</v>
      </c>
      <c r="J22" s="1105">
        <f t="shared" si="10"/>
        <v>15578.659983927091</v>
      </c>
      <c r="K22" s="1105">
        <f t="shared" si="10"/>
        <v>15578.659983927091</v>
      </c>
      <c r="L22" s="1105">
        <f t="shared" si="10"/>
        <v>15578.659983927091</v>
      </c>
      <c r="M22" s="1105">
        <f t="shared" si="10"/>
        <v>15578.659983927091</v>
      </c>
      <c r="N22" s="1105">
        <f t="shared" si="10"/>
        <v>15578.659983927091</v>
      </c>
      <c r="O22" s="1105">
        <f t="shared" si="10"/>
        <v>15578.659983927091</v>
      </c>
      <c r="P22" s="1526">
        <v>0</v>
      </c>
      <c r="Q22" s="1105">
        <f t="shared" si="11"/>
        <v>0</v>
      </c>
      <c r="R22" s="1105">
        <f t="shared" si="11"/>
        <v>0</v>
      </c>
      <c r="S22" s="1105">
        <f t="shared" si="11"/>
        <v>0</v>
      </c>
      <c r="T22" s="1105">
        <f t="shared" si="11"/>
        <v>0</v>
      </c>
      <c r="U22" s="1105">
        <f t="shared" si="7"/>
        <v>0</v>
      </c>
      <c r="V22" s="1105">
        <f t="shared" si="7"/>
        <v>0</v>
      </c>
      <c r="W22" s="1105">
        <f t="shared" si="4"/>
        <v>0</v>
      </c>
      <c r="X22" s="1105">
        <f t="shared" si="5"/>
        <v>0</v>
      </c>
      <c r="Z22" s="596">
        <v>12500.0015</v>
      </c>
      <c r="AA22" s="596">
        <v>3078.6584839270909</v>
      </c>
      <c r="AB22" s="691">
        <f t="shared" si="8"/>
        <v>15578.659983927091</v>
      </c>
      <c r="AC22" s="1590"/>
      <c r="AD22" s="1591">
        <v>4.4120387494982181</v>
      </c>
    </row>
    <row r="23" spans="2:33" ht="12.75" customHeight="1">
      <c r="B23" s="2" t="str">
        <f>'Cap Table'!$H$7</f>
        <v>Series C Tranche I</v>
      </c>
      <c r="D23" s="1105">
        <v>0</v>
      </c>
      <c r="E23" s="1105">
        <v>0</v>
      </c>
      <c r="F23" s="1105">
        <f>$AB23</f>
        <v>29099.417151226582</v>
      </c>
      <c r="G23" s="1105">
        <f t="shared" si="9"/>
        <v>29099.417151226582</v>
      </c>
      <c r="H23" s="1105">
        <f t="shared" ref="H23:Q27" si="12">$AB23</f>
        <v>29099.417151226582</v>
      </c>
      <c r="I23" s="1105">
        <f t="shared" si="12"/>
        <v>29099.417151226582</v>
      </c>
      <c r="J23" s="1105">
        <f t="shared" si="12"/>
        <v>29099.417151226582</v>
      </c>
      <c r="K23" s="1105">
        <f t="shared" si="12"/>
        <v>29099.417151226582</v>
      </c>
      <c r="L23" s="1105">
        <f t="shared" si="12"/>
        <v>29099.417151226582</v>
      </c>
      <c r="M23" s="1105">
        <f t="shared" si="12"/>
        <v>29099.417151226582</v>
      </c>
      <c r="N23" s="1105">
        <f t="shared" si="12"/>
        <v>29099.417151226582</v>
      </c>
      <c r="O23" s="1105">
        <f t="shared" si="12"/>
        <v>29099.417151226582</v>
      </c>
      <c r="P23" s="1105">
        <f t="shared" si="12"/>
        <v>29099.417151226582</v>
      </c>
      <c r="Q23" s="1105">
        <f t="shared" si="12"/>
        <v>29099.417151226582</v>
      </c>
      <c r="R23" s="1105">
        <f>$AB23</f>
        <v>29099.417151226582</v>
      </c>
      <c r="S23" s="1105">
        <f>$AB23</f>
        <v>29099.417151226582</v>
      </c>
      <c r="T23" s="1105">
        <f t="shared" ref="T23:U24" si="13">$AB23</f>
        <v>29099.417151226582</v>
      </c>
      <c r="U23" s="1105">
        <f t="shared" si="13"/>
        <v>29099.417151226582</v>
      </c>
      <c r="V23" s="1526">
        <v>0</v>
      </c>
      <c r="W23" s="1105">
        <f t="shared" si="4"/>
        <v>0</v>
      </c>
      <c r="X23" s="1105">
        <f t="shared" si="5"/>
        <v>0</v>
      </c>
      <c r="Z23" s="596">
        <v>23999.982647322002</v>
      </c>
      <c r="AA23" s="596">
        <v>5099.4345039045802</v>
      </c>
      <c r="AB23" s="691">
        <f>SUM(Z23:AA23)</f>
        <v>29099.417151226582</v>
      </c>
      <c r="AC23" s="1591"/>
      <c r="AD23" s="1591">
        <v>11.992198491466963</v>
      </c>
      <c r="AF23" s="1591"/>
      <c r="AG23" s="1591"/>
    </row>
    <row r="24" spans="2:33" ht="12.75" customHeight="1">
      <c r="B24" s="2" t="str">
        <f>'Cap Table'!$I$7</f>
        <v>Series C Tranche II</v>
      </c>
      <c r="D24" s="1105">
        <v>0</v>
      </c>
      <c r="E24" s="1105">
        <v>0</v>
      </c>
      <c r="F24" s="1105">
        <f>$AB24</f>
        <v>28100.731049610757</v>
      </c>
      <c r="G24" s="1105">
        <f t="shared" si="9"/>
        <v>28100.731049610757</v>
      </c>
      <c r="H24" s="1105">
        <f t="shared" si="12"/>
        <v>28100.731049610757</v>
      </c>
      <c r="I24" s="1105">
        <f t="shared" si="12"/>
        <v>28100.731049610757</v>
      </c>
      <c r="J24" s="1105">
        <f t="shared" si="12"/>
        <v>28100.731049610757</v>
      </c>
      <c r="K24" s="1105">
        <f t="shared" si="12"/>
        <v>28100.731049610757</v>
      </c>
      <c r="L24" s="1105">
        <f t="shared" si="12"/>
        <v>28100.731049610757</v>
      </c>
      <c r="M24" s="1105">
        <f t="shared" si="12"/>
        <v>28100.731049610757</v>
      </c>
      <c r="N24" s="1105">
        <f t="shared" si="12"/>
        <v>28100.731049610757</v>
      </c>
      <c r="O24" s="1105">
        <f t="shared" si="12"/>
        <v>28100.731049610757</v>
      </c>
      <c r="P24" s="1105">
        <f t="shared" si="12"/>
        <v>28100.731049610757</v>
      </c>
      <c r="Q24" s="1105">
        <f t="shared" si="12"/>
        <v>28100.731049610757</v>
      </c>
      <c r="R24" s="1105">
        <f>$AB24</f>
        <v>28100.731049610757</v>
      </c>
      <c r="S24" s="1105">
        <f>$AB24</f>
        <v>28100.731049610757</v>
      </c>
      <c r="T24" s="1105">
        <f t="shared" si="13"/>
        <v>28100.731049610757</v>
      </c>
      <c r="U24" s="1105">
        <f t="shared" si="13"/>
        <v>28100.731049610757</v>
      </c>
      <c r="V24" s="1526">
        <v>0</v>
      </c>
      <c r="W24" s="1105">
        <f t="shared" si="4"/>
        <v>0</v>
      </c>
      <c r="X24" s="1105">
        <f t="shared" si="5"/>
        <v>0</v>
      </c>
      <c r="Z24" s="596">
        <v>23999.982647322002</v>
      </c>
      <c r="AA24" s="596">
        <v>4100.7484022887556</v>
      </c>
      <c r="AB24" s="691">
        <f t="shared" si="8"/>
        <v>28100.731049610757</v>
      </c>
      <c r="AC24" s="1590"/>
      <c r="AD24" s="1591">
        <v>11.992198491466963</v>
      </c>
    </row>
    <row r="25" spans="2:33" ht="12.75" customHeight="1">
      <c r="B25" s="2" t="str">
        <f>'Cap Table'!$J$7</f>
        <v>Series D Tranche I</v>
      </c>
      <c r="D25" s="1105">
        <v>0</v>
      </c>
      <c r="E25" s="1105">
        <f>$AB25</f>
        <v>33352.23490129834</v>
      </c>
      <c r="F25" s="1105">
        <f>$AB25</f>
        <v>33352.23490129834</v>
      </c>
      <c r="G25" s="1105">
        <f t="shared" si="9"/>
        <v>33352.23490129834</v>
      </c>
      <c r="H25" s="1105">
        <f t="shared" si="12"/>
        <v>33352.23490129834</v>
      </c>
      <c r="I25" s="1105">
        <f t="shared" si="12"/>
        <v>33352.23490129834</v>
      </c>
      <c r="J25" s="1105">
        <f t="shared" si="12"/>
        <v>33352.23490129834</v>
      </c>
      <c r="K25" s="1105">
        <f t="shared" si="12"/>
        <v>33352.23490129834</v>
      </c>
      <c r="L25" s="1105">
        <f t="shared" si="12"/>
        <v>33352.23490129834</v>
      </c>
      <c r="M25" s="1105">
        <f t="shared" si="12"/>
        <v>33352.23490129834</v>
      </c>
      <c r="N25" s="1105">
        <f t="shared" si="12"/>
        <v>33352.23490129834</v>
      </c>
      <c r="O25" s="1105">
        <f t="shared" si="12"/>
        <v>33352.23490129834</v>
      </c>
      <c r="P25" s="1105">
        <f t="shared" si="12"/>
        <v>33352.23490129834</v>
      </c>
      <c r="Q25" s="1105">
        <f t="shared" si="12"/>
        <v>33352.23490129834</v>
      </c>
      <c r="R25" s="1105">
        <f t="shared" ref="R25:W27" si="14">$AB25</f>
        <v>33352.23490129834</v>
      </c>
      <c r="S25" s="1105">
        <f t="shared" si="14"/>
        <v>33352.23490129834</v>
      </c>
      <c r="T25" s="1105">
        <f t="shared" si="14"/>
        <v>33352.23490129834</v>
      </c>
      <c r="U25" s="1105">
        <f t="shared" si="14"/>
        <v>33352.23490129834</v>
      </c>
      <c r="V25" s="1105">
        <f t="shared" si="14"/>
        <v>33352.23490129834</v>
      </c>
      <c r="W25" s="1526">
        <v>0</v>
      </c>
      <c r="X25" s="1105">
        <f t="shared" si="5"/>
        <v>0</v>
      </c>
      <c r="Z25" s="596">
        <v>29408.8644126</v>
      </c>
      <c r="AA25" s="596">
        <v>3943.370488698341</v>
      </c>
      <c r="AB25" s="691">
        <f t="shared" si="8"/>
        <v>33352.23490129834</v>
      </c>
      <c r="AC25" s="1591"/>
      <c r="AD25" s="1591">
        <v>12.563807638592355</v>
      </c>
    </row>
    <row r="26" spans="2:33" ht="12.75" customHeight="1">
      <c r="B26" s="2" t="str">
        <f>'Cap Table'!$K$7</f>
        <v>Series D Tranche II</v>
      </c>
      <c r="D26" s="1105">
        <v>0</v>
      </c>
      <c r="E26" s="1105">
        <f>$AB26</f>
        <v>23169.672137509282</v>
      </c>
      <c r="F26" s="1105">
        <f>$AB26</f>
        <v>23169.672137509282</v>
      </c>
      <c r="G26" s="1105">
        <f t="shared" si="9"/>
        <v>23169.672137509282</v>
      </c>
      <c r="H26" s="1105">
        <f t="shared" si="12"/>
        <v>23169.672137509282</v>
      </c>
      <c r="I26" s="1105">
        <f t="shared" si="12"/>
        <v>23169.672137509282</v>
      </c>
      <c r="J26" s="1105">
        <f t="shared" si="12"/>
        <v>23169.672137509282</v>
      </c>
      <c r="K26" s="1105">
        <f t="shared" si="12"/>
        <v>23169.672137509282</v>
      </c>
      <c r="L26" s="1105">
        <f t="shared" si="12"/>
        <v>23169.672137509282</v>
      </c>
      <c r="M26" s="1105">
        <f t="shared" si="12"/>
        <v>23169.672137509282</v>
      </c>
      <c r="N26" s="1105">
        <f t="shared" si="12"/>
        <v>23169.672137509282</v>
      </c>
      <c r="O26" s="1105">
        <f t="shared" si="12"/>
        <v>23169.672137509282</v>
      </c>
      <c r="P26" s="1105">
        <f t="shared" si="12"/>
        <v>23169.672137509282</v>
      </c>
      <c r="Q26" s="1105">
        <f t="shared" si="12"/>
        <v>23169.672137509282</v>
      </c>
      <c r="R26" s="1105">
        <f t="shared" si="14"/>
        <v>23169.672137509282</v>
      </c>
      <c r="S26" s="1105">
        <f t="shared" si="14"/>
        <v>23169.672137509282</v>
      </c>
      <c r="T26" s="1105">
        <f t="shared" si="14"/>
        <v>23169.672137509282</v>
      </c>
      <c r="U26" s="1105">
        <f t="shared" si="14"/>
        <v>23169.672137509282</v>
      </c>
      <c r="V26" s="1105">
        <f t="shared" si="14"/>
        <v>23169.672137509282</v>
      </c>
      <c r="W26" s="1526">
        <v>0</v>
      </c>
      <c r="X26" s="1105">
        <f t="shared" si="5"/>
        <v>0</v>
      </c>
      <c r="Z26" s="596">
        <v>20591.115298200002</v>
      </c>
      <c r="AA26" s="596">
        <v>2578.5568393092813</v>
      </c>
      <c r="AB26" s="691">
        <f t="shared" si="8"/>
        <v>23169.672137509282</v>
      </c>
      <c r="AC26" s="1590"/>
      <c r="AD26" s="1591">
        <v>12.563807638592355</v>
      </c>
    </row>
    <row r="27" spans="2:33" ht="12.75" customHeight="1">
      <c r="B27" s="2" t="str">
        <f>'Cap Table'!$L$7</f>
        <v>Series E</v>
      </c>
      <c r="D27" s="1105">
        <f>$AB27</f>
        <v>75788.952304577571</v>
      </c>
      <c r="E27" s="1105">
        <f>$AB27</f>
        <v>75788.952304577571</v>
      </c>
      <c r="F27" s="1105">
        <f>$AB27</f>
        <v>75788.952304577571</v>
      </c>
      <c r="G27" s="1105">
        <f t="shared" si="9"/>
        <v>75788.952304577571</v>
      </c>
      <c r="H27" s="1105">
        <f t="shared" si="12"/>
        <v>75788.952304577571</v>
      </c>
      <c r="I27" s="1105">
        <f t="shared" si="12"/>
        <v>75788.952304577571</v>
      </c>
      <c r="J27" s="1105">
        <f t="shared" si="12"/>
        <v>75788.952304577571</v>
      </c>
      <c r="K27" s="1105">
        <f t="shared" si="12"/>
        <v>75788.952304577571</v>
      </c>
      <c r="L27" s="1105">
        <f t="shared" si="12"/>
        <v>75788.952304577571</v>
      </c>
      <c r="M27" s="1105">
        <f t="shared" si="12"/>
        <v>75788.952304577571</v>
      </c>
      <c r="N27" s="1105">
        <f t="shared" si="12"/>
        <v>75788.952304577571</v>
      </c>
      <c r="O27" s="1105">
        <f t="shared" si="12"/>
        <v>75788.952304577571</v>
      </c>
      <c r="P27" s="1105">
        <f t="shared" si="12"/>
        <v>75788.952304577571</v>
      </c>
      <c r="Q27" s="1105">
        <f t="shared" si="12"/>
        <v>75788.952304577571</v>
      </c>
      <c r="R27" s="1105">
        <f t="shared" si="14"/>
        <v>75788.952304577571</v>
      </c>
      <c r="S27" s="1105">
        <f t="shared" si="14"/>
        <v>75788.952304577571</v>
      </c>
      <c r="T27" s="1105">
        <f t="shared" si="14"/>
        <v>75788.952304577571</v>
      </c>
      <c r="U27" s="1105">
        <f>$AB27</f>
        <v>75788.952304577571</v>
      </c>
      <c r="V27" s="1105">
        <f t="shared" si="14"/>
        <v>75788.952304577571</v>
      </c>
      <c r="W27" s="1105">
        <f t="shared" si="14"/>
        <v>75788.952304577571</v>
      </c>
      <c r="X27" s="1526">
        <v>0</v>
      </c>
      <c r="Z27" s="596">
        <v>67368.863182899993</v>
      </c>
      <c r="AA27" s="596">
        <v>8420.0891216775744</v>
      </c>
      <c r="AB27" s="691">
        <f t="shared" si="8"/>
        <v>75788.952304577571</v>
      </c>
      <c r="AC27" s="1591"/>
      <c r="AD27" s="1591">
        <v>14.963761352956272</v>
      </c>
    </row>
    <row r="28" spans="2:33" ht="12.75" customHeight="1">
      <c r="B28" s="5"/>
      <c r="C28" s="5"/>
      <c r="D28" s="5"/>
      <c r="E28" s="5"/>
      <c r="F28" s="5"/>
      <c r="G28" s="5"/>
      <c r="H28" s="5"/>
      <c r="I28" s="5"/>
      <c r="J28" s="5"/>
      <c r="K28" s="5"/>
      <c r="L28" s="5"/>
      <c r="M28" s="5"/>
      <c r="N28" s="5"/>
      <c r="O28" s="5"/>
      <c r="P28" s="5"/>
      <c r="Q28" s="5"/>
      <c r="R28" s="5"/>
      <c r="S28" s="5"/>
      <c r="T28" s="5"/>
      <c r="U28" s="5"/>
      <c r="V28" s="5"/>
      <c r="W28" s="5"/>
      <c r="X28" s="5"/>
      <c r="Z28" s="257"/>
      <c r="AA28" s="310"/>
    </row>
    <row r="29" spans="2:33" ht="12.75" customHeight="1">
      <c r="B29" s="39" t="s">
        <v>345</v>
      </c>
      <c r="D29" s="1102">
        <f t="shared" ref="D29:V29" si="15">SUM(D19:D27)</f>
        <v>75788.952304577571</v>
      </c>
      <c r="E29" s="1102">
        <f t="shared" si="15"/>
        <v>132310.85934338521</v>
      </c>
      <c r="F29" s="1102">
        <f t="shared" si="15"/>
        <v>189511.00754422252</v>
      </c>
      <c r="G29" s="1102">
        <f t="shared" si="15"/>
        <v>221025.56941034712</v>
      </c>
      <c r="H29" s="1102">
        <f t="shared" si="15"/>
        <v>248996.63429996333</v>
      </c>
      <c r="I29" s="1102">
        <f t="shared" si="15"/>
        <v>248996.63429996333</v>
      </c>
      <c r="J29" s="1102">
        <f t="shared" si="15"/>
        <v>228217.45303620017</v>
      </c>
      <c r="K29" s="1102">
        <f>SUM(K19:K27)</f>
        <v>228217.45303620017</v>
      </c>
      <c r="L29" s="1102">
        <f t="shared" si="15"/>
        <v>221025.56941034712</v>
      </c>
      <c r="M29" s="1102">
        <f t="shared" ref="M29:U29" si="16">SUM(M19:M27)</f>
        <v>221025.56941034712</v>
      </c>
      <c r="N29" s="1102">
        <f t="shared" si="16"/>
        <v>221025.56941034712</v>
      </c>
      <c r="O29" s="1102">
        <f t="shared" si="16"/>
        <v>221025.56941034712</v>
      </c>
      <c r="P29" s="1102">
        <f t="shared" si="16"/>
        <v>189511.00754422252</v>
      </c>
      <c r="Q29" s="1102">
        <f t="shared" si="16"/>
        <v>189511.00754422252</v>
      </c>
      <c r="R29" s="1102">
        <f t="shared" si="16"/>
        <v>189511.00754422252</v>
      </c>
      <c r="S29" s="1102">
        <f t="shared" si="16"/>
        <v>189511.00754422252</v>
      </c>
      <c r="T29" s="1102">
        <f t="shared" si="16"/>
        <v>189511.00754422252</v>
      </c>
      <c r="U29" s="1102">
        <f t="shared" si="16"/>
        <v>189511.00754422252</v>
      </c>
      <c r="V29" s="1102">
        <f t="shared" si="15"/>
        <v>132310.85934338521</v>
      </c>
      <c r="W29" s="1102">
        <f t="shared" ref="W29:X29" si="17">SUM(W19:W27)</f>
        <v>75788.952304577571</v>
      </c>
      <c r="X29" s="1102">
        <f t="shared" si="17"/>
        <v>0</v>
      </c>
      <c r="Z29" s="1097">
        <f>SUM(Z19:Z27)</f>
        <v>211556.11343834398</v>
      </c>
      <c r="AA29" s="1097">
        <f>SUM(AA19:AA27)</f>
        <v>37440.520861619327</v>
      </c>
      <c r="AB29" s="1097">
        <f>SUM(AB19:AB27)</f>
        <v>248996.63429996333</v>
      </c>
    </row>
    <row r="30" spans="2:33" ht="12.75" customHeight="1"/>
    <row r="31" spans="2:33" ht="12.75" customHeight="1">
      <c r="B31" s="75" t="s">
        <v>347</v>
      </c>
      <c r="AA31" s="39" t="str">
        <f>+B31</f>
        <v>Shares Outstanding / Converted to Common Stock</v>
      </c>
    </row>
    <row r="32" spans="2:33" ht="12.75" customHeight="1">
      <c r="B32" s="137" t="str">
        <f t="shared" ref="B32:B40" si="18">+$B19</f>
        <v>Series A-1</v>
      </c>
      <c r="D32" s="1171"/>
      <c r="E32" s="1171"/>
      <c r="F32" s="1171"/>
      <c r="G32" s="1171"/>
      <c r="H32" s="1171"/>
      <c r="I32" s="1105">
        <f t="shared" ref="I32:V32" si="19">IF(OR(I19=0,I$54&gt;=$AD19),$AA32,0)</f>
        <v>0</v>
      </c>
      <c r="J32" s="1105">
        <f t="shared" si="19"/>
        <v>0</v>
      </c>
      <c r="K32" s="1105">
        <f t="shared" si="19"/>
        <v>0</v>
      </c>
      <c r="L32" s="1105">
        <f t="shared" si="19"/>
        <v>5499.9989999999998</v>
      </c>
      <c r="M32" s="1105">
        <f t="shared" si="19"/>
        <v>5499.9989999999998</v>
      </c>
      <c r="N32" s="1105">
        <f t="shared" si="19"/>
        <v>5499.9989999999998</v>
      </c>
      <c r="O32" s="1105">
        <f t="shared" si="19"/>
        <v>5499.9989999999998</v>
      </c>
      <c r="P32" s="1105">
        <f t="shared" si="19"/>
        <v>5499.9989999999998</v>
      </c>
      <c r="Q32" s="1105">
        <f t="shared" si="19"/>
        <v>5499.9989999999998</v>
      </c>
      <c r="R32" s="1105">
        <f t="shared" si="19"/>
        <v>5499.9989999999998</v>
      </c>
      <c r="S32" s="1105">
        <f t="shared" si="19"/>
        <v>5499.9989999999998</v>
      </c>
      <c r="T32" s="1105">
        <f t="shared" si="19"/>
        <v>5499.9989999999998</v>
      </c>
      <c r="U32" s="1105">
        <f t="shared" si="19"/>
        <v>5499.9989999999998</v>
      </c>
      <c r="V32" s="1105">
        <f t="shared" si="19"/>
        <v>5499.9989999999998</v>
      </c>
      <c r="W32" s="1105">
        <f t="shared" ref="W32:X32" si="20">IF(OR(W19=0,W$54&gt;=$AD19),$AA32,0)</f>
        <v>5499.9989999999998</v>
      </c>
      <c r="X32" s="1105">
        <f t="shared" si="20"/>
        <v>5499.9989999999998</v>
      </c>
      <c r="AA32" s="596">
        <f>+'Cap Table'!$D$11*'Cap Table'!$D$18</f>
        <v>5499.9989999999998</v>
      </c>
    </row>
    <row r="33" spans="2:29" ht="12.75" customHeight="1">
      <c r="B33" s="137" t="str">
        <f t="shared" si="18"/>
        <v>Series A-2</v>
      </c>
      <c r="D33" s="1171"/>
      <c r="E33" s="1171"/>
      <c r="F33" s="1171"/>
      <c r="G33" s="1171"/>
      <c r="H33" s="1171"/>
      <c r="I33" s="1105">
        <f t="shared" ref="I33:V33" si="21">IF(OR(I20=0,I$54&gt;=$AD20),$AA33,0)</f>
        <v>0</v>
      </c>
      <c r="J33" s="1105">
        <f t="shared" si="21"/>
        <v>20916.409</v>
      </c>
      <c r="K33" s="1105">
        <f t="shared" si="21"/>
        <v>20916.409</v>
      </c>
      <c r="L33" s="1105">
        <f t="shared" si="21"/>
        <v>20916.409</v>
      </c>
      <c r="M33" s="1105">
        <f t="shared" si="21"/>
        <v>20916.409</v>
      </c>
      <c r="N33" s="1105">
        <f t="shared" si="21"/>
        <v>20916.409</v>
      </c>
      <c r="O33" s="1105">
        <f t="shared" si="21"/>
        <v>20916.409</v>
      </c>
      <c r="P33" s="1105">
        <f t="shared" si="21"/>
        <v>20916.409</v>
      </c>
      <c r="Q33" s="1105">
        <f t="shared" si="21"/>
        <v>20916.409</v>
      </c>
      <c r="R33" s="1105">
        <f t="shared" si="21"/>
        <v>20916.409</v>
      </c>
      <c r="S33" s="1105">
        <f t="shared" si="21"/>
        <v>20916.409</v>
      </c>
      <c r="T33" s="1105">
        <f t="shared" si="21"/>
        <v>20916.409</v>
      </c>
      <c r="U33" s="1105">
        <f t="shared" si="21"/>
        <v>20916.409</v>
      </c>
      <c r="V33" s="1105">
        <f t="shared" si="21"/>
        <v>20916.409</v>
      </c>
      <c r="W33" s="1105">
        <f t="shared" ref="W33:X33" si="22">IF(OR(W20=0,W$54&gt;=$AD20),$AA33,0)</f>
        <v>20916.409</v>
      </c>
      <c r="X33" s="1105">
        <f t="shared" si="22"/>
        <v>20916.409</v>
      </c>
      <c r="AA33" s="596">
        <f>+'Cap Table'!$E$11*'Cap Table'!$E$18</f>
        <v>20916.409</v>
      </c>
    </row>
    <row r="34" spans="2:29" ht="12.75" customHeight="1">
      <c r="B34" s="137" t="str">
        <f t="shared" si="18"/>
        <v>Series B Tranche I</v>
      </c>
      <c r="D34" s="1171"/>
      <c r="E34" s="1171"/>
      <c r="F34" s="1171"/>
      <c r="G34" s="1171"/>
      <c r="H34" s="1171"/>
      <c r="I34" s="1105">
        <f t="shared" ref="I34:V34" si="23">IF(OR(I21=0,I$54&gt;=$AD21),$AA34,0)</f>
        <v>0</v>
      </c>
      <c r="J34" s="1105">
        <f t="shared" si="23"/>
        <v>0</v>
      </c>
      <c r="K34" s="1105">
        <f t="shared" si="23"/>
        <v>0</v>
      </c>
      <c r="L34" s="1105">
        <f t="shared" si="23"/>
        <v>0</v>
      </c>
      <c r="M34" s="1105">
        <f t="shared" si="23"/>
        <v>0</v>
      </c>
      <c r="N34" s="1105">
        <f t="shared" si="23"/>
        <v>0</v>
      </c>
      <c r="O34" s="1105">
        <f t="shared" si="23"/>
        <v>0</v>
      </c>
      <c r="P34" s="1105">
        <f t="shared" si="23"/>
        <v>3571.4279999999999</v>
      </c>
      <c r="Q34" s="1105">
        <f t="shared" si="23"/>
        <v>3571.4279999999999</v>
      </c>
      <c r="R34" s="1105">
        <f t="shared" si="23"/>
        <v>3571.4279999999999</v>
      </c>
      <c r="S34" s="1105">
        <f t="shared" si="23"/>
        <v>3571.4279999999999</v>
      </c>
      <c r="T34" s="1105">
        <f t="shared" si="23"/>
        <v>3571.4279999999999</v>
      </c>
      <c r="U34" s="1105">
        <f t="shared" si="23"/>
        <v>3571.4279999999999</v>
      </c>
      <c r="V34" s="1105">
        <f t="shared" si="23"/>
        <v>3571.4279999999999</v>
      </c>
      <c r="W34" s="1105">
        <f t="shared" ref="W34:X34" si="24">IF(OR(W21=0,W$54&gt;=$AD21),$AA34,0)</f>
        <v>3571.4279999999999</v>
      </c>
      <c r="X34" s="1105">
        <f t="shared" si="24"/>
        <v>3571.4279999999999</v>
      </c>
      <c r="AA34" s="596">
        <f>+'Cap Table'!$F$11*'Cap Table'!$F$18</f>
        <v>3571.4279999999999</v>
      </c>
    </row>
    <row r="35" spans="2:29" ht="12.75" customHeight="1">
      <c r="B35" s="137" t="str">
        <f t="shared" si="18"/>
        <v>Series B Tranche II</v>
      </c>
      <c r="D35" s="1171"/>
      <c r="E35" s="1171"/>
      <c r="F35" s="1171"/>
      <c r="G35" s="1171"/>
      <c r="H35" s="1171"/>
      <c r="I35" s="1105">
        <f t="shared" ref="I35:V35" si="25">IF(OR(I22=0,I$54&gt;=$AD22),$AA35,0)</f>
        <v>0</v>
      </c>
      <c r="J35" s="1105">
        <f t="shared" si="25"/>
        <v>0</v>
      </c>
      <c r="K35" s="1105">
        <f t="shared" si="25"/>
        <v>0</v>
      </c>
      <c r="L35" s="1105">
        <f t="shared" si="25"/>
        <v>0</v>
      </c>
      <c r="M35" s="1105">
        <f t="shared" si="25"/>
        <v>0</v>
      </c>
      <c r="N35" s="1105">
        <f t="shared" si="25"/>
        <v>0</v>
      </c>
      <c r="O35" s="1105">
        <f t="shared" si="25"/>
        <v>0</v>
      </c>
      <c r="P35" s="1105">
        <f t="shared" si="25"/>
        <v>3571.4290000000001</v>
      </c>
      <c r="Q35" s="1105">
        <f t="shared" si="25"/>
        <v>3571.4290000000001</v>
      </c>
      <c r="R35" s="1105">
        <f t="shared" si="25"/>
        <v>3571.4290000000001</v>
      </c>
      <c r="S35" s="1105">
        <f t="shared" si="25"/>
        <v>3571.4290000000001</v>
      </c>
      <c r="T35" s="1105">
        <f t="shared" si="25"/>
        <v>3571.4290000000001</v>
      </c>
      <c r="U35" s="1105">
        <f t="shared" si="25"/>
        <v>3571.4290000000001</v>
      </c>
      <c r="V35" s="1105">
        <f t="shared" si="25"/>
        <v>3571.4290000000001</v>
      </c>
      <c r="W35" s="1105">
        <f t="shared" ref="W35:X35" si="26">IF(OR(W22=0,W$54&gt;=$AD22),$AA35,0)</f>
        <v>3571.4290000000001</v>
      </c>
      <c r="X35" s="1105">
        <f t="shared" si="26"/>
        <v>3571.4290000000001</v>
      </c>
      <c r="AA35" s="596">
        <f>+'Cap Table'!$G$11*'Cap Table'!$G$18</f>
        <v>3571.4290000000001</v>
      </c>
    </row>
    <row r="36" spans="2:29" ht="12.75" customHeight="1">
      <c r="B36" s="137" t="str">
        <f t="shared" si="18"/>
        <v>Series C Tranche I</v>
      </c>
      <c r="D36" s="1171"/>
      <c r="E36" s="1171"/>
      <c r="F36" s="1171"/>
      <c r="G36" s="1171"/>
      <c r="H36" s="1171"/>
      <c r="I36" s="1105">
        <f t="shared" ref="I36:V36" si="27">IF(OR(I23=0,I$54&gt;=$AD23),$AA36,0)</f>
        <v>0</v>
      </c>
      <c r="J36" s="1105">
        <f t="shared" si="27"/>
        <v>0</v>
      </c>
      <c r="K36" s="1105">
        <f t="shared" si="27"/>
        <v>0</v>
      </c>
      <c r="L36" s="1105">
        <f t="shared" si="27"/>
        <v>0</v>
      </c>
      <c r="M36" s="1105">
        <f t="shared" si="27"/>
        <v>0</v>
      </c>
      <c r="N36" s="1105">
        <f t="shared" si="27"/>
        <v>0</v>
      </c>
      <c r="O36" s="1105">
        <f t="shared" si="27"/>
        <v>0</v>
      </c>
      <c r="P36" s="1105">
        <f t="shared" si="27"/>
        <v>0</v>
      </c>
      <c r="Q36" s="1105">
        <f t="shared" si="27"/>
        <v>0</v>
      </c>
      <c r="R36" s="1105">
        <f t="shared" si="27"/>
        <v>0</v>
      </c>
      <c r="S36" s="1105">
        <f t="shared" si="27"/>
        <v>0</v>
      </c>
      <c r="T36" s="1105">
        <f t="shared" si="27"/>
        <v>0</v>
      </c>
      <c r="U36" s="1105">
        <f t="shared" si="27"/>
        <v>0</v>
      </c>
      <c r="V36" s="1105">
        <f t="shared" si="27"/>
        <v>2384.889986666667</v>
      </c>
      <c r="W36" s="1105">
        <f t="shared" ref="W36:X36" si="28">IF(OR(W23=0,W$54&gt;=$AD23),$AA36,0)</f>
        <v>2384.889986666667</v>
      </c>
      <c r="X36" s="1105">
        <f t="shared" si="28"/>
        <v>2384.889986666667</v>
      </c>
      <c r="AA36" s="596">
        <f>+'Cap Table'!$H$11*'Cap Table'!$H$18</f>
        <v>2384.889986666667</v>
      </c>
    </row>
    <row r="37" spans="2:29" ht="12.75" customHeight="1">
      <c r="B37" s="137" t="str">
        <f t="shared" si="18"/>
        <v>Series C Tranche II</v>
      </c>
      <c r="D37" s="1171"/>
      <c r="E37" s="1171"/>
      <c r="F37" s="1171"/>
      <c r="G37" s="1171"/>
      <c r="H37" s="1171"/>
      <c r="I37" s="1105">
        <f t="shared" ref="I37:V37" si="29">IF(OR(I24=0,I$54&gt;=$AD24),$AA37,0)</f>
        <v>0</v>
      </c>
      <c r="J37" s="1105">
        <f t="shared" si="29"/>
        <v>0</v>
      </c>
      <c r="K37" s="1105">
        <f t="shared" si="29"/>
        <v>0</v>
      </c>
      <c r="L37" s="1105">
        <f t="shared" si="29"/>
        <v>0</v>
      </c>
      <c r="M37" s="1105">
        <f t="shared" si="29"/>
        <v>0</v>
      </c>
      <c r="N37" s="1105">
        <f t="shared" si="29"/>
        <v>0</v>
      </c>
      <c r="O37" s="1105">
        <f t="shared" si="29"/>
        <v>0</v>
      </c>
      <c r="P37" s="1105">
        <f t="shared" si="29"/>
        <v>0</v>
      </c>
      <c r="Q37" s="1105">
        <f t="shared" si="29"/>
        <v>0</v>
      </c>
      <c r="R37" s="1105">
        <f t="shared" si="29"/>
        <v>0</v>
      </c>
      <c r="S37" s="1105">
        <f t="shared" si="29"/>
        <v>0</v>
      </c>
      <c r="T37" s="1105">
        <f t="shared" si="29"/>
        <v>0</v>
      </c>
      <c r="U37" s="1105">
        <f t="shared" si="29"/>
        <v>0</v>
      </c>
      <c r="V37" s="1105">
        <f t="shared" si="29"/>
        <v>2384.889986666667</v>
      </c>
      <c r="W37" s="1105">
        <f t="shared" ref="W37:X37" si="30">IF(OR(W24=0,W$54&gt;=$AD24),$AA37,0)</f>
        <v>2384.889986666667</v>
      </c>
      <c r="X37" s="1105">
        <f t="shared" si="30"/>
        <v>2384.889986666667</v>
      </c>
      <c r="AA37" s="596">
        <f>+'Cap Table'!$I$11*'Cap Table'!$I$18</f>
        <v>2384.889986666667</v>
      </c>
    </row>
    <row r="38" spans="2:29" ht="12.75" customHeight="1">
      <c r="B38" s="137" t="str">
        <f t="shared" si="18"/>
        <v>Series D Tranche I</v>
      </c>
      <c r="D38" s="1171"/>
      <c r="E38" s="1171"/>
      <c r="F38" s="1171"/>
      <c r="G38" s="1171"/>
      <c r="H38" s="1171"/>
      <c r="I38" s="1105">
        <f t="shared" ref="I38:V38" si="31">IF(OR(I25=0,I$54&gt;=$AD25),$AA38,0)</f>
        <v>0</v>
      </c>
      <c r="J38" s="1105">
        <f t="shared" si="31"/>
        <v>0</v>
      </c>
      <c r="K38" s="1105">
        <f t="shared" si="31"/>
        <v>0</v>
      </c>
      <c r="L38" s="1105">
        <f t="shared" si="31"/>
        <v>0</v>
      </c>
      <c r="M38" s="1105">
        <f t="shared" si="31"/>
        <v>0</v>
      </c>
      <c r="N38" s="1105">
        <f t="shared" si="31"/>
        <v>0</v>
      </c>
      <c r="O38" s="1105">
        <f t="shared" si="31"/>
        <v>0</v>
      </c>
      <c r="P38" s="1105">
        <f t="shared" si="31"/>
        <v>0</v>
      </c>
      <c r="Q38" s="1105">
        <f t="shared" si="31"/>
        <v>0</v>
      </c>
      <c r="R38" s="1105">
        <f t="shared" si="31"/>
        <v>0</v>
      </c>
      <c r="S38" s="1105">
        <f t="shared" si="31"/>
        <v>0</v>
      </c>
      <c r="T38" s="1105">
        <f t="shared" si="31"/>
        <v>0</v>
      </c>
      <c r="U38" s="1105">
        <f t="shared" si="31"/>
        <v>0</v>
      </c>
      <c r="V38" s="1105">
        <f t="shared" si="31"/>
        <v>0</v>
      </c>
      <c r="W38" s="1105">
        <f t="shared" ref="W38:X38" si="32">IF(OR(W25=0,W$54&gt;=$AD25),$AA38,0)</f>
        <v>2646.0859999999998</v>
      </c>
      <c r="X38" s="1105">
        <f t="shared" si="32"/>
        <v>2646.0859999999998</v>
      </c>
      <c r="AA38" s="596">
        <f>+'Cap Table'!$J$11*'Cap Table'!$J$18</f>
        <v>2646.0859999999998</v>
      </c>
    </row>
    <row r="39" spans="2:29" ht="12.75" customHeight="1">
      <c r="B39" s="137" t="str">
        <f t="shared" si="18"/>
        <v>Series D Tranche II</v>
      </c>
      <c r="D39" s="1171"/>
      <c r="E39" s="1171"/>
      <c r="F39" s="1171"/>
      <c r="G39" s="1171"/>
      <c r="H39" s="1171"/>
      <c r="I39" s="1105">
        <f t="shared" ref="I39:V39" si="33">IF(OR(I26=0,I$54&gt;=$AD26),$AA39,0)</f>
        <v>0</v>
      </c>
      <c r="J39" s="1105">
        <f t="shared" si="33"/>
        <v>0</v>
      </c>
      <c r="K39" s="1105">
        <f t="shared" si="33"/>
        <v>0</v>
      </c>
      <c r="L39" s="1105">
        <f t="shared" si="33"/>
        <v>0</v>
      </c>
      <c r="M39" s="1105">
        <f t="shared" si="33"/>
        <v>0</v>
      </c>
      <c r="N39" s="1105">
        <f t="shared" si="33"/>
        <v>0</v>
      </c>
      <c r="O39" s="1105">
        <f t="shared" si="33"/>
        <v>0</v>
      </c>
      <c r="P39" s="1105">
        <f t="shared" si="33"/>
        <v>0</v>
      </c>
      <c r="Q39" s="1105">
        <f t="shared" si="33"/>
        <v>0</v>
      </c>
      <c r="R39" s="1105">
        <f t="shared" si="33"/>
        <v>0</v>
      </c>
      <c r="S39" s="1105">
        <f t="shared" si="33"/>
        <v>0</v>
      </c>
      <c r="T39" s="1105">
        <f t="shared" si="33"/>
        <v>0</v>
      </c>
      <c r="U39" s="1105">
        <f t="shared" si="33"/>
        <v>0</v>
      </c>
      <c r="V39" s="1105">
        <f t="shared" si="33"/>
        <v>0</v>
      </c>
      <c r="W39" s="1105">
        <f t="shared" ref="W39:X39" si="34">IF(OR(W26=0,W$54&gt;=$AD26),$AA39,0)</f>
        <v>1852.702</v>
      </c>
      <c r="X39" s="1105">
        <f t="shared" si="34"/>
        <v>1852.702</v>
      </c>
      <c r="AA39" s="596">
        <f>+'Cap Table'!$K$11*'Cap Table'!$K$18</f>
        <v>1852.702</v>
      </c>
    </row>
    <row r="40" spans="2:29" ht="12.75" customHeight="1">
      <c r="B40" s="137" t="str">
        <f t="shared" si="18"/>
        <v>Series E</v>
      </c>
      <c r="D40" s="1171"/>
      <c r="E40" s="1171"/>
      <c r="F40" s="1171"/>
      <c r="G40" s="1171"/>
      <c r="H40" s="1171"/>
      <c r="I40" s="1105">
        <f t="shared" ref="I40:V40" si="35">IF(OR(I27=0,I$54&gt;=$AD27),$AA40,0)</f>
        <v>0</v>
      </c>
      <c r="J40" s="1105">
        <f t="shared" si="35"/>
        <v>0</v>
      </c>
      <c r="K40" s="1105">
        <f t="shared" si="35"/>
        <v>0</v>
      </c>
      <c r="L40" s="1105">
        <f t="shared" si="35"/>
        <v>0</v>
      </c>
      <c r="M40" s="1105">
        <f t="shared" si="35"/>
        <v>0</v>
      </c>
      <c r="N40" s="1105">
        <f t="shared" si="35"/>
        <v>0</v>
      </c>
      <c r="O40" s="1105">
        <f t="shared" si="35"/>
        <v>0</v>
      </c>
      <c r="P40" s="1105">
        <f t="shared" si="35"/>
        <v>0</v>
      </c>
      <c r="Q40" s="1105">
        <f t="shared" si="35"/>
        <v>0</v>
      </c>
      <c r="R40" s="1105">
        <f t="shared" si="35"/>
        <v>0</v>
      </c>
      <c r="S40" s="1105">
        <f t="shared" si="35"/>
        <v>0</v>
      </c>
      <c r="T40" s="1105">
        <f t="shared" si="35"/>
        <v>0</v>
      </c>
      <c r="U40" s="1105">
        <f t="shared" si="35"/>
        <v>0</v>
      </c>
      <c r="V40" s="1105">
        <f t="shared" si="35"/>
        <v>0</v>
      </c>
      <c r="W40" s="1105">
        <f t="shared" ref="W40:X40" si="36">IF(OR(W27=0,W$54&gt;=$AD27),$AA40,0)</f>
        <v>0</v>
      </c>
      <c r="X40" s="1105">
        <f t="shared" si="36"/>
        <v>5064.8329999999996</v>
      </c>
      <c r="AA40" s="596">
        <f>+'Cap Table'!$L$11*'Cap Table'!$L$18</f>
        <v>5064.8329999999996</v>
      </c>
    </row>
    <row r="41" spans="2:29" ht="12.75" customHeight="1">
      <c r="B41" s="259" t="str">
        <f>'Cap Table'!$B24</f>
        <v>Options at $1.00 Strike Price</v>
      </c>
      <c r="D41" s="1105">
        <v>0</v>
      </c>
      <c r="E41" s="1105">
        <f t="shared" ref="E41:N45" si="37">IF(E$54&lt;$AC41,0,$AA41)</f>
        <v>0</v>
      </c>
      <c r="F41" s="1105">
        <f t="shared" si="37"/>
        <v>0</v>
      </c>
      <c r="G41" s="1105">
        <f t="shared" si="37"/>
        <v>0</v>
      </c>
      <c r="H41" s="1105">
        <f t="shared" si="37"/>
        <v>0</v>
      </c>
      <c r="I41" s="1105">
        <f t="shared" si="37"/>
        <v>0</v>
      </c>
      <c r="J41" s="1105">
        <f t="shared" si="37"/>
        <v>0</v>
      </c>
      <c r="K41" s="1105">
        <f t="shared" si="37"/>
        <v>1948.865</v>
      </c>
      <c r="L41" s="1105">
        <f t="shared" si="37"/>
        <v>1948.865</v>
      </c>
      <c r="M41" s="1105">
        <f t="shared" si="37"/>
        <v>1948.865</v>
      </c>
      <c r="N41" s="1105">
        <f t="shared" si="37"/>
        <v>1948.865</v>
      </c>
      <c r="O41" s="1105">
        <f t="shared" ref="O41:V45" si="38">IF(O$54&lt;$AC41,0,$AA41)</f>
        <v>1948.865</v>
      </c>
      <c r="P41" s="1105">
        <f t="shared" si="38"/>
        <v>1948.865</v>
      </c>
      <c r="Q41" s="1105">
        <f t="shared" si="38"/>
        <v>1948.865</v>
      </c>
      <c r="R41" s="1105">
        <f t="shared" si="38"/>
        <v>1948.865</v>
      </c>
      <c r="S41" s="1105">
        <f t="shared" si="38"/>
        <v>1948.865</v>
      </c>
      <c r="T41" s="1105">
        <f t="shared" si="38"/>
        <v>1948.865</v>
      </c>
      <c r="U41" s="1105">
        <f t="shared" si="38"/>
        <v>1948.865</v>
      </c>
      <c r="V41" s="1105">
        <f t="shared" si="38"/>
        <v>1948.865</v>
      </c>
      <c r="W41" s="1105">
        <f t="shared" ref="W41:X45" si="39">IF(W$54&lt;$AC41,0,$AA41)</f>
        <v>1948.865</v>
      </c>
      <c r="X41" s="1105">
        <f t="shared" si="39"/>
        <v>1948.865</v>
      </c>
      <c r="AA41" s="596">
        <f>+'Cap Table'!$D24</f>
        <v>1948.865</v>
      </c>
      <c r="AC41" s="1099">
        <f>'Cap Table'!E24</f>
        <v>1</v>
      </c>
    </row>
    <row r="42" spans="2:29" ht="12.75" customHeight="1">
      <c r="B42" s="259" t="str">
        <f>'Cap Table'!$B25</f>
        <v>Options at $3.50 Strike Price</v>
      </c>
      <c r="D42" s="1105">
        <v>0</v>
      </c>
      <c r="E42" s="1105">
        <f t="shared" si="37"/>
        <v>0</v>
      </c>
      <c r="F42" s="1105">
        <f t="shared" si="37"/>
        <v>0</v>
      </c>
      <c r="G42" s="1105">
        <f t="shared" si="37"/>
        <v>0</v>
      </c>
      <c r="H42" s="1105">
        <f t="shared" si="37"/>
        <v>0</v>
      </c>
      <c r="I42" s="1105">
        <f t="shared" si="37"/>
        <v>0</v>
      </c>
      <c r="J42" s="1105">
        <f t="shared" si="37"/>
        <v>0</v>
      </c>
      <c r="K42" s="1105">
        <f t="shared" si="37"/>
        <v>0</v>
      </c>
      <c r="L42" s="1105">
        <f t="shared" si="37"/>
        <v>0</v>
      </c>
      <c r="M42" s="1105">
        <f t="shared" si="37"/>
        <v>960</v>
      </c>
      <c r="N42" s="1105">
        <f t="shared" si="37"/>
        <v>960</v>
      </c>
      <c r="O42" s="1105">
        <f t="shared" si="38"/>
        <v>960</v>
      </c>
      <c r="P42" s="1105">
        <f t="shared" si="38"/>
        <v>960</v>
      </c>
      <c r="Q42" s="1105">
        <f t="shared" si="38"/>
        <v>960</v>
      </c>
      <c r="R42" s="1105">
        <f t="shared" si="38"/>
        <v>960</v>
      </c>
      <c r="S42" s="1105">
        <f t="shared" si="38"/>
        <v>960</v>
      </c>
      <c r="T42" s="1105">
        <f t="shared" si="38"/>
        <v>960</v>
      </c>
      <c r="U42" s="1105">
        <f t="shared" si="38"/>
        <v>960</v>
      </c>
      <c r="V42" s="1105">
        <f t="shared" si="38"/>
        <v>960</v>
      </c>
      <c r="W42" s="1105">
        <f t="shared" si="39"/>
        <v>960</v>
      </c>
      <c r="X42" s="1105">
        <f t="shared" si="39"/>
        <v>960</v>
      </c>
      <c r="AA42" s="596">
        <f>+'Cap Table'!$D25</f>
        <v>960</v>
      </c>
      <c r="AC42" s="661">
        <f>'Cap Table'!E25</f>
        <v>3.5</v>
      </c>
    </row>
    <row r="43" spans="2:29" ht="12.75" customHeight="1">
      <c r="B43" s="259" t="str">
        <f>'Cap Table'!$B26</f>
        <v>Options at $3.70 Strike Price</v>
      </c>
      <c r="D43" s="1105">
        <v>0</v>
      </c>
      <c r="E43" s="1105">
        <f t="shared" si="37"/>
        <v>0</v>
      </c>
      <c r="F43" s="1105">
        <f t="shared" si="37"/>
        <v>0</v>
      </c>
      <c r="G43" s="1105">
        <f t="shared" si="37"/>
        <v>0</v>
      </c>
      <c r="H43" s="1105">
        <f t="shared" si="37"/>
        <v>0</v>
      </c>
      <c r="I43" s="1105">
        <f t="shared" si="37"/>
        <v>0</v>
      </c>
      <c r="J43" s="1105">
        <f t="shared" si="37"/>
        <v>0</v>
      </c>
      <c r="K43" s="1105">
        <f t="shared" si="37"/>
        <v>0</v>
      </c>
      <c r="L43" s="1105">
        <f t="shared" si="37"/>
        <v>0</v>
      </c>
      <c r="M43" s="1105">
        <f t="shared" si="37"/>
        <v>0</v>
      </c>
      <c r="N43" s="1105">
        <f t="shared" si="37"/>
        <v>1201.357</v>
      </c>
      <c r="O43" s="1105">
        <f t="shared" si="38"/>
        <v>1201.357</v>
      </c>
      <c r="P43" s="1105">
        <f t="shared" si="38"/>
        <v>1201.357</v>
      </c>
      <c r="Q43" s="1105">
        <f t="shared" si="38"/>
        <v>1201.357</v>
      </c>
      <c r="R43" s="1105">
        <f t="shared" si="38"/>
        <v>1201.357</v>
      </c>
      <c r="S43" s="1105">
        <f t="shared" si="38"/>
        <v>1201.357</v>
      </c>
      <c r="T43" s="1105">
        <f t="shared" si="38"/>
        <v>1201.357</v>
      </c>
      <c r="U43" s="1105">
        <f t="shared" si="38"/>
        <v>1201.357</v>
      </c>
      <c r="V43" s="1105">
        <f t="shared" si="38"/>
        <v>1201.357</v>
      </c>
      <c r="W43" s="1105">
        <f t="shared" si="39"/>
        <v>1201.357</v>
      </c>
      <c r="X43" s="1105">
        <f t="shared" si="39"/>
        <v>1201.357</v>
      </c>
      <c r="AA43" s="596">
        <f>+'Cap Table'!$D26</f>
        <v>1201.357</v>
      </c>
      <c r="AC43" s="661">
        <f>'Cap Table'!E26</f>
        <v>3.7</v>
      </c>
    </row>
    <row r="44" spans="2:29" ht="12.75" customHeight="1">
      <c r="B44" s="259" t="str">
        <f>'Cap Table'!$B27</f>
        <v>Options at $4.00 Strike Price</v>
      </c>
      <c r="D44" s="1105">
        <v>0</v>
      </c>
      <c r="E44" s="1105">
        <f t="shared" si="37"/>
        <v>0</v>
      </c>
      <c r="F44" s="1105">
        <f t="shared" si="37"/>
        <v>0</v>
      </c>
      <c r="G44" s="1105">
        <f t="shared" si="37"/>
        <v>0</v>
      </c>
      <c r="H44" s="1105">
        <f t="shared" si="37"/>
        <v>0</v>
      </c>
      <c r="I44" s="1105">
        <f t="shared" si="37"/>
        <v>0</v>
      </c>
      <c r="J44" s="1105">
        <f t="shared" si="37"/>
        <v>0</v>
      </c>
      <c r="K44" s="1105">
        <f t="shared" si="37"/>
        <v>0</v>
      </c>
      <c r="L44" s="1105">
        <f t="shared" si="37"/>
        <v>0</v>
      </c>
      <c r="M44" s="1105">
        <f t="shared" si="37"/>
        <v>0</v>
      </c>
      <c r="N44" s="1105">
        <f t="shared" si="37"/>
        <v>0</v>
      </c>
      <c r="O44" s="1105">
        <f t="shared" si="38"/>
        <v>70</v>
      </c>
      <c r="P44" s="1105">
        <f t="shared" si="38"/>
        <v>70</v>
      </c>
      <c r="Q44" s="1105">
        <f t="shared" si="38"/>
        <v>70</v>
      </c>
      <c r="R44" s="1105">
        <f t="shared" si="38"/>
        <v>70</v>
      </c>
      <c r="S44" s="1105">
        <f t="shared" si="38"/>
        <v>70</v>
      </c>
      <c r="T44" s="1105">
        <f t="shared" si="38"/>
        <v>70</v>
      </c>
      <c r="U44" s="1105">
        <f t="shared" si="38"/>
        <v>70</v>
      </c>
      <c r="V44" s="1105">
        <f t="shared" si="38"/>
        <v>70</v>
      </c>
      <c r="W44" s="1105">
        <f t="shared" si="39"/>
        <v>70</v>
      </c>
      <c r="X44" s="1105">
        <f t="shared" si="39"/>
        <v>70</v>
      </c>
      <c r="AA44" s="596">
        <f>+'Cap Table'!$D27</f>
        <v>70</v>
      </c>
      <c r="AC44" s="661">
        <f>'Cap Table'!E27</f>
        <v>4</v>
      </c>
    </row>
    <row r="45" spans="2:29" ht="12.75" customHeight="1">
      <c r="B45" s="259" t="str">
        <f>'Cap Table'!$B28</f>
        <v>Options at $6.00 Strike Price</v>
      </c>
      <c r="D45" s="1105">
        <v>0</v>
      </c>
      <c r="E45" s="1105">
        <f t="shared" si="37"/>
        <v>0</v>
      </c>
      <c r="F45" s="1105">
        <f t="shared" si="37"/>
        <v>0</v>
      </c>
      <c r="G45" s="1105">
        <f t="shared" si="37"/>
        <v>0</v>
      </c>
      <c r="H45" s="1105">
        <f t="shared" si="37"/>
        <v>0</v>
      </c>
      <c r="I45" s="1105">
        <f t="shared" si="37"/>
        <v>0</v>
      </c>
      <c r="J45" s="1105">
        <f t="shared" si="37"/>
        <v>0</v>
      </c>
      <c r="K45" s="1105">
        <f t="shared" si="37"/>
        <v>0</v>
      </c>
      <c r="L45" s="1105">
        <f t="shared" si="37"/>
        <v>0</v>
      </c>
      <c r="M45" s="1105">
        <f t="shared" si="37"/>
        <v>0</v>
      </c>
      <c r="N45" s="1105">
        <f t="shared" si="37"/>
        <v>0</v>
      </c>
      <c r="O45" s="1105">
        <f t="shared" si="38"/>
        <v>0</v>
      </c>
      <c r="P45" s="1105">
        <f t="shared" si="38"/>
        <v>0</v>
      </c>
      <c r="Q45" s="1105">
        <f t="shared" si="38"/>
        <v>75</v>
      </c>
      <c r="R45" s="1105">
        <f t="shared" si="38"/>
        <v>75</v>
      </c>
      <c r="S45" s="1105">
        <f t="shared" si="38"/>
        <v>75</v>
      </c>
      <c r="T45" s="1105">
        <f t="shared" si="38"/>
        <v>75</v>
      </c>
      <c r="U45" s="1105">
        <f t="shared" si="38"/>
        <v>75</v>
      </c>
      <c r="V45" s="1105">
        <f t="shared" si="38"/>
        <v>75</v>
      </c>
      <c r="W45" s="1105">
        <f t="shared" si="39"/>
        <v>75</v>
      </c>
      <c r="X45" s="1105">
        <f t="shared" si="39"/>
        <v>75</v>
      </c>
      <c r="AA45" s="596">
        <f>+'Cap Table'!$D28</f>
        <v>75</v>
      </c>
      <c r="AC45" s="661">
        <f>'Cap Table'!E28</f>
        <v>6</v>
      </c>
    </row>
    <row r="46" spans="2:29" ht="12.75" customHeight="1">
      <c r="B46" s="259" t="str">
        <f>'Cap Table'!$B29</f>
        <v>Options at $7.00 Strike Price</v>
      </c>
      <c r="D46" s="1105">
        <v>0</v>
      </c>
      <c r="E46" s="1105">
        <f>IF(E$54&lt;$AC46,0,$AA46)</f>
        <v>0</v>
      </c>
      <c r="F46" s="1105">
        <f t="shared" ref="F46:X49" si="40">IF(F$54&lt;$AC46,0,$AA46)</f>
        <v>0</v>
      </c>
      <c r="G46" s="1105">
        <f t="shared" si="40"/>
        <v>0</v>
      </c>
      <c r="H46" s="1105">
        <f t="shared" si="40"/>
        <v>0</v>
      </c>
      <c r="I46" s="1105">
        <f t="shared" si="40"/>
        <v>0</v>
      </c>
      <c r="J46" s="1105">
        <f t="shared" si="40"/>
        <v>0</v>
      </c>
      <c r="K46" s="1105">
        <f t="shared" si="40"/>
        <v>0</v>
      </c>
      <c r="L46" s="1105">
        <f t="shared" si="40"/>
        <v>0</v>
      </c>
      <c r="M46" s="1105">
        <f t="shared" si="40"/>
        <v>0</v>
      </c>
      <c r="N46" s="1105">
        <f t="shared" si="40"/>
        <v>0</v>
      </c>
      <c r="O46" s="1105">
        <f t="shared" si="40"/>
        <v>0</v>
      </c>
      <c r="P46" s="1105">
        <f t="shared" si="40"/>
        <v>0</v>
      </c>
      <c r="Q46" s="1105">
        <f t="shared" si="40"/>
        <v>0</v>
      </c>
      <c r="R46" s="1105">
        <f t="shared" si="40"/>
        <v>2739.67</v>
      </c>
      <c r="S46" s="1105">
        <f t="shared" si="40"/>
        <v>2739.67</v>
      </c>
      <c r="T46" s="1105">
        <f t="shared" si="40"/>
        <v>2739.67</v>
      </c>
      <c r="U46" s="1105">
        <f t="shared" si="40"/>
        <v>2739.67</v>
      </c>
      <c r="V46" s="1105">
        <f t="shared" si="40"/>
        <v>2739.67</v>
      </c>
      <c r="W46" s="1105">
        <f t="shared" si="40"/>
        <v>2739.67</v>
      </c>
      <c r="X46" s="1105">
        <f t="shared" si="40"/>
        <v>2739.67</v>
      </c>
      <c r="AA46" s="596">
        <f>+'Cap Table'!$D29</f>
        <v>2739.67</v>
      </c>
      <c r="AC46" s="661">
        <f>'Cap Table'!E29</f>
        <v>7</v>
      </c>
    </row>
    <row r="47" spans="2:29" ht="12.75" customHeight="1">
      <c r="B47" s="259" t="str">
        <f>'Cap Table'!$B30</f>
        <v>Options at $10.00 Strike Price</v>
      </c>
      <c r="D47" s="1105">
        <v>0</v>
      </c>
      <c r="E47" s="1105">
        <f t="shared" ref="E47:T48" si="41">IF(E$54&lt;$AC47,0,$AA47)</f>
        <v>0</v>
      </c>
      <c r="F47" s="1105">
        <f t="shared" si="41"/>
        <v>0</v>
      </c>
      <c r="G47" s="1105">
        <f t="shared" si="41"/>
        <v>0</v>
      </c>
      <c r="H47" s="1105">
        <f t="shared" si="41"/>
        <v>0</v>
      </c>
      <c r="I47" s="1105">
        <f t="shared" si="41"/>
        <v>0</v>
      </c>
      <c r="J47" s="1105">
        <f t="shared" si="41"/>
        <v>0</v>
      </c>
      <c r="K47" s="1105">
        <f t="shared" si="41"/>
        <v>0</v>
      </c>
      <c r="L47" s="1105">
        <f t="shared" si="41"/>
        <v>0</v>
      </c>
      <c r="M47" s="1105">
        <f t="shared" si="41"/>
        <v>0</v>
      </c>
      <c r="N47" s="1105">
        <f t="shared" si="41"/>
        <v>0</v>
      </c>
      <c r="O47" s="1105">
        <f t="shared" si="41"/>
        <v>0</v>
      </c>
      <c r="P47" s="1105">
        <f t="shared" si="41"/>
        <v>0</v>
      </c>
      <c r="Q47" s="1105">
        <f t="shared" si="41"/>
        <v>0</v>
      </c>
      <c r="R47" s="1105">
        <f t="shared" si="41"/>
        <v>0</v>
      </c>
      <c r="S47" s="1105">
        <f t="shared" si="41"/>
        <v>0</v>
      </c>
      <c r="T47" s="1105">
        <f t="shared" si="41"/>
        <v>100</v>
      </c>
      <c r="U47" s="1105">
        <f t="shared" si="40"/>
        <v>100</v>
      </c>
      <c r="V47" s="1105">
        <f t="shared" si="40"/>
        <v>100</v>
      </c>
      <c r="W47" s="1105">
        <f t="shared" si="40"/>
        <v>100</v>
      </c>
      <c r="X47" s="1105">
        <f t="shared" si="40"/>
        <v>100</v>
      </c>
      <c r="AA47" s="596">
        <f>+'Cap Table'!$D30</f>
        <v>100</v>
      </c>
      <c r="AC47" s="661">
        <f>'Cap Table'!E30</f>
        <v>10</v>
      </c>
    </row>
    <row r="48" spans="2:29" ht="12.75" customHeight="1">
      <c r="B48" s="259" t="str">
        <f>'Cap Table'!$B31</f>
        <v>Options at $11.00 Strike Price</v>
      </c>
      <c r="D48" s="1105">
        <v>0</v>
      </c>
      <c r="E48" s="1105">
        <f t="shared" si="41"/>
        <v>0</v>
      </c>
      <c r="F48" s="1105">
        <f t="shared" si="40"/>
        <v>0</v>
      </c>
      <c r="G48" s="1105">
        <f t="shared" si="40"/>
        <v>0</v>
      </c>
      <c r="H48" s="1105">
        <f t="shared" si="40"/>
        <v>0</v>
      </c>
      <c r="I48" s="1105">
        <f t="shared" si="40"/>
        <v>0</v>
      </c>
      <c r="J48" s="1105">
        <f t="shared" si="40"/>
        <v>0</v>
      </c>
      <c r="K48" s="1105">
        <f t="shared" si="40"/>
        <v>0</v>
      </c>
      <c r="L48" s="1105">
        <f t="shared" si="40"/>
        <v>0</v>
      </c>
      <c r="M48" s="1105">
        <f t="shared" si="40"/>
        <v>0</v>
      </c>
      <c r="N48" s="1105">
        <f t="shared" si="40"/>
        <v>0</v>
      </c>
      <c r="O48" s="1105">
        <f t="shared" si="40"/>
        <v>0</v>
      </c>
      <c r="P48" s="1105">
        <f t="shared" si="40"/>
        <v>0</v>
      </c>
      <c r="Q48" s="1105">
        <f t="shared" si="40"/>
        <v>0</v>
      </c>
      <c r="R48" s="1105">
        <f t="shared" si="40"/>
        <v>0</v>
      </c>
      <c r="S48" s="1105">
        <f t="shared" si="40"/>
        <v>0</v>
      </c>
      <c r="T48" s="1105">
        <f t="shared" si="40"/>
        <v>0</v>
      </c>
      <c r="U48" s="1105">
        <f t="shared" si="40"/>
        <v>6</v>
      </c>
      <c r="V48" s="1105">
        <f t="shared" si="40"/>
        <v>6</v>
      </c>
      <c r="W48" s="1105">
        <f t="shared" si="40"/>
        <v>6</v>
      </c>
      <c r="X48" s="1105">
        <f t="shared" si="40"/>
        <v>6</v>
      </c>
      <c r="AA48" s="596">
        <f>+'Cap Table'!$D31</f>
        <v>6</v>
      </c>
      <c r="AC48" s="661">
        <f>'Cap Table'!E31</f>
        <v>11</v>
      </c>
    </row>
    <row r="49" spans="1:45" ht="12.75" customHeight="1">
      <c r="B49" s="259" t="str">
        <f>'Cap Table'!$B32</f>
        <v>Executive Option Grants Made</v>
      </c>
      <c r="D49" s="1105">
        <v>0</v>
      </c>
      <c r="E49" s="1105">
        <f t="shared" ref="E49:V49" si="42">IF(E$54&lt;$AC49,0,$AA49)</f>
        <v>0</v>
      </c>
      <c r="F49" s="1105">
        <f t="shared" si="42"/>
        <v>0</v>
      </c>
      <c r="G49" s="1105">
        <f t="shared" si="42"/>
        <v>0</v>
      </c>
      <c r="H49" s="1105">
        <f t="shared" si="42"/>
        <v>0</v>
      </c>
      <c r="I49" s="1105">
        <f t="shared" si="42"/>
        <v>0</v>
      </c>
      <c r="J49" s="1105">
        <f t="shared" si="42"/>
        <v>0</v>
      </c>
      <c r="K49" s="1105">
        <f t="shared" si="42"/>
        <v>0</v>
      </c>
      <c r="L49" s="1105">
        <f t="shared" si="42"/>
        <v>0</v>
      </c>
      <c r="M49" s="1105">
        <f t="shared" si="42"/>
        <v>0</v>
      </c>
      <c r="N49" s="1105">
        <f t="shared" si="42"/>
        <v>0</v>
      </c>
      <c r="O49" s="1105">
        <f t="shared" si="42"/>
        <v>0</v>
      </c>
      <c r="P49" s="1105">
        <f t="shared" si="42"/>
        <v>0</v>
      </c>
      <c r="Q49" s="1105">
        <f t="shared" si="42"/>
        <v>0</v>
      </c>
      <c r="R49" s="1105">
        <f t="shared" si="42"/>
        <v>0</v>
      </c>
      <c r="S49" s="1105">
        <f t="shared" si="42"/>
        <v>494.86500000000001</v>
      </c>
      <c r="T49" s="1105">
        <f t="shared" si="42"/>
        <v>494.86500000000001</v>
      </c>
      <c r="U49" s="1105">
        <f t="shared" si="42"/>
        <v>494.86500000000001</v>
      </c>
      <c r="V49" s="1105">
        <f t="shared" si="42"/>
        <v>494.86500000000001</v>
      </c>
      <c r="W49" s="1105">
        <f t="shared" si="40"/>
        <v>494.86500000000001</v>
      </c>
      <c r="X49" s="1105">
        <f t="shared" si="40"/>
        <v>494.86500000000001</v>
      </c>
      <c r="AA49" s="596">
        <f>+'Cap Table'!$D32</f>
        <v>494.86500000000001</v>
      </c>
      <c r="AC49" s="1100">
        <f>'Cap Table'!E32</f>
        <v>7.28</v>
      </c>
    </row>
    <row r="50" spans="1:45" ht="12.75" customHeight="1">
      <c r="B50" s="135" t="str">
        <f>'Cap Table'!$M7 &amp;" Stock"</f>
        <v>Common Stock</v>
      </c>
      <c r="D50" s="1105">
        <v>0</v>
      </c>
      <c r="E50" s="1105">
        <v>0</v>
      </c>
      <c r="F50" s="1105">
        <v>0</v>
      </c>
      <c r="G50" s="1105">
        <v>0</v>
      </c>
      <c r="H50" s="1105">
        <v>0</v>
      </c>
      <c r="I50" s="1105">
        <f t="shared" ref="I50:N50" si="43">$AA$50</f>
        <v>7451.1540000000005</v>
      </c>
      <c r="J50" s="1105">
        <f t="shared" si="43"/>
        <v>7451.1540000000005</v>
      </c>
      <c r="K50" s="1105">
        <f t="shared" si="43"/>
        <v>7451.1540000000005</v>
      </c>
      <c r="L50" s="1105">
        <f t="shared" si="43"/>
        <v>7451.1540000000005</v>
      </c>
      <c r="M50" s="1105">
        <f t="shared" si="43"/>
        <v>7451.1540000000005</v>
      </c>
      <c r="N50" s="1105">
        <f t="shared" si="43"/>
        <v>7451.1540000000005</v>
      </c>
      <c r="O50" s="1105">
        <f>$AA$50</f>
        <v>7451.1540000000005</v>
      </c>
      <c r="P50" s="1105">
        <f>$AA$50</f>
        <v>7451.1540000000005</v>
      </c>
      <c r="Q50" s="1105">
        <f t="shared" ref="Q50:X50" si="44">$AA$50</f>
        <v>7451.1540000000005</v>
      </c>
      <c r="R50" s="1105">
        <f t="shared" si="44"/>
        <v>7451.1540000000005</v>
      </c>
      <c r="S50" s="1105">
        <f t="shared" si="44"/>
        <v>7451.1540000000005</v>
      </c>
      <c r="T50" s="1105">
        <f t="shared" si="44"/>
        <v>7451.1540000000005</v>
      </c>
      <c r="U50" s="1105">
        <f t="shared" si="44"/>
        <v>7451.1540000000005</v>
      </c>
      <c r="V50" s="1105">
        <f t="shared" si="44"/>
        <v>7451.1540000000005</v>
      </c>
      <c r="W50" s="1105">
        <f t="shared" si="44"/>
        <v>7451.1540000000005</v>
      </c>
      <c r="X50" s="1105">
        <f t="shared" si="44"/>
        <v>7451.1540000000005</v>
      </c>
      <c r="AA50" s="596">
        <f>+'Cap Table'!M11</f>
        <v>7451.1540000000005</v>
      </c>
      <c r="AC50" s="7"/>
    </row>
    <row r="51" spans="1:45" ht="12.75" customHeight="1" thickBot="1">
      <c r="B51" s="5"/>
      <c r="C51" s="5"/>
      <c r="D51" s="1104"/>
      <c r="E51" s="1104"/>
      <c r="F51" s="1104"/>
      <c r="G51" s="1104"/>
      <c r="H51" s="1104"/>
      <c r="I51" s="1104"/>
      <c r="J51" s="1104"/>
      <c r="K51" s="1104"/>
      <c r="L51" s="1104"/>
      <c r="M51" s="1104"/>
      <c r="N51" s="1104"/>
      <c r="O51" s="1104"/>
      <c r="P51" s="1104"/>
      <c r="Q51" s="1104"/>
      <c r="R51" s="1104"/>
      <c r="S51" s="1104"/>
      <c r="T51" s="1104"/>
      <c r="U51" s="1104"/>
      <c r="V51" s="1104"/>
      <c r="W51" s="2587"/>
      <c r="X51" s="2587"/>
      <c r="AA51" s="142"/>
    </row>
    <row r="52" spans="1:45" ht="12.75" customHeight="1" thickBot="1">
      <c r="B52" s="39" t="s">
        <v>3248</v>
      </c>
      <c r="D52" s="1102">
        <f t="shared" ref="D52:X52" si="45">SUM(D32:D50)</f>
        <v>0</v>
      </c>
      <c r="E52" s="1102">
        <f t="shared" si="45"/>
        <v>0</v>
      </c>
      <c r="F52" s="1102">
        <f t="shared" si="45"/>
        <v>0</v>
      </c>
      <c r="G52" s="1102">
        <f t="shared" si="45"/>
        <v>0</v>
      </c>
      <c r="H52" s="1102">
        <f t="shared" si="45"/>
        <v>0</v>
      </c>
      <c r="I52" s="1102">
        <f t="shared" si="45"/>
        <v>7451.1540000000005</v>
      </c>
      <c r="J52" s="1102">
        <f t="shared" si="45"/>
        <v>28367.563000000002</v>
      </c>
      <c r="K52" s="1102">
        <f t="shared" si="45"/>
        <v>30316.428</v>
      </c>
      <c r="L52" s="1102">
        <f t="shared" si="45"/>
        <v>35816.427000000003</v>
      </c>
      <c r="M52" s="1102">
        <f t="shared" si="45"/>
        <v>36776.427000000003</v>
      </c>
      <c r="N52" s="1102">
        <f t="shared" si="45"/>
        <v>37977.784</v>
      </c>
      <c r="O52" s="1102">
        <f t="shared" si="45"/>
        <v>38047.784</v>
      </c>
      <c r="P52" s="1102">
        <f t="shared" si="45"/>
        <v>45190.640999999996</v>
      </c>
      <c r="Q52" s="1102">
        <f t="shared" si="45"/>
        <v>45265.640999999996</v>
      </c>
      <c r="R52" s="1102">
        <f t="shared" si="45"/>
        <v>48005.310999999994</v>
      </c>
      <c r="S52" s="1102">
        <f t="shared" si="45"/>
        <v>48500.175999999992</v>
      </c>
      <c r="T52" s="1102">
        <f t="shared" si="45"/>
        <v>48600.175999999992</v>
      </c>
      <c r="U52" s="1102">
        <f t="shared" si="45"/>
        <v>48606.175999999992</v>
      </c>
      <c r="V52" s="1102">
        <f t="shared" si="45"/>
        <v>53375.95597333333</v>
      </c>
      <c r="W52" s="2596">
        <f t="shared" si="45"/>
        <v>57874.74397333333</v>
      </c>
      <c r="X52" s="2596">
        <f t="shared" si="45"/>
        <v>62939.576973333329</v>
      </c>
      <c r="Z52" s="309" t="str">
        <f>IF(AA52&lt;&gt;('Cap Table'!O20-'Cap Table'!O14+AA49),"ERROR","")</f>
        <v/>
      </c>
      <c r="AA52" s="36">
        <f>SUM(AA32:AA50)</f>
        <v>62939.576973333329</v>
      </c>
    </row>
    <row r="53" spans="1:45" ht="12.75" customHeight="1"/>
    <row r="54" spans="1:45" ht="12.75" customHeight="1">
      <c r="B54" s="2" t="s">
        <v>210</v>
      </c>
      <c r="D54" s="1098">
        <f t="array" ref="D54:X54">TRANSPOSE('Econ Rights'!N29:N49)</f>
        <v>0</v>
      </c>
      <c r="E54" s="1098">
        <v>0</v>
      </c>
      <c r="F54" s="1098">
        <v>0</v>
      </c>
      <c r="G54" s="1098">
        <v>0</v>
      </c>
      <c r="H54" s="1098">
        <v>0</v>
      </c>
      <c r="I54" s="1098">
        <v>0</v>
      </c>
      <c r="J54" s="1098">
        <v>0.99343923059465733</v>
      </c>
      <c r="K54" s="1098">
        <v>1</v>
      </c>
      <c r="L54" s="1098">
        <v>1.3076154424488147</v>
      </c>
      <c r="M54" s="1098">
        <v>3.5</v>
      </c>
      <c r="N54" s="1098">
        <v>3.7</v>
      </c>
      <c r="O54" s="1098">
        <v>4</v>
      </c>
      <c r="P54" s="1098">
        <v>4.4120387494982181</v>
      </c>
      <c r="Q54" s="1098">
        <v>6</v>
      </c>
      <c r="R54" s="1098">
        <v>7</v>
      </c>
      <c r="S54" s="1098">
        <v>7.28</v>
      </c>
      <c r="T54" s="1098">
        <v>10</v>
      </c>
      <c r="U54" s="1098">
        <v>11</v>
      </c>
      <c r="V54" s="1098">
        <v>11.992198491466963</v>
      </c>
      <c r="W54" s="1098">
        <v>12.563807638592355</v>
      </c>
      <c r="X54" s="1098">
        <v>14.963761352956272</v>
      </c>
      <c r="Z54" s="351" t="s">
        <v>2641</v>
      </c>
    </row>
    <row r="55" spans="1:45" ht="12.75" customHeight="1">
      <c r="AB55" s="144"/>
      <c r="AC55" s="144"/>
      <c r="AD55" s="144"/>
      <c r="AE55" s="144"/>
      <c r="AF55" s="144"/>
      <c r="AG55" s="144"/>
      <c r="AH55" s="144"/>
      <c r="AI55" s="144"/>
      <c r="AJ55" s="144"/>
      <c r="AK55" s="144"/>
      <c r="AL55" s="144"/>
      <c r="AM55" s="144"/>
      <c r="AN55" s="144"/>
      <c r="AO55" s="144"/>
      <c r="AP55" s="144"/>
      <c r="AQ55" s="144"/>
      <c r="AR55" s="144"/>
      <c r="AS55" s="144"/>
    </row>
    <row r="56" spans="1:45" ht="12.75" customHeight="1">
      <c r="B56" s="2428" t="s">
        <v>211</v>
      </c>
      <c r="C56" s="2428"/>
      <c r="D56" s="2430">
        <f t="shared" ref="D56:I56" si="46">D52*D54</f>
        <v>0</v>
      </c>
      <c r="E56" s="2430">
        <f t="shared" si="46"/>
        <v>0</v>
      </c>
      <c r="F56" s="2430">
        <f t="shared" si="46"/>
        <v>0</v>
      </c>
      <c r="G56" s="2430">
        <f t="shared" si="46"/>
        <v>0</v>
      </c>
      <c r="H56" s="2430">
        <f t="shared" si="46"/>
        <v>0</v>
      </c>
      <c r="I56" s="2430">
        <f t="shared" si="46"/>
        <v>0</v>
      </c>
      <c r="J56" s="2430">
        <f t="shared" ref="J56:X56" si="47">J52*J54</f>
        <v>28181.449960565471</v>
      </c>
      <c r="K56" s="2430">
        <f>K52*K54</f>
        <v>30316.428</v>
      </c>
      <c r="L56" s="2430">
        <f t="shared" si="47"/>
        <v>46834.11303854068</v>
      </c>
      <c r="M56" s="2430">
        <f t="shared" si="47"/>
        <v>128717.49450000002</v>
      </c>
      <c r="N56" s="2430">
        <f t="shared" si="47"/>
        <v>140517.8008</v>
      </c>
      <c r="O56" s="2430">
        <f t="shared" si="47"/>
        <v>152191.136</v>
      </c>
      <c r="P56" s="2430">
        <f>P52*P54</f>
        <v>199382.85920666289</v>
      </c>
      <c r="Q56" s="2430">
        <f t="shared" si="47"/>
        <v>271593.84599999996</v>
      </c>
      <c r="R56" s="2430">
        <f>R52*R54</f>
        <v>336037.17699999997</v>
      </c>
      <c r="S56" s="2430">
        <f t="shared" si="47"/>
        <v>353081.28127999994</v>
      </c>
      <c r="T56" s="2430">
        <f>T52*T54</f>
        <v>486001.75999999989</v>
      </c>
      <c r="U56" s="2430">
        <f>U52*U54</f>
        <v>534667.93599999987</v>
      </c>
      <c r="V56" s="2430">
        <f t="shared" si="47"/>
        <v>640095.05870401498</v>
      </c>
      <c r="W56" s="2430">
        <f t="shared" si="47"/>
        <v>727127.15041374217</v>
      </c>
      <c r="X56" s="2430">
        <f t="shared" si="47"/>
        <v>941812.80948498182</v>
      </c>
    </row>
    <row r="57" spans="1:45" ht="12.75" customHeight="1">
      <c r="D57" s="691"/>
      <c r="E57" s="691"/>
      <c r="F57" s="691"/>
      <c r="G57" s="691"/>
      <c r="H57" s="691"/>
      <c r="I57" s="691"/>
      <c r="J57" s="691"/>
      <c r="K57" s="691"/>
      <c r="L57" s="691"/>
      <c r="M57" s="691"/>
      <c r="N57" s="691"/>
      <c r="O57" s="691"/>
      <c r="P57" s="691"/>
      <c r="Q57" s="691"/>
      <c r="R57" s="691"/>
      <c r="S57" s="691"/>
      <c r="T57" s="691"/>
      <c r="U57" s="691"/>
      <c r="V57" s="691"/>
      <c r="W57" s="691"/>
      <c r="X57" s="691"/>
    </row>
    <row r="58" spans="1:45" ht="12.75" customHeight="1">
      <c r="B58" s="2" t="s">
        <v>212</v>
      </c>
      <c r="D58" s="1103">
        <f t="shared" ref="D58:U58" si="48">-SUMPRODUCT(D41:D49,$AC$41:$AC$49)</f>
        <v>0</v>
      </c>
      <c r="E58" s="1103">
        <f t="shared" si="48"/>
        <v>0</v>
      </c>
      <c r="F58" s="1103">
        <f t="shared" si="48"/>
        <v>0</v>
      </c>
      <c r="G58" s="1103">
        <f t="shared" si="48"/>
        <v>0</v>
      </c>
      <c r="H58" s="1103">
        <f t="shared" si="48"/>
        <v>0</v>
      </c>
      <c r="I58" s="1103">
        <f t="shared" si="48"/>
        <v>0</v>
      </c>
      <c r="J58" s="1103">
        <f t="shared" si="48"/>
        <v>0</v>
      </c>
      <c r="K58" s="1103">
        <f t="shared" si="48"/>
        <v>-1948.865</v>
      </c>
      <c r="L58" s="1103">
        <f t="shared" si="48"/>
        <v>-1948.865</v>
      </c>
      <c r="M58" s="1103">
        <f t="shared" si="48"/>
        <v>-5308.8649999999998</v>
      </c>
      <c r="N58" s="1103">
        <f t="shared" si="48"/>
        <v>-9753.8859000000011</v>
      </c>
      <c r="O58" s="1103">
        <f t="shared" si="48"/>
        <v>-10033.885900000001</v>
      </c>
      <c r="P58" s="1103">
        <f t="shared" si="48"/>
        <v>-10033.885900000001</v>
      </c>
      <c r="Q58" s="1103">
        <f t="shared" si="48"/>
        <v>-10483.885900000001</v>
      </c>
      <c r="R58" s="1103">
        <f t="shared" si="48"/>
        <v>-29661.575900000003</v>
      </c>
      <c r="S58" s="1103">
        <f t="shared" si="48"/>
        <v>-33264.193100000004</v>
      </c>
      <c r="T58" s="1103">
        <f t="shared" si="48"/>
        <v>-34264.193100000004</v>
      </c>
      <c r="U58" s="1103">
        <f t="shared" si="48"/>
        <v>-34330.193100000004</v>
      </c>
      <c r="V58" s="1103">
        <f t="shared" ref="V58:X58" si="49">-SUMPRODUCT(V41:V49,$AC$41:$AC$49)</f>
        <v>-34330.193100000004</v>
      </c>
      <c r="W58" s="1103">
        <f t="shared" si="49"/>
        <v>-34330.193100000004</v>
      </c>
      <c r="X58" s="1103">
        <f t="shared" si="49"/>
        <v>-34330.193100000004</v>
      </c>
    </row>
    <row r="59" spans="1:45" ht="12.75" customHeight="1">
      <c r="B59" s="5"/>
      <c r="C59" s="5"/>
      <c r="D59" s="1104"/>
      <c r="E59" s="1104"/>
      <c r="F59" s="1104"/>
      <c r="G59" s="1104"/>
      <c r="H59" s="1104"/>
      <c r="I59" s="1104"/>
      <c r="J59" s="1104"/>
      <c r="K59" s="1104"/>
      <c r="L59" s="1104"/>
      <c r="M59" s="1104"/>
      <c r="N59" s="1104"/>
      <c r="O59" s="1104"/>
      <c r="P59" s="1104"/>
      <c r="Q59" s="1104"/>
      <c r="R59" s="1104"/>
      <c r="S59" s="1104"/>
      <c r="T59" s="1104"/>
      <c r="U59" s="1104"/>
      <c r="V59" s="1104"/>
      <c r="W59" s="1104"/>
      <c r="X59" s="1104"/>
    </row>
    <row r="60" spans="1:45" ht="12.75" customHeight="1">
      <c r="B60" s="39" t="s">
        <v>213</v>
      </c>
      <c r="D60" s="2429">
        <f t="shared" ref="D60:U60" si="50">SUM(D56:D58)+D29</f>
        <v>75788.952304577571</v>
      </c>
      <c r="E60" s="2429">
        <f t="shared" si="50"/>
        <v>132310.85934338521</v>
      </c>
      <c r="F60" s="2429">
        <f t="shared" si="50"/>
        <v>189511.00754422252</v>
      </c>
      <c r="G60" s="2429">
        <f t="shared" si="50"/>
        <v>221025.56941034712</v>
      </c>
      <c r="H60" s="2429">
        <f t="shared" si="50"/>
        <v>248996.63429996333</v>
      </c>
      <c r="I60" s="2429">
        <f t="shared" si="50"/>
        <v>248996.63429996333</v>
      </c>
      <c r="J60" s="2429">
        <f t="shared" si="50"/>
        <v>256398.90299676562</v>
      </c>
      <c r="K60" s="2429">
        <f>SUM(K56:K58)+K29</f>
        <v>256585.01603620016</v>
      </c>
      <c r="L60" s="2429">
        <f t="shared" si="50"/>
        <v>265910.8174488878</v>
      </c>
      <c r="M60" s="2429">
        <f>SUM(M56:M58)+M29</f>
        <v>344434.19891034713</v>
      </c>
      <c r="N60" s="2429">
        <f t="shared" si="50"/>
        <v>351789.48431034712</v>
      </c>
      <c r="O60" s="2429">
        <f t="shared" si="50"/>
        <v>363182.81951034709</v>
      </c>
      <c r="P60" s="2429">
        <f>SUM(P56:P58)+P29</f>
        <v>378859.98085088539</v>
      </c>
      <c r="Q60" s="2429">
        <f t="shared" si="50"/>
        <v>450620.96764422249</v>
      </c>
      <c r="R60" s="2429">
        <f>SUM(R56:R58)+R29</f>
        <v>495886.60864422249</v>
      </c>
      <c r="S60" s="2429">
        <f>SUM(S56:S58)+S29</f>
        <v>509328.09572422248</v>
      </c>
      <c r="T60" s="2429">
        <f t="shared" si="50"/>
        <v>641248.57444422238</v>
      </c>
      <c r="U60" s="2429">
        <f t="shared" si="50"/>
        <v>689848.75044422236</v>
      </c>
      <c r="V60" s="2429">
        <f t="shared" ref="V60:X60" si="51">SUM(V56:V58)+V29</f>
        <v>738075.72494740016</v>
      </c>
      <c r="W60" s="2429">
        <f t="shared" si="51"/>
        <v>768585.90961831971</v>
      </c>
      <c r="X60" s="2429">
        <f t="shared" si="51"/>
        <v>907482.61638498178</v>
      </c>
    </row>
    <row r="61" spans="1:45" ht="12.75" customHeight="1">
      <c r="B61" s="39"/>
      <c r="D61" s="36"/>
      <c r="E61" s="36"/>
      <c r="F61" s="36"/>
      <c r="G61" s="36"/>
      <c r="H61" s="36"/>
      <c r="I61" s="36"/>
      <c r="J61" s="36"/>
      <c r="K61" s="36"/>
      <c r="L61" s="36"/>
      <c r="M61" s="36"/>
      <c r="N61" s="36"/>
      <c r="O61" s="36"/>
      <c r="P61" s="36"/>
      <c r="Q61" s="36"/>
      <c r="R61" s="36"/>
      <c r="S61" s="36"/>
      <c r="T61" s="36"/>
      <c r="U61" s="36"/>
      <c r="V61" s="36"/>
      <c r="W61" s="36"/>
      <c r="X61" s="36"/>
      <c r="AB61" s="144"/>
      <c r="AC61" s="144"/>
      <c r="AD61" s="144"/>
      <c r="AE61" s="144"/>
      <c r="AF61" s="144"/>
      <c r="AG61" s="144"/>
      <c r="AH61" s="144"/>
      <c r="AI61" s="144"/>
      <c r="AJ61" s="144"/>
      <c r="AK61" s="144"/>
      <c r="AL61" s="144"/>
      <c r="AM61" s="144"/>
      <c r="AN61" s="144"/>
      <c r="AO61" s="144"/>
      <c r="AP61" s="144"/>
      <c r="AQ61" s="144"/>
      <c r="AR61" s="144"/>
      <c r="AS61" s="144"/>
    </row>
    <row r="62" spans="1:45" s="6" customFormat="1" ht="12.75" customHeight="1">
      <c r="A62" s="71"/>
      <c r="B62" s="212" t="s">
        <v>215</v>
      </c>
      <c r="D62" s="2445">
        <f>D$15</f>
        <v>1</v>
      </c>
      <c r="E62" s="2446">
        <f t="shared" ref="E62:X62" si="52">E$15</f>
        <v>2</v>
      </c>
      <c r="F62" s="2446">
        <f t="shared" si="52"/>
        <v>3</v>
      </c>
      <c r="G62" s="2446">
        <f t="shared" si="52"/>
        <v>4</v>
      </c>
      <c r="H62" s="2446">
        <f t="shared" si="52"/>
        <v>5</v>
      </c>
      <c r="I62" s="2446">
        <f t="shared" si="52"/>
        <v>6</v>
      </c>
      <c r="J62" s="2446">
        <f t="shared" si="52"/>
        <v>7</v>
      </c>
      <c r="K62" s="2446">
        <f t="shared" si="52"/>
        <v>8</v>
      </c>
      <c r="L62" s="2446">
        <f t="shared" si="52"/>
        <v>9</v>
      </c>
      <c r="M62" s="2447">
        <f t="shared" si="52"/>
        <v>10</v>
      </c>
      <c r="N62" s="2445">
        <f t="shared" si="52"/>
        <v>11</v>
      </c>
      <c r="O62" s="2446">
        <f t="shared" si="52"/>
        <v>12</v>
      </c>
      <c r="P62" s="2446">
        <f t="shared" si="52"/>
        <v>13</v>
      </c>
      <c r="Q62" s="2446">
        <f t="shared" si="52"/>
        <v>14</v>
      </c>
      <c r="R62" s="2446">
        <f t="shared" si="52"/>
        <v>15</v>
      </c>
      <c r="S62" s="2446">
        <f t="shared" si="52"/>
        <v>16</v>
      </c>
      <c r="T62" s="2446">
        <f t="shared" si="52"/>
        <v>17</v>
      </c>
      <c r="U62" s="2446">
        <f t="shared" si="52"/>
        <v>18</v>
      </c>
      <c r="V62" s="2446">
        <f t="shared" si="52"/>
        <v>19</v>
      </c>
      <c r="W62" s="2446">
        <f t="shared" si="52"/>
        <v>20</v>
      </c>
      <c r="X62" s="2447">
        <f t="shared" si="52"/>
        <v>21</v>
      </c>
      <c r="AA62" s="260"/>
    </row>
    <row r="63" spans="1:45" ht="12.75" customHeight="1"/>
    <row r="64" spans="1:45" ht="12.75" customHeight="1">
      <c r="B64" s="310" t="s">
        <v>216</v>
      </c>
      <c r="D64" s="81">
        <v>1E-10</v>
      </c>
      <c r="E64" s="81">
        <f>D65</f>
        <v>75788.952304577571</v>
      </c>
      <c r="F64" s="81">
        <f t="shared" ref="F64:U64" si="53">E65</f>
        <v>132310.85934338521</v>
      </c>
      <c r="G64" s="81">
        <f t="shared" si="53"/>
        <v>189511.00754422252</v>
      </c>
      <c r="H64" s="81">
        <f t="shared" si="53"/>
        <v>221025.56941034712</v>
      </c>
      <c r="I64" s="81">
        <f t="shared" si="53"/>
        <v>248996.63429996333</v>
      </c>
      <c r="J64" s="81">
        <f t="shared" si="53"/>
        <v>256398.90299676562</v>
      </c>
      <c r="K64" s="81">
        <f t="shared" si="53"/>
        <v>256585.01603620016</v>
      </c>
      <c r="L64" s="81">
        <f t="shared" si="53"/>
        <v>265910.8174488878</v>
      </c>
      <c r="M64" s="81">
        <f t="shared" si="53"/>
        <v>344434.19891034713</v>
      </c>
      <c r="N64" s="81">
        <f t="shared" si="53"/>
        <v>351789.48431034712</v>
      </c>
      <c r="O64" s="81">
        <f t="shared" si="53"/>
        <v>363182.81951034709</v>
      </c>
      <c r="P64" s="81">
        <f t="shared" si="53"/>
        <v>378859.98085088539</v>
      </c>
      <c r="Q64" s="81">
        <f t="shared" si="53"/>
        <v>450620.96764422249</v>
      </c>
      <c r="R64" s="81">
        <f t="shared" si="53"/>
        <v>495886.60864422249</v>
      </c>
      <c r="S64" s="81">
        <f t="shared" si="53"/>
        <v>509328.09572422248</v>
      </c>
      <c r="T64" s="81">
        <f t="shared" si="53"/>
        <v>641248.57444422238</v>
      </c>
      <c r="U64" s="81">
        <f t="shared" si="53"/>
        <v>689848.75044422236</v>
      </c>
      <c r="V64" s="81">
        <f t="shared" ref="V64" si="54">U65</f>
        <v>738075.72494740016</v>
      </c>
      <c r="W64" s="81">
        <f t="shared" ref="W64" si="55">V65</f>
        <v>768585.90961831971</v>
      </c>
      <c r="X64" s="81">
        <f t="shared" ref="X64" si="56">W65</f>
        <v>907482.61638498178</v>
      </c>
    </row>
    <row r="65" spans="2:45" ht="12.75" customHeight="1">
      <c r="B65" s="310" t="s">
        <v>217</v>
      </c>
      <c r="D65" s="81">
        <f>D60</f>
        <v>75788.952304577571</v>
      </c>
      <c r="E65" s="81">
        <f t="shared" ref="E65:U65" si="57">IF(F60=0,"n/a",IF(D65=E60,F60,E60))</f>
        <v>132310.85934338521</v>
      </c>
      <c r="F65" s="81">
        <f t="shared" si="57"/>
        <v>189511.00754422252</v>
      </c>
      <c r="G65" s="81">
        <f t="shared" si="57"/>
        <v>221025.56941034712</v>
      </c>
      <c r="H65" s="81">
        <f t="shared" si="57"/>
        <v>248996.63429996333</v>
      </c>
      <c r="I65" s="81">
        <f t="shared" si="57"/>
        <v>256398.90299676562</v>
      </c>
      <c r="J65" s="81">
        <f t="shared" si="57"/>
        <v>256585.01603620016</v>
      </c>
      <c r="K65" s="81">
        <f t="shared" si="57"/>
        <v>265910.8174488878</v>
      </c>
      <c r="L65" s="81">
        <f t="shared" si="57"/>
        <v>344434.19891034713</v>
      </c>
      <c r="M65" s="81">
        <f t="shared" si="57"/>
        <v>351789.48431034712</v>
      </c>
      <c r="N65" s="81">
        <f t="shared" si="57"/>
        <v>363182.81951034709</v>
      </c>
      <c r="O65" s="81">
        <f t="shared" si="57"/>
        <v>378859.98085088539</v>
      </c>
      <c r="P65" s="81">
        <f t="shared" si="57"/>
        <v>450620.96764422249</v>
      </c>
      <c r="Q65" s="81">
        <f t="shared" si="57"/>
        <v>495886.60864422249</v>
      </c>
      <c r="R65" s="81">
        <f t="shared" si="57"/>
        <v>509328.09572422248</v>
      </c>
      <c r="S65" s="81">
        <f t="shared" si="57"/>
        <v>641248.57444422238</v>
      </c>
      <c r="T65" s="81">
        <f t="shared" si="57"/>
        <v>689848.75044422236</v>
      </c>
      <c r="U65" s="81">
        <f t="shared" si="57"/>
        <v>738075.72494740016</v>
      </c>
      <c r="V65" s="81">
        <f t="shared" ref="V65" si="58">IF(W60=0,"n/a",IF(U65=V60,W60,V60))</f>
        <v>768585.90961831971</v>
      </c>
      <c r="W65" s="81">
        <f t="shared" ref="W65" si="59">IF(X60=0,"n/a",IF(V65=W60,X60,W60))</f>
        <v>907482.61638498178</v>
      </c>
      <c r="X65" s="81" t="str">
        <f t="shared" ref="X65" si="60">IF(Y60=0,"n/a",IF(W65=X60,Y60,X60))</f>
        <v>n/a</v>
      </c>
    </row>
    <row r="66" spans="2:45" ht="12.75" customHeight="1"/>
    <row r="67" spans="2:45" ht="12.75" hidden="1" customHeight="1" outlineLevel="1">
      <c r="B67" s="310" t="s">
        <v>221</v>
      </c>
      <c r="D67" s="311">
        <f>(LN($D$9/D64)+($D$12+$D$11^2/2)*$D$10)/($D$11*SQRT($D$10))</f>
        <v>29.048720536154711</v>
      </c>
      <c r="E67" s="311">
        <f>(LN($D$9/E64)+($D$12+$D$11^2/2)*$D$10)/($D$11*SQRT($D$10))</f>
        <v>1.6757228863194209</v>
      </c>
      <c r="F67" s="311">
        <f t="shared" ref="F67:U67" si="61">(LN($D$9/F64)+($D$12+$D$11^2/2)*$D$10)/($D$11*SQRT($D$10))</f>
        <v>1.2305511237229603</v>
      </c>
      <c r="G67" s="311">
        <f t="shared" si="61"/>
        <v>0.94349689318315988</v>
      </c>
      <c r="H67" s="311">
        <f t="shared" si="61"/>
        <v>0.82059462274452566</v>
      </c>
      <c r="I67" s="311">
        <f t="shared" si="61"/>
        <v>0.72539190841510381</v>
      </c>
      <c r="J67" s="311">
        <f t="shared" si="61"/>
        <v>0.70198684948393975</v>
      </c>
      <c r="K67" s="311">
        <f>(LN($D$9/K64)+($D$12+$D$11^2/2)*$D$10)/($D$11*SQRT($D$10))</f>
        <v>0.7014071294513381</v>
      </c>
      <c r="L67" s="311">
        <f t="shared" si="61"/>
        <v>0.67288416279996466</v>
      </c>
      <c r="M67" s="311">
        <f t="shared" si="61"/>
        <v>0.46616424635319292</v>
      </c>
      <c r="N67" s="311">
        <f t="shared" si="61"/>
        <v>0.44928270361119699</v>
      </c>
      <c r="O67" s="311">
        <f t="shared" si="61"/>
        <v>0.42381770484816167</v>
      </c>
      <c r="P67" s="311">
        <f t="shared" si="61"/>
        <v>0.39005413653178933</v>
      </c>
      <c r="Q67" s="311">
        <f t="shared" si="61"/>
        <v>0.2514697670016075</v>
      </c>
      <c r="R67" s="311">
        <f t="shared" si="61"/>
        <v>0.17499445777412617</v>
      </c>
      <c r="S67" s="311">
        <f t="shared" si="61"/>
        <v>0.15362666757430479</v>
      </c>
      <c r="T67" s="311">
        <f t="shared" si="61"/>
        <v>-3.0389465197612864E-2</v>
      </c>
      <c r="U67" s="311">
        <f t="shared" si="61"/>
        <v>-8.875632981772652E-2</v>
      </c>
      <c r="V67" s="311">
        <f t="shared" ref="V67:X67" si="62">(LN($D$9/V64)+($D$12+$D$11^2/2)*$D$10)/($D$11*SQRT($D$10))</f>
        <v>-0.14274408033887995</v>
      </c>
      <c r="W67" s="311">
        <f t="shared" si="62"/>
        <v>-0.17510595856426348</v>
      </c>
      <c r="X67" s="311">
        <f t="shared" si="62"/>
        <v>-0.30782785045403149</v>
      </c>
    </row>
    <row r="68" spans="2:45" ht="12.75" hidden="1" customHeight="1" outlineLevel="1">
      <c r="B68" s="310" t="s">
        <v>223</v>
      </c>
      <c r="D68" s="311">
        <f>D67-$D$11*SQRT($D$10)</f>
        <v>27.797065193861791</v>
      </c>
      <c r="E68" s="311">
        <f>E67-$D$11*SQRT($D$10)</f>
        <v>0.42406754402649915</v>
      </c>
      <c r="F68" s="311">
        <f t="shared" ref="F68:U68" si="63">F67-$D$11*SQRT($D$10)</f>
        <v>-2.1104218569961475E-2</v>
      </c>
      <c r="G68" s="311">
        <f t="shared" si="63"/>
        <v>-0.30815844910976187</v>
      </c>
      <c r="H68" s="311">
        <f t="shared" si="63"/>
        <v>-0.43106071954839609</v>
      </c>
      <c r="I68" s="311">
        <f t="shared" si="63"/>
        <v>-0.52626343387781793</v>
      </c>
      <c r="J68" s="311">
        <f t="shared" si="63"/>
        <v>-0.549668492808982</v>
      </c>
      <c r="K68" s="311">
        <f>K67-$D$11*SQRT($D$10)</f>
        <v>-0.55024821284158365</v>
      </c>
      <c r="L68" s="311">
        <f t="shared" si="63"/>
        <v>-0.57877117949295709</v>
      </c>
      <c r="M68" s="311">
        <f t="shared" si="63"/>
        <v>-0.78549109593972877</v>
      </c>
      <c r="N68" s="311">
        <f t="shared" si="63"/>
        <v>-0.8023726386817247</v>
      </c>
      <c r="O68" s="311">
        <f t="shared" si="63"/>
        <v>-0.82783763744476002</v>
      </c>
      <c r="P68" s="311">
        <f t="shared" si="63"/>
        <v>-0.86160120576113242</v>
      </c>
      <c r="Q68" s="311">
        <f t="shared" si="63"/>
        <v>-1.0001855752913142</v>
      </c>
      <c r="R68" s="311">
        <f t="shared" si="63"/>
        <v>-1.0766608845187955</v>
      </c>
      <c r="S68" s="311">
        <f t="shared" si="63"/>
        <v>-1.098028674718617</v>
      </c>
      <c r="T68" s="311">
        <f t="shared" si="63"/>
        <v>-1.2820448074905346</v>
      </c>
      <c r="U68" s="311">
        <f t="shared" si="63"/>
        <v>-1.3404116721106483</v>
      </c>
      <c r="V68" s="311">
        <f t="shared" ref="V68:X68" si="64">V67-$D$11*SQRT($D$10)</f>
        <v>-1.3943994226318017</v>
      </c>
      <c r="W68" s="311">
        <f t="shared" si="64"/>
        <v>-1.4267613008571853</v>
      </c>
      <c r="X68" s="311">
        <f t="shared" si="64"/>
        <v>-1.5594831927469532</v>
      </c>
    </row>
    <row r="69" spans="2:45" ht="12.75" hidden="1" customHeight="1" outlineLevel="1">
      <c r="D69" s="311"/>
      <c r="E69" s="311"/>
      <c r="F69" s="311"/>
      <c r="G69" s="311"/>
      <c r="H69" s="311"/>
      <c r="I69" s="311"/>
      <c r="J69" s="311"/>
      <c r="K69" s="311"/>
      <c r="L69" s="311"/>
      <c r="M69" s="311"/>
      <c r="N69" s="311"/>
      <c r="O69" s="311"/>
      <c r="P69" s="311"/>
      <c r="Q69" s="311"/>
      <c r="R69" s="311"/>
      <c r="S69" s="311"/>
      <c r="T69" s="311"/>
      <c r="U69" s="311"/>
      <c r="V69" s="311"/>
      <c r="W69" s="311"/>
      <c r="X69" s="311"/>
    </row>
    <row r="70" spans="2:45" ht="12.75" hidden="1" customHeight="1" outlineLevel="1">
      <c r="B70" s="310" t="s">
        <v>222</v>
      </c>
      <c r="D70" s="311">
        <f>(LN($D$9/D65)+($D$12+$D$11^2/2)*$D$10)/($D$11*SQRT($D$10))</f>
        <v>1.6757228863194209</v>
      </c>
      <c r="E70" s="81">
        <f>IF(E65="n/a","n/a",(LN($D$9/E65)+($D$12+$D$11^2/2)*$D$10)/($D$11*SQRT($D$10)))</f>
        <v>1.2305511237229603</v>
      </c>
      <c r="F70" s="81">
        <f t="shared" ref="F70:U70" si="65">IF(F65="n/a","n/a",(LN($D$9/F65)+($D$12+$D$11^2/2)*$D$10)/($D$11*SQRT($D$10)))</f>
        <v>0.94349689318315988</v>
      </c>
      <c r="G70" s="81">
        <f t="shared" si="65"/>
        <v>0.82059462274452566</v>
      </c>
      <c r="H70" s="81">
        <f t="shared" si="65"/>
        <v>0.72539190841510381</v>
      </c>
      <c r="I70" s="81">
        <f t="shared" si="65"/>
        <v>0.70198684948393975</v>
      </c>
      <c r="J70" s="81">
        <f t="shared" si="65"/>
        <v>0.7014071294513381</v>
      </c>
      <c r="K70" s="81">
        <f>IF(K65="n/a","n/a",(LN($D$9/K65)+($D$12+$D$11^2/2)*$D$10)/($D$11*SQRT($D$10)))</f>
        <v>0.67288416279996466</v>
      </c>
      <c r="L70" s="81">
        <f t="shared" si="65"/>
        <v>0.46616424635319292</v>
      </c>
      <c r="M70" s="81">
        <f t="shared" si="65"/>
        <v>0.44928270361119699</v>
      </c>
      <c r="N70" s="81">
        <f t="shared" si="65"/>
        <v>0.42381770484816167</v>
      </c>
      <c r="O70" s="81">
        <f t="shared" si="65"/>
        <v>0.39005413653178933</v>
      </c>
      <c r="P70" s="81">
        <f t="shared" si="65"/>
        <v>0.2514697670016075</v>
      </c>
      <c r="Q70" s="81">
        <f t="shared" si="65"/>
        <v>0.17499445777412617</v>
      </c>
      <c r="R70" s="81">
        <f t="shared" si="65"/>
        <v>0.15362666757430479</v>
      </c>
      <c r="S70" s="81">
        <f t="shared" si="65"/>
        <v>-3.0389465197612864E-2</v>
      </c>
      <c r="T70" s="81">
        <f t="shared" si="65"/>
        <v>-8.875632981772652E-2</v>
      </c>
      <c r="U70" s="81">
        <f t="shared" si="65"/>
        <v>-0.14274408033887995</v>
      </c>
      <c r="V70" s="81">
        <f t="shared" ref="V70:X70" si="66">IF(V65="n/a","n/a",(LN($D$9/V65)+($D$12+$D$11^2/2)*$D$10)/($D$11*SQRT($D$10)))</f>
        <v>-0.17510595856426348</v>
      </c>
      <c r="W70" s="81">
        <f t="shared" si="66"/>
        <v>-0.30782785045403149</v>
      </c>
      <c r="X70" s="81" t="str">
        <f t="shared" si="66"/>
        <v>n/a</v>
      </c>
    </row>
    <row r="71" spans="2:45" ht="12.75" hidden="1" customHeight="1" outlineLevel="1">
      <c r="B71" s="310" t="s">
        <v>224</v>
      </c>
      <c r="D71" s="311">
        <f>D70-$D$11*SQRT($D$10)</f>
        <v>0.42406754402649915</v>
      </c>
      <c r="E71" s="81">
        <f>IF(E65="n/a","n/a",E70-$D$11*SQRT($D$10))</f>
        <v>-2.1104218569961475E-2</v>
      </c>
      <c r="F71" s="81">
        <f t="shared" ref="F71:U71" si="67">IF(F65="n/a","n/a",F70-$D$11*SQRT($D$10))</f>
        <v>-0.30815844910976187</v>
      </c>
      <c r="G71" s="81">
        <f t="shared" si="67"/>
        <v>-0.43106071954839609</v>
      </c>
      <c r="H71" s="81">
        <f t="shared" si="67"/>
        <v>-0.52626343387781793</v>
      </c>
      <c r="I71" s="81">
        <f t="shared" si="67"/>
        <v>-0.549668492808982</v>
      </c>
      <c r="J71" s="81">
        <f t="shared" si="67"/>
        <v>-0.55024821284158365</v>
      </c>
      <c r="K71" s="81">
        <f>IF(K65="n/a","n/a",K70-$D$11*SQRT($D$10))</f>
        <v>-0.57877117949295709</v>
      </c>
      <c r="L71" s="81">
        <f t="shared" si="67"/>
        <v>-0.78549109593972877</v>
      </c>
      <c r="M71" s="81">
        <f t="shared" si="67"/>
        <v>-0.8023726386817247</v>
      </c>
      <c r="N71" s="81">
        <f t="shared" si="67"/>
        <v>-0.82783763744476002</v>
      </c>
      <c r="O71" s="81">
        <f t="shared" si="67"/>
        <v>-0.86160120576113242</v>
      </c>
      <c r="P71" s="81">
        <f t="shared" si="67"/>
        <v>-1.0001855752913142</v>
      </c>
      <c r="Q71" s="81">
        <f t="shared" si="67"/>
        <v>-1.0766608845187955</v>
      </c>
      <c r="R71" s="81">
        <f t="shared" si="67"/>
        <v>-1.098028674718617</v>
      </c>
      <c r="S71" s="81">
        <f t="shared" si="67"/>
        <v>-1.2820448074905346</v>
      </c>
      <c r="T71" s="81">
        <f t="shared" si="67"/>
        <v>-1.3404116721106483</v>
      </c>
      <c r="U71" s="81">
        <f t="shared" si="67"/>
        <v>-1.3943994226318017</v>
      </c>
      <c r="V71" s="81">
        <f t="shared" ref="V71:X71" si="68">IF(V65="n/a","n/a",V70-$D$11*SQRT($D$10))</f>
        <v>-1.4267613008571853</v>
      </c>
      <c r="W71" s="81">
        <f t="shared" si="68"/>
        <v>-1.5594831927469532</v>
      </c>
      <c r="X71" s="81" t="str">
        <f t="shared" si="68"/>
        <v>n/a</v>
      </c>
    </row>
    <row r="72" spans="2:45" ht="12.75" hidden="1" customHeight="1" outlineLevel="1">
      <c r="D72" s="311"/>
      <c r="E72" s="311"/>
      <c r="F72" s="311"/>
      <c r="G72" s="311"/>
      <c r="H72" s="311"/>
      <c r="I72" s="311"/>
      <c r="J72" s="311"/>
      <c r="K72" s="311"/>
      <c r="L72" s="311"/>
      <c r="M72" s="311"/>
      <c r="N72" s="311"/>
      <c r="O72" s="311"/>
      <c r="P72" s="311"/>
      <c r="Q72" s="311"/>
      <c r="R72" s="311"/>
      <c r="S72" s="311"/>
      <c r="T72" s="311"/>
      <c r="U72" s="311"/>
      <c r="V72" s="311"/>
      <c r="W72" s="311"/>
      <c r="X72" s="311"/>
    </row>
    <row r="73" spans="2:45" ht="12.75" customHeight="1" collapsed="1">
      <c r="B73" s="310" t="s">
        <v>218</v>
      </c>
      <c r="D73" s="311">
        <f>$D$9*NORMSDIST(D67)-D64*EXP(-$D$12*$D$10)*NORMSDIST(D68)</f>
        <v>262849.99999999988</v>
      </c>
      <c r="E73" s="311">
        <f>$D$9*NORMSDIST(E67)-E64*EXP(-$D$12*$D$10)*NORMSDIST(E68)</f>
        <v>203606.91694442273</v>
      </c>
      <c r="F73" s="311">
        <f t="shared" ref="F73:U73" si="69">$D$9*NORMSDIST(F67)-F64*EXP(-$D$12*$D$10)*NORMSDIST(F68)</f>
        <v>173519.37583914559</v>
      </c>
      <c r="G73" s="311">
        <f t="shared" si="69"/>
        <v>150518.64539872436</v>
      </c>
      <c r="H73" s="311">
        <f t="shared" si="69"/>
        <v>140082.40394362831</v>
      </c>
      <c r="I73" s="311">
        <f t="shared" si="69"/>
        <v>131849.7836322159</v>
      </c>
      <c r="J73" s="311">
        <f t="shared" si="69"/>
        <v>129812.74812107491</v>
      </c>
      <c r="K73" s="311">
        <f t="shared" si="69"/>
        <v>129762.2445586283</v>
      </c>
      <c r="L73" s="311">
        <f t="shared" si="69"/>
        <v>127274.9908515197</v>
      </c>
      <c r="M73" s="311">
        <f t="shared" si="69"/>
        <v>109232.0825392479</v>
      </c>
      <c r="N73" s="311">
        <f t="shared" si="69"/>
        <v>107767.82617125793</v>
      </c>
      <c r="O73" s="311">
        <f t="shared" si="69"/>
        <v>105564.66114577781</v>
      </c>
      <c r="P73" s="311">
        <f t="shared" si="69"/>
        <v>102655.57208360212</v>
      </c>
      <c r="Q73" s="311">
        <f t="shared" si="69"/>
        <v>90909.897510851893</v>
      </c>
      <c r="R73" s="311">
        <f t="shared" si="69"/>
        <v>84605.153723089141</v>
      </c>
      <c r="S73" s="311">
        <f t="shared" si="69"/>
        <v>82870.990679817973</v>
      </c>
      <c r="T73" s="311">
        <f t="shared" si="69"/>
        <v>68529.335797069303</v>
      </c>
      <c r="U73" s="311">
        <f t="shared" si="69"/>
        <v>64232.767604897017</v>
      </c>
      <c r="V73" s="311">
        <f t="shared" ref="V73:X73" si="70">$D$9*NORMSDIST(V67)-V64*EXP(-$D$12*$D$10)*NORMSDIST(V68)</f>
        <v>60379.733123271697</v>
      </c>
      <c r="W73" s="311">
        <f t="shared" si="70"/>
        <v>58128.412086404642</v>
      </c>
      <c r="X73" s="311">
        <f t="shared" si="70"/>
        <v>49377.210588683622</v>
      </c>
    </row>
    <row r="74" spans="2:45" ht="12.75" customHeight="1">
      <c r="B74" s="310" t="s">
        <v>219</v>
      </c>
      <c r="D74" s="311">
        <f>$D$9*NORMSDIST(D70)-D65*EXP(-$D$12*$D$10)*NORMSDIST(D71)</f>
        <v>203606.91694442273</v>
      </c>
      <c r="E74" s="81">
        <f>IF(E65="n/a","n/a",$D$9*NORMSDIST(E70)-E65*EXP(-$D$12*$D$10)*NORMSDIST(E71))</f>
        <v>173519.37583914559</v>
      </c>
      <c r="F74" s="81">
        <f t="shared" ref="F74:U74" si="71">IF(F65="n/a","n/a",$D$9*NORMSDIST(F70)-F65*EXP(-$D$12*$D$10)*NORMSDIST(F71))</f>
        <v>150518.64539872436</v>
      </c>
      <c r="G74" s="81">
        <f t="shared" si="71"/>
        <v>140082.40394362831</v>
      </c>
      <c r="H74" s="81">
        <f t="shared" si="71"/>
        <v>131849.7836322159</v>
      </c>
      <c r="I74" s="81">
        <f t="shared" si="71"/>
        <v>129812.74812107491</v>
      </c>
      <c r="J74" s="81">
        <f t="shared" si="71"/>
        <v>129762.2445586283</v>
      </c>
      <c r="K74" s="81">
        <f t="shared" si="71"/>
        <v>127274.9908515197</v>
      </c>
      <c r="L74" s="81">
        <f t="shared" si="71"/>
        <v>109232.0825392479</v>
      </c>
      <c r="M74" s="81">
        <f t="shared" si="71"/>
        <v>107767.82617125793</v>
      </c>
      <c r="N74" s="81">
        <f t="shared" si="71"/>
        <v>105564.66114577781</v>
      </c>
      <c r="O74" s="81">
        <f t="shared" si="71"/>
        <v>102655.57208360212</v>
      </c>
      <c r="P74" s="81">
        <f t="shared" si="71"/>
        <v>90909.897510851893</v>
      </c>
      <c r="Q74" s="81">
        <f t="shared" si="71"/>
        <v>84605.153723089141</v>
      </c>
      <c r="R74" s="81">
        <f t="shared" si="71"/>
        <v>82870.990679817973</v>
      </c>
      <c r="S74" s="81">
        <f t="shared" si="71"/>
        <v>68529.335797069303</v>
      </c>
      <c r="T74" s="81">
        <f t="shared" si="71"/>
        <v>64232.767604897017</v>
      </c>
      <c r="U74" s="81">
        <f t="shared" si="71"/>
        <v>60379.733123271697</v>
      </c>
      <c r="V74" s="81">
        <f t="shared" ref="V74:X74" si="72">IF(V65="n/a","n/a",$D$9*NORMSDIST(V70)-V65*EXP(-$D$12*$D$10)*NORMSDIST(V71))</f>
        <v>58128.412086404642</v>
      </c>
      <c r="W74" s="81">
        <f t="shared" si="72"/>
        <v>49377.210588683622</v>
      </c>
      <c r="X74" s="81" t="str">
        <f t="shared" si="72"/>
        <v>n/a</v>
      </c>
    </row>
    <row r="75" spans="2:45" ht="12.75" customHeight="1"/>
    <row r="76" spans="2:45" ht="12.75" customHeight="1">
      <c r="B76" s="1" t="s">
        <v>220</v>
      </c>
      <c r="C76" s="1"/>
      <c r="D76" s="2429">
        <f>D73-D74</f>
        <v>59243.083055577154</v>
      </c>
      <c r="E76" s="2429">
        <f>IF(E65="n/a",E73,E73-E74)</f>
        <v>30087.541105277138</v>
      </c>
      <c r="F76" s="2429">
        <f t="shared" ref="F76:U76" si="73">IF(F65="n/a",F73,F73-F74)</f>
        <v>23000.730440421234</v>
      </c>
      <c r="G76" s="2429">
        <f t="shared" si="73"/>
        <v>10436.241455096053</v>
      </c>
      <c r="H76" s="2429">
        <f t="shared" si="73"/>
        <v>8232.6203114124073</v>
      </c>
      <c r="I76" s="2429">
        <f t="shared" si="73"/>
        <v>2037.0355111409881</v>
      </c>
      <c r="J76" s="2429">
        <f t="shared" si="73"/>
        <v>50.503562446610886</v>
      </c>
      <c r="K76" s="2429">
        <f t="shared" si="73"/>
        <v>2487.2537071085972</v>
      </c>
      <c r="L76" s="2429">
        <f t="shared" si="73"/>
        <v>18042.9083122718</v>
      </c>
      <c r="M76" s="2429">
        <f t="shared" si="73"/>
        <v>1464.2563679899758</v>
      </c>
      <c r="N76" s="2429">
        <f t="shared" si="73"/>
        <v>2203.1650254801207</v>
      </c>
      <c r="O76" s="2429">
        <f t="shared" si="73"/>
        <v>2909.0890621756844</v>
      </c>
      <c r="P76" s="2429">
        <f t="shared" si="73"/>
        <v>11745.674572750228</v>
      </c>
      <c r="Q76" s="2429">
        <f t="shared" si="73"/>
        <v>6304.7437877627526</v>
      </c>
      <c r="R76" s="2429">
        <f t="shared" si="73"/>
        <v>1734.1630432711681</v>
      </c>
      <c r="S76" s="2429">
        <f t="shared" si="73"/>
        <v>14341.654882748669</v>
      </c>
      <c r="T76" s="2429">
        <f t="shared" si="73"/>
        <v>4296.5681921722862</v>
      </c>
      <c r="U76" s="2429">
        <f t="shared" si="73"/>
        <v>3853.03448162532</v>
      </c>
      <c r="V76" s="2429">
        <f t="shared" ref="V76:X76" si="74">IF(V65="n/a",V73,V73-V74)</f>
        <v>2251.3210368670552</v>
      </c>
      <c r="W76" s="2429">
        <f t="shared" si="74"/>
        <v>8751.2014977210201</v>
      </c>
      <c r="X76" s="2429">
        <f t="shared" si="74"/>
        <v>49377.210588683622</v>
      </c>
    </row>
    <row r="77" spans="2:45" ht="12.75" customHeight="1">
      <c r="AB77" s="144"/>
      <c r="AC77" s="144"/>
      <c r="AD77" s="144"/>
      <c r="AE77" s="144"/>
      <c r="AF77" s="144"/>
      <c r="AG77" s="144"/>
      <c r="AH77" s="144"/>
      <c r="AI77" s="144"/>
      <c r="AJ77" s="144"/>
      <c r="AK77" s="144"/>
      <c r="AL77" s="144"/>
      <c r="AM77" s="144"/>
      <c r="AN77" s="144"/>
      <c r="AO77" s="144"/>
      <c r="AP77" s="144"/>
      <c r="AQ77" s="144"/>
      <c r="AR77" s="144"/>
      <c r="AS77" s="144"/>
    </row>
    <row r="78" spans="2:45" s="6" customFormat="1" ht="12.75" customHeight="1">
      <c r="B78" s="212" t="s">
        <v>214</v>
      </c>
      <c r="D78" s="2445">
        <f>D$15</f>
        <v>1</v>
      </c>
      <c r="E78" s="2446">
        <f t="shared" ref="E78:X78" si="75">E$15</f>
        <v>2</v>
      </c>
      <c r="F78" s="2446">
        <f t="shared" si="75"/>
        <v>3</v>
      </c>
      <c r="G78" s="2446">
        <f t="shared" si="75"/>
        <v>4</v>
      </c>
      <c r="H78" s="2446">
        <f t="shared" si="75"/>
        <v>5</v>
      </c>
      <c r="I78" s="2446">
        <f t="shared" si="75"/>
        <v>6</v>
      </c>
      <c r="J78" s="2446">
        <f t="shared" si="75"/>
        <v>7</v>
      </c>
      <c r="K78" s="2446">
        <f t="shared" si="75"/>
        <v>8</v>
      </c>
      <c r="L78" s="2446">
        <f t="shared" si="75"/>
        <v>9</v>
      </c>
      <c r="M78" s="2447">
        <f t="shared" si="75"/>
        <v>10</v>
      </c>
      <c r="N78" s="2445">
        <f t="shared" si="75"/>
        <v>11</v>
      </c>
      <c r="O78" s="2446">
        <f t="shared" si="75"/>
        <v>12</v>
      </c>
      <c r="P78" s="2446">
        <f t="shared" si="75"/>
        <v>13</v>
      </c>
      <c r="Q78" s="2446">
        <f t="shared" si="75"/>
        <v>14</v>
      </c>
      <c r="R78" s="2446">
        <f t="shared" si="75"/>
        <v>15</v>
      </c>
      <c r="S78" s="2446">
        <f t="shared" si="75"/>
        <v>16</v>
      </c>
      <c r="T78" s="2446">
        <f t="shared" si="75"/>
        <v>17</v>
      </c>
      <c r="U78" s="2446">
        <f t="shared" si="75"/>
        <v>18</v>
      </c>
      <c r="V78" s="2446">
        <f t="shared" si="75"/>
        <v>19</v>
      </c>
      <c r="W78" s="2446">
        <f t="shared" si="75"/>
        <v>20</v>
      </c>
      <c r="X78" s="2447">
        <f t="shared" si="75"/>
        <v>21</v>
      </c>
      <c r="AA78" s="260"/>
    </row>
    <row r="79" spans="2:45" ht="12.75" customHeight="1"/>
    <row r="80" spans="2:45" ht="12.75" customHeight="1">
      <c r="D80" s="136" t="s">
        <v>187</v>
      </c>
      <c r="E80" s="136" t="s">
        <v>187</v>
      </c>
      <c r="F80" s="136" t="s">
        <v>187</v>
      </c>
      <c r="G80" s="136" t="s">
        <v>187</v>
      </c>
      <c r="H80" s="136" t="s">
        <v>187</v>
      </c>
      <c r="I80" s="136" t="s">
        <v>151</v>
      </c>
      <c r="J80" s="136" t="s">
        <v>151</v>
      </c>
      <c r="K80" s="136" t="s">
        <v>151</v>
      </c>
      <c r="L80" s="136" t="s">
        <v>151</v>
      </c>
      <c r="M80" s="136" t="s">
        <v>151</v>
      </c>
      <c r="N80" s="136" t="s">
        <v>151</v>
      </c>
      <c r="O80" s="136" t="s">
        <v>151</v>
      </c>
      <c r="P80" s="136" t="s">
        <v>151</v>
      </c>
      <c r="Q80" s="136" t="s">
        <v>151</v>
      </c>
      <c r="R80" s="136" t="s">
        <v>151</v>
      </c>
      <c r="S80" s="136" t="s">
        <v>151</v>
      </c>
      <c r="T80" s="136" t="s">
        <v>151</v>
      </c>
      <c r="U80" s="136" t="s">
        <v>151</v>
      </c>
      <c r="V80" s="136" t="s">
        <v>151</v>
      </c>
      <c r="W80" s="136" t="s">
        <v>151</v>
      </c>
      <c r="X80" s="136" t="s">
        <v>151</v>
      </c>
    </row>
    <row r="81" spans="2:24" ht="12.75" customHeight="1"/>
    <row r="82" spans="2:24" ht="12.75" customHeight="1">
      <c r="B82" s="137" t="str">
        <f t="shared" ref="B82:B96" si="76">B32</f>
        <v>Series A-1</v>
      </c>
      <c r="D82" s="980">
        <f t="shared" ref="D82:H83" si="77">D19</f>
        <v>0</v>
      </c>
      <c r="E82" s="980">
        <f t="shared" si="77"/>
        <v>0</v>
      </c>
      <c r="F82" s="980">
        <f t="shared" si="77"/>
        <v>0</v>
      </c>
      <c r="G82" s="980">
        <f t="shared" si="77"/>
        <v>0</v>
      </c>
      <c r="H82" s="980">
        <f t="shared" si="77"/>
        <v>7191.8836258530382</v>
      </c>
      <c r="I82" s="980">
        <f t="shared" ref="I82:V82" si="78">I32</f>
        <v>0</v>
      </c>
      <c r="J82" s="980">
        <f t="shared" si="78"/>
        <v>0</v>
      </c>
      <c r="K82" s="980">
        <f>K32</f>
        <v>0</v>
      </c>
      <c r="L82" s="980">
        <f t="shared" si="78"/>
        <v>5499.9989999999998</v>
      </c>
      <c r="M82" s="980">
        <f t="shared" si="78"/>
        <v>5499.9989999999998</v>
      </c>
      <c r="N82" s="980">
        <f t="shared" si="78"/>
        <v>5499.9989999999998</v>
      </c>
      <c r="O82" s="980">
        <f t="shared" si="78"/>
        <v>5499.9989999999998</v>
      </c>
      <c r="P82" s="980">
        <f t="shared" si="78"/>
        <v>5499.9989999999998</v>
      </c>
      <c r="Q82" s="980">
        <f t="shared" si="78"/>
        <v>5499.9989999999998</v>
      </c>
      <c r="R82" s="980">
        <f>R32</f>
        <v>5499.9989999999998</v>
      </c>
      <c r="S82" s="980">
        <f>S32</f>
        <v>5499.9989999999998</v>
      </c>
      <c r="T82" s="980">
        <f t="shared" si="78"/>
        <v>5499.9989999999998</v>
      </c>
      <c r="U82" s="980">
        <f t="shared" si="78"/>
        <v>5499.9989999999998</v>
      </c>
      <c r="V82" s="980">
        <f t="shared" si="78"/>
        <v>5499.9989999999998</v>
      </c>
      <c r="W82" s="980">
        <f t="shared" ref="W82:X82" si="79">W32</f>
        <v>5499.9989999999998</v>
      </c>
      <c r="X82" s="980">
        <f t="shared" si="79"/>
        <v>5499.9989999999998</v>
      </c>
    </row>
    <row r="83" spans="2:24" ht="12.75" customHeight="1">
      <c r="B83" s="137" t="str">
        <f t="shared" si="76"/>
        <v>Series A-2</v>
      </c>
      <c r="D83" s="980">
        <f t="shared" si="77"/>
        <v>0</v>
      </c>
      <c r="E83" s="980">
        <f t="shared" si="77"/>
        <v>0</v>
      </c>
      <c r="F83" s="980">
        <f t="shared" si="77"/>
        <v>0</v>
      </c>
      <c r="G83" s="980">
        <f t="shared" si="77"/>
        <v>0</v>
      </c>
      <c r="H83" s="980">
        <f t="shared" si="77"/>
        <v>20779.181263763166</v>
      </c>
      <c r="I83" s="980">
        <f t="shared" ref="I83:X83" si="80">I33</f>
        <v>0</v>
      </c>
      <c r="J83" s="980">
        <f t="shared" si="80"/>
        <v>20916.409</v>
      </c>
      <c r="K83" s="980">
        <f t="shared" si="80"/>
        <v>20916.409</v>
      </c>
      <c r="L83" s="980">
        <f t="shared" si="80"/>
        <v>20916.409</v>
      </c>
      <c r="M83" s="980">
        <f t="shared" si="80"/>
        <v>20916.409</v>
      </c>
      <c r="N83" s="980">
        <f t="shared" si="80"/>
        <v>20916.409</v>
      </c>
      <c r="O83" s="980">
        <f t="shared" si="80"/>
        <v>20916.409</v>
      </c>
      <c r="P83" s="980">
        <f t="shared" si="80"/>
        <v>20916.409</v>
      </c>
      <c r="Q83" s="980">
        <f t="shared" si="80"/>
        <v>20916.409</v>
      </c>
      <c r="R83" s="980">
        <f t="shared" si="80"/>
        <v>20916.409</v>
      </c>
      <c r="S83" s="980">
        <f t="shared" si="80"/>
        <v>20916.409</v>
      </c>
      <c r="T83" s="980">
        <f t="shared" si="80"/>
        <v>20916.409</v>
      </c>
      <c r="U83" s="980">
        <f t="shared" si="80"/>
        <v>20916.409</v>
      </c>
      <c r="V83" s="980">
        <f t="shared" si="80"/>
        <v>20916.409</v>
      </c>
      <c r="W83" s="980">
        <f t="shared" si="80"/>
        <v>20916.409</v>
      </c>
      <c r="X83" s="980">
        <f t="shared" si="80"/>
        <v>20916.409</v>
      </c>
    </row>
    <row r="84" spans="2:24" ht="12.75" customHeight="1">
      <c r="B84" s="137" t="str">
        <f t="shared" si="76"/>
        <v>Series B Tranche I</v>
      </c>
      <c r="D84" s="980">
        <f t="shared" ref="D84:G85" si="81">D21</f>
        <v>0</v>
      </c>
      <c r="E84" s="980">
        <f t="shared" si="81"/>
        <v>0</v>
      </c>
      <c r="F84" s="980">
        <f t="shared" si="81"/>
        <v>0</v>
      </c>
      <c r="G84" s="980">
        <f t="shared" si="81"/>
        <v>15935.901882197501</v>
      </c>
      <c r="H84" s="980">
        <v>0</v>
      </c>
      <c r="I84" s="980">
        <f t="shared" ref="I84:X84" si="82">I34</f>
        <v>0</v>
      </c>
      <c r="J84" s="980">
        <f t="shared" si="82"/>
        <v>0</v>
      </c>
      <c r="K84" s="980">
        <f t="shared" si="82"/>
        <v>0</v>
      </c>
      <c r="L84" s="980">
        <f t="shared" si="82"/>
        <v>0</v>
      </c>
      <c r="M84" s="980">
        <f t="shared" si="82"/>
        <v>0</v>
      </c>
      <c r="N84" s="980">
        <f t="shared" si="82"/>
        <v>0</v>
      </c>
      <c r="O84" s="980">
        <f t="shared" si="82"/>
        <v>0</v>
      </c>
      <c r="P84" s="980">
        <f t="shared" si="82"/>
        <v>3571.4279999999999</v>
      </c>
      <c r="Q84" s="980">
        <f t="shared" si="82"/>
        <v>3571.4279999999999</v>
      </c>
      <c r="R84" s="980">
        <f t="shared" si="82"/>
        <v>3571.4279999999999</v>
      </c>
      <c r="S84" s="980">
        <f t="shared" si="82"/>
        <v>3571.4279999999999</v>
      </c>
      <c r="T84" s="980">
        <f t="shared" si="82"/>
        <v>3571.4279999999999</v>
      </c>
      <c r="U84" s="980">
        <f t="shared" si="82"/>
        <v>3571.4279999999999</v>
      </c>
      <c r="V84" s="980">
        <f t="shared" si="82"/>
        <v>3571.4279999999999</v>
      </c>
      <c r="W84" s="980">
        <f t="shared" si="82"/>
        <v>3571.4279999999999</v>
      </c>
      <c r="X84" s="980">
        <f t="shared" si="82"/>
        <v>3571.4279999999999</v>
      </c>
    </row>
    <row r="85" spans="2:24" ht="12.75" customHeight="1">
      <c r="B85" s="137" t="str">
        <f t="shared" si="76"/>
        <v>Series B Tranche II</v>
      </c>
      <c r="D85" s="980">
        <f t="shared" si="81"/>
        <v>0</v>
      </c>
      <c r="E85" s="980">
        <f t="shared" si="81"/>
        <v>0</v>
      </c>
      <c r="F85" s="980">
        <f t="shared" si="81"/>
        <v>0</v>
      </c>
      <c r="G85" s="980">
        <f t="shared" si="81"/>
        <v>15578.659983927091</v>
      </c>
      <c r="H85" s="980">
        <v>0</v>
      </c>
      <c r="I85" s="980">
        <f t="shared" ref="I85:X85" si="83">I35</f>
        <v>0</v>
      </c>
      <c r="J85" s="980">
        <f t="shared" si="83"/>
        <v>0</v>
      </c>
      <c r="K85" s="980">
        <f t="shared" si="83"/>
        <v>0</v>
      </c>
      <c r="L85" s="980">
        <f t="shared" si="83"/>
        <v>0</v>
      </c>
      <c r="M85" s="980">
        <f t="shared" si="83"/>
        <v>0</v>
      </c>
      <c r="N85" s="980">
        <f t="shared" si="83"/>
        <v>0</v>
      </c>
      <c r="O85" s="980">
        <f t="shared" si="83"/>
        <v>0</v>
      </c>
      <c r="P85" s="980">
        <f t="shared" si="83"/>
        <v>3571.4290000000001</v>
      </c>
      <c r="Q85" s="980">
        <f t="shared" si="83"/>
        <v>3571.4290000000001</v>
      </c>
      <c r="R85" s="980">
        <f t="shared" si="83"/>
        <v>3571.4290000000001</v>
      </c>
      <c r="S85" s="980">
        <f t="shared" si="83"/>
        <v>3571.4290000000001</v>
      </c>
      <c r="T85" s="980">
        <f t="shared" si="83"/>
        <v>3571.4290000000001</v>
      </c>
      <c r="U85" s="980">
        <f t="shared" si="83"/>
        <v>3571.4290000000001</v>
      </c>
      <c r="V85" s="980">
        <f t="shared" si="83"/>
        <v>3571.4290000000001</v>
      </c>
      <c r="W85" s="980">
        <f t="shared" si="83"/>
        <v>3571.4290000000001</v>
      </c>
      <c r="X85" s="980">
        <f t="shared" si="83"/>
        <v>3571.4290000000001</v>
      </c>
    </row>
    <row r="86" spans="2:24" ht="12.75" customHeight="1">
      <c r="B86" s="137" t="str">
        <f t="shared" si="76"/>
        <v>Series C Tranche I</v>
      </c>
      <c r="D86" s="980">
        <f t="shared" ref="D86:F87" si="84">D23</f>
        <v>0</v>
      </c>
      <c r="E86" s="980">
        <f t="shared" si="84"/>
        <v>0</v>
      </c>
      <c r="F86" s="980">
        <f t="shared" si="84"/>
        <v>29099.417151226582</v>
      </c>
      <c r="G86" s="980">
        <v>0</v>
      </c>
      <c r="H86" s="980">
        <v>0</v>
      </c>
      <c r="I86" s="980">
        <f t="shared" ref="I86:X86" si="85">I36</f>
        <v>0</v>
      </c>
      <c r="J86" s="980">
        <f t="shared" si="85"/>
        <v>0</v>
      </c>
      <c r="K86" s="980">
        <f t="shared" si="85"/>
        <v>0</v>
      </c>
      <c r="L86" s="980">
        <f t="shared" si="85"/>
        <v>0</v>
      </c>
      <c r="M86" s="980">
        <f t="shared" si="85"/>
        <v>0</v>
      </c>
      <c r="N86" s="980">
        <f t="shared" si="85"/>
        <v>0</v>
      </c>
      <c r="O86" s="980">
        <f t="shared" si="85"/>
        <v>0</v>
      </c>
      <c r="P86" s="980">
        <f t="shared" si="85"/>
        <v>0</v>
      </c>
      <c r="Q86" s="980">
        <f t="shared" si="85"/>
        <v>0</v>
      </c>
      <c r="R86" s="980">
        <f t="shared" si="85"/>
        <v>0</v>
      </c>
      <c r="S86" s="980">
        <f t="shared" si="85"/>
        <v>0</v>
      </c>
      <c r="T86" s="980">
        <f t="shared" si="85"/>
        <v>0</v>
      </c>
      <c r="U86" s="980">
        <f t="shared" si="85"/>
        <v>0</v>
      </c>
      <c r="V86" s="980">
        <f t="shared" si="85"/>
        <v>2384.889986666667</v>
      </c>
      <c r="W86" s="980">
        <f t="shared" si="85"/>
        <v>2384.889986666667</v>
      </c>
      <c r="X86" s="980">
        <f t="shared" si="85"/>
        <v>2384.889986666667</v>
      </c>
    </row>
    <row r="87" spans="2:24" ht="12.75" customHeight="1">
      <c r="B87" s="137" t="str">
        <f t="shared" si="76"/>
        <v>Series C Tranche II</v>
      </c>
      <c r="D87" s="980">
        <f t="shared" si="84"/>
        <v>0</v>
      </c>
      <c r="E87" s="980">
        <f t="shared" si="84"/>
        <v>0</v>
      </c>
      <c r="F87" s="980">
        <f t="shared" si="84"/>
        <v>28100.731049610757</v>
      </c>
      <c r="G87" s="980">
        <v>0</v>
      </c>
      <c r="H87" s="980">
        <v>0</v>
      </c>
      <c r="I87" s="980">
        <f t="shared" ref="I87:X87" si="86">I37</f>
        <v>0</v>
      </c>
      <c r="J87" s="980">
        <f t="shared" si="86"/>
        <v>0</v>
      </c>
      <c r="K87" s="980">
        <f t="shared" si="86"/>
        <v>0</v>
      </c>
      <c r="L87" s="980">
        <f t="shared" si="86"/>
        <v>0</v>
      </c>
      <c r="M87" s="980">
        <f t="shared" si="86"/>
        <v>0</v>
      </c>
      <c r="N87" s="980">
        <f t="shared" si="86"/>
        <v>0</v>
      </c>
      <c r="O87" s="980">
        <f t="shared" si="86"/>
        <v>0</v>
      </c>
      <c r="P87" s="980">
        <f t="shared" si="86"/>
        <v>0</v>
      </c>
      <c r="Q87" s="980">
        <f t="shared" si="86"/>
        <v>0</v>
      </c>
      <c r="R87" s="980">
        <f t="shared" si="86"/>
        <v>0</v>
      </c>
      <c r="S87" s="980">
        <f t="shared" si="86"/>
        <v>0</v>
      </c>
      <c r="T87" s="980">
        <f t="shared" si="86"/>
        <v>0</v>
      </c>
      <c r="U87" s="980">
        <f t="shared" si="86"/>
        <v>0</v>
      </c>
      <c r="V87" s="980">
        <f t="shared" si="86"/>
        <v>2384.889986666667</v>
      </c>
      <c r="W87" s="980">
        <f t="shared" si="86"/>
        <v>2384.889986666667</v>
      </c>
      <c r="X87" s="980">
        <f t="shared" si="86"/>
        <v>2384.889986666667</v>
      </c>
    </row>
    <row r="88" spans="2:24" ht="12.75" customHeight="1">
      <c r="B88" s="137" t="str">
        <f t="shared" si="76"/>
        <v>Series D Tranche I</v>
      </c>
      <c r="D88" s="980">
        <f>D25</f>
        <v>0</v>
      </c>
      <c r="E88" s="980">
        <f>E25</f>
        <v>33352.23490129834</v>
      </c>
      <c r="F88" s="980">
        <v>0</v>
      </c>
      <c r="G88" s="980">
        <v>0</v>
      </c>
      <c r="H88" s="980">
        <v>0</v>
      </c>
      <c r="I88" s="980">
        <f t="shared" ref="I88:X88" si="87">I38</f>
        <v>0</v>
      </c>
      <c r="J88" s="980">
        <f t="shared" si="87"/>
        <v>0</v>
      </c>
      <c r="K88" s="980">
        <f t="shared" si="87"/>
        <v>0</v>
      </c>
      <c r="L88" s="980">
        <f t="shared" si="87"/>
        <v>0</v>
      </c>
      <c r="M88" s="980">
        <f t="shared" si="87"/>
        <v>0</v>
      </c>
      <c r="N88" s="980">
        <f t="shared" si="87"/>
        <v>0</v>
      </c>
      <c r="O88" s="980">
        <f t="shared" si="87"/>
        <v>0</v>
      </c>
      <c r="P88" s="980">
        <f t="shared" si="87"/>
        <v>0</v>
      </c>
      <c r="Q88" s="980">
        <f t="shared" si="87"/>
        <v>0</v>
      </c>
      <c r="R88" s="980">
        <f t="shared" si="87"/>
        <v>0</v>
      </c>
      <c r="S88" s="980">
        <f t="shared" si="87"/>
        <v>0</v>
      </c>
      <c r="T88" s="980">
        <f t="shared" si="87"/>
        <v>0</v>
      </c>
      <c r="U88" s="980">
        <f t="shared" si="87"/>
        <v>0</v>
      </c>
      <c r="V88" s="980">
        <f t="shared" si="87"/>
        <v>0</v>
      </c>
      <c r="W88" s="980">
        <f t="shared" si="87"/>
        <v>2646.0859999999998</v>
      </c>
      <c r="X88" s="980">
        <f t="shared" si="87"/>
        <v>2646.0859999999998</v>
      </c>
    </row>
    <row r="89" spans="2:24" ht="12.75" customHeight="1">
      <c r="B89" s="137" t="str">
        <f t="shared" si="76"/>
        <v>Series D Tranche II</v>
      </c>
      <c r="D89" s="980">
        <f>D26</f>
        <v>0</v>
      </c>
      <c r="E89" s="980">
        <f>E26</f>
        <v>23169.672137509282</v>
      </c>
      <c r="F89" s="980">
        <v>0</v>
      </c>
      <c r="G89" s="980">
        <v>0</v>
      </c>
      <c r="H89" s="980">
        <v>0</v>
      </c>
      <c r="I89" s="980">
        <f t="shared" ref="I89:X89" si="88">I39</f>
        <v>0</v>
      </c>
      <c r="J89" s="980">
        <f t="shared" si="88"/>
        <v>0</v>
      </c>
      <c r="K89" s="980">
        <f t="shared" si="88"/>
        <v>0</v>
      </c>
      <c r="L89" s="980">
        <f t="shared" si="88"/>
        <v>0</v>
      </c>
      <c r="M89" s="980">
        <f t="shared" si="88"/>
        <v>0</v>
      </c>
      <c r="N89" s="980">
        <f t="shared" si="88"/>
        <v>0</v>
      </c>
      <c r="O89" s="980">
        <f t="shared" si="88"/>
        <v>0</v>
      </c>
      <c r="P89" s="980">
        <f t="shared" si="88"/>
        <v>0</v>
      </c>
      <c r="Q89" s="980">
        <f t="shared" si="88"/>
        <v>0</v>
      </c>
      <c r="R89" s="980">
        <f t="shared" si="88"/>
        <v>0</v>
      </c>
      <c r="S89" s="980">
        <f t="shared" si="88"/>
        <v>0</v>
      </c>
      <c r="T89" s="980">
        <f t="shared" si="88"/>
        <v>0</v>
      </c>
      <c r="U89" s="980">
        <f t="shared" si="88"/>
        <v>0</v>
      </c>
      <c r="V89" s="980">
        <f t="shared" si="88"/>
        <v>0</v>
      </c>
      <c r="W89" s="980">
        <f t="shared" si="88"/>
        <v>1852.702</v>
      </c>
      <c r="X89" s="980">
        <f t="shared" si="88"/>
        <v>1852.702</v>
      </c>
    </row>
    <row r="90" spans="2:24" ht="12.75" customHeight="1">
      <c r="B90" s="137" t="str">
        <f t="shared" si="76"/>
        <v>Series E</v>
      </c>
      <c r="D90" s="980">
        <f>D27</f>
        <v>75788.952304577571</v>
      </c>
      <c r="E90" s="980">
        <v>0</v>
      </c>
      <c r="F90" s="980">
        <v>0</v>
      </c>
      <c r="G90" s="980">
        <v>0</v>
      </c>
      <c r="H90" s="980">
        <v>0</v>
      </c>
      <c r="I90" s="980">
        <f t="shared" ref="I90:X90" si="89">I40</f>
        <v>0</v>
      </c>
      <c r="J90" s="980">
        <f t="shared" si="89"/>
        <v>0</v>
      </c>
      <c r="K90" s="980">
        <f t="shared" si="89"/>
        <v>0</v>
      </c>
      <c r="L90" s="980">
        <f t="shared" si="89"/>
        <v>0</v>
      </c>
      <c r="M90" s="980">
        <f t="shared" si="89"/>
        <v>0</v>
      </c>
      <c r="N90" s="980">
        <f t="shared" si="89"/>
        <v>0</v>
      </c>
      <c r="O90" s="980">
        <f t="shared" si="89"/>
        <v>0</v>
      </c>
      <c r="P90" s="980">
        <f t="shared" si="89"/>
        <v>0</v>
      </c>
      <c r="Q90" s="980">
        <f t="shared" si="89"/>
        <v>0</v>
      </c>
      <c r="R90" s="980">
        <f t="shared" si="89"/>
        <v>0</v>
      </c>
      <c r="S90" s="980">
        <f t="shared" si="89"/>
        <v>0</v>
      </c>
      <c r="T90" s="980">
        <f t="shared" si="89"/>
        <v>0</v>
      </c>
      <c r="U90" s="980">
        <f t="shared" si="89"/>
        <v>0</v>
      </c>
      <c r="V90" s="980">
        <f t="shared" si="89"/>
        <v>0</v>
      </c>
      <c r="W90" s="980">
        <f t="shared" si="89"/>
        <v>0</v>
      </c>
      <c r="X90" s="980">
        <f t="shared" si="89"/>
        <v>5064.8329999999996</v>
      </c>
    </row>
    <row r="91" spans="2:24" ht="12.75" customHeight="1">
      <c r="B91" s="137" t="str">
        <f t="shared" si="76"/>
        <v>Options at $1.00 Strike Price</v>
      </c>
      <c r="D91" s="980">
        <v>0</v>
      </c>
      <c r="E91" s="980">
        <v>0</v>
      </c>
      <c r="F91" s="980">
        <v>0</v>
      </c>
      <c r="G91" s="980">
        <v>0</v>
      </c>
      <c r="H91" s="980">
        <v>0</v>
      </c>
      <c r="I91" s="980">
        <f t="shared" ref="I91:X91" si="90">I41</f>
        <v>0</v>
      </c>
      <c r="J91" s="980">
        <f t="shared" si="90"/>
        <v>0</v>
      </c>
      <c r="K91" s="980">
        <f t="shared" si="90"/>
        <v>1948.865</v>
      </c>
      <c r="L91" s="980">
        <f t="shared" si="90"/>
        <v>1948.865</v>
      </c>
      <c r="M91" s="980">
        <f t="shared" si="90"/>
        <v>1948.865</v>
      </c>
      <c r="N91" s="980">
        <f t="shared" si="90"/>
        <v>1948.865</v>
      </c>
      <c r="O91" s="980">
        <f t="shared" si="90"/>
        <v>1948.865</v>
      </c>
      <c r="P91" s="980">
        <f t="shared" si="90"/>
        <v>1948.865</v>
      </c>
      <c r="Q91" s="980">
        <f t="shared" si="90"/>
        <v>1948.865</v>
      </c>
      <c r="R91" s="980">
        <f t="shared" si="90"/>
        <v>1948.865</v>
      </c>
      <c r="S91" s="980">
        <f t="shared" si="90"/>
        <v>1948.865</v>
      </c>
      <c r="T91" s="980">
        <f t="shared" si="90"/>
        <v>1948.865</v>
      </c>
      <c r="U91" s="980">
        <f t="shared" si="90"/>
        <v>1948.865</v>
      </c>
      <c r="V91" s="980">
        <f t="shared" si="90"/>
        <v>1948.865</v>
      </c>
      <c r="W91" s="980">
        <f t="shared" si="90"/>
        <v>1948.865</v>
      </c>
      <c r="X91" s="980">
        <f t="shared" si="90"/>
        <v>1948.865</v>
      </c>
    </row>
    <row r="92" spans="2:24" ht="12.75" customHeight="1">
      <c r="B92" s="137" t="str">
        <f t="shared" si="76"/>
        <v>Options at $3.50 Strike Price</v>
      </c>
      <c r="D92" s="980">
        <v>0</v>
      </c>
      <c r="E92" s="980">
        <v>0</v>
      </c>
      <c r="F92" s="980">
        <v>0</v>
      </c>
      <c r="G92" s="980">
        <v>0</v>
      </c>
      <c r="H92" s="980">
        <v>0</v>
      </c>
      <c r="I92" s="980">
        <f t="shared" ref="I92:X92" si="91">I42</f>
        <v>0</v>
      </c>
      <c r="J92" s="980">
        <f t="shared" si="91"/>
        <v>0</v>
      </c>
      <c r="K92" s="980">
        <f t="shared" si="91"/>
        <v>0</v>
      </c>
      <c r="L92" s="980">
        <f t="shared" si="91"/>
        <v>0</v>
      </c>
      <c r="M92" s="980">
        <f t="shared" si="91"/>
        <v>960</v>
      </c>
      <c r="N92" s="980">
        <f t="shared" si="91"/>
        <v>960</v>
      </c>
      <c r="O92" s="980">
        <f t="shared" si="91"/>
        <v>960</v>
      </c>
      <c r="P92" s="980">
        <f t="shared" si="91"/>
        <v>960</v>
      </c>
      <c r="Q92" s="980">
        <f t="shared" si="91"/>
        <v>960</v>
      </c>
      <c r="R92" s="980">
        <f t="shared" si="91"/>
        <v>960</v>
      </c>
      <c r="S92" s="980">
        <f t="shared" si="91"/>
        <v>960</v>
      </c>
      <c r="T92" s="980">
        <f t="shared" si="91"/>
        <v>960</v>
      </c>
      <c r="U92" s="980">
        <f t="shared" si="91"/>
        <v>960</v>
      </c>
      <c r="V92" s="980">
        <f t="shared" si="91"/>
        <v>960</v>
      </c>
      <c r="W92" s="980">
        <f t="shared" si="91"/>
        <v>960</v>
      </c>
      <c r="X92" s="980">
        <f t="shared" si="91"/>
        <v>960</v>
      </c>
    </row>
    <row r="93" spans="2:24" ht="12.75" customHeight="1">
      <c r="B93" s="137" t="str">
        <f t="shared" si="76"/>
        <v>Options at $3.70 Strike Price</v>
      </c>
      <c r="D93" s="980">
        <v>0</v>
      </c>
      <c r="E93" s="980">
        <v>0</v>
      </c>
      <c r="F93" s="980">
        <v>0</v>
      </c>
      <c r="G93" s="980">
        <v>0</v>
      </c>
      <c r="H93" s="980">
        <v>0</v>
      </c>
      <c r="I93" s="980">
        <f t="shared" ref="I93:X93" si="92">I43</f>
        <v>0</v>
      </c>
      <c r="J93" s="980">
        <f t="shared" si="92"/>
        <v>0</v>
      </c>
      <c r="K93" s="980">
        <f t="shared" si="92"/>
        <v>0</v>
      </c>
      <c r="L93" s="980">
        <f t="shared" si="92"/>
        <v>0</v>
      </c>
      <c r="M93" s="980">
        <f t="shared" si="92"/>
        <v>0</v>
      </c>
      <c r="N93" s="980">
        <f t="shared" si="92"/>
        <v>1201.357</v>
      </c>
      <c r="O93" s="980">
        <f t="shared" si="92"/>
        <v>1201.357</v>
      </c>
      <c r="P93" s="980">
        <f t="shared" si="92"/>
        <v>1201.357</v>
      </c>
      <c r="Q93" s="980">
        <f t="shared" si="92"/>
        <v>1201.357</v>
      </c>
      <c r="R93" s="980">
        <f t="shared" si="92"/>
        <v>1201.357</v>
      </c>
      <c r="S93" s="980">
        <f t="shared" si="92"/>
        <v>1201.357</v>
      </c>
      <c r="T93" s="980">
        <f t="shared" si="92"/>
        <v>1201.357</v>
      </c>
      <c r="U93" s="980">
        <f t="shared" si="92"/>
        <v>1201.357</v>
      </c>
      <c r="V93" s="980">
        <f t="shared" si="92"/>
        <v>1201.357</v>
      </c>
      <c r="W93" s="980">
        <f t="shared" si="92"/>
        <v>1201.357</v>
      </c>
      <c r="X93" s="980">
        <f t="shared" si="92"/>
        <v>1201.357</v>
      </c>
    </row>
    <row r="94" spans="2:24" ht="12.75" customHeight="1">
      <c r="B94" s="137" t="str">
        <f t="shared" si="76"/>
        <v>Options at $4.00 Strike Price</v>
      </c>
      <c r="D94" s="980">
        <v>0</v>
      </c>
      <c r="E94" s="980">
        <v>0</v>
      </c>
      <c r="F94" s="980">
        <v>0</v>
      </c>
      <c r="G94" s="980">
        <v>0</v>
      </c>
      <c r="H94" s="980">
        <v>0</v>
      </c>
      <c r="I94" s="980">
        <f t="shared" ref="I94:X94" si="93">I44</f>
        <v>0</v>
      </c>
      <c r="J94" s="980">
        <f t="shared" si="93"/>
        <v>0</v>
      </c>
      <c r="K94" s="980">
        <f t="shared" si="93"/>
        <v>0</v>
      </c>
      <c r="L94" s="980">
        <f t="shared" si="93"/>
        <v>0</v>
      </c>
      <c r="M94" s="980">
        <f t="shared" si="93"/>
        <v>0</v>
      </c>
      <c r="N94" s="980">
        <f t="shared" si="93"/>
        <v>0</v>
      </c>
      <c r="O94" s="980">
        <f t="shared" si="93"/>
        <v>70</v>
      </c>
      <c r="P94" s="980">
        <f t="shared" si="93"/>
        <v>70</v>
      </c>
      <c r="Q94" s="980">
        <f t="shared" si="93"/>
        <v>70</v>
      </c>
      <c r="R94" s="980">
        <f t="shared" si="93"/>
        <v>70</v>
      </c>
      <c r="S94" s="980">
        <f t="shared" si="93"/>
        <v>70</v>
      </c>
      <c r="T94" s="980">
        <f t="shared" si="93"/>
        <v>70</v>
      </c>
      <c r="U94" s="980">
        <f t="shared" si="93"/>
        <v>70</v>
      </c>
      <c r="V94" s="980">
        <f t="shared" si="93"/>
        <v>70</v>
      </c>
      <c r="W94" s="980">
        <f t="shared" si="93"/>
        <v>70</v>
      </c>
      <c r="X94" s="980">
        <f t="shared" si="93"/>
        <v>70</v>
      </c>
    </row>
    <row r="95" spans="2:24" ht="12.75" customHeight="1">
      <c r="B95" s="137" t="str">
        <f t="shared" si="76"/>
        <v>Options at $6.00 Strike Price</v>
      </c>
      <c r="D95" s="980">
        <v>0</v>
      </c>
      <c r="E95" s="980">
        <v>0</v>
      </c>
      <c r="F95" s="980">
        <v>0</v>
      </c>
      <c r="G95" s="980">
        <v>0</v>
      </c>
      <c r="H95" s="980">
        <v>0</v>
      </c>
      <c r="I95" s="980">
        <f t="shared" ref="I95:X95" si="94">I45</f>
        <v>0</v>
      </c>
      <c r="J95" s="980">
        <f t="shared" si="94"/>
        <v>0</v>
      </c>
      <c r="K95" s="980">
        <f t="shared" si="94"/>
        <v>0</v>
      </c>
      <c r="L95" s="980">
        <f t="shared" si="94"/>
        <v>0</v>
      </c>
      <c r="M95" s="980">
        <f t="shared" si="94"/>
        <v>0</v>
      </c>
      <c r="N95" s="980">
        <f t="shared" si="94"/>
        <v>0</v>
      </c>
      <c r="O95" s="980">
        <f t="shared" si="94"/>
        <v>0</v>
      </c>
      <c r="P95" s="980">
        <f t="shared" si="94"/>
        <v>0</v>
      </c>
      <c r="Q95" s="980">
        <f t="shared" si="94"/>
        <v>75</v>
      </c>
      <c r="R95" s="980">
        <f t="shared" si="94"/>
        <v>75</v>
      </c>
      <c r="S95" s="980">
        <f t="shared" si="94"/>
        <v>75</v>
      </c>
      <c r="T95" s="980">
        <f t="shared" si="94"/>
        <v>75</v>
      </c>
      <c r="U95" s="980">
        <f t="shared" si="94"/>
        <v>75</v>
      </c>
      <c r="V95" s="980">
        <f t="shared" si="94"/>
        <v>75</v>
      </c>
      <c r="W95" s="980">
        <f t="shared" si="94"/>
        <v>75</v>
      </c>
      <c r="X95" s="980">
        <f t="shared" si="94"/>
        <v>75</v>
      </c>
    </row>
    <row r="96" spans="2:24" ht="12.75" customHeight="1">
      <c r="B96" s="137" t="str">
        <f t="shared" si="76"/>
        <v>Options at $7.00 Strike Price</v>
      </c>
      <c r="D96" s="980">
        <v>0</v>
      </c>
      <c r="E96" s="980">
        <v>0</v>
      </c>
      <c r="F96" s="980">
        <v>0</v>
      </c>
      <c r="G96" s="980">
        <v>0</v>
      </c>
      <c r="H96" s="980">
        <v>0</v>
      </c>
      <c r="I96" s="980">
        <f t="shared" ref="I96:X96" si="95">I46</f>
        <v>0</v>
      </c>
      <c r="J96" s="980">
        <f t="shared" si="95"/>
        <v>0</v>
      </c>
      <c r="K96" s="980">
        <f t="shared" si="95"/>
        <v>0</v>
      </c>
      <c r="L96" s="980">
        <f t="shared" si="95"/>
        <v>0</v>
      </c>
      <c r="M96" s="980">
        <f t="shared" si="95"/>
        <v>0</v>
      </c>
      <c r="N96" s="980">
        <f t="shared" si="95"/>
        <v>0</v>
      </c>
      <c r="O96" s="980">
        <f t="shared" si="95"/>
        <v>0</v>
      </c>
      <c r="P96" s="980">
        <f t="shared" si="95"/>
        <v>0</v>
      </c>
      <c r="Q96" s="980">
        <f t="shared" si="95"/>
        <v>0</v>
      </c>
      <c r="R96" s="980">
        <f t="shared" si="95"/>
        <v>2739.67</v>
      </c>
      <c r="S96" s="980">
        <f t="shared" si="95"/>
        <v>2739.67</v>
      </c>
      <c r="T96" s="980">
        <f t="shared" si="95"/>
        <v>2739.67</v>
      </c>
      <c r="U96" s="980">
        <f t="shared" si="95"/>
        <v>2739.67</v>
      </c>
      <c r="V96" s="980">
        <f t="shared" si="95"/>
        <v>2739.67</v>
      </c>
      <c r="W96" s="980">
        <f t="shared" si="95"/>
        <v>2739.67</v>
      </c>
      <c r="X96" s="980">
        <f t="shared" si="95"/>
        <v>2739.67</v>
      </c>
    </row>
    <row r="97" spans="2:27" ht="12.75" customHeight="1">
      <c r="B97" s="137" t="str">
        <f t="shared" ref="B97:B98" si="96">B47</f>
        <v>Options at $10.00 Strike Price</v>
      </c>
      <c r="D97" s="980"/>
      <c r="E97" s="980"/>
      <c r="F97" s="980"/>
      <c r="G97" s="980"/>
      <c r="H97" s="980"/>
      <c r="I97" s="980">
        <f t="shared" ref="I97:X97" si="97">I47</f>
        <v>0</v>
      </c>
      <c r="J97" s="980">
        <f t="shared" si="97"/>
        <v>0</v>
      </c>
      <c r="K97" s="980">
        <f t="shared" si="97"/>
        <v>0</v>
      </c>
      <c r="L97" s="980">
        <f t="shared" si="97"/>
        <v>0</v>
      </c>
      <c r="M97" s="980">
        <f t="shared" si="97"/>
        <v>0</v>
      </c>
      <c r="N97" s="980">
        <f t="shared" si="97"/>
        <v>0</v>
      </c>
      <c r="O97" s="980">
        <f t="shared" si="97"/>
        <v>0</v>
      </c>
      <c r="P97" s="980">
        <f t="shared" si="97"/>
        <v>0</v>
      </c>
      <c r="Q97" s="980">
        <f t="shared" si="97"/>
        <v>0</v>
      </c>
      <c r="R97" s="980">
        <f t="shared" si="97"/>
        <v>0</v>
      </c>
      <c r="S97" s="980">
        <f t="shared" si="97"/>
        <v>0</v>
      </c>
      <c r="T97" s="980">
        <f t="shared" si="97"/>
        <v>100</v>
      </c>
      <c r="U97" s="980">
        <f t="shared" si="97"/>
        <v>100</v>
      </c>
      <c r="V97" s="980">
        <f t="shared" si="97"/>
        <v>100</v>
      </c>
      <c r="W97" s="980">
        <f t="shared" si="97"/>
        <v>100</v>
      </c>
      <c r="X97" s="980">
        <f t="shared" si="97"/>
        <v>100</v>
      </c>
    </row>
    <row r="98" spans="2:27" ht="12.75" customHeight="1">
      <c r="B98" s="137" t="str">
        <f t="shared" si="96"/>
        <v>Options at $11.00 Strike Price</v>
      </c>
      <c r="D98" s="980"/>
      <c r="E98" s="980"/>
      <c r="F98" s="980"/>
      <c r="G98" s="980"/>
      <c r="H98" s="980"/>
      <c r="I98" s="980">
        <f t="shared" ref="I98:X98" si="98">I48</f>
        <v>0</v>
      </c>
      <c r="J98" s="980">
        <f t="shared" si="98"/>
        <v>0</v>
      </c>
      <c r="K98" s="980">
        <f t="shared" si="98"/>
        <v>0</v>
      </c>
      <c r="L98" s="980">
        <f t="shared" si="98"/>
        <v>0</v>
      </c>
      <c r="M98" s="980">
        <f t="shared" si="98"/>
        <v>0</v>
      </c>
      <c r="N98" s="980">
        <f t="shared" si="98"/>
        <v>0</v>
      </c>
      <c r="O98" s="980">
        <f t="shared" si="98"/>
        <v>0</v>
      </c>
      <c r="P98" s="980">
        <f t="shared" si="98"/>
        <v>0</v>
      </c>
      <c r="Q98" s="980">
        <f t="shared" si="98"/>
        <v>0</v>
      </c>
      <c r="R98" s="980">
        <f t="shared" si="98"/>
        <v>0</v>
      </c>
      <c r="S98" s="980">
        <f t="shared" si="98"/>
        <v>0</v>
      </c>
      <c r="T98" s="980">
        <f t="shared" si="98"/>
        <v>0</v>
      </c>
      <c r="U98" s="980">
        <f t="shared" si="98"/>
        <v>6</v>
      </c>
      <c r="V98" s="980">
        <f t="shared" si="98"/>
        <v>6</v>
      </c>
      <c r="W98" s="980">
        <f t="shared" si="98"/>
        <v>6</v>
      </c>
      <c r="X98" s="980">
        <f t="shared" si="98"/>
        <v>6</v>
      </c>
    </row>
    <row r="99" spans="2:27" ht="12.75" customHeight="1">
      <c r="B99" s="259" t="str">
        <f>B49</f>
        <v>Executive Option Grants Made</v>
      </c>
      <c r="D99" s="980">
        <v>0</v>
      </c>
      <c r="E99" s="980">
        <v>0</v>
      </c>
      <c r="F99" s="980">
        <v>0</v>
      </c>
      <c r="G99" s="980">
        <v>0</v>
      </c>
      <c r="H99" s="980">
        <v>0</v>
      </c>
      <c r="I99" s="980">
        <f t="shared" ref="I99:X99" si="99">I49</f>
        <v>0</v>
      </c>
      <c r="J99" s="980">
        <f t="shared" si="99"/>
        <v>0</v>
      </c>
      <c r="K99" s="980">
        <f t="shared" si="99"/>
        <v>0</v>
      </c>
      <c r="L99" s="980">
        <f t="shared" si="99"/>
        <v>0</v>
      </c>
      <c r="M99" s="980">
        <f t="shared" si="99"/>
        <v>0</v>
      </c>
      <c r="N99" s="980">
        <f t="shared" si="99"/>
        <v>0</v>
      </c>
      <c r="O99" s="980">
        <f t="shared" si="99"/>
        <v>0</v>
      </c>
      <c r="P99" s="980">
        <f t="shared" si="99"/>
        <v>0</v>
      </c>
      <c r="Q99" s="980">
        <f t="shared" si="99"/>
        <v>0</v>
      </c>
      <c r="R99" s="980">
        <f t="shared" si="99"/>
        <v>0</v>
      </c>
      <c r="S99" s="980">
        <f t="shared" si="99"/>
        <v>494.86500000000001</v>
      </c>
      <c r="T99" s="980">
        <f t="shared" si="99"/>
        <v>494.86500000000001</v>
      </c>
      <c r="U99" s="980">
        <f t="shared" si="99"/>
        <v>494.86500000000001</v>
      </c>
      <c r="V99" s="980">
        <f t="shared" si="99"/>
        <v>494.86500000000001</v>
      </c>
      <c r="W99" s="980">
        <f t="shared" si="99"/>
        <v>494.86500000000001</v>
      </c>
      <c r="X99" s="980">
        <f t="shared" si="99"/>
        <v>494.86500000000001</v>
      </c>
    </row>
    <row r="100" spans="2:27" ht="12.75" customHeight="1">
      <c r="B100" s="137" t="str">
        <f>B50</f>
        <v>Common Stock</v>
      </c>
      <c r="D100" s="980">
        <v>0</v>
      </c>
      <c r="E100" s="980">
        <v>0</v>
      </c>
      <c r="F100" s="980">
        <v>0</v>
      </c>
      <c r="G100" s="980">
        <v>0</v>
      </c>
      <c r="H100" s="980">
        <v>0</v>
      </c>
      <c r="I100" s="980">
        <f t="shared" ref="I100:X100" si="100">I50</f>
        <v>7451.1540000000005</v>
      </c>
      <c r="J100" s="980">
        <f t="shared" si="100"/>
        <v>7451.1540000000005</v>
      </c>
      <c r="K100" s="980">
        <f t="shared" si="100"/>
        <v>7451.1540000000005</v>
      </c>
      <c r="L100" s="980">
        <f t="shared" si="100"/>
        <v>7451.1540000000005</v>
      </c>
      <c r="M100" s="980">
        <f t="shared" si="100"/>
        <v>7451.1540000000005</v>
      </c>
      <c r="N100" s="980">
        <f t="shared" si="100"/>
        <v>7451.1540000000005</v>
      </c>
      <c r="O100" s="980">
        <f t="shared" si="100"/>
        <v>7451.1540000000005</v>
      </c>
      <c r="P100" s="980">
        <f t="shared" si="100"/>
        <v>7451.1540000000005</v>
      </c>
      <c r="Q100" s="980">
        <f t="shared" si="100"/>
        <v>7451.1540000000005</v>
      </c>
      <c r="R100" s="980">
        <f t="shared" si="100"/>
        <v>7451.1540000000005</v>
      </c>
      <c r="S100" s="980">
        <f t="shared" si="100"/>
        <v>7451.1540000000005</v>
      </c>
      <c r="T100" s="980">
        <f t="shared" si="100"/>
        <v>7451.1540000000005</v>
      </c>
      <c r="U100" s="980">
        <f t="shared" si="100"/>
        <v>7451.1540000000005</v>
      </c>
      <c r="V100" s="980">
        <f t="shared" si="100"/>
        <v>7451.1540000000005</v>
      </c>
      <c r="W100" s="980">
        <f t="shared" si="100"/>
        <v>7451.1540000000005</v>
      </c>
      <c r="X100" s="980">
        <f t="shared" si="100"/>
        <v>7451.1540000000005</v>
      </c>
    </row>
    <row r="101" spans="2:27" ht="12.75" customHeight="1">
      <c r="B101" s="5"/>
      <c r="C101" s="5"/>
      <c r="D101" s="520"/>
      <c r="E101" s="520"/>
      <c r="F101" s="520"/>
      <c r="G101" s="520"/>
      <c r="H101" s="520"/>
      <c r="I101" s="520"/>
      <c r="J101" s="520"/>
      <c r="K101" s="520"/>
      <c r="L101" s="520"/>
      <c r="M101" s="520"/>
      <c r="N101" s="520"/>
      <c r="O101" s="520"/>
      <c r="P101" s="520"/>
      <c r="Q101" s="520"/>
      <c r="R101" s="520"/>
      <c r="S101" s="520"/>
      <c r="T101" s="520"/>
      <c r="U101" s="520"/>
      <c r="V101" s="520"/>
      <c r="W101" s="518"/>
      <c r="X101" s="518"/>
    </row>
    <row r="102" spans="2:27" ht="12.75" customHeight="1">
      <c r="B102" s="39" t="s">
        <v>3250</v>
      </c>
      <c r="D102" s="1101">
        <f t="shared" ref="D102:I102" si="101">SUM(D82:D100)</f>
        <v>75788.952304577571</v>
      </c>
      <c r="E102" s="1101">
        <f t="shared" si="101"/>
        <v>56521.907038807622</v>
      </c>
      <c r="F102" s="1101">
        <f t="shared" si="101"/>
        <v>57200.148200837342</v>
      </c>
      <c r="G102" s="1101">
        <f t="shared" si="101"/>
        <v>31514.56186612459</v>
      </c>
      <c r="H102" s="1101">
        <f t="shared" si="101"/>
        <v>27971.064889616206</v>
      </c>
      <c r="I102" s="1101">
        <f t="shared" si="101"/>
        <v>7451.1540000000005</v>
      </c>
      <c r="J102" s="1101">
        <f t="shared" ref="J102:X102" si="102">SUM(J82:J100)</f>
        <v>28367.563000000002</v>
      </c>
      <c r="K102" s="1101">
        <f>SUM(K82:K100)</f>
        <v>30316.428</v>
      </c>
      <c r="L102" s="1101">
        <f t="shared" si="102"/>
        <v>35816.427000000003</v>
      </c>
      <c r="M102" s="1101">
        <f t="shared" si="102"/>
        <v>36776.427000000003</v>
      </c>
      <c r="N102" s="1101">
        <f t="shared" si="102"/>
        <v>37977.784</v>
      </c>
      <c r="O102" s="1101">
        <f t="shared" si="102"/>
        <v>38047.784</v>
      </c>
      <c r="P102" s="1101">
        <f t="shared" ref="P102:U102" si="103">SUM(P82:P100)</f>
        <v>45190.640999999996</v>
      </c>
      <c r="Q102" s="1101">
        <f t="shared" si="103"/>
        <v>45265.640999999996</v>
      </c>
      <c r="R102" s="1101">
        <f t="shared" si="103"/>
        <v>48005.310999999994</v>
      </c>
      <c r="S102" s="1101">
        <f t="shared" si="103"/>
        <v>48500.175999999992</v>
      </c>
      <c r="T102" s="1101">
        <f t="shared" si="103"/>
        <v>48600.175999999992</v>
      </c>
      <c r="U102" s="1101">
        <f t="shared" si="103"/>
        <v>48606.175999999992</v>
      </c>
      <c r="V102" s="1101">
        <f t="shared" si="102"/>
        <v>53375.95597333333</v>
      </c>
      <c r="W102" s="2597">
        <f t="shared" si="102"/>
        <v>57874.74397333333</v>
      </c>
      <c r="X102" s="2597">
        <f t="shared" si="102"/>
        <v>62939.576973333329</v>
      </c>
    </row>
    <row r="103" spans="2:27" ht="12.75" customHeight="1"/>
    <row r="104" spans="2:27" s="6" customFormat="1" ht="12.75" customHeight="1">
      <c r="B104" s="212" t="s">
        <v>225</v>
      </c>
      <c r="D104" s="2445">
        <f>D$15</f>
        <v>1</v>
      </c>
      <c r="E104" s="2446">
        <f t="shared" ref="E104:X104" si="104">E$15</f>
        <v>2</v>
      </c>
      <c r="F104" s="2446">
        <f t="shared" si="104"/>
        <v>3</v>
      </c>
      <c r="G104" s="2446">
        <f t="shared" si="104"/>
        <v>4</v>
      </c>
      <c r="H104" s="2446">
        <f t="shared" si="104"/>
        <v>5</v>
      </c>
      <c r="I104" s="2446">
        <f t="shared" si="104"/>
        <v>6</v>
      </c>
      <c r="J104" s="2446">
        <f t="shared" si="104"/>
        <v>7</v>
      </c>
      <c r="K104" s="2446">
        <f t="shared" si="104"/>
        <v>8</v>
      </c>
      <c r="L104" s="2446">
        <f t="shared" si="104"/>
        <v>9</v>
      </c>
      <c r="M104" s="2447">
        <f t="shared" si="104"/>
        <v>10</v>
      </c>
      <c r="N104" s="2445">
        <f t="shared" si="104"/>
        <v>11</v>
      </c>
      <c r="O104" s="2446">
        <f t="shared" si="104"/>
        <v>12</v>
      </c>
      <c r="P104" s="2446">
        <f t="shared" si="104"/>
        <v>13</v>
      </c>
      <c r="Q104" s="2446">
        <f t="shared" si="104"/>
        <v>14</v>
      </c>
      <c r="R104" s="2446">
        <f t="shared" si="104"/>
        <v>15</v>
      </c>
      <c r="S104" s="2446">
        <f t="shared" si="104"/>
        <v>16</v>
      </c>
      <c r="T104" s="2446">
        <f t="shared" si="104"/>
        <v>17</v>
      </c>
      <c r="U104" s="2446">
        <f t="shared" si="104"/>
        <v>18</v>
      </c>
      <c r="V104" s="2446">
        <f t="shared" si="104"/>
        <v>19</v>
      </c>
      <c r="W104" s="2446">
        <f t="shared" si="104"/>
        <v>20</v>
      </c>
      <c r="X104" s="2447">
        <f t="shared" si="104"/>
        <v>21</v>
      </c>
      <c r="Z104" s="98" t="s">
        <v>81</v>
      </c>
      <c r="AA104" s="260"/>
    </row>
    <row r="105" spans="2:27" ht="12.75" customHeight="1"/>
    <row r="106" spans="2:27" ht="12.75" customHeight="1">
      <c r="B106" s="2" t="str">
        <f t="shared" ref="B106:B120" si="105">B82</f>
        <v>Series A-1</v>
      </c>
      <c r="D106" s="312">
        <f t="shared" ref="D106:H120" si="106">D$76*D82/D$102</f>
        <v>0</v>
      </c>
      <c r="E106" s="312">
        <f t="shared" si="106"/>
        <v>0</v>
      </c>
      <c r="F106" s="312">
        <f t="shared" si="106"/>
        <v>0</v>
      </c>
      <c r="G106" s="312">
        <f t="shared" si="106"/>
        <v>0</v>
      </c>
      <c r="H106" s="312">
        <f t="shared" si="106"/>
        <v>2116.7605684362784</v>
      </c>
      <c r="I106" s="312">
        <f t="shared" ref="I106:V106" si="107">I$76*I82/I$102</f>
        <v>0</v>
      </c>
      <c r="J106" s="312">
        <f t="shared" si="107"/>
        <v>0</v>
      </c>
      <c r="K106" s="312">
        <f>K$76*K82/K$102</f>
        <v>0</v>
      </c>
      <c r="L106" s="312">
        <f t="shared" si="107"/>
        <v>2770.6833424391152</v>
      </c>
      <c r="M106" s="312">
        <f t="shared" si="107"/>
        <v>218.9828979223158</v>
      </c>
      <c r="N106" s="312">
        <f t="shared" si="107"/>
        <v>319.06562628761168</v>
      </c>
      <c r="O106" s="312">
        <f t="shared" si="107"/>
        <v>420.52349048441829</v>
      </c>
      <c r="P106" s="312">
        <f t="shared" si="107"/>
        <v>1429.5260473170026</v>
      </c>
      <c r="Q106" s="312">
        <f t="shared" si="107"/>
        <v>766.05751651570245</v>
      </c>
      <c r="R106" s="312">
        <f>R$76*R82/R$102</f>
        <v>198.68416233837922</v>
      </c>
      <c r="S106" s="312">
        <f>S$76*S82/S$102</f>
        <v>1626.3670365539047</v>
      </c>
      <c r="T106" s="312">
        <f t="shared" si="107"/>
        <v>486.23529183061777</v>
      </c>
      <c r="U106" s="312">
        <f t="shared" si="107"/>
        <v>435.98751310748622</v>
      </c>
      <c r="V106" s="312">
        <f t="shared" si="107"/>
        <v>231.98204557936077</v>
      </c>
      <c r="W106" s="312">
        <f t="shared" ref="W106:X106" si="108">W$76*W82/W$102</f>
        <v>831.65118636967929</v>
      </c>
      <c r="X106" s="312">
        <f t="shared" si="108"/>
        <v>4314.846427639829</v>
      </c>
      <c r="Y106" s="312"/>
      <c r="Z106" s="312">
        <f>SUM(D106:X106)</f>
        <v>16167.353152821703</v>
      </c>
    </row>
    <row r="107" spans="2:27" ht="12.75" customHeight="1">
      <c r="B107" s="2" t="str">
        <f t="shared" si="105"/>
        <v>Series A-2</v>
      </c>
      <c r="D107" s="312">
        <f t="shared" si="106"/>
        <v>0</v>
      </c>
      <c r="E107" s="312">
        <f t="shared" si="106"/>
        <v>0</v>
      </c>
      <c r="F107" s="312">
        <f t="shared" si="106"/>
        <v>0</v>
      </c>
      <c r="G107" s="312">
        <f t="shared" si="106"/>
        <v>0</v>
      </c>
      <c r="H107" s="312">
        <f t="shared" si="106"/>
        <v>6115.8597429761285</v>
      </c>
      <c r="I107" s="312">
        <f t="shared" ref="I107:X107" si="109">I$76*I83/I$102</f>
        <v>0</v>
      </c>
      <c r="J107" s="312">
        <f t="shared" si="109"/>
        <v>37.238065465487956</v>
      </c>
      <c r="K107" s="312">
        <f t="shared" si="109"/>
        <v>1716.0470166422517</v>
      </c>
      <c r="L107" s="312">
        <f t="shared" si="109"/>
        <v>10536.864824874259</v>
      </c>
      <c r="M107" s="312">
        <f t="shared" si="109"/>
        <v>832.78848904307199</v>
      </c>
      <c r="N107" s="312">
        <f t="shared" si="109"/>
        <v>1213.4015183044282</v>
      </c>
      <c r="O107" s="312">
        <f t="shared" si="109"/>
        <v>1599.2441673316123</v>
      </c>
      <c r="P107" s="312">
        <f t="shared" si="109"/>
        <v>5436.4648942364865</v>
      </c>
      <c r="Q107" s="312">
        <f t="shared" si="109"/>
        <v>2913.304590231141</v>
      </c>
      <c r="R107" s="312">
        <f t="shared" si="109"/>
        <v>755.59271943357373</v>
      </c>
      <c r="S107" s="312">
        <f t="shared" si="109"/>
        <v>6185.0480555868135</v>
      </c>
      <c r="T107" s="312">
        <f t="shared" si="109"/>
        <v>1849.145106056121</v>
      </c>
      <c r="U107" s="312">
        <f t="shared" si="109"/>
        <v>1658.0536002004806</v>
      </c>
      <c r="V107" s="312">
        <f t="shared" si="109"/>
        <v>882.22404149428962</v>
      </c>
      <c r="W107" s="312">
        <f t="shared" si="109"/>
        <v>3162.7562767635845</v>
      </c>
      <c r="X107" s="312">
        <f t="shared" si="109"/>
        <v>16409.292556726567</v>
      </c>
      <c r="Y107" s="312"/>
      <c r="Z107" s="312">
        <f t="shared" ref="Z107:Z124" si="110">SUM(D107:X107)</f>
        <v>61303.325665366297</v>
      </c>
    </row>
    <row r="108" spans="2:27" ht="12.75" customHeight="1">
      <c r="B108" s="2" t="str">
        <f t="shared" si="105"/>
        <v>Series B Tranche I</v>
      </c>
      <c r="D108" s="312">
        <f t="shared" si="106"/>
        <v>0</v>
      </c>
      <c r="E108" s="312">
        <f t="shared" si="106"/>
        <v>0</v>
      </c>
      <c r="F108" s="312">
        <f t="shared" si="106"/>
        <v>0</v>
      </c>
      <c r="G108" s="312">
        <f t="shared" si="106"/>
        <v>5277.272156085487</v>
      </c>
      <c r="H108" s="312">
        <f t="shared" si="106"/>
        <v>0</v>
      </c>
      <c r="I108" s="312">
        <f t="shared" ref="I108:X108" si="111">I$76*I84/I$102</f>
        <v>0</v>
      </c>
      <c r="J108" s="312">
        <f t="shared" si="111"/>
        <v>0</v>
      </c>
      <c r="K108" s="312">
        <f t="shared" si="111"/>
        <v>0</v>
      </c>
      <c r="L108" s="312">
        <f t="shared" si="111"/>
        <v>0</v>
      </c>
      <c r="M108" s="312">
        <f t="shared" si="111"/>
        <v>0</v>
      </c>
      <c r="N108" s="312">
        <f t="shared" si="111"/>
        <v>0</v>
      </c>
      <c r="O108" s="312">
        <f t="shared" si="111"/>
        <v>0</v>
      </c>
      <c r="P108" s="312">
        <f t="shared" si="111"/>
        <v>928.26368734199184</v>
      </c>
      <c r="Q108" s="312">
        <f t="shared" si="111"/>
        <v>497.43995664265429</v>
      </c>
      <c r="R108" s="312">
        <f t="shared" si="111"/>
        <v>129.01569264500469</v>
      </c>
      <c r="S108" s="312">
        <f t="shared" si="111"/>
        <v>1056.0825143105733</v>
      </c>
      <c r="T108" s="312">
        <f t="shared" si="111"/>
        <v>315.73720937622704</v>
      </c>
      <c r="U108" s="312">
        <f t="shared" si="111"/>
        <v>283.10878092204075</v>
      </c>
      <c r="V108" s="312">
        <f t="shared" si="111"/>
        <v>150.63769522129101</v>
      </c>
      <c r="W108" s="312">
        <f t="shared" si="111"/>
        <v>540.03324968493473</v>
      </c>
      <c r="X108" s="312">
        <f t="shared" si="111"/>
        <v>2801.8483907674995</v>
      </c>
      <c r="Y108" s="312"/>
      <c r="Z108" s="312">
        <f t="shared" si="110"/>
        <v>11979.439332997705</v>
      </c>
    </row>
    <row r="109" spans="2:27" ht="12.75" customHeight="1">
      <c r="B109" s="2" t="str">
        <f t="shared" si="105"/>
        <v>Series B Tranche II</v>
      </c>
      <c r="D109" s="312">
        <f t="shared" si="106"/>
        <v>0</v>
      </c>
      <c r="E109" s="312">
        <f t="shared" si="106"/>
        <v>0</v>
      </c>
      <c r="F109" s="312">
        <f t="shared" si="106"/>
        <v>0</v>
      </c>
      <c r="G109" s="312">
        <f t="shared" si="106"/>
        <v>5158.9692990105668</v>
      </c>
      <c r="H109" s="312">
        <f t="shared" si="106"/>
        <v>0</v>
      </c>
      <c r="I109" s="312">
        <f t="shared" ref="I109:X109" si="112">I$76*I85/I$102</f>
        <v>0</v>
      </c>
      <c r="J109" s="312">
        <f t="shared" si="112"/>
        <v>0</v>
      </c>
      <c r="K109" s="312">
        <f t="shared" si="112"/>
        <v>0</v>
      </c>
      <c r="L109" s="312">
        <f t="shared" si="112"/>
        <v>0</v>
      </c>
      <c r="M109" s="312">
        <f t="shared" si="112"/>
        <v>0</v>
      </c>
      <c r="N109" s="312">
        <f t="shared" si="112"/>
        <v>0</v>
      </c>
      <c r="O109" s="312">
        <f t="shared" si="112"/>
        <v>0</v>
      </c>
      <c r="P109" s="312">
        <f t="shared" si="112"/>
        <v>928.26394725586613</v>
      </c>
      <c r="Q109" s="312">
        <f t="shared" si="112"/>
        <v>497.44009592586445</v>
      </c>
      <c r="R109" s="312">
        <f t="shared" si="112"/>
        <v>129.0157287694044</v>
      </c>
      <c r="S109" s="312">
        <f t="shared" si="112"/>
        <v>1056.0828100137246</v>
      </c>
      <c r="T109" s="312">
        <f t="shared" si="112"/>
        <v>315.73729778265988</v>
      </c>
      <c r="U109" s="312">
        <f t="shared" si="112"/>
        <v>283.10886019251211</v>
      </c>
      <c r="V109" s="312">
        <f t="shared" si="112"/>
        <v>150.63773739985243</v>
      </c>
      <c r="W109" s="312">
        <f t="shared" si="112"/>
        <v>540.03340089426888</v>
      </c>
      <c r="X109" s="312">
        <f t="shared" si="112"/>
        <v>2801.8491752851751</v>
      </c>
      <c r="Y109" s="312"/>
      <c r="Z109" s="312">
        <f t="shared" si="110"/>
        <v>11861.138352529893</v>
      </c>
    </row>
    <row r="110" spans="2:27" ht="12.75" customHeight="1">
      <c r="B110" s="2" t="str">
        <f t="shared" si="105"/>
        <v>Series C Tranche I</v>
      </c>
      <c r="D110" s="312">
        <f t="shared" si="106"/>
        <v>0</v>
      </c>
      <c r="E110" s="312">
        <f t="shared" si="106"/>
        <v>0</v>
      </c>
      <c r="F110" s="312">
        <f t="shared" si="106"/>
        <v>11701.155869713901</v>
      </c>
      <c r="G110" s="312">
        <f t="shared" si="106"/>
        <v>0</v>
      </c>
      <c r="H110" s="312">
        <f t="shared" si="106"/>
        <v>0</v>
      </c>
      <c r="I110" s="312">
        <f t="shared" ref="I110:X110" si="113">I$76*I86/I$102</f>
        <v>0</v>
      </c>
      <c r="J110" s="312">
        <f t="shared" si="113"/>
        <v>0</v>
      </c>
      <c r="K110" s="312">
        <f t="shared" si="113"/>
        <v>0</v>
      </c>
      <c r="L110" s="312">
        <f t="shared" si="113"/>
        <v>0</v>
      </c>
      <c r="M110" s="312">
        <f t="shared" si="113"/>
        <v>0</v>
      </c>
      <c r="N110" s="312">
        <f t="shared" si="113"/>
        <v>0</v>
      </c>
      <c r="O110" s="312">
        <f t="shared" si="113"/>
        <v>0</v>
      </c>
      <c r="P110" s="312">
        <f t="shared" si="113"/>
        <v>0</v>
      </c>
      <c r="Q110" s="312">
        <f t="shared" si="113"/>
        <v>0</v>
      </c>
      <c r="R110" s="312">
        <f t="shared" si="113"/>
        <v>0</v>
      </c>
      <c r="S110" s="312">
        <f t="shared" si="113"/>
        <v>0</v>
      </c>
      <c r="T110" s="312">
        <f t="shared" si="113"/>
        <v>0</v>
      </c>
      <c r="U110" s="312">
        <f t="shared" si="113"/>
        <v>0</v>
      </c>
      <c r="V110" s="312">
        <f t="shared" si="113"/>
        <v>100.59122875998121</v>
      </c>
      <c r="W110" s="312">
        <f t="shared" si="113"/>
        <v>360.61762679820532</v>
      </c>
      <c r="X110" s="312">
        <f t="shared" si="113"/>
        <v>1870.9883473220025</v>
      </c>
      <c r="Y110" s="312"/>
      <c r="Z110" s="312">
        <f t="shared" si="110"/>
        <v>14033.353072594087</v>
      </c>
    </row>
    <row r="111" spans="2:27" ht="12.75" customHeight="1">
      <c r="B111" s="2" t="str">
        <f t="shared" si="105"/>
        <v>Series C Tranche II</v>
      </c>
      <c r="D111" s="312">
        <f t="shared" si="106"/>
        <v>0</v>
      </c>
      <c r="E111" s="312">
        <f t="shared" si="106"/>
        <v>0</v>
      </c>
      <c r="F111" s="312">
        <f t="shared" si="106"/>
        <v>11299.574570707329</v>
      </c>
      <c r="G111" s="312">
        <f t="shared" si="106"/>
        <v>0</v>
      </c>
      <c r="H111" s="312">
        <f t="shared" si="106"/>
        <v>0</v>
      </c>
      <c r="I111" s="312">
        <f t="shared" ref="I111:X111" si="114">I$76*I87/I$102</f>
        <v>0</v>
      </c>
      <c r="J111" s="312">
        <f t="shared" si="114"/>
        <v>0</v>
      </c>
      <c r="K111" s="312">
        <f t="shared" si="114"/>
        <v>0</v>
      </c>
      <c r="L111" s="312">
        <f t="shared" si="114"/>
        <v>0</v>
      </c>
      <c r="M111" s="312">
        <f t="shared" si="114"/>
        <v>0</v>
      </c>
      <c r="N111" s="312">
        <f t="shared" si="114"/>
        <v>0</v>
      </c>
      <c r="O111" s="312">
        <f t="shared" si="114"/>
        <v>0</v>
      </c>
      <c r="P111" s="312">
        <f t="shared" si="114"/>
        <v>0</v>
      </c>
      <c r="Q111" s="312">
        <f t="shared" si="114"/>
        <v>0</v>
      </c>
      <c r="R111" s="312">
        <f t="shared" si="114"/>
        <v>0</v>
      </c>
      <c r="S111" s="312">
        <f t="shared" si="114"/>
        <v>0</v>
      </c>
      <c r="T111" s="312">
        <f t="shared" si="114"/>
        <v>0</v>
      </c>
      <c r="U111" s="312">
        <f t="shared" si="114"/>
        <v>0</v>
      </c>
      <c r="V111" s="312">
        <f t="shared" si="114"/>
        <v>100.59122875998121</v>
      </c>
      <c r="W111" s="312">
        <f t="shared" si="114"/>
        <v>360.61762679820532</v>
      </c>
      <c r="X111" s="312">
        <f t="shared" si="114"/>
        <v>1870.9883473220025</v>
      </c>
      <c r="Y111" s="312"/>
      <c r="Z111" s="312">
        <f t="shared" si="110"/>
        <v>13631.771773587516</v>
      </c>
    </row>
    <row r="112" spans="2:27" ht="12.75" customHeight="1">
      <c r="B112" s="2" t="str">
        <f t="shared" si="105"/>
        <v>Series D Tranche I</v>
      </c>
      <c r="D112" s="312">
        <f t="shared" si="106"/>
        <v>0</v>
      </c>
      <c r="E112" s="312">
        <f t="shared" si="106"/>
        <v>17753.943402098663</v>
      </c>
      <c r="F112" s="312">
        <f t="shared" si="106"/>
        <v>0</v>
      </c>
      <c r="G112" s="312">
        <f t="shared" si="106"/>
        <v>0</v>
      </c>
      <c r="H112" s="312">
        <f t="shared" si="106"/>
        <v>0</v>
      </c>
      <c r="I112" s="312">
        <f t="shared" ref="I112:X112" si="115">I$76*I88/I$102</f>
        <v>0</v>
      </c>
      <c r="J112" s="312">
        <f t="shared" si="115"/>
        <v>0</v>
      </c>
      <c r="K112" s="312">
        <f t="shared" si="115"/>
        <v>0</v>
      </c>
      <c r="L112" s="312">
        <f t="shared" si="115"/>
        <v>0</v>
      </c>
      <c r="M112" s="312">
        <f t="shared" si="115"/>
        <v>0</v>
      </c>
      <c r="N112" s="312">
        <f t="shared" si="115"/>
        <v>0</v>
      </c>
      <c r="O112" s="312">
        <f t="shared" si="115"/>
        <v>0</v>
      </c>
      <c r="P112" s="312">
        <f t="shared" si="115"/>
        <v>0</v>
      </c>
      <c r="Q112" s="312">
        <f t="shared" si="115"/>
        <v>0</v>
      </c>
      <c r="R112" s="312">
        <f t="shared" si="115"/>
        <v>0</v>
      </c>
      <c r="S112" s="312">
        <f t="shared" si="115"/>
        <v>0</v>
      </c>
      <c r="T112" s="312">
        <f t="shared" si="115"/>
        <v>0</v>
      </c>
      <c r="U112" s="312">
        <f t="shared" si="115"/>
        <v>0</v>
      </c>
      <c r="V112" s="312">
        <f t="shared" si="115"/>
        <v>0</v>
      </c>
      <c r="W112" s="312">
        <f t="shared" si="115"/>
        <v>400.11290204529115</v>
      </c>
      <c r="X112" s="312">
        <f t="shared" si="115"/>
        <v>2075.9012364052724</v>
      </c>
      <c r="Y112" s="312"/>
      <c r="Z112" s="312">
        <f t="shared" si="110"/>
        <v>20229.957540549225</v>
      </c>
    </row>
    <row r="113" spans="2:27" ht="12.75" customHeight="1">
      <c r="B113" s="2" t="str">
        <f t="shared" si="105"/>
        <v>Series D Tranche II</v>
      </c>
      <c r="D113" s="312">
        <f t="shared" si="106"/>
        <v>0</v>
      </c>
      <c r="E113" s="312">
        <f t="shared" si="106"/>
        <v>12333.597703178475</v>
      </c>
      <c r="F113" s="312">
        <f t="shared" si="106"/>
        <v>0</v>
      </c>
      <c r="G113" s="312">
        <f t="shared" si="106"/>
        <v>0</v>
      </c>
      <c r="H113" s="312">
        <f t="shared" si="106"/>
        <v>0</v>
      </c>
      <c r="I113" s="312">
        <f t="shared" ref="I113:X113" si="116">I$76*I89/I$102</f>
        <v>0</v>
      </c>
      <c r="J113" s="312">
        <f t="shared" si="116"/>
        <v>0</v>
      </c>
      <c r="K113" s="312">
        <f t="shared" si="116"/>
        <v>0</v>
      </c>
      <c r="L113" s="312">
        <f t="shared" si="116"/>
        <v>0</v>
      </c>
      <c r="M113" s="312">
        <f t="shared" si="116"/>
        <v>0</v>
      </c>
      <c r="N113" s="312">
        <f t="shared" si="116"/>
        <v>0</v>
      </c>
      <c r="O113" s="312">
        <f t="shared" si="116"/>
        <v>0</v>
      </c>
      <c r="P113" s="312">
        <f t="shared" si="116"/>
        <v>0</v>
      </c>
      <c r="Q113" s="312">
        <f t="shared" si="116"/>
        <v>0</v>
      </c>
      <c r="R113" s="312">
        <f t="shared" si="116"/>
        <v>0</v>
      </c>
      <c r="S113" s="312">
        <f t="shared" si="116"/>
        <v>0</v>
      </c>
      <c r="T113" s="312">
        <f t="shared" si="116"/>
        <v>0</v>
      </c>
      <c r="U113" s="312">
        <f t="shared" si="116"/>
        <v>0</v>
      </c>
      <c r="V113" s="312">
        <f t="shared" si="116"/>
        <v>0</v>
      </c>
      <c r="W113" s="312">
        <f t="shared" si="116"/>
        <v>280.14583571551151</v>
      </c>
      <c r="X113" s="312">
        <f t="shared" si="116"/>
        <v>1453.4774653924783</v>
      </c>
      <c r="Y113" s="312"/>
      <c r="Z113" s="312">
        <f t="shared" si="110"/>
        <v>14067.221004286464</v>
      </c>
    </row>
    <row r="114" spans="2:27" ht="12.75" customHeight="1">
      <c r="B114" s="2" t="str">
        <f t="shared" si="105"/>
        <v>Series E</v>
      </c>
      <c r="D114" s="312">
        <f t="shared" si="106"/>
        <v>59243.083055577161</v>
      </c>
      <c r="E114" s="312">
        <f t="shared" si="106"/>
        <v>0</v>
      </c>
      <c r="F114" s="312">
        <f t="shared" si="106"/>
        <v>0</v>
      </c>
      <c r="G114" s="312">
        <f t="shared" si="106"/>
        <v>0</v>
      </c>
      <c r="H114" s="312">
        <f t="shared" si="106"/>
        <v>0</v>
      </c>
      <c r="I114" s="312">
        <f t="shared" ref="I114:X114" si="117">I$76*I90/I$102</f>
        <v>0</v>
      </c>
      <c r="J114" s="312">
        <f t="shared" si="117"/>
        <v>0</v>
      </c>
      <c r="K114" s="312">
        <f t="shared" si="117"/>
        <v>0</v>
      </c>
      <c r="L114" s="312">
        <f t="shared" si="117"/>
        <v>0</v>
      </c>
      <c r="M114" s="312">
        <f t="shared" si="117"/>
        <v>0</v>
      </c>
      <c r="N114" s="312">
        <f t="shared" si="117"/>
        <v>0</v>
      </c>
      <c r="O114" s="312">
        <f t="shared" si="117"/>
        <v>0</v>
      </c>
      <c r="P114" s="312">
        <f t="shared" si="117"/>
        <v>0</v>
      </c>
      <c r="Q114" s="312">
        <f t="shared" si="117"/>
        <v>0</v>
      </c>
      <c r="R114" s="312">
        <f t="shared" si="117"/>
        <v>0</v>
      </c>
      <c r="S114" s="312">
        <f t="shared" si="117"/>
        <v>0</v>
      </c>
      <c r="T114" s="312">
        <f t="shared" si="117"/>
        <v>0</v>
      </c>
      <c r="U114" s="312">
        <f t="shared" si="117"/>
        <v>0</v>
      </c>
      <c r="V114" s="312">
        <f t="shared" si="117"/>
        <v>0</v>
      </c>
      <c r="W114" s="312">
        <f t="shared" si="117"/>
        <v>0</v>
      </c>
      <c r="X114" s="312">
        <f t="shared" si="117"/>
        <v>3973.4510091078769</v>
      </c>
      <c r="Y114" s="312"/>
      <c r="Z114" s="312">
        <f t="shared" si="110"/>
        <v>63216.534064685038</v>
      </c>
    </row>
    <row r="115" spans="2:27" ht="12.75" customHeight="1">
      <c r="B115" s="2" t="str">
        <f t="shared" si="105"/>
        <v>Options at $1.00 Strike Price</v>
      </c>
      <c r="D115" s="312">
        <f t="shared" si="106"/>
        <v>0</v>
      </c>
      <c r="E115" s="312">
        <f t="shared" si="106"/>
        <v>0</v>
      </c>
      <c r="F115" s="312">
        <f t="shared" si="106"/>
        <v>0</v>
      </c>
      <c r="G115" s="312">
        <f t="shared" si="106"/>
        <v>0</v>
      </c>
      <c r="H115" s="312">
        <f t="shared" si="106"/>
        <v>0</v>
      </c>
      <c r="I115" s="312">
        <f t="shared" ref="I115:X115" si="118">I$76*I91/I$102</f>
        <v>0</v>
      </c>
      <c r="J115" s="312">
        <f t="shared" si="118"/>
        <v>0</v>
      </c>
      <c r="K115" s="312">
        <f t="shared" si="118"/>
        <v>159.89092434980125</v>
      </c>
      <c r="L115" s="312">
        <f t="shared" si="118"/>
        <v>981.76159525894582</v>
      </c>
      <c r="M115" s="312">
        <f t="shared" si="118"/>
        <v>77.594215082470726</v>
      </c>
      <c r="N115" s="312">
        <f t="shared" si="118"/>
        <v>113.05744451499108</v>
      </c>
      <c r="O115" s="312">
        <f t="shared" si="118"/>
        <v>149.00793841651895</v>
      </c>
      <c r="P115" s="312">
        <f t="shared" si="118"/>
        <v>506.53705213481862</v>
      </c>
      <c r="Q115" s="312">
        <f t="shared" si="118"/>
        <v>271.44417333973593</v>
      </c>
      <c r="R115" s="312">
        <f t="shared" si="118"/>
        <v>70.40157826130249</v>
      </c>
      <c r="S115" s="312">
        <f t="shared" si="118"/>
        <v>576.28552199620867</v>
      </c>
      <c r="T115" s="312">
        <f t="shared" si="118"/>
        <v>172.29220260103264</v>
      </c>
      <c r="U115" s="312">
        <f t="shared" si="118"/>
        <v>154.48744713084878</v>
      </c>
      <c r="V115" s="312">
        <f t="shared" si="118"/>
        <v>82.200322083335109</v>
      </c>
      <c r="W115" s="312">
        <f t="shared" si="118"/>
        <v>294.68657891107711</v>
      </c>
      <c r="X115" s="312">
        <f t="shared" si="118"/>
        <v>1528.9190385675151</v>
      </c>
      <c r="Y115" s="312"/>
      <c r="Z115" s="312">
        <f t="shared" si="110"/>
        <v>5138.5660326486031</v>
      </c>
    </row>
    <row r="116" spans="2:27" ht="12.75" customHeight="1">
      <c r="B116" s="2" t="str">
        <f t="shared" si="105"/>
        <v>Options at $3.50 Strike Price</v>
      </c>
      <c r="D116" s="312">
        <f t="shared" si="106"/>
        <v>0</v>
      </c>
      <c r="E116" s="312">
        <f t="shared" si="106"/>
        <v>0</v>
      </c>
      <c r="F116" s="312">
        <f t="shared" si="106"/>
        <v>0</v>
      </c>
      <c r="G116" s="312">
        <f t="shared" si="106"/>
        <v>0</v>
      </c>
      <c r="H116" s="312">
        <f t="shared" si="106"/>
        <v>0</v>
      </c>
      <c r="I116" s="312">
        <f t="shared" ref="I116:X116" si="119">I$76*I92/I$102</f>
        <v>0</v>
      </c>
      <c r="J116" s="312">
        <f t="shared" si="119"/>
        <v>0</v>
      </c>
      <c r="K116" s="312">
        <f t="shared" si="119"/>
        <v>0</v>
      </c>
      <c r="L116" s="312">
        <f t="shared" si="119"/>
        <v>0</v>
      </c>
      <c r="M116" s="312">
        <f t="shared" si="119"/>
        <v>38.222476405072648</v>
      </c>
      <c r="N116" s="312">
        <f t="shared" si="119"/>
        <v>55.691464895922202</v>
      </c>
      <c r="O116" s="312">
        <f t="shared" si="119"/>
        <v>73.400477139185213</v>
      </c>
      <c r="P116" s="312">
        <f t="shared" si="119"/>
        <v>249.51731908029851</v>
      </c>
      <c r="Q116" s="312">
        <f t="shared" si="119"/>
        <v>133.71188173944654</v>
      </c>
      <c r="R116" s="312">
        <f t="shared" si="119"/>
        <v>34.679423731685056</v>
      </c>
      <c r="S116" s="312">
        <f t="shared" si="119"/>
        <v>283.87502526668612</v>
      </c>
      <c r="T116" s="312">
        <f t="shared" si="119"/>
        <v>84.870175459557913</v>
      </c>
      <c r="U116" s="312">
        <f t="shared" si="119"/>
        <v>76.099652487788958</v>
      </c>
      <c r="V116" s="312">
        <f t="shared" si="119"/>
        <v>40.491418954110053</v>
      </c>
      <c r="W116" s="312">
        <f t="shared" si="119"/>
        <v>145.16096074106417</v>
      </c>
      <c r="X116" s="312">
        <f t="shared" si="119"/>
        <v>753.13696794021882</v>
      </c>
      <c r="Y116" s="312"/>
      <c r="Z116" s="312">
        <f t="shared" si="110"/>
        <v>1968.8572438410361</v>
      </c>
    </row>
    <row r="117" spans="2:27" ht="12.75" customHeight="1">
      <c r="B117" s="2" t="str">
        <f t="shared" si="105"/>
        <v>Options at $3.70 Strike Price</v>
      </c>
      <c r="D117" s="312">
        <f t="shared" si="106"/>
        <v>0</v>
      </c>
      <c r="E117" s="312">
        <f t="shared" si="106"/>
        <v>0</v>
      </c>
      <c r="F117" s="312">
        <f t="shared" si="106"/>
        <v>0</v>
      </c>
      <c r="G117" s="312">
        <f t="shared" si="106"/>
        <v>0</v>
      </c>
      <c r="H117" s="312">
        <f t="shared" si="106"/>
        <v>0</v>
      </c>
      <c r="I117" s="312">
        <f t="shared" ref="I117:X117" si="120">I$76*I93/I$102</f>
        <v>0</v>
      </c>
      <c r="J117" s="312">
        <f t="shared" si="120"/>
        <v>0</v>
      </c>
      <c r="K117" s="312">
        <f t="shared" si="120"/>
        <v>0</v>
      </c>
      <c r="L117" s="312">
        <f t="shared" si="120"/>
        <v>0</v>
      </c>
      <c r="M117" s="312">
        <f t="shared" si="120"/>
        <v>0</v>
      </c>
      <c r="N117" s="312">
        <f t="shared" si="120"/>
        <v>69.69305332601084</v>
      </c>
      <c r="O117" s="312">
        <f t="shared" si="120"/>
        <v>91.854351056770966</v>
      </c>
      <c r="P117" s="312">
        <f t="shared" si="120"/>
        <v>312.2493519774481</v>
      </c>
      <c r="Q117" s="312">
        <f t="shared" si="120"/>
        <v>167.32885949047531</v>
      </c>
      <c r="R117" s="312">
        <f t="shared" si="120"/>
        <v>43.398300475027042</v>
      </c>
      <c r="S117" s="312">
        <f t="shared" si="120"/>
        <v>355.24505075969813</v>
      </c>
      <c r="T117" s="312">
        <f t="shared" si="120"/>
        <v>106.20768685371679</v>
      </c>
      <c r="U117" s="312">
        <f t="shared" si="120"/>
        <v>95.232135639346538</v>
      </c>
      <c r="V117" s="312">
        <f t="shared" si="120"/>
        <v>50.671510000471663</v>
      </c>
      <c r="W117" s="312">
        <f t="shared" si="120"/>
        <v>181.65639199271104</v>
      </c>
      <c r="X117" s="312">
        <f t="shared" si="120"/>
        <v>942.48580041016396</v>
      </c>
      <c r="Y117" s="312"/>
      <c r="Z117" s="312">
        <f t="shared" si="110"/>
        <v>2416.0224919818402</v>
      </c>
    </row>
    <row r="118" spans="2:27" ht="12.75" customHeight="1">
      <c r="B118" s="2" t="str">
        <f t="shared" si="105"/>
        <v>Options at $4.00 Strike Price</v>
      </c>
      <c r="D118" s="312">
        <f t="shared" si="106"/>
        <v>0</v>
      </c>
      <c r="E118" s="312">
        <f t="shared" si="106"/>
        <v>0</v>
      </c>
      <c r="F118" s="312">
        <f t="shared" si="106"/>
        <v>0</v>
      </c>
      <c r="G118" s="312">
        <f t="shared" si="106"/>
        <v>0</v>
      </c>
      <c r="H118" s="312">
        <f t="shared" si="106"/>
        <v>0</v>
      </c>
      <c r="I118" s="312">
        <f t="shared" ref="I118:X118" si="121">I$76*I94/I$102</f>
        <v>0</v>
      </c>
      <c r="J118" s="312">
        <f t="shared" si="121"/>
        <v>0</v>
      </c>
      <c r="K118" s="312">
        <f t="shared" si="121"/>
        <v>0</v>
      </c>
      <c r="L118" s="312">
        <f t="shared" si="121"/>
        <v>0</v>
      </c>
      <c r="M118" s="312">
        <f t="shared" si="121"/>
        <v>0</v>
      </c>
      <c r="N118" s="312">
        <f t="shared" si="121"/>
        <v>0</v>
      </c>
      <c r="O118" s="312">
        <f t="shared" si="121"/>
        <v>5.3521181247322556</v>
      </c>
      <c r="P118" s="312">
        <f t="shared" si="121"/>
        <v>18.193971182938434</v>
      </c>
      <c r="Q118" s="312">
        <f t="shared" si="121"/>
        <v>9.7498247101679762</v>
      </c>
      <c r="R118" s="312">
        <f t="shared" si="121"/>
        <v>2.5287079804353687</v>
      </c>
      <c r="S118" s="312">
        <f t="shared" si="121"/>
        <v>20.699220592362533</v>
      </c>
      <c r="T118" s="312">
        <f t="shared" si="121"/>
        <v>6.1884502939260981</v>
      </c>
      <c r="U118" s="312">
        <f t="shared" si="121"/>
        <v>5.5489329939012784</v>
      </c>
      <c r="V118" s="312">
        <f t="shared" si="121"/>
        <v>2.9524992987371914</v>
      </c>
      <c r="W118" s="312">
        <f t="shared" si="121"/>
        <v>10.584653387369261</v>
      </c>
      <c r="X118" s="312">
        <f t="shared" si="121"/>
        <v>54.91623724564095</v>
      </c>
      <c r="Y118" s="312"/>
      <c r="Z118" s="312">
        <f t="shared" si="110"/>
        <v>136.71461581021134</v>
      </c>
    </row>
    <row r="119" spans="2:27" ht="12.75" customHeight="1">
      <c r="B119" s="2" t="str">
        <f t="shared" si="105"/>
        <v>Options at $6.00 Strike Price</v>
      </c>
      <c r="D119" s="312">
        <f t="shared" si="106"/>
        <v>0</v>
      </c>
      <c r="E119" s="312">
        <f t="shared" si="106"/>
        <v>0</v>
      </c>
      <c r="F119" s="312">
        <f t="shared" si="106"/>
        <v>0</v>
      </c>
      <c r="G119" s="312">
        <f t="shared" si="106"/>
        <v>0</v>
      </c>
      <c r="H119" s="312">
        <f t="shared" si="106"/>
        <v>0</v>
      </c>
      <c r="I119" s="312">
        <f t="shared" ref="I119:X119" si="122">I$76*I95/I$102</f>
        <v>0</v>
      </c>
      <c r="J119" s="312">
        <f t="shared" si="122"/>
        <v>0</v>
      </c>
      <c r="K119" s="312">
        <f t="shared" si="122"/>
        <v>0</v>
      </c>
      <c r="L119" s="312">
        <f t="shared" si="122"/>
        <v>0</v>
      </c>
      <c r="M119" s="312">
        <f t="shared" si="122"/>
        <v>0</v>
      </c>
      <c r="N119" s="312">
        <f t="shared" si="122"/>
        <v>0</v>
      </c>
      <c r="O119" s="312">
        <f t="shared" si="122"/>
        <v>0</v>
      </c>
      <c r="P119" s="312">
        <f t="shared" si="122"/>
        <v>0</v>
      </c>
      <c r="Q119" s="312">
        <f t="shared" si="122"/>
        <v>10.446240760894261</v>
      </c>
      <c r="R119" s="312">
        <f t="shared" si="122"/>
        <v>2.7093299790378951</v>
      </c>
      <c r="S119" s="312">
        <f t="shared" si="122"/>
        <v>22.177736348959858</v>
      </c>
      <c r="T119" s="312">
        <f t="shared" si="122"/>
        <v>6.630482457777962</v>
      </c>
      <c r="U119" s="312">
        <f t="shared" si="122"/>
        <v>5.9452853506085122</v>
      </c>
      <c r="V119" s="312">
        <f t="shared" si="122"/>
        <v>3.1633921057898484</v>
      </c>
      <c r="W119" s="312">
        <f t="shared" si="122"/>
        <v>11.340700057895639</v>
      </c>
      <c r="X119" s="312">
        <f t="shared" si="122"/>
        <v>58.838825620329594</v>
      </c>
      <c r="Y119" s="312"/>
      <c r="Z119" s="312">
        <f t="shared" si="110"/>
        <v>121.25199268129356</v>
      </c>
    </row>
    <row r="120" spans="2:27" ht="12.75" customHeight="1">
      <c r="B120" s="2" t="str">
        <f t="shared" si="105"/>
        <v>Options at $7.00 Strike Price</v>
      </c>
      <c r="D120" s="312">
        <f t="shared" si="106"/>
        <v>0</v>
      </c>
      <c r="E120" s="312">
        <f t="shared" si="106"/>
        <v>0</v>
      </c>
      <c r="F120" s="312">
        <f t="shared" si="106"/>
        <v>0</v>
      </c>
      <c r="G120" s="312">
        <f t="shared" si="106"/>
        <v>0</v>
      </c>
      <c r="H120" s="312">
        <f t="shared" si="106"/>
        <v>0</v>
      </c>
      <c r="I120" s="312">
        <f t="shared" ref="I120:X120" si="123">I$76*I96/I$102</f>
        <v>0</v>
      </c>
      <c r="J120" s="312">
        <f t="shared" si="123"/>
        <v>0</v>
      </c>
      <c r="K120" s="312">
        <f t="shared" si="123"/>
        <v>0</v>
      </c>
      <c r="L120" s="312">
        <f t="shared" si="123"/>
        <v>0</v>
      </c>
      <c r="M120" s="312">
        <f t="shared" si="123"/>
        <v>0</v>
      </c>
      <c r="N120" s="312">
        <f t="shared" si="123"/>
        <v>0</v>
      </c>
      <c r="O120" s="312">
        <f t="shared" si="123"/>
        <v>0</v>
      </c>
      <c r="P120" s="312">
        <f t="shared" si="123"/>
        <v>0</v>
      </c>
      <c r="Q120" s="312">
        <f t="shared" si="123"/>
        <v>0</v>
      </c>
      <c r="R120" s="312">
        <f t="shared" si="123"/>
        <v>98.968934182276655</v>
      </c>
      <c r="S120" s="312">
        <f t="shared" si="123"/>
        <v>810.12905257539808</v>
      </c>
      <c r="T120" s="312">
        <f t="shared" si="123"/>
        <v>242.20445166800732</v>
      </c>
      <c r="U120" s="312">
        <f t="shared" si="123"/>
        <v>217.17493222002162</v>
      </c>
      <c r="V120" s="312">
        <f t="shared" si="123"/>
        <v>115.5553393395903</v>
      </c>
      <c r="W120" s="312">
        <f t="shared" si="123"/>
        <v>414.26367636819919</v>
      </c>
      <c r="X120" s="312">
        <f t="shared" si="123"/>
        <v>2149.3195384966448</v>
      </c>
      <c r="Y120" s="312"/>
      <c r="Z120" s="312">
        <f t="shared" si="110"/>
        <v>4047.6159248501381</v>
      </c>
    </row>
    <row r="121" spans="2:27" ht="12.75" customHeight="1">
      <c r="B121" s="2" t="str">
        <f t="shared" ref="B121:B122" si="124">B97</f>
        <v>Options at $10.00 Strike Price</v>
      </c>
      <c r="D121" s="312"/>
      <c r="E121" s="312"/>
      <c r="F121" s="312"/>
      <c r="G121" s="312"/>
      <c r="H121" s="312"/>
      <c r="I121" s="312">
        <f t="shared" ref="I121:X121" si="125">I$76*I97/I$102</f>
        <v>0</v>
      </c>
      <c r="J121" s="312">
        <f t="shared" si="125"/>
        <v>0</v>
      </c>
      <c r="K121" s="312">
        <f t="shared" si="125"/>
        <v>0</v>
      </c>
      <c r="L121" s="312">
        <f t="shared" si="125"/>
        <v>0</v>
      </c>
      <c r="M121" s="312">
        <f t="shared" si="125"/>
        <v>0</v>
      </c>
      <c r="N121" s="312">
        <f t="shared" si="125"/>
        <v>0</v>
      </c>
      <c r="O121" s="312">
        <f t="shared" si="125"/>
        <v>0</v>
      </c>
      <c r="P121" s="312">
        <f t="shared" si="125"/>
        <v>0</v>
      </c>
      <c r="Q121" s="312">
        <f t="shared" si="125"/>
        <v>0</v>
      </c>
      <c r="R121" s="312">
        <f t="shared" si="125"/>
        <v>0</v>
      </c>
      <c r="S121" s="312">
        <f t="shared" si="125"/>
        <v>0</v>
      </c>
      <c r="T121" s="312">
        <f t="shared" si="125"/>
        <v>8.840643277037282</v>
      </c>
      <c r="U121" s="312">
        <f t="shared" si="125"/>
        <v>7.9270471341446829</v>
      </c>
      <c r="V121" s="312">
        <f t="shared" si="125"/>
        <v>4.2178561410531303</v>
      </c>
      <c r="W121" s="312">
        <f t="shared" si="125"/>
        <v>15.120933410527517</v>
      </c>
      <c r="X121" s="312">
        <f t="shared" si="125"/>
        <v>78.451767493772792</v>
      </c>
      <c r="Y121" s="312"/>
      <c r="Z121" s="312">
        <f t="shared" si="110"/>
        <v>114.55824745653541</v>
      </c>
    </row>
    <row r="122" spans="2:27" ht="12.75" customHeight="1">
      <c r="B122" s="2" t="str">
        <f t="shared" si="124"/>
        <v>Options at $11.00 Strike Price</v>
      </c>
      <c r="D122" s="312"/>
      <c r="E122" s="312"/>
      <c r="F122" s="312"/>
      <c r="G122" s="312"/>
      <c r="H122" s="312"/>
      <c r="I122" s="312">
        <f t="shared" ref="I122:X122" si="126">I$76*I98/I$102</f>
        <v>0</v>
      </c>
      <c r="J122" s="312">
        <f t="shared" si="126"/>
        <v>0</v>
      </c>
      <c r="K122" s="312">
        <f t="shared" si="126"/>
        <v>0</v>
      </c>
      <c r="L122" s="312">
        <f t="shared" si="126"/>
        <v>0</v>
      </c>
      <c r="M122" s="312">
        <f t="shared" si="126"/>
        <v>0</v>
      </c>
      <c r="N122" s="312">
        <f t="shared" si="126"/>
        <v>0</v>
      </c>
      <c r="O122" s="312">
        <f t="shared" si="126"/>
        <v>0</v>
      </c>
      <c r="P122" s="312">
        <f t="shared" si="126"/>
        <v>0</v>
      </c>
      <c r="Q122" s="312">
        <f t="shared" si="126"/>
        <v>0</v>
      </c>
      <c r="R122" s="312">
        <f t="shared" si="126"/>
        <v>0</v>
      </c>
      <c r="S122" s="312">
        <f t="shared" si="126"/>
        <v>0</v>
      </c>
      <c r="T122" s="312">
        <f t="shared" si="126"/>
        <v>0</v>
      </c>
      <c r="U122" s="312">
        <f t="shared" si="126"/>
        <v>0.47562282804868095</v>
      </c>
      <c r="V122" s="312">
        <f t="shared" si="126"/>
        <v>0.25307136846318784</v>
      </c>
      <c r="W122" s="312">
        <f t="shared" si="126"/>
        <v>0.90725600463165101</v>
      </c>
      <c r="X122" s="312">
        <f t="shared" si="126"/>
        <v>4.7071060496263684</v>
      </c>
      <c r="Y122" s="312"/>
      <c r="Z122" s="312">
        <f t="shared" si="110"/>
        <v>6.3430562507698882</v>
      </c>
    </row>
    <row r="123" spans="2:27" ht="12.75" customHeight="1">
      <c r="B123" s="2" t="str">
        <f>B99</f>
        <v>Executive Option Grants Made</v>
      </c>
      <c r="D123" s="312">
        <f t="shared" ref="D123:H124" si="127">D$76*D99/D$102</f>
        <v>0</v>
      </c>
      <c r="E123" s="312">
        <f t="shared" si="127"/>
        <v>0</v>
      </c>
      <c r="F123" s="312">
        <f t="shared" si="127"/>
        <v>0</v>
      </c>
      <c r="G123" s="312">
        <f t="shared" si="127"/>
        <v>0</v>
      </c>
      <c r="H123" s="312">
        <f t="shared" si="127"/>
        <v>0</v>
      </c>
      <c r="I123" s="312">
        <f t="shared" ref="I123:X123" si="128">I$76*I99/I$102</f>
        <v>0</v>
      </c>
      <c r="J123" s="312">
        <f t="shared" si="128"/>
        <v>0</v>
      </c>
      <c r="K123" s="312">
        <f t="shared" si="128"/>
        <v>0</v>
      </c>
      <c r="L123" s="312">
        <f t="shared" si="128"/>
        <v>0</v>
      </c>
      <c r="M123" s="312">
        <f t="shared" si="128"/>
        <v>0</v>
      </c>
      <c r="N123" s="312">
        <f t="shared" si="128"/>
        <v>0</v>
      </c>
      <c r="O123" s="312">
        <f t="shared" si="128"/>
        <v>0</v>
      </c>
      <c r="P123" s="312">
        <f t="shared" si="128"/>
        <v>0</v>
      </c>
      <c r="Q123" s="312">
        <f t="shared" si="128"/>
        <v>0</v>
      </c>
      <c r="R123" s="312">
        <f t="shared" si="128"/>
        <v>0</v>
      </c>
      <c r="S123" s="312">
        <f t="shared" si="128"/>
        <v>146.33313997770694</v>
      </c>
      <c r="T123" s="312">
        <f t="shared" si="128"/>
        <v>43.749249352910553</v>
      </c>
      <c r="U123" s="312">
        <f t="shared" si="128"/>
        <v>39.228181800385087</v>
      </c>
      <c r="V123" s="312">
        <f t="shared" si="128"/>
        <v>20.872693792422574</v>
      </c>
      <c r="W123" s="312">
        <f t="shared" si="128"/>
        <v>74.828207122007001</v>
      </c>
      <c r="X123" s="312">
        <f t="shared" si="128"/>
        <v>388.23033920805869</v>
      </c>
      <c r="Y123" s="312"/>
      <c r="Z123" s="312">
        <f t="shared" si="110"/>
        <v>713.24181125349082</v>
      </c>
    </row>
    <row r="124" spans="2:27" ht="12.75" customHeight="1">
      <c r="B124" s="2" t="str">
        <f>B100</f>
        <v>Common Stock</v>
      </c>
      <c r="D124" s="312">
        <f t="shared" si="127"/>
        <v>0</v>
      </c>
      <c r="E124" s="312">
        <f t="shared" si="127"/>
        <v>0</v>
      </c>
      <c r="F124" s="312">
        <f t="shared" si="127"/>
        <v>0</v>
      </c>
      <c r="G124" s="312">
        <f t="shared" si="127"/>
        <v>0</v>
      </c>
      <c r="H124" s="312">
        <f t="shared" si="127"/>
        <v>0</v>
      </c>
      <c r="I124" s="312">
        <f t="shared" ref="I124:X124" si="129">I$76*I100/I$102</f>
        <v>2037.0355111409881</v>
      </c>
      <c r="J124" s="312">
        <f t="shared" si="129"/>
        <v>13.265496981122928</v>
      </c>
      <c r="K124" s="312">
        <f t="shared" si="129"/>
        <v>611.31576611654418</v>
      </c>
      <c r="L124" s="312">
        <f t="shared" si="129"/>
        <v>3753.598549699479</v>
      </c>
      <c r="M124" s="312">
        <f t="shared" si="129"/>
        <v>296.66828953704447</v>
      </c>
      <c r="N124" s="312">
        <f t="shared" si="129"/>
        <v>432.25591815115655</v>
      </c>
      <c r="O124" s="312">
        <f t="shared" si="129"/>
        <v>569.70651962244642</v>
      </c>
      <c r="P124" s="312">
        <f t="shared" si="129"/>
        <v>1936.6583022233779</v>
      </c>
      <c r="Q124" s="312">
        <f t="shared" si="129"/>
        <v>1037.8206484066711</v>
      </c>
      <c r="R124" s="312">
        <f t="shared" si="129"/>
        <v>269.16846547504173</v>
      </c>
      <c r="S124" s="312">
        <f t="shared" si="129"/>
        <v>2203.3297187666349</v>
      </c>
      <c r="T124" s="312">
        <f t="shared" si="129"/>
        <v>658.72994516269466</v>
      </c>
      <c r="U124" s="312">
        <f t="shared" si="129"/>
        <v>590.65648961770694</v>
      </c>
      <c r="V124" s="312">
        <f t="shared" si="129"/>
        <v>314.27895656832601</v>
      </c>
      <c r="W124" s="312">
        <f t="shared" si="129"/>
        <v>1126.6840346558574</v>
      </c>
      <c r="X124" s="312">
        <f t="shared" si="129"/>
        <v>5845.5620116829514</v>
      </c>
      <c r="Y124" s="312"/>
      <c r="Z124" s="312">
        <f t="shared" si="110"/>
        <v>21696.734623808043</v>
      </c>
    </row>
    <row r="125" spans="2:27" ht="12.75" customHeight="1">
      <c r="B125" s="56"/>
      <c r="C125" s="56"/>
      <c r="D125" s="520"/>
      <c r="E125" s="520"/>
      <c r="F125" s="520"/>
      <c r="G125" s="520"/>
      <c r="H125" s="520"/>
      <c r="I125" s="520"/>
      <c r="J125" s="520"/>
      <c r="K125" s="520"/>
      <c r="L125" s="520"/>
      <c r="M125" s="520"/>
      <c r="N125" s="520"/>
      <c r="O125" s="520"/>
      <c r="P125" s="520"/>
      <c r="Q125" s="520"/>
      <c r="R125" s="520"/>
      <c r="S125" s="520"/>
      <c r="T125" s="520"/>
      <c r="U125" s="520"/>
      <c r="V125" s="520"/>
      <c r="W125" s="518"/>
      <c r="X125" s="518"/>
      <c r="Y125" s="312"/>
      <c r="Z125" s="520"/>
    </row>
    <row r="126" spans="2:27" ht="12.75" customHeight="1">
      <c r="B126" s="1" t="s">
        <v>3251</v>
      </c>
      <c r="D126" s="1101">
        <f t="shared" ref="D126:I126" si="130">SUM(D106:D124)</f>
        <v>59243.083055577161</v>
      </c>
      <c r="E126" s="1101">
        <f t="shared" si="130"/>
        <v>30087.541105277138</v>
      </c>
      <c r="F126" s="1101">
        <f t="shared" si="130"/>
        <v>23000.73044042123</v>
      </c>
      <c r="G126" s="1101">
        <f t="shared" si="130"/>
        <v>10436.241455096053</v>
      </c>
      <c r="H126" s="1101">
        <f t="shared" si="130"/>
        <v>8232.6203114124073</v>
      </c>
      <c r="I126" s="1101">
        <f t="shared" si="130"/>
        <v>2037.0355111409881</v>
      </c>
      <c r="J126" s="1101">
        <f t="shared" ref="J126:X126" si="131">SUM(J106:J124)</f>
        <v>50.503562446610886</v>
      </c>
      <c r="K126" s="1101">
        <f>SUM(K106:K124)</f>
        <v>2487.2537071085972</v>
      </c>
      <c r="L126" s="1101">
        <f t="shared" si="131"/>
        <v>18042.9083122718</v>
      </c>
      <c r="M126" s="1101">
        <f t="shared" si="131"/>
        <v>1464.2563679899758</v>
      </c>
      <c r="N126" s="1101">
        <f t="shared" si="131"/>
        <v>2203.1650254801207</v>
      </c>
      <c r="O126" s="1101">
        <f t="shared" si="131"/>
        <v>2909.0890621756844</v>
      </c>
      <c r="P126" s="1101">
        <f>SUM(P106:P124)</f>
        <v>11745.674572750228</v>
      </c>
      <c r="Q126" s="1101">
        <f t="shared" si="131"/>
        <v>6304.7437877627535</v>
      </c>
      <c r="R126" s="1101">
        <f>SUM(R106:R124)</f>
        <v>1734.1630432711686</v>
      </c>
      <c r="S126" s="1101">
        <f t="shared" si="131"/>
        <v>14341.654882748673</v>
      </c>
      <c r="T126" s="1101">
        <f>SUM(T106:T124)</f>
        <v>4296.5681921722871</v>
      </c>
      <c r="U126" s="1101">
        <f>SUM(U106:U124)</f>
        <v>3853.0344816253214</v>
      </c>
      <c r="V126" s="1101">
        <f t="shared" si="131"/>
        <v>2251.3210368670552</v>
      </c>
      <c r="W126" s="2597">
        <f t="shared" si="131"/>
        <v>8751.201497721022</v>
      </c>
      <c r="X126" s="2597">
        <f t="shared" si="131"/>
        <v>49377.210588683636</v>
      </c>
      <c r="Y126" s="312"/>
      <c r="Z126" s="1101">
        <f>SUM(Z106:Z124)</f>
        <v>262849.99999999988</v>
      </c>
      <c r="AA126" s="261">
        <f>Z126-D9</f>
        <v>0</v>
      </c>
    </row>
    <row r="127" spans="2:27" ht="12.75" customHeight="1"/>
    <row r="128" spans="2:27" ht="12.75" customHeight="1">
      <c r="B128" s="1" t="s">
        <v>1556</v>
      </c>
    </row>
    <row r="129" spans="2:26" ht="12.75" customHeight="1">
      <c r="B129" s="1"/>
    </row>
    <row r="130" spans="2:26">
      <c r="B130" s="450" t="s">
        <v>226</v>
      </c>
      <c r="C130" s="138"/>
      <c r="D130" s="449" t="s">
        <v>153</v>
      </c>
      <c r="E130" s="449"/>
      <c r="F130" s="449" t="s">
        <v>151</v>
      </c>
      <c r="G130" s="449"/>
      <c r="H130" s="1136" t="s">
        <v>227</v>
      </c>
      <c r="I130" s="1132"/>
      <c r="J130" s="1132"/>
      <c r="K130" s="1132"/>
      <c r="L130" s="1132"/>
      <c r="M130" s="1132"/>
    </row>
    <row r="132" spans="2:26">
      <c r="B132" s="2" t="str">
        <f>'OPM Hybrid (Redemption)'!B106</f>
        <v>Series A-1</v>
      </c>
      <c r="D132" s="81">
        <f t="shared" ref="D132:D140" si="132">Z106</f>
        <v>16167.353152821703</v>
      </c>
      <c r="E132" s="81"/>
      <c r="F132" s="81">
        <f t="shared" ref="F132:F140" si="133">AA32</f>
        <v>5499.9989999999998</v>
      </c>
      <c r="G132" s="4"/>
      <c r="H132" s="139">
        <f t="shared" ref="H132:H142" si="134">D132/F132</f>
        <v>2.9395192895165443</v>
      </c>
      <c r="I132" s="4"/>
      <c r="J132" s="4"/>
      <c r="K132" s="4"/>
      <c r="L132" s="4"/>
      <c r="M132" s="4"/>
    </row>
    <row r="133" spans="2:26">
      <c r="B133" s="2" t="str">
        <f>'OPM Hybrid (Redemption)'!B107</f>
        <v>Series A-2</v>
      </c>
      <c r="D133" s="81">
        <f t="shared" si="132"/>
        <v>61303.325665366297</v>
      </c>
      <c r="E133" s="81"/>
      <c r="F133" s="81">
        <f t="shared" si="133"/>
        <v>20916.409</v>
      </c>
      <c r="G133" s="4"/>
      <c r="H133" s="139">
        <f t="shared" si="134"/>
        <v>2.9308723914017123</v>
      </c>
      <c r="I133" s="4"/>
      <c r="J133" s="4"/>
      <c r="K133" s="4"/>
      <c r="L133" s="4"/>
      <c r="M133" s="4"/>
    </row>
    <row r="134" spans="2:26">
      <c r="B134" s="2" t="str">
        <f>'OPM Hybrid (Redemption)'!B108</f>
        <v>Series B Tranche I</v>
      </c>
      <c r="D134" s="81">
        <f t="shared" si="132"/>
        <v>11979.439332997705</v>
      </c>
      <c r="E134" s="81"/>
      <c r="F134" s="81">
        <f t="shared" si="133"/>
        <v>3571.4279999999999</v>
      </c>
      <c r="G134" s="4"/>
      <c r="H134" s="139">
        <f t="shared" si="134"/>
        <v>3.3542435499183254</v>
      </c>
      <c r="I134" s="4"/>
      <c r="J134" s="4"/>
      <c r="K134" s="4"/>
      <c r="L134" s="4"/>
      <c r="M134" s="4"/>
    </row>
    <row r="135" spans="2:26">
      <c r="B135" s="2" t="str">
        <f>'OPM Hybrid (Redemption)'!B109</f>
        <v>Series B Tranche II</v>
      </c>
      <c r="D135" s="81">
        <f t="shared" si="132"/>
        <v>11861.138352529893</v>
      </c>
      <c r="E135" s="81"/>
      <c r="F135" s="81">
        <f t="shared" si="133"/>
        <v>3571.4290000000001</v>
      </c>
      <c r="G135" s="4"/>
      <c r="H135" s="139">
        <f t="shared" si="134"/>
        <v>3.3211183401741691</v>
      </c>
      <c r="I135" s="4"/>
      <c r="J135" s="4"/>
      <c r="K135" s="4"/>
      <c r="L135" s="4"/>
      <c r="M135" s="4"/>
    </row>
    <row r="136" spans="2:26">
      <c r="B136" s="2" t="str">
        <f>'OPM Hybrid (Redemption)'!B110</f>
        <v>Series C Tranche I</v>
      </c>
      <c r="D136" s="81">
        <f t="shared" si="132"/>
        <v>14033.353072594087</v>
      </c>
      <c r="E136" s="81"/>
      <c r="F136" s="81">
        <f t="shared" si="133"/>
        <v>2384.889986666667</v>
      </c>
      <c r="G136" s="4"/>
      <c r="H136" s="139">
        <f t="shared" si="134"/>
        <v>5.884276906293838</v>
      </c>
      <c r="I136" s="4"/>
      <c r="J136" s="4"/>
      <c r="K136" s="4"/>
      <c r="L136" s="4"/>
      <c r="M136" s="4"/>
    </row>
    <row r="137" spans="2:26">
      <c r="B137" s="2" t="str">
        <f>'OPM Hybrid (Redemption)'!B111</f>
        <v>Series C Tranche II</v>
      </c>
      <c r="D137" s="81">
        <f t="shared" si="132"/>
        <v>13631.771773587516</v>
      </c>
      <c r="E137" s="81"/>
      <c r="F137" s="81">
        <f t="shared" si="133"/>
        <v>2384.889986666667</v>
      </c>
      <c r="G137" s="4"/>
      <c r="H137" s="139">
        <f t="shared" si="134"/>
        <v>5.715891235989667</v>
      </c>
      <c r="I137" s="4"/>
      <c r="J137" s="4"/>
      <c r="K137" s="4"/>
      <c r="L137" s="4"/>
      <c r="M137" s="4"/>
    </row>
    <row r="138" spans="2:26">
      <c r="B138" s="2" t="str">
        <f>'OPM Hybrid (Redemption)'!B112</f>
        <v>Series D Tranche I</v>
      </c>
      <c r="D138" s="81">
        <f t="shared" si="132"/>
        <v>20229.957540549225</v>
      </c>
      <c r="E138" s="81"/>
      <c r="F138" s="81">
        <f t="shared" si="133"/>
        <v>2646.0859999999998</v>
      </c>
      <c r="G138" s="4"/>
      <c r="H138" s="139">
        <f t="shared" si="134"/>
        <v>7.64523811416153</v>
      </c>
      <c r="I138" s="4"/>
      <c r="J138" s="4"/>
      <c r="K138" s="4"/>
      <c r="L138" s="4"/>
      <c r="M138" s="4"/>
    </row>
    <row r="139" spans="2:26">
      <c r="B139" s="2" t="str">
        <f>'OPM Hybrid (Redemption)'!B113</f>
        <v>Series D Tranche II</v>
      </c>
      <c r="D139" s="81">
        <f t="shared" si="132"/>
        <v>14067.221004286464</v>
      </c>
      <c r="E139" s="81"/>
      <c r="F139" s="81">
        <f t="shared" si="133"/>
        <v>1852.702</v>
      </c>
      <c r="G139" s="4"/>
      <c r="H139" s="139">
        <f t="shared" si="134"/>
        <v>7.592813633431855</v>
      </c>
      <c r="I139" s="4"/>
      <c r="J139" s="4"/>
      <c r="K139" s="4"/>
      <c r="L139" s="4"/>
      <c r="M139" s="4"/>
    </row>
    <row r="140" spans="2:26">
      <c r="B140" s="2" t="str">
        <f>'OPM Hybrid (Redemption)'!B114</f>
        <v>Series E</v>
      </c>
      <c r="D140" s="81">
        <f t="shared" si="132"/>
        <v>63216.534064685038</v>
      </c>
      <c r="E140" s="81"/>
      <c r="F140" s="81">
        <f t="shared" si="133"/>
        <v>5064.8329999999996</v>
      </c>
      <c r="G140" s="4"/>
      <c r="H140" s="139">
        <f t="shared" si="134"/>
        <v>12.481464653362716</v>
      </c>
      <c r="I140" s="4"/>
      <c r="J140" s="4"/>
      <c r="K140" s="4"/>
      <c r="L140" s="4"/>
      <c r="M140" s="4"/>
      <c r="Z140" s="692" t="s">
        <v>40</v>
      </c>
    </row>
    <row r="141" spans="2:26">
      <c r="B141" s="2" t="s">
        <v>2774</v>
      </c>
      <c r="D141" s="81">
        <f>SUM(Z115:Z123)</f>
        <v>14663.171416773919</v>
      </c>
      <c r="E141" s="81"/>
      <c r="F141" s="81">
        <f>SUM(AA41:AA49)</f>
        <v>7595.7569999999996</v>
      </c>
      <c r="G141" s="4"/>
      <c r="H141" s="139">
        <f t="shared" si="134"/>
        <v>1.9304424057765301</v>
      </c>
      <c r="I141" s="4"/>
      <c r="J141" s="4"/>
      <c r="K141" s="4"/>
      <c r="L141" s="4"/>
      <c r="M141" s="4"/>
      <c r="Z141" s="582" t="str">
        <f>IF((D144&lt;&gt;Z126),"Check","")</f>
        <v/>
      </c>
    </row>
    <row r="142" spans="2:26">
      <c r="B142" s="2" t="str">
        <f>'OPM Hybrid (Redemption)'!B124</f>
        <v>Common Stock</v>
      </c>
      <c r="C142" s="351"/>
      <c r="D142" s="81">
        <f>Z124</f>
        <v>21696.734623808043</v>
      </c>
      <c r="E142" s="81"/>
      <c r="F142" s="81">
        <f>AA50</f>
        <v>7451.1540000000005</v>
      </c>
      <c r="G142" s="4"/>
      <c r="H142" s="1110">
        <f t="shared" si="134"/>
        <v>2.9118623268030754</v>
      </c>
      <c r="I142" s="4"/>
      <c r="J142" s="4"/>
      <c r="K142" s="4"/>
      <c r="L142" s="4"/>
      <c r="M142" s="4"/>
    </row>
    <row r="143" spans="2:26">
      <c r="B143" s="5"/>
      <c r="C143" s="5"/>
      <c r="D143" s="141"/>
      <c r="E143" s="141"/>
      <c r="F143" s="141"/>
      <c r="G143" s="5"/>
      <c r="H143" s="142"/>
      <c r="I143" s="16"/>
      <c r="J143" s="16"/>
      <c r="K143" s="16"/>
      <c r="L143" s="16"/>
      <c r="M143" s="16"/>
    </row>
    <row r="144" spans="2:26">
      <c r="B144" s="1" t="str">
        <f>'OPM Hybrid (Redemption)'!B126</f>
        <v>Total Tranche Value</v>
      </c>
      <c r="D144" s="143">
        <f>SUM(D132:D142)</f>
        <v>262849.99999999994</v>
      </c>
      <c r="E144" s="81"/>
      <c r="F144" s="143">
        <f>SUM(F132:F142)</f>
        <v>62939.576973333336</v>
      </c>
      <c r="I144" s="16"/>
      <c r="J144" s="16"/>
      <c r="K144" s="16"/>
      <c r="L144" s="16"/>
      <c r="M144" s="16"/>
      <c r="N144" s="144"/>
    </row>
    <row r="145" spans="1:24">
      <c r="B145" s="1"/>
      <c r="D145" s="143"/>
      <c r="E145" s="81"/>
      <c r="F145" s="143"/>
      <c r="N145" s="144"/>
    </row>
    <row r="146" spans="1:24" ht="27" customHeight="1">
      <c r="A146" s="2501"/>
      <c r="B146" s="2604"/>
      <c r="C146" s="2604"/>
      <c r="D146" s="2604"/>
      <c r="E146" s="2604"/>
      <c r="F146" s="2604"/>
      <c r="G146" s="2604"/>
      <c r="H146" s="2604"/>
      <c r="I146" s="2604"/>
      <c r="J146" s="2604"/>
      <c r="K146" s="2604"/>
      <c r="L146" s="2604"/>
      <c r="M146" s="2604"/>
      <c r="N146" s="2604"/>
      <c r="O146" s="2604"/>
      <c r="P146" s="2604"/>
      <c r="Q146" s="2604"/>
      <c r="R146" s="2604"/>
      <c r="S146" s="2604"/>
      <c r="T146" s="2604"/>
      <c r="U146" s="2604"/>
      <c r="V146" s="2604"/>
      <c r="W146" s="2555"/>
      <c r="X146" s="2555"/>
    </row>
    <row r="147" spans="1:24">
      <c r="B147" s="1"/>
      <c r="D147" s="143"/>
      <c r="E147" s="81"/>
      <c r="F147" s="143"/>
      <c r="N147" s="144"/>
    </row>
    <row r="148" spans="1:24">
      <c r="A148" s="586"/>
      <c r="B148" s="597"/>
    </row>
    <row r="149" spans="1:24">
      <c r="B149" s="310" t="s">
        <v>1055</v>
      </c>
      <c r="D149" s="785">
        <f t="shared" ref="D149:K149" si="135">NORMSDIST(D67)</f>
        <v>1</v>
      </c>
      <c r="E149" s="785">
        <f t="shared" si="135"/>
        <v>0.95310375759136201</v>
      </c>
      <c r="F149" s="785">
        <f t="shared" si="135"/>
        <v>0.89075460248243032</v>
      </c>
      <c r="G149" s="785">
        <f t="shared" si="135"/>
        <v>0.82728659815980854</v>
      </c>
      <c r="H149" s="785">
        <f t="shared" si="135"/>
        <v>0.79406139419204136</v>
      </c>
      <c r="I149" s="785">
        <f t="shared" si="135"/>
        <v>0.76589418214692651</v>
      </c>
      <c r="J149" s="785">
        <f t="shared" si="135"/>
        <v>0.75865631770989328</v>
      </c>
      <c r="K149" s="785">
        <f t="shared" si="135"/>
        <v>0.75847551301557614</v>
      </c>
      <c r="L149" s="785">
        <f t="shared" ref="L149:V149" si="136">NORMSDIST(L67)</f>
        <v>0.74948950578885909</v>
      </c>
      <c r="M149" s="785">
        <f t="shared" si="136"/>
        <v>0.67945103036876464</v>
      </c>
      <c r="N149" s="785">
        <f t="shared" si="136"/>
        <v>0.67338613330488339</v>
      </c>
      <c r="O149" s="785">
        <f t="shared" si="136"/>
        <v>0.66415061747410631</v>
      </c>
      <c r="P149" s="785">
        <f>NORMSDIST(P67)</f>
        <v>0.65175174209919939</v>
      </c>
      <c r="Q149" s="785">
        <f t="shared" si="136"/>
        <v>0.59927453311902001</v>
      </c>
      <c r="R149" s="785">
        <f>NORMSDIST(R67)</f>
        <v>0.56945800577686412</v>
      </c>
      <c r="S149" s="785">
        <f t="shared" si="136"/>
        <v>0.56104794556842719</v>
      </c>
      <c r="T149" s="785">
        <f>NORMSDIST(T67)</f>
        <v>0.48787822326565222</v>
      </c>
      <c r="U149" s="785">
        <f>NORMSDIST(U67)</f>
        <v>0.4646377822075568</v>
      </c>
      <c r="V149" s="785">
        <f t="shared" si="136"/>
        <v>0.44324615104378984</v>
      </c>
      <c r="W149" s="785"/>
      <c r="X149" s="785"/>
    </row>
    <row r="151" spans="1:24">
      <c r="D151" s="317">
        <f t="shared" ref="D151:K151" si="137">NORMSDIST(D68)</f>
        <v>1</v>
      </c>
      <c r="E151" s="317">
        <f t="shared" si="137"/>
        <v>0.66424172270432602</v>
      </c>
      <c r="F151" s="317">
        <f t="shared" si="137"/>
        <v>0.49158125985661172</v>
      </c>
      <c r="G151" s="317">
        <f t="shared" si="137"/>
        <v>0.37898088386928952</v>
      </c>
      <c r="H151" s="317">
        <f t="shared" si="137"/>
        <v>0.33321211051154609</v>
      </c>
      <c r="I151" s="317">
        <f t="shared" si="137"/>
        <v>0.29935259272600667</v>
      </c>
      <c r="J151" s="317">
        <f t="shared" si="137"/>
        <v>0.29127338550528747</v>
      </c>
      <c r="K151" s="317">
        <f t="shared" si="137"/>
        <v>0.29107456953057359</v>
      </c>
      <c r="L151" s="317">
        <f t="shared" ref="L151:V151" si="138">NORMSDIST(L68)</f>
        <v>0.28137179010993274</v>
      </c>
      <c r="M151" s="317">
        <f t="shared" si="138"/>
        <v>0.21608284442181536</v>
      </c>
      <c r="N151" s="317">
        <f t="shared" si="138"/>
        <v>0.21116871774849041</v>
      </c>
      <c r="O151" s="317">
        <f t="shared" si="138"/>
        <v>0.2038812281998143</v>
      </c>
      <c r="P151" s="317">
        <f>NORMSDIST(P68)</f>
        <v>0.19445350363357738</v>
      </c>
      <c r="Q151" s="317">
        <f t="shared" si="138"/>
        <v>0.15861035431028164</v>
      </c>
      <c r="R151" s="317">
        <f>NORMSDIST(R68)</f>
        <v>0.14081589662071051</v>
      </c>
      <c r="S151" s="317">
        <f t="shared" si="138"/>
        <v>0.13609598413895296</v>
      </c>
      <c r="T151" s="317">
        <f>NORMSDIST(T68)</f>
        <v>9.991346421792266E-2</v>
      </c>
      <c r="U151" s="317">
        <f>NORMSDIST(U68)</f>
        <v>9.0055771537992227E-2</v>
      </c>
      <c r="V151" s="317">
        <f t="shared" si="138"/>
        <v>8.1598511183777145E-2</v>
      </c>
      <c r="W151" s="317"/>
      <c r="X151" s="317"/>
    </row>
    <row r="152" spans="1:24">
      <c r="B152" s="310" t="s">
        <v>988</v>
      </c>
      <c r="D152" s="694">
        <f>D151-I151</f>
        <v>0.70064740727399333</v>
      </c>
      <c r="E152" s="317"/>
      <c r="F152" s="317"/>
      <c r="G152" s="317"/>
      <c r="H152" s="317"/>
      <c r="I152" s="317"/>
      <c r="J152" s="317"/>
      <c r="K152" s="317"/>
      <c r="L152" s="317"/>
      <c r="M152" s="317"/>
      <c r="N152" s="317"/>
      <c r="O152" s="317"/>
      <c r="P152" s="317"/>
      <c r="Q152" s="317"/>
      <c r="R152" s="317"/>
      <c r="S152" s="317"/>
      <c r="T152" s="317"/>
      <c r="U152" s="317"/>
      <c r="V152" s="317"/>
      <c r="W152" s="317"/>
      <c r="X152" s="317"/>
    </row>
    <row r="155" spans="1:24">
      <c r="B155" s="1" t="s">
        <v>1056</v>
      </c>
    </row>
    <row r="156" spans="1:24">
      <c r="B156" s="310" t="str">
        <f t="shared" ref="B156:B170" si="139">B82</f>
        <v>Series A-1</v>
      </c>
      <c r="D156" s="149">
        <f t="shared" ref="D156:K170" si="140">D82/D$102</f>
        <v>0</v>
      </c>
      <c r="E156" s="149">
        <f t="shared" si="140"/>
        <v>0</v>
      </c>
      <c r="F156" s="149">
        <f t="shared" si="140"/>
        <v>0</v>
      </c>
      <c r="G156" s="149">
        <f t="shared" si="140"/>
        <v>0</v>
      </c>
      <c r="H156" s="149">
        <f t="shared" si="140"/>
        <v>0.25711869227127299</v>
      </c>
      <c r="I156" s="149">
        <f t="shared" si="140"/>
        <v>0</v>
      </c>
      <c r="J156" s="149">
        <f t="shared" si="140"/>
        <v>0</v>
      </c>
      <c r="K156" s="149">
        <f t="shared" si="140"/>
        <v>0</v>
      </c>
      <c r="L156" s="149">
        <f t="shared" ref="L156:V156" si="141">L82/L$102</f>
        <v>0.1535607948833087</v>
      </c>
      <c r="M156" s="149">
        <f t="shared" si="141"/>
        <v>0.14955229337531892</v>
      </c>
      <c r="N156" s="149">
        <f t="shared" si="141"/>
        <v>0.14482148300174649</v>
      </c>
      <c r="O156" s="149">
        <f t="shared" si="141"/>
        <v>0.14455504162870564</v>
      </c>
      <c r="P156" s="149">
        <f t="shared" ref="P156:P170" si="142">P82/P$102</f>
        <v>0.12170659407110425</v>
      </c>
      <c r="Q156" s="149">
        <f t="shared" si="141"/>
        <v>0.12150494013770843</v>
      </c>
      <c r="R156" s="149">
        <f t="shared" ref="R156:R170" si="143">R82/R$102</f>
        <v>0.11457063573653341</v>
      </c>
      <c r="S156" s="149">
        <f t="shared" si="141"/>
        <v>0.11340162971779733</v>
      </c>
      <c r="T156" s="149">
        <f t="shared" ref="T156:U170" si="144">T82/T$102</f>
        <v>0.11316829387613742</v>
      </c>
      <c r="U156" s="149">
        <f t="shared" si="144"/>
        <v>0.11315432425706562</v>
      </c>
      <c r="V156" s="149">
        <f t="shared" si="141"/>
        <v>0.10304263220592814</v>
      </c>
      <c r="W156" s="149"/>
      <c r="X156" s="149"/>
    </row>
    <row r="157" spans="1:24">
      <c r="B157" s="310" t="str">
        <f t="shared" si="139"/>
        <v>Series A-2</v>
      </c>
      <c r="D157" s="149">
        <f t="shared" si="140"/>
        <v>0</v>
      </c>
      <c r="E157" s="149">
        <f t="shared" si="140"/>
        <v>0</v>
      </c>
      <c r="F157" s="149">
        <f t="shared" si="140"/>
        <v>0</v>
      </c>
      <c r="G157" s="149">
        <f t="shared" si="140"/>
        <v>0</v>
      </c>
      <c r="H157" s="149">
        <f t="shared" si="140"/>
        <v>0.74288130772872696</v>
      </c>
      <c r="I157" s="149">
        <f t="shared" si="140"/>
        <v>0</v>
      </c>
      <c r="J157" s="149">
        <f t="shared" si="140"/>
        <v>0.73733542074093561</v>
      </c>
      <c r="K157" s="149">
        <f t="shared" si="140"/>
        <v>0.6899364595327655</v>
      </c>
      <c r="L157" s="149">
        <f t="shared" ref="L157:V157" si="145">L83/L$102</f>
        <v>0.58398926838793819</v>
      </c>
      <c r="M157" s="149">
        <f t="shared" si="145"/>
        <v>0.56874500070384759</v>
      </c>
      <c r="N157" s="149">
        <f t="shared" si="145"/>
        <v>0.55075380385543293</v>
      </c>
      <c r="O157" s="149">
        <f t="shared" si="145"/>
        <v>0.5497405315379208</v>
      </c>
      <c r="P157" s="149">
        <f t="shared" si="142"/>
        <v>0.4628482477157162</v>
      </c>
      <c r="Q157" s="149">
        <f t="shared" si="145"/>
        <v>0.46208136100403396</v>
      </c>
      <c r="R157" s="149">
        <f t="shared" si="143"/>
        <v>0.43571031130284738</v>
      </c>
      <c r="S157" s="149">
        <f t="shared" si="145"/>
        <v>0.43126459994701882</v>
      </c>
      <c r="T157" s="149">
        <f t="shared" si="144"/>
        <v>0.43037722744049328</v>
      </c>
      <c r="U157" s="149">
        <f t="shared" si="144"/>
        <v>0.43032410120063763</v>
      </c>
      <c r="V157" s="149">
        <f t="shared" si="145"/>
        <v>0.39186949664095672</v>
      </c>
      <c r="W157" s="149"/>
      <c r="X157" s="149"/>
    </row>
    <row r="158" spans="1:24">
      <c r="B158" s="310" t="str">
        <f t="shared" si="139"/>
        <v>Series B Tranche I</v>
      </c>
      <c r="D158" s="149">
        <f t="shared" si="140"/>
        <v>0</v>
      </c>
      <c r="E158" s="149">
        <f t="shared" si="140"/>
        <v>0</v>
      </c>
      <c r="F158" s="149">
        <f t="shared" si="140"/>
        <v>0</v>
      </c>
      <c r="G158" s="149">
        <f t="shared" si="140"/>
        <v>0.50566788616303782</v>
      </c>
      <c r="H158" s="149">
        <f t="shared" si="140"/>
        <v>0</v>
      </c>
      <c r="I158" s="149">
        <f t="shared" si="140"/>
        <v>0</v>
      </c>
      <c r="J158" s="149">
        <f t="shared" si="140"/>
        <v>0</v>
      </c>
      <c r="K158" s="149">
        <f t="shared" si="140"/>
        <v>0</v>
      </c>
      <c r="L158" s="149">
        <f t="shared" ref="L158:V158" si="146">L84/L$102</f>
        <v>0</v>
      </c>
      <c r="M158" s="149">
        <f t="shared" si="146"/>
        <v>0</v>
      </c>
      <c r="N158" s="149">
        <f t="shared" si="146"/>
        <v>0</v>
      </c>
      <c r="O158" s="149">
        <f t="shared" si="146"/>
        <v>0</v>
      </c>
      <c r="P158" s="149">
        <f t="shared" si="142"/>
        <v>7.9030257614624233E-2</v>
      </c>
      <c r="Q158" s="149">
        <f t="shared" si="146"/>
        <v>7.8899313499172591E-2</v>
      </c>
      <c r="R158" s="149">
        <f t="shared" si="143"/>
        <v>7.4396518335231712E-2</v>
      </c>
      <c r="S158" s="149">
        <f t="shared" si="146"/>
        <v>7.3637423501308544E-2</v>
      </c>
      <c r="T158" s="149">
        <f t="shared" si="144"/>
        <v>7.348590671770408E-2</v>
      </c>
      <c r="U158" s="149">
        <f t="shared" si="144"/>
        <v>7.3476835536290711E-2</v>
      </c>
      <c r="V158" s="149">
        <f t="shared" si="146"/>
        <v>6.6910801593591848E-2</v>
      </c>
      <c r="W158" s="149"/>
      <c r="X158" s="149"/>
    </row>
    <row r="159" spans="1:24">
      <c r="B159" s="310" t="str">
        <f t="shared" si="139"/>
        <v>Series B Tranche II</v>
      </c>
      <c r="D159" s="149">
        <f t="shared" si="140"/>
        <v>0</v>
      </c>
      <c r="E159" s="149">
        <f t="shared" si="140"/>
        <v>0</v>
      </c>
      <c r="F159" s="149">
        <f t="shared" si="140"/>
        <v>0</v>
      </c>
      <c r="G159" s="149">
        <f t="shared" si="140"/>
        <v>0.49433211383696229</v>
      </c>
      <c r="H159" s="149">
        <f t="shared" si="140"/>
        <v>0</v>
      </c>
      <c r="I159" s="149">
        <f t="shared" si="140"/>
        <v>0</v>
      </c>
      <c r="J159" s="149">
        <f t="shared" si="140"/>
        <v>0</v>
      </c>
      <c r="K159" s="149">
        <f t="shared" si="140"/>
        <v>0</v>
      </c>
      <c r="L159" s="149">
        <f t="shared" ref="L159:V159" si="147">L85/L$102</f>
        <v>0</v>
      </c>
      <c r="M159" s="149">
        <f t="shared" si="147"/>
        <v>0</v>
      </c>
      <c r="N159" s="149">
        <f t="shared" si="147"/>
        <v>0</v>
      </c>
      <c r="O159" s="149">
        <f t="shared" si="147"/>
        <v>0</v>
      </c>
      <c r="P159" s="149">
        <f t="shared" si="142"/>
        <v>7.903027974309991E-2</v>
      </c>
      <c r="Q159" s="149">
        <f t="shared" si="147"/>
        <v>7.8899335590983902E-2</v>
      </c>
      <c r="R159" s="149">
        <f t="shared" si="143"/>
        <v>7.4396539166260184E-2</v>
      </c>
      <c r="S159" s="149">
        <f t="shared" si="147"/>
        <v>7.3637444119790424E-2</v>
      </c>
      <c r="T159" s="149">
        <f t="shared" si="144"/>
        <v>7.3485927293761258E-2</v>
      </c>
      <c r="U159" s="149">
        <f t="shared" si="144"/>
        <v>7.3476856109807948E-2</v>
      </c>
      <c r="V159" s="149">
        <f t="shared" si="147"/>
        <v>6.6910820328619294E-2</v>
      </c>
      <c r="W159" s="149"/>
      <c r="X159" s="149"/>
    </row>
    <row r="160" spans="1:24">
      <c r="B160" s="310" t="str">
        <f t="shared" si="139"/>
        <v>Series C Tranche I</v>
      </c>
      <c r="D160" s="149">
        <f t="shared" si="140"/>
        <v>0</v>
      </c>
      <c r="E160" s="149">
        <f t="shared" si="140"/>
        <v>0</v>
      </c>
      <c r="F160" s="149">
        <f t="shared" si="140"/>
        <v>0.50872975099740392</v>
      </c>
      <c r="G160" s="149">
        <f t="shared" si="140"/>
        <v>0</v>
      </c>
      <c r="H160" s="149">
        <f t="shared" si="140"/>
        <v>0</v>
      </c>
      <c r="I160" s="149">
        <f t="shared" si="140"/>
        <v>0</v>
      </c>
      <c r="J160" s="149">
        <f t="shared" si="140"/>
        <v>0</v>
      </c>
      <c r="K160" s="149">
        <f t="shared" si="140"/>
        <v>0</v>
      </c>
      <c r="L160" s="149">
        <f t="shared" ref="L160:V160" si="148">L86/L$102</f>
        <v>0</v>
      </c>
      <c r="M160" s="149">
        <f t="shared" si="148"/>
        <v>0</v>
      </c>
      <c r="N160" s="149">
        <f t="shared" si="148"/>
        <v>0</v>
      </c>
      <c r="O160" s="149">
        <f t="shared" si="148"/>
        <v>0</v>
      </c>
      <c r="P160" s="149">
        <f t="shared" si="142"/>
        <v>0</v>
      </c>
      <c r="Q160" s="149">
        <f t="shared" si="148"/>
        <v>0</v>
      </c>
      <c r="R160" s="149">
        <f t="shared" si="143"/>
        <v>0</v>
      </c>
      <c r="S160" s="149">
        <f t="shared" si="148"/>
        <v>0</v>
      </c>
      <c r="T160" s="149">
        <f t="shared" si="144"/>
        <v>0</v>
      </c>
      <c r="U160" s="149">
        <f t="shared" si="144"/>
        <v>0</v>
      </c>
      <c r="V160" s="149">
        <f t="shared" si="148"/>
        <v>4.4680979350667928E-2</v>
      </c>
      <c r="W160" s="149"/>
      <c r="X160" s="149"/>
    </row>
    <row r="161" spans="2:24">
      <c r="B161" s="310" t="str">
        <f t="shared" si="139"/>
        <v>Series C Tranche II</v>
      </c>
      <c r="D161" s="149">
        <f t="shared" si="140"/>
        <v>0</v>
      </c>
      <c r="E161" s="149">
        <f t="shared" si="140"/>
        <v>0</v>
      </c>
      <c r="F161" s="149">
        <f t="shared" si="140"/>
        <v>0.49127024900259603</v>
      </c>
      <c r="G161" s="149">
        <f t="shared" si="140"/>
        <v>0</v>
      </c>
      <c r="H161" s="149">
        <f t="shared" si="140"/>
        <v>0</v>
      </c>
      <c r="I161" s="149">
        <f t="shared" si="140"/>
        <v>0</v>
      </c>
      <c r="J161" s="149">
        <f t="shared" si="140"/>
        <v>0</v>
      </c>
      <c r="K161" s="149">
        <f t="shared" si="140"/>
        <v>0</v>
      </c>
      <c r="L161" s="149">
        <f t="shared" ref="L161:V161" si="149">L87/L$102</f>
        <v>0</v>
      </c>
      <c r="M161" s="149">
        <f t="shared" si="149"/>
        <v>0</v>
      </c>
      <c r="N161" s="149">
        <f t="shared" si="149"/>
        <v>0</v>
      </c>
      <c r="O161" s="149">
        <f t="shared" si="149"/>
        <v>0</v>
      </c>
      <c r="P161" s="149">
        <f t="shared" si="142"/>
        <v>0</v>
      </c>
      <c r="Q161" s="149">
        <f t="shared" si="149"/>
        <v>0</v>
      </c>
      <c r="R161" s="149">
        <f t="shared" si="143"/>
        <v>0</v>
      </c>
      <c r="S161" s="149">
        <f t="shared" si="149"/>
        <v>0</v>
      </c>
      <c r="T161" s="149">
        <f t="shared" si="144"/>
        <v>0</v>
      </c>
      <c r="U161" s="149">
        <f t="shared" si="144"/>
        <v>0</v>
      </c>
      <c r="V161" s="149">
        <f t="shared" si="149"/>
        <v>4.4680979350667928E-2</v>
      </c>
      <c r="W161" s="149"/>
      <c r="X161" s="149"/>
    </row>
    <row r="162" spans="2:24">
      <c r="B162" s="310" t="str">
        <f t="shared" si="139"/>
        <v>Series D Tranche I</v>
      </c>
      <c r="D162" s="149">
        <f t="shared" si="140"/>
        <v>0</v>
      </c>
      <c r="E162" s="149">
        <f t="shared" si="140"/>
        <v>0.59007624916828949</v>
      </c>
      <c r="F162" s="149">
        <f t="shared" si="140"/>
        <v>0</v>
      </c>
      <c r="G162" s="149">
        <f t="shared" si="140"/>
        <v>0</v>
      </c>
      <c r="H162" s="149">
        <f t="shared" si="140"/>
        <v>0</v>
      </c>
      <c r="I162" s="149">
        <f t="shared" si="140"/>
        <v>0</v>
      </c>
      <c r="J162" s="149">
        <f t="shared" si="140"/>
        <v>0</v>
      </c>
      <c r="K162" s="149">
        <f t="shared" si="140"/>
        <v>0</v>
      </c>
      <c r="L162" s="149">
        <f t="shared" ref="L162:V162" si="150">L88/L$102</f>
        <v>0</v>
      </c>
      <c r="M162" s="149">
        <f t="shared" si="150"/>
        <v>0</v>
      </c>
      <c r="N162" s="149">
        <f t="shared" si="150"/>
        <v>0</v>
      </c>
      <c r="O162" s="149">
        <f t="shared" si="150"/>
        <v>0</v>
      </c>
      <c r="P162" s="149">
        <f t="shared" si="142"/>
        <v>0</v>
      </c>
      <c r="Q162" s="149">
        <f t="shared" si="150"/>
        <v>0</v>
      </c>
      <c r="R162" s="149">
        <f t="shared" si="143"/>
        <v>0</v>
      </c>
      <c r="S162" s="149">
        <f t="shared" si="150"/>
        <v>0</v>
      </c>
      <c r="T162" s="149">
        <f t="shared" si="144"/>
        <v>0</v>
      </c>
      <c r="U162" s="149">
        <f t="shared" si="144"/>
        <v>0</v>
      </c>
      <c r="V162" s="149">
        <f t="shared" si="150"/>
        <v>0</v>
      </c>
      <c r="W162" s="149"/>
      <c r="X162" s="149"/>
    </row>
    <row r="163" spans="2:24">
      <c r="B163" s="310" t="str">
        <f t="shared" si="139"/>
        <v>Series D Tranche II</v>
      </c>
      <c r="D163" s="149">
        <f t="shared" si="140"/>
        <v>0</v>
      </c>
      <c r="E163" s="149">
        <f t="shared" si="140"/>
        <v>0.40992375083171056</v>
      </c>
      <c r="F163" s="149">
        <f t="shared" si="140"/>
        <v>0</v>
      </c>
      <c r="G163" s="149">
        <f t="shared" si="140"/>
        <v>0</v>
      </c>
      <c r="H163" s="149">
        <f t="shared" si="140"/>
        <v>0</v>
      </c>
      <c r="I163" s="149">
        <f t="shared" si="140"/>
        <v>0</v>
      </c>
      <c r="J163" s="149">
        <f t="shared" si="140"/>
        <v>0</v>
      </c>
      <c r="K163" s="149">
        <f t="shared" si="140"/>
        <v>0</v>
      </c>
      <c r="L163" s="149">
        <f t="shared" ref="L163:V163" si="151">L89/L$102</f>
        <v>0</v>
      </c>
      <c r="M163" s="149">
        <f t="shared" si="151"/>
        <v>0</v>
      </c>
      <c r="N163" s="149">
        <f t="shared" si="151"/>
        <v>0</v>
      </c>
      <c r="O163" s="149">
        <f t="shared" si="151"/>
        <v>0</v>
      </c>
      <c r="P163" s="149">
        <f t="shared" si="142"/>
        <v>0</v>
      </c>
      <c r="Q163" s="149">
        <f t="shared" si="151"/>
        <v>0</v>
      </c>
      <c r="R163" s="149">
        <f t="shared" si="143"/>
        <v>0</v>
      </c>
      <c r="S163" s="149">
        <f t="shared" si="151"/>
        <v>0</v>
      </c>
      <c r="T163" s="149">
        <f t="shared" si="144"/>
        <v>0</v>
      </c>
      <c r="U163" s="149">
        <f t="shared" si="144"/>
        <v>0</v>
      </c>
      <c r="V163" s="149">
        <f t="shared" si="151"/>
        <v>0</v>
      </c>
      <c r="W163" s="149"/>
      <c r="X163" s="149"/>
    </row>
    <row r="164" spans="2:24">
      <c r="B164" s="310" t="str">
        <f t="shared" si="139"/>
        <v>Series E</v>
      </c>
      <c r="D164" s="149">
        <f t="shared" si="140"/>
        <v>1</v>
      </c>
      <c r="E164" s="149">
        <f t="shared" si="140"/>
        <v>0</v>
      </c>
      <c r="F164" s="149">
        <f t="shared" si="140"/>
        <v>0</v>
      </c>
      <c r="G164" s="149">
        <f t="shared" si="140"/>
        <v>0</v>
      </c>
      <c r="H164" s="149">
        <f t="shared" si="140"/>
        <v>0</v>
      </c>
      <c r="I164" s="149">
        <f t="shared" si="140"/>
        <v>0</v>
      </c>
      <c r="J164" s="149">
        <f t="shared" si="140"/>
        <v>0</v>
      </c>
      <c r="K164" s="149">
        <f t="shared" si="140"/>
        <v>0</v>
      </c>
      <c r="L164" s="149">
        <f t="shared" ref="L164:V164" si="152">L90/L$102</f>
        <v>0</v>
      </c>
      <c r="M164" s="149">
        <f t="shared" si="152"/>
        <v>0</v>
      </c>
      <c r="N164" s="149">
        <f t="shared" si="152"/>
        <v>0</v>
      </c>
      <c r="O164" s="149">
        <f t="shared" si="152"/>
        <v>0</v>
      </c>
      <c r="P164" s="149">
        <f t="shared" si="142"/>
        <v>0</v>
      </c>
      <c r="Q164" s="149">
        <f t="shared" si="152"/>
        <v>0</v>
      </c>
      <c r="R164" s="149">
        <f t="shared" si="143"/>
        <v>0</v>
      </c>
      <c r="S164" s="149">
        <f t="shared" si="152"/>
        <v>0</v>
      </c>
      <c r="T164" s="149">
        <f t="shared" si="144"/>
        <v>0</v>
      </c>
      <c r="U164" s="149">
        <f t="shared" si="144"/>
        <v>0</v>
      </c>
      <c r="V164" s="149">
        <f t="shared" si="152"/>
        <v>0</v>
      </c>
      <c r="W164" s="149"/>
      <c r="X164" s="149"/>
    </row>
    <row r="165" spans="2:24">
      <c r="B165" s="310" t="str">
        <f t="shared" si="139"/>
        <v>Options at $1.00 Strike Price</v>
      </c>
      <c r="D165" s="149">
        <f t="shared" si="140"/>
        <v>0</v>
      </c>
      <c r="E165" s="149">
        <f t="shared" si="140"/>
        <v>0</v>
      </c>
      <c r="F165" s="149">
        <f t="shared" si="140"/>
        <v>0</v>
      </c>
      <c r="G165" s="149">
        <f t="shared" si="140"/>
        <v>0</v>
      </c>
      <c r="H165" s="149">
        <f t="shared" si="140"/>
        <v>0</v>
      </c>
      <c r="I165" s="149">
        <f t="shared" si="140"/>
        <v>0</v>
      </c>
      <c r="J165" s="149">
        <f t="shared" si="140"/>
        <v>0</v>
      </c>
      <c r="K165" s="149">
        <f t="shared" si="140"/>
        <v>6.4284123446205474E-2</v>
      </c>
      <c r="L165" s="149">
        <f t="shared" ref="L165:V165" si="153">L91/L$102</f>
        <v>5.4412602351429411E-2</v>
      </c>
      <c r="M165" s="149">
        <f t="shared" si="153"/>
        <v>5.2992233312931673E-2</v>
      </c>
      <c r="N165" s="149">
        <f t="shared" si="153"/>
        <v>5.1315921961112843E-2</v>
      </c>
      <c r="O165" s="149">
        <f t="shared" si="153"/>
        <v>5.1221511350043408E-2</v>
      </c>
      <c r="P165" s="149">
        <f t="shared" si="142"/>
        <v>4.3125411741780785E-2</v>
      </c>
      <c r="Q165" s="149">
        <f t="shared" si="153"/>
        <v>4.3053957857351458E-2</v>
      </c>
      <c r="R165" s="149">
        <f t="shared" si="143"/>
        <v>4.0596862293007546E-2</v>
      </c>
      <c r="S165" s="149">
        <f t="shared" si="153"/>
        <v>4.0182637687747776E-2</v>
      </c>
      <c r="T165" s="149">
        <f t="shared" si="144"/>
        <v>4.0099957662704765E-2</v>
      </c>
      <c r="U165" s="149">
        <f t="shared" si="144"/>
        <v>4.0095007679682521E-2</v>
      </c>
      <c r="V165" s="149">
        <f t="shared" si="153"/>
        <v>3.6512039259280989E-2</v>
      </c>
      <c r="W165" s="149"/>
      <c r="X165" s="149"/>
    </row>
    <row r="166" spans="2:24">
      <c r="B166" s="310" t="str">
        <f t="shared" si="139"/>
        <v>Options at $3.50 Strike Price</v>
      </c>
      <c r="D166" s="149">
        <f t="shared" si="140"/>
        <v>0</v>
      </c>
      <c r="E166" s="149">
        <f t="shared" si="140"/>
        <v>0</v>
      </c>
      <c r="F166" s="149">
        <f t="shared" si="140"/>
        <v>0</v>
      </c>
      <c r="G166" s="149">
        <f t="shared" si="140"/>
        <v>0</v>
      </c>
      <c r="H166" s="149">
        <f t="shared" si="140"/>
        <v>0</v>
      </c>
      <c r="I166" s="149">
        <f t="shared" si="140"/>
        <v>0</v>
      </c>
      <c r="J166" s="149">
        <f t="shared" si="140"/>
        <v>0</v>
      </c>
      <c r="K166" s="149">
        <f t="shared" si="140"/>
        <v>0</v>
      </c>
      <c r="L166" s="149">
        <f t="shared" ref="L166:O167" si="154">L92/L$102</f>
        <v>0</v>
      </c>
      <c r="M166" s="149">
        <f t="shared" si="154"/>
        <v>2.610367777163344E-2</v>
      </c>
      <c r="N166" s="149">
        <f t="shared" si="154"/>
        <v>2.5277936174475057E-2</v>
      </c>
      <c r="O166" s="149">
        <f t="shared" si="154"/>
        <v>2.5231430035452262E-2</v>
      </c>
      <c r="P166" s="149">
        <f t="shared" si="142"/>
        <v>2.1243336645744858E-2</v>
      </c>
      <c r="Q166" s="149">
        <f>Q92/Q$102</f>
        <v>2.1208138861879812E-2</v>
      </c>
      <c r="R166" s="149">
        <f t="shared" si="143"/>
        <v>1.9997787328156255E-2</v>
      </c>
      <c r="S166" s="149">
        <f>S92/S$102</f>
        <v>1.9793742604150552E-2</v>
      </c>
      <c r="T166" s="149">
        <f t="shared" si="144"/>
        <v>1.9753014886201237E-2</v>
      </c>
      <c r="U166" s="149">
        <f t="shared" si="144"/>
        <v>1.9750576552247191E-2</v>
      </c>
      <c r="V166" s="149">
        <f>V92/V$102</f>
        <v>1.7985626346057704E-2</v>
      </c>
      <c r="W166" s="149"/>
      <c r="X166" s="149"/>
    </row>
    <row r="167" spans="2:24">
      <c r="B167" s="310" t="str">
        <f t="shared" si="139"/>
        <v>Options at $3.70 Strike Price</v>
      </c>
      <c r="D167" s="149">
        <f t="shared" si="140"/>
        <v>0</v>
      </c>
      <c r="E167" s="149">
        <f t="shared" si="140"/>
        <v>0</v>
      </c>
      <c r="F167" s="149">
        <f t="shared" si="140"/>
        <v>0</v>
      </c>
      <c r="G167" s="149">
        <f t="shared" si="140"/>
        <v>0</v>
      </c>
      <c r="H167" s="149">
        <f t="shared" si="140"/>
        <v>0</v>
      </c>
      <c r="I167" s="149">
        <f t="shared" si="140"/>
        <v>0</v>
      </c>
      <c r="J167" s="149">
        <f t="shared" si="140"/>
        <v>0</v>
      </c>
      <c r="K167" s="149">
        <f t="shared" si="140"/>
        <v>0</v>
      </c>
      <c r="L167" s="149">
        <f t="shared" si="154"/>
        <v>0</v>
      </c>
      <c r="M167" s="149">
        <f t="shared" si="154"/>
        <v>0</v>
      </c>
      <c r="N167" s="149">
        <f t="shared" si="154"/>
        <v>3.163315163412378E-2</v>
      </c>
      <c r="O167" s="149">
        <f t="shared" si="154"/>
        <v>3.1574953221980021E-2</v>
      </c>
      <c r="P167" s="149">
        <f t="shared" si="142"/>
        <v>2.6584199148668861E-2</v>
      </c>
      <c r="Q167" s="149">
        <f>Q93/Q$102</f>
        <v>2.6540152165303484E-2</v>
      </c>
      <c r="R167" s="149">
        <f t="shared" si="143"/>
        <v>2.5025501865824806E-2</v>
      </c>
      <c r="S167" s="149">
        <f>S93/S$102</f>
        <v>2.4770157535098432E-2</v>
      </c>
      <c r="T167" s="149">
        <f t="shared" si="144"/>
        <v>2.4719190317335479E-2</v>
      </c>
      <c r="U167" s="149">
        <f t="shared" si="144"/>
        <v>2.471613895320628E-2</v>
      </c>
      <c r="V167" s="149">
        <f>V93/V$102</f>
        <v>2.2507456364813379E-2</v>
      </c>
      <c r="W167" s="149"/>
      <c r="X167" s="149"/>
    </row>
    <row r="168" spans="2:24">
      <c r="B168" s="310" t="str">
        <f t="shared" si="139"/>
        <v>Options at $4.00 Strike Price</v>
      </c>
      <c r="D168" s="149">
        <f t="shared" si="140"/>
        <v>0</v>
      </c>
      <c r="E168" s="149">
        <f t="shared" si="140"/>
        <v>0</v>
      </c>
      <c r="F168" s="149">
        <f t="shared" si="140"/>
        <v>0</v>
      </c>
      <c r="G168" s="149">
        <f t="shared" si="140"/>
        <v>0</v>
      </c>
      <c r="H168" s="149">
        <f t="shared" si="140"/>
        <v>0</v>
      </c>
      <c r="I168" s="149">
        <f t="shared" si="140"/>
        <v>0</v>
      </c>
      <c r="J168" s="149">
        <f t="shared" si="140"/>
        <v>0</v>
      </c>
      <c r="K168" s="149">
        <f t="shared" si="140"/>
        <v>0</v>
      </c>
      <c r="L168" s="149">
        <f t="shared" ref="L168:V168" si="155">L94/L$102</f>
        <v>0</v>
      </c>
      <c r="M168" s="149">
        <f t="shared" si="155"/>
        <v>0</v>
      </c>
      <c r="N168" s="149">
        <f t="shared" si="155"/>
        <v>0</v>
      </c>
      <c r="O168" s="149">
        <f t="shared" si="155"/>
        <v>1.8397917734183941E-3</v>
      </c>
      <c r="P168" s="149">
        <f t="shared" si="142"/>
        <v>1.5489932970855626E-3</v>
      </c>
      <c r="Q168" s="149">
        <f t="shared" si="155"/>
        <v>1.5464267920120695E-3</v>
      </c>
      <c r="R168" s="149">
        <f t="shared" si="143"/>
        <v>1.4581719926780603E-3</v>
      </c>
      <c r="S168" s="149">
        <f t="shared" si="155"/>
        <v>1.4432937315526444E-3</v>
      </c>
      <c r="T168" s="149">
        <f t="shared" si="144"/>
        <v>1.4403240021188402E-3</v>
      </c>
      <c r="U168" s="149">
        <f t="shared" si="144"/>
        <v>1.440146206934691E-3</v>
      </c>
      <c r="V168" s="149">
        <f t="shared" si="155"/>
        <v>1.3114519210667076E-3</v>
      </c>
      <c r="W168" s="149"/>
      <c r="X168" s="149"/>
    </row>
    <row r="169" spans="2:24">
      <c r="B169" s="310" t="str">
        <f t="shared" si="139"/>
        <v>Options at $6.00 Strike Price</v>
      </c>
      <c r="D169" s="149">
        <f t="shared" si="140"/>
        <v>0</v>
      </c>
      <c r="E169" s="149">
        <f t="shared" si="140"/>
        <v>0</v>
      </c>
      <c r="F169" s="149">
        <f t="shared" si="140"/>
        <v>0</v>
      </c>
      <c r="G169" s="149">
        <f t="shared" si="140"/>
        <v>0</v>
      </c>
      <c r="H169" s="149">
        <f t="shared" si="140"/>
        <v>0</v>
      </c>
      <c r="I169" s="149">
        <f t="shared" si="140"/>
        <v>0</v>
      </c>
      <c r="J169" s="149">
        <f t="shared" si="140"/>
        <v>0</v>
      </c>
      <c r="K169" s="149">
        <f t="shared" si="140"/>
        <v>0</v>
      </c>
      <c r="L169" s="149">
        <f t="shared" ref="L169:V169" si="156">L95/L$102</f>
        <v>0</v>
      </c>
      <c r="M169" s="149">
        <f t="shared" si="156"/>
        <v>0</v>
      </c>
      <c r="N169" s="149">
        <f t="shared" si="156"/>
        <v>0</v>
      </c>
      <c r="O169" s="149">
        <f t="shared" si="156"/>
        <v>0</v>
      </c>
      <c r="P169" s="149">
        <f t="shared" si="142"/>
        <v>0</v>
      </c>
      <c r="Q169" s="149">
        <f t="shared" si="156"/>
        <v>1.6568858485843602E-3</v>
      </c>
      <c r="R169" s="149">
        <f t="shared" si="143"/>
        <v>1.5623271350122074E-3</v>
      </c>
      <c r="S169" s="149">
        <f t="shared" si="156"/>
        <v>1.5463861409492619E-3</v>
      </c>
      <c r="T169" s="149">
        <f t="shared" si="144"/>
        <v>1.5432042879844718E-3</v>
      </c>
      <c r="U169" s="149">
        <f t="shared" si="144"/>
        <v>1.5430137931443117E-3</v>
      </c>
      <c r="V169" s="149">
        <f t="shared" si="156"/>
        <v>1.4051270582857581E-3</v>
      </c>
      <c r="W169" s="149"/>
      <c r="X169" s="149"/>
    </row>
    <row r="170" spans="2:24">
      <c r="B170" s="310" t="str">
        <f t="shared" si="139"/>
        <v>Options at $7.00 Strike Price</v>
      </c>
      <c r="D170" s="149">
        <f t="shared" si="140"/>
        <v>0</v>
      </c>
      <c r="E170" s="149">
        <f t="shared" si="140"/>
        <v>0</v>
      </c>
      <c r="F170" s="149">
        <f t="shared" si="140"/>
        <v>0</v>
      </c>
      <c r="G170" s="149">
        <f t="shared" si="140"/>
        <v>0</v>
      </c>
      <c r="H170" s="149">
        <f t="shared" si="140"/>
        <v>0</v>
      </c>
      <c r="I170" s="149">
        <f t="shared" si="140"/>
        <v>0</v>
      </c>
      <c r="J170" s="149">
        <f t="shared" si="140"/>
        <v>0</v>
      </c>
      <c r="K170" s="149">
        <f t="shared" si="140"/>
        <v>0</v>
      </c>
      <c r="L170" s="149">
        <f t="shared" ref="L170:V170" si="157">L96/L$102</f>
        <v>0</v>
      </c>
      <c r="M170" s="149">
        <f t="shared" si="157"/>
        <v>0</v>
      </c>
      <c r="N170" s="149">
        <f t="shared" si="157"/>
        <v>0</v>
      </c>
      <c r="O170" s="149">
        <f t="shared" si="157"/>
        <v>0</v>
      </c>
      <c r="P170" s="149">
        <f t="shared" si="142"/>
        <v>0</v>
      </c>
      <c r="Q170" s="149">
        <f t="shared" si="157"/>
        <v>0</v>
      </c>
      <c r="R170" s="149">
        <f t="shared" si="143"/>
        <v>5.7070143759718597E-2</v>
      </c>
      <c r="S170" s="149">
        <f t="shared" si="157"/>
        <v>5.6487836250326197E-2</v>
      </c>
      <c r="T170" s="149">
        <f t="shared" si="144"/>
        <v>5.6371606555498902E-2</v>
      </c>
      <c r="U170" s="149">
        <f t="shared" si="144"/>
        <v>5.636464798218236E-2</v>
      </c>
      <c r="V170" s="149">
        <f t="shared" si="157"/>
        <v>5.1327792636983241E-2</v>
      </c>
      <c r="W170" s="149"/>
      <c r="X170" s="149"/>
    </row>
    <row r="171" spans="2:24">
      <c r="B171" s="310" t="str">
        <f t="shared" ref="B171:B172" si="158">B97</f>
        <v>Options at $10.00 Strike Price</v>
      </c>
      <c r="D171" s="149">
        <f t="shared" ref="D171:V171" si="159">D97/D$102</f>
        <v>0</v>
      </c>
      <c r="E171" s="149">
        <f t="shared" si="159"/>
        <v>0</v>
      </c>
      <c r="F171" s="149">
        <f t="shared" si="159"/>
        <v>0</v>
      </c>
      <c r="G171" s="149">
        <f t="shared" si="159"/>
        <v>0</v>
      </c>
      <c r="H171" s="149">
        <f t="shared" si="159"/>
        <v>0</v>
      </c>
      <c r="I171" s="149">
        <f t="shared" si="159"/>
        <v>0</v>
      </c>
      <c r="J171" s="149">
        <f t="shared" si="159"/>
        <v>0</v>
      </c>
      <c r="K171" s="149">
        <f t="shared" si="159"/>
        <v>0</v>
      </c>
      <c r="L171" s="149">
        <f t="shared" si="159"/>
        <v>0</v>
      </c>
      <c r="M171" s="149">
        <f t="shared" si="159"/>
        <v>0</v>
      </c>
      <c r="N171" s="149">
        <f t="shared" si="159"/>
        <v>0</v>
      </c>
      <c r="O171" s="149">
        <f t="shared" si="159"/>
        <v>0</v>
      </c>
      <c r="P171" s="149">
        <f t="shared" si="159"/>
        <v>0</v>
      </c>
      <c r="Q171" s="149">
        <f t="shared" si="159"/>
        <v>0</v>
      </c>
      <c r="R171" s="149">
        <f t="shared" si="159"/>
        <v>0</v>
      </c>
      <c r="S171" s="149">
        <f t="shared" si="159"/>
        <v>0</v>
      </c>
      <c r="T171" s="149">
        <f t="shared" si="159"/>
        <v>2.0576057173126291E-3</v>
      </c>
      <c r="U171" s="149">
        <f t="shared" si="159"/>
        <v>2.0573517241924159E-3</v>
      </c>
      <c r="V171" s="149">
        <f t="shared" si="159"/>
        <v>1.8735027443810108E-3</v>
      </c>
      <c r="W171" s="149"/>
      <c r="X171" s="149"/>
    </row>
    <row r="172" spans="2:24">
      <c r="B172" s="310" t="str">
        <f t="shared" si="158"/>
        <v>Options at $11.00 Strike Price</v>
      </c>
      <c r="D172" s="149">
        <f t="shared" ref="D172:V172" si="160">D98/D$102</f>
        <v>0</v>
      </c>
      <c r="E172" s="149">
        <f t="shared" si="160"/>
        <v>0</v>
      </c>
      <c r="F172" s="149">
        <f t="shared" si="160"/>
        <v>0</v>
      </c>
      <c r="G172" s="149">
        <f t="shared" si="160"/>
        <v>0</v>
      </c>
      <c r="H172" s="149">
        <f t="shared" si="160"/>
        <v>0</v>
      </c>
      <c r="I172" s="149">
        <f t="shared" si="160"/>
        <v>0</v>
      </c>
      <c r="J172" s="149">
        <f t="shared" si="160"/>
        <v>0</v>
      </c>
      <c r="K172" s="149">
        <f t="shared" si="160"/>
        <v>0</v>
      </c>
      <c r="L172" s="149">
        <f t="shared" si="160"/>
        <v>0</v>
      </c>
      <c r="M172" s="149">
        <f t="shared" si="160"/>
        <v>0</v>
      </c>
      <c r="N172" s="149">
        <f t="shared" si="160"/>
        <v>0</v>
      </c>
      <c r="O172" s="149">
        <f t="shared" si="160"/>
        <v>0</v>
      </c>
      <c r="P172" s="149">
        <f t="shared" si="160"/>
        <v>0</v>
      </c>
      <c r="Q172" s="149">
        <f t="shared" si="160"/>
        <v>0</v>
      </c>
      <c r="R172" s="149">
        <f t="shared" si="160"/>
        <v>0</v>
      </c>
      <c r="S172" s="149">
        <f t="shared" si="160"/>
        <v>0</v>
      </c>
      <c r="T172" s="149">
        <f t="shared" si="160"/>
        <v>0</v>
      </c>
      <c r="U172" s="149">
        <f t="shared" si="160"/>
        <v>1.2344110345154495E-4</v>
      </c>
      <c r="V172" s="149">
        <f t="shared" si="160"/>
        <v>1.1241016466286065E-4</v>
      </c>
      <c r="W172" s="149"/>
      <c r="X172" s="149"/>
    </row>
    <row r="173" spans="2:24">
      <c r="B173" s="310" t="str">
        <f>B99</f>
        <v>Executive Option Grants Made</v>
      </c>
      <c r="D173" s="149">
        <f t="shared" ref="D173:V173" si="161">D99/D$102</f>
        <v>0</v>
      </c>
      <c r="E173" s="149">
        <f t="shared" si="161"/>
        <v>0</v>
      </c>
      <c r="F173" s="149">
        <f t="shared" si="161"/>
        <v>0</v>
      </c>
      <c r="G173" s="149">
        <f t="shared" si="161"/>
        <v>0</v>
      </c>
      <c r="H173" s="149">
        <f t="shared" si="161"/>
        <v>0</v>
      </c>
      <c r="I173" s="149">
        <f t="shared" si="161"/>
        <v>0</v>
      </c>
      <c r="J173" s="149">
        <f t="shared" si="161"/>
        <v>0</v>
      </c>
      <c r="K173" s="149">
        <f t="shared" si="161"/>
        <v>0</v>
      </c>
      <c r="L173" s="149">
        <f t="shared" si="161"/>
        <v>0</v>
      </c>
      <c r="M173" s="149">
        <f t="shared" si="161"/>
        <v>0</v>
      </c>
      <c r="N173" s="149">
        <f t="shared" si="161"/>
        <v>0</v>
      </c>
      <c r="O173" s="149">
        <f t="shared" si="161"/>
        <v>0</v>
      </c>
      <c r="P173" s="149">
        <f t="shared" si="161"/>
        <v>0</v>
      </c>
      <c r="Q173" s="149">
        <f t="shared" si="161"/>
        <v>0</v>
      </c>
      <c r="R173" s="149">
        <f t="shared" si="161"/>
        <v>0</v>
      </c>
      <c r="S173" s="149">
        <f t="shared" si="161"/>
        <v>1.0203365035211421E-2</v>
      </c>
      <c r="T173" s="149">
        <f t="shared" si="161"/>
        <v>1.0182370532979141E-2</v>
      </c>
      <c r="U173" s="149">
        <f t="shared" si="161"/>
        <v>1.0181113609924798E-2</v>
      </c>
      <c r="V173" s="149">
        <f t="shared" si="161"/>
        <v>9.2713093559810885E-3</v>
      </c>
      <c r="W173" s="149"/>
      <c r="X173" s="149"/>
    </row>
    <row r="174" spans="2:24">
      <c r="B174" s="310" t="str">
        <f>B100</f>
        <v>Common Stock</v>
      </c>
      <c r="D174" s="149">
        <f t="shared" ref="D174:V174" si="162">D100/D$102</f>
        <v>0</v>
      </c>
      <c r="E174" s="149">
        <f t="shared" si="162"/>
        <v>0</v>
      </c>
      <c r="F174" s="149">
        <f t="shared" si="162"/>
        <v>0</v>
      </c>
      <c r="G174" s="149">
        <f t="shared" si="162"/>
        <v>0</v>
      </c>
      <c r="H174" s="149">
        <f t="shared" si="162"/>
        <v>0</v>
      </c>
      <c r="I174" s="149">
        <f t="shared" si="162"/>
        <v>1</v>
      </c>
      <c r="J174" s="149">
        <f t="shared" si="162"/>
        <v>0.26266457925906428</v>
      </c>
      <c r="K174" s="149">
        <f t="shared" si="162"/>
        <v>0.24577941702102901</v>
      </c>
      <c r="L174" s="149">
        <f t="shared" si="162"/>
        <v>0.20803733437732355</v>
      </c>
      <c r="M174" s="149">
        <f t="shared" si="162"/>
        <v>0.20260679483626834</v>
      </c>
      <c r="N174" s="149">
        <f t="shared" si="162"/>
        <v>0.19619770337310888</v>
      </c>
      <c r="O174" s="149">
        <f t="shared" si="162"/>
        <v>0.19583674045247945</v>
      </c>
      <c r="P174" s="149">
        <f t="shared" si="162"/>
        <v>0.1648826800221754</v>
      </c>
      <c r="Q174" s="149">
        <f t="shared" si="162"/>
        <v>0.16460948824297</v>
      </c>
      <c r="R174" s="149">
        <f t="shared" si="162"/>
        <v>0.15521520108473</v>
      </c>
      <c r="S174" s="149">
        <f t="shared" si="162"/>
        <v>0.15363148372904878</v>
      </c>
      <c r="T174" s="149">
        <f t="shared" si="162"/>
        <v>0.15331537070976867</v>
      </c>
      <c r="U174" s="149">
        <f t="shared" si="162"/>
        <v>0.15329644529123215</v>
      </c>
      <c r="V174" s="149">
        <f t="shared" si="162"/>
        <v>0.13959757467805547</v>
      </c>
      <c r="W174" s="149"/>
      <c r="X174" s="149"/>
    </row>
    <row r="175" spans="2:24">
      <c r="B175" s="786" t="s">
        <v>81</v>
      </c>
      <c r="C175" s="779"/>
      <c r="D175" s="787">
        <f t="shared" ref="D175:K175" si="163">SUM(D156:D174)</f>
        <v>1</v>
      </c>
      <c r="E175" s="787">
        <f t="shared" si="163"/>
        <v>1</v>
      </c>
      <c r="F175" s="787">
        <f t="shared" si="163"/>
        <v>1</v>
      </c>
      <c r="G175" s="787">
        <f t="shared" si="163"/>
        <v>1</v>
      </c>
      <c r="H175" s="787">
        <f t="shared" si="163"/>
        <v>1</v>
      </c>
      <c r="I175" s="787">
        <f t="shared" si="163"/>
        <v>1</v>
      </c>
      <c r="J175" s="787">
        <f t="shared" si="163"/>
        <v>0.99999999999999989</v>
      </c>
      <c r="K175" s="787">
        <f t="shared" si="163"/>
        <v>1</v>
      </c>
      <c r="L175" s="787">
        <f t="shared" ref="L175:V175" si="164">SUM(L156:L174)</f>
        <v>0.99999999999999978</v>
      </c>
      <c r="M175" s="787">
        <f t="shared" si="164"/>
        <v>1</v>
      </c>
      <c r="N175" s="787">
        <f t="shared" si="164"/>
        <v>0.99999999999999978</v>
      </c>
      <c r="O175" s="787">
        <f t="shared" si="164"/>
        <v>1</v>
      </c>
      <c r="P175" s="787">
        <f>SUM(P156:P174)</f>
        <v>1</v>
      </c>
      <c r="Q175" s="787">
        <f t="shared" si="164"/>
        <v>1</v>
      </c>
      <c r="R175" s="787">
        <f>SUM(R156:R174)</f>
        <v>1.0000000000000002</v>
      </c>
      <c r="S175" s="787">
        <f t="shared" si="164"/>
        <v>1.0000000000000002</v>
      </c>
      <c r="T175" s="787">
        <f>SUM(T156:T174)</f>
        <v>1</v>
      </c>
      <c r="U175" s="787">
        <f>SUM(U156:U174)</f>
        <v>1</v>
      </c>
      <c r="V175" s="787">
        <f t="shared" si="164"/>
        <v>1.0000000000000002</v>
      </c>
      <c r="W175" s="1122"/>
      <c r="X175" s="1122"/>
    </row>
  </sheetData>
  <mergeCells count="2">
    <mergeCell ref="B146:L146"/>
    <mergeCell ref="M146:V146"/>
  </mergeCells>
  <conditionalFormatting sqref="B4:J4 L4:N4">
    <cfRule type="cellIs" dxfId="213" priority="15" stopIfTrue="1" operator="equal">
      <formula>"input"</formula>
    </cfRule>
  </conditionalFormatting>
  <conditionalFormatting sqref="U4">
    <cfRule type="cellIs" dxfId="212" priority="10" stopIfTrue="1" operator="equal">
      <formula>"input"</formula>
    </cfRule>
  </conditionalFormatting>
  <conditionalFormatting sqref="T4">
    <cfRule type="cellIs" dxfId="211" priority="9" stopIfTrue="1" operator="equal">
      <formula>"input"</formula>
    </cfRule>
  </conditionalFormatting>
  <conditionalFormatting sqref="O4">
    <cfRule type="cellIs" dxfId="210" priority="8" stopIfTrue="1" operator="equal">
      <formula>"input"</formula>
    </cfRule>
  </conditionalFormatting>
  <conditionalFormatting sqref="Q4">
    <cfRule type="cellIs" dxfId="209" priority="7" stopIfTrue="1" operator="equal">
      <formula>"input"</formula>
    </cfRule>
  </conditionalFormatting>
  <conditionalFormatting sqref="P4">
    <cfRule type="cellIs" dxfId="208" priority="6" stopIfTrue="1" operator="equal">
      <formula>"input"</formula>
    </cfRule>
  </conditionalFormatting>
  <conditionalFormatting sqref="V4:X4">
    <cfRule type="cellIs" dxfId="207" priority="4" stopIfTrue="1" operator="equal">
      <formula>"input"</formula>
    </cfRule>
  </conditionalFormatting>
  <conditionalFormatting sqref="V4:X4">
    <cfRule type="cellIs" dxfId="206" priority="5" stopIfTrue="1" operator="equal">
      <formula>"input"</formula>
    </cfRule>
  </conditionalFormatting>
  <conditionalFormatting sqref="S4">
    <cfRule type="cellIs" dxfId="205" priority="3" stopIfTrue="1" operator="equal">
      <formula>"input"</formula>
    </cfRule>
  </conditionalFormatting>
  <conditionalFormatting sqref="R4">
    <cfRule type="cellIs" dxfId="204" priority="2" stopIfTrue="1" operator="equal">
      <formula>"input"</formula>
    </cfRule>
  </conditionalFormatting>
  <conditionalFormatting sqref="K4">
    <cfRule type="cellIs" dxfId="203" priority="1" stopIfTrue="1" operator="equal">
      <formula>"input"</formula>
    </cfRule>
  </conditionalFormatting>
  <pageMargins left="0.5" right="0.5" top="0.5" bottom="0.5" header="0.5" footer="0.5"/>
  <pageSetup scale="72" fitToWidth="0" fitToHeight="0" pageOrder="overThenDown" orientation="landscape" r:id="rId1"/>
  <rowBreaks count="4" manualBreakCount="4">
    <brk id="53" max="22" man="1"/>
    <brk id="77" max="22" man="1"/>
    <brk id="103" max="22" man="1"/>
    <brk id="127" max="22" man="1"/>
  </rowBreaks>
  <colBreaks count="1" manualBreakCount="1">
    <brk id="13" max="144" man="1"/>
  </colBreaks>
  <legacy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3" tint="-0.499984740745262"/>
    <pageSetUpPr fitToPage="1"/>
  </sheetPr>
  <dimension ref="B6:G30"/>
  <sheetViews>
    <sheetView showGridLines="0" view="pageBreakPreview" topLeftCell="A3" zoomScale="85" zoomScaleNormal="100" zoomScaleSheetLayoutView="85" workbookViewId="0">
      <selection activeCell="I9" sqref="I9"/>
    </sheetView>
  </sheetViews>
  <sheetFormatPr defaultColWidth="9.33203125" defaultRowHeight="15"/>
  <cols>
    <col min="1" max="1" width="4.5" style="222" customWidth="1"/>
    <col min="2" max="2" width="2.83203125" style="222" customWidth="1"/>
    <col min="3" max="3" width="13.83203125" style="222" customWidth="1"/>
    <col min="4" max="4" width="110.83203125" style="223" customWidth="1"/>
    <col min="5" max="5" width="13.83203125" style="222" customWidth="1"/>
    <col min="6" max="6" width="2.83203125" style="222" customWidth="1"/>
    <col min="7" max="7" width="4.5" style="222" customWidth="1"/>
    <col min="8" max="8" width="2.83203125" style="222" customWidth="1"/>
    <col min="9" max="9" width="9.33203125" style="222"/>
    <col min="10" max="10" width="16.33203125" style="222" bestFit="1" customWidth="1"/>
    <col min="11" max="11" width="19" style="222" bestFit="1" customWidth="1"/>
    <col min="12" max="16384" width="9.33203125" style="222"/>
  </cols>
  <sheetData>
    <row r="6" spans="2:7">
      <c r="C6" s="213"/>
      <c r="D6" s="214"/>
      <c r="E6" s="213"/>
      <c r="F6" s="213"/>
      <c r="G6" s="213"/>
    </row>
    <row r="7" spans="2:7" ht="15.75" thickBot="1">
      <c r="C7" s="213"/>
      <c r="D7" s="214"/>
      <c r="E7" s="213"/>
      <c r="F7" s="213"/>
      <c r="G7" s="213"/>
    </row>
    <row r="8" spans="2:7" ht="15.75" thickTop="1">
      <c r="B8" s="225"/>
      <c r="C8" s="225"/>
      <c r="D8" s="226"/>
      <c r="E8" s="225"/>
      <c r="F8" s="225"/>
      <c r="G8" s="213"/>
    </row>
    <row r="9" spans="2:7" s="227" customFormat="1" ht="40.5">
      <c r="B9" s="229"/>
      <c r="C9" s="229"/>
      <c r="D9" s="230" t="s">
        <v>1596</v>
      </c>
      <c r="E9" s="229"/>
      <c r="F9" s="229"/>
      <c r="G9" s="213"/>
    </row>
    <row r="10" spans="2:7" ht="15.75" thickBot="1">
      <c r="B10" s="232"/>
      <c r="C10" s="232"/>
      <c r="D10" s="233"/>
      <c r="E10" s="232"/>
      <c r="F10" s="232"/>
      <c r="G10" s="213"/>
    </row>
    <row r="11" spans="2:7" ht="15.75" thickTop="1">
      <c r="G11" s="213"/>
    </row>
    <row r="12" spans="2:7">
      <c r="G12" s="213"/>
    </row>
    <row r="13" spans="2:7" ht="18.75">
      <c r="D13" s="218"/>
      <c r="G13" s="213"/>
    </row>
    <row r="14" spans="2:7" ht="18.75">
      <c r="D14" s="219"/>
    </row>
    <row r="27" spans="4:4" ht="23.25">
      <c r="D27" s="687" t="s">
        <v>576</v>
      </c>
    </row>
    <row r="29" spans="4:4" ht="18.75">
      <c r="D29" s="220" t="s">
        <v>414</v>
      </c>
    </row>
    <row r="30" spans="4:4" ht="37.5">
      <c r="D30" s="221" t="s">
        <v>269</v>
      </c>
    </row>
  </sheetData>
  <pageMargins left="0.5" right="0.5" top="0.5" bottom="0.5" header="0.5" footer="0.5"/>
  <pageSetup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K32"/>
  <sheetViews>
    <sheetView showGridLines="0" view="pageBreakPreview" zoomScale="85" zoomScaleNormal="100" zoomScaleSheetLayoutView="85" workbookViewId="0">
      <selection activeCell="I9" sqref="I9"/>
    </sheetView>
  </sheetViews>
  <sheetFormatPr defaultColWidth="9.33203125" defaultRowHeight="12.75" outlineLevelCol="1"/>
  <cols>
    <col min="1" max="1" width="4.5" style="310" customWidth="1"/>
    <col min="2" max="2" width="79.33203125" style="310" customWidth="1"/>
    <col min="3" max="3" width="1.83203125" style="310" customWidth="1"/>
    <col min="4" max="5" width="30.83203125" style="310" customWidth="1"/>
    <col min="6" max="6" width="25.83203125" style="310" hidden="1" customWidth="1" outlineLevel="1"/>
    <col min="7" max="7" width="4.5" style="310" customWidth="1" collapsed="1"/>
    <col min="8" max="16384" width="9.33203125" style="310"/>
  </cols>
  <sheetData>
    <row r="1" spans="1:11" s="32" customFormat="1" ht="10.7" customHeight="1" thickBot="1">
      <c r="G1" s="310"/>
    </row>
    <row r="2" spans="1:11" ht="16.5" customHeight="1" thickTop="1">
      <c r="A2" s="32"/>
      <c r="B2" s="10" t="str">
        <f>'MASTER PubCo Inputs'!$C$5</f>
        <v>Hua Medicine</v>
      </c>
      <c r="C2" s="10"/>
      <c r="D2" s="10"/>
      <c r="E2" s="10"/>
      <c r="F2" s="10"/>
    </row>
    <row r="3" spans="1:11" ht="15.75" customHeight="1">
      <c r="A3" s="32"/>
      <c r="B3" s="11" t="str">
        <f>VLOOKUP(B4,Outline!$E$8:$G$81,COLUMNS(Outline!$E$8:$G$8),FALSE)</f>
        <v>Exhibit C.1</v>
      </c>
      <c r="C3" s="11"/>
      <c r="D3" s="11"/>
      <c r="E3" s="11"/>
      <c r="F3" s="11"/>
    </row>
    <row r="4" spans="1:11" ht="16.5" customHeight="1" thickBot="1">
      <c r="A4" s="32"/>
      <c r="B4" s="12" t="s">
        <v>1595</v>
      </c>
      <c r="C4" s="12"/>
      <c r="D4" s="12"/>
      <c r="E4" s="13" t="str">
        <f>+'MASTER PubCo Inputs'!$C$21</f>
        <v>(in thousands of USD)</v>
      </c>
      <c r="F4" s="13" t="str">
        <f>+'MASTER PubCo Inputs'!$C$21</f>
        <v>(in thousands of USD)</v>
      </c>
    </row>
    <row r="5" spans="1:11" s="16" customFormat="1" ht="12.75" customHeight="1" thickTop="1">
      <c r="B5" s="310"/>
      <c r="C5" s="310"/>
      <c r="D5" s="310"/>
      <c r="E5" s="310"/>
      <c r="F5" s="310"/>
      <c r="G5" s="310"/>
    </row>
    <row r="6" spans="1:11" s="16" customFormat="1" ht="12.75" customHeight="1">
      <c r="B6" s="310"/>
      <c r="C6" s="310"/>
      <c r="D6" s="310"/>
      <c r="E6" s="310"/>
      <c r="F6" s="310"/>
      <c r="G6" s="310"/>
    </row>
    <row r="7" spans="1:11">
      <c r="C7" s="1420"/>
      <c r="D7" s="598" t="s">
        <v>445</v>
      </c>
      <c r="E7" s="1151"/>
      <c r="F7" s="1151"/>
    </row>
    <row r="8" spans="1:11" ht="12.75" customHeight="1">
      <c r="B8" s="46"/>
      <c r="C8" s="16"/>
      <c r="D8" s="1421">
        <v>2018</v>
      </c>
      <c r="E8" s="1160">
        <f>D8+1</f>
        <v>2019</v>
      </c>
      <c r="F8" s="1160">
        <f>E8+1</f>
        <v>2020</v>
      </c>
    </row>
    <row r="9" spans="1:11" ht="12.75" customHeight="1">
      <c r="D9" s="144"/>
      <c r="E9" s="144"/>
      <c r="F9" s="144"/>
    </row>
    <row r="10" spans="1:11" ht="12.75" customHeight="1">
      <c r="B10" s="310" t="s">
        <v>89</v>
      </c>
      <c r="D10" s="379" t="s">
        <v>90</v>
      </c>
      <c r="E10" s="379" t="s">
        <v>90</v>
      </c>
      <c r="F10" s="379" t="s">
        <v>90</v>
      </c>
    </row>
    <row r="11" spans="1:11" ht="12.75" customHeight="1">
      <c r="D11" s="378"/>
      <c r="E11" s="378"/>
      <c r="F11" s="378"/>
    </row>
    <row r="12" spans="1:11" ht="12.75" customHeight="1">
      <c r="B12" s="310" t="s">
        <v>82</v>
      </c>
      <c r="D12" s="378"/>
      <c r="E12" s="378"/>
      <c r="F12" s="378"/>
      <c r="I12" s="1" t="s">
        <v>3238</v>
      </c>
    </row>
    <row r="13" spans="1:11" ht="12.75" customHeight="1">
      <c r="B13" s="2" t="s">
        <v>83</v>
      </c>
      <c r="D13" s="1162">
        <f>('IS Forecast'!H9/1000)*I13</f>
        <v>-12.389178314995529</v>
      </c>
      <c r="E13" s="1162">
        <f>('IS Forecast'!G9/1000)*I13</f>
        <v>-15.448760630746975</v>
      </c>
      <c r="F13" s="1162">
        <v>-57.5</v>
      </c>
      <c r="I13" s="2547">
        <f>'Hist IS'!L9</f>
        <v>0.15107109405686317</v>
      </c>
      <c r="K13" s="310" t="s">
        <v>3379</v>
      </c>
    </row>
    <row r="14" spans="1:11" ht="12.75" customHeight="1">
      <c r="B14" s="2" t="s">
        <v>1597</v>
      </c>
      <c r="D14" s="1162">
        <f>('IS Forecast'!H10/1000)*I13</f>
        <v>-64.767058876059835</v>
      </c>
      <c r="E14" s="1162">
        <f>('IS Forecast'!G10/1000)*I13</f>
        <v>-48.948593930843067</v>
      </c>
      <c r="F14" s="1162">
        <v>-33.700000000000003</v>
      </c>
    </row>
    <row r="15" spans="1:11" ht="12.75" customHeight="1">
      <c r="B15" s="5"/>
      <c r="C15" s="5"/>
      <c r="D15" s="1163"/>
      <c r="E15" s="1163"/>
      <c r="F15" s="1163"/>
    </row>
    <row r="16" spans="1:11" ht="12.75" customHeight="1">
      <c r="B16" s="39" t="s">
        <v>1598</v>
      </c>
      <c r="C16" s="1"/>
      <c r="D16" s="1174">
        <f>SUM(D13:D14)</f>
        <v>-77.156237191055368</v>
      </c>
      <c r="E16" s="1174">
        <f>SUM(E13:E14)</f>
        <v>-64.397354561590049</v>
      </c>
      <c r="F16" s="980">
        <f>SUM(F13:F14)</f>
        <v>-91.2</v>
      </c>
    </row>
    <row r="17" spans="2:9" ht="12.75" customHeight="1">
      <c r="B17" s="5"/>
      <c r="C17" s="5"/>
      <c r="D17" s="1163"/>
      <c r="E17" s="1163"/>
      <c r="F17" s="1163"/>
    </row>
    <row r="18" spans="2:9" ht="12.75" customHeight="1">
      <c r="B18" s="310" t="s">
        <v>91</v>
      </c>
      <c r="D18" s="980">
        <f>D16</f>
        <v>-77.156237191055368</v>
      </c>
      <c r="E18" s="980">
        <f>E16</f>
        <v>-64.397354561590049</v>
      </c>
      <c r="F18" s="980">
        <f>F16</f>
        <v>-91.2</v>
      </c>
      <c r="G18" s="2543"/>
      <c r="H18" s="664"/>
      <c r="I18" s="1179"/>
    </row>
    <row r="19" spans="2:9" ht="12.75" customHeight="1">
      <c r="D19" s="980"/>
      <c r="E19" s="980"/>
      <c r="F19" s="980"/>
      <c r="G19" s="2543"/>
      <c r="H19" s="664"/>
      <c r="I19" s="664"/>
    </row>
    <row r="20" spans="2:9" ht="12.75" customHeight="1">
      <c r="B20" s="2" t="s">
        <v>1589</v>
      </c>
      <c r="D20" s="1162">
        <f>('IS Forecast'!H14/1000)*I13</f>
        <v>1.2085687524549055E-2</v>
      </c>
      <c r="E20" s="1162">
        <f>('IS Forecast'!G14/1000)*I13</f>
        <v>0</v>
      </c>
      <c r="F20" s="1162">
        <v>212.173</v>
      </c>
      <c r="G20" s="2544"/>
      <c r="H20" s="664"/>
      <c r="I20" s="2545"/>
    </row>
    <row r="21" spans="2:9" ht="12.75" customHeight="1">
      <c r="B21" s="2" t="s">
        <v>92</v>
      </c>
      <c r="D21" s="1162">
        <f>(SUM('IS Forecast'!H12,'IS Forecast'!H13,'IS Forecast'!H15)/1000)*I13</f>
        <v>-5.1351903396334064</v>
      </c>
      <c r="E21" s="1162">
        <f>(SUM('IS Forecast'!G12,'IS Forecast'!G13,'IS Forecast'!G15)/1000)*I13</f>
        <v>1.0574976583980422</v>
      </c>
      <c r="F21" s="1162">
        <f>484.348</f>
        <v>484.34800000000001</v>
      </c>
      <c r="G21" s="2544"/>
      <c r="H21" s="664"/>
      <c r="I21" s="2545"/>
    </row>
    <row r="22" spans="2:9" ht="12.75" customHeight="1">
      <c r="B22" s="2" t="s">
        <v>1588</v>
      </c>
      <c r="D22" s="1162">
        <f>(SUM('IS Forecast'!H16:H17)/1000)*I13</f>
        <v>-647.60789263288427</v>
      </c>
      <c r="E22" s="1162">
        <f>(SUM('IS Forecast'!G16:G17)/1000)*I13</f>
        <v>0</v>
      </c>
      <c r="F22" s="1162">
        <v>-1200.9459999999999</v>
      </c>
      <c r="G22" s="2544"/>
      <c r="H22" s="664"/>
      <c r="I22" s="2545"/>
    </row>
    <row r="23" spans="2:9" ht="12.75" customHeight="1">
      <c r="B23" s="5"/>
      <c r="C23" s="5"/>
      <c r="D23" s="1163"/>
      <c r="E23" s="1163"/>
      <c r="F23" s="1163"/>
      <c r="G23" s="2543"/>
      <c r="H23" s="664"/>
      <c r="I23" s="664"/>
    </row>
    <row r="24" spans="2:9" ht="12.75" customHeight="1">
      <c r="B24" s="17" t="s">
        <v>93</v>
      </c>
      <c r="D24" s="980">
        <f>SUM(D18:D22)</f>
        <v>-729.88723447604855</v>
      </c>
      <c r="E24" s="980">
        <f>SUM(E18:E22)</f>
        <v>-63.339856903192008</v>
      </c>
      <c r="F24" s="980">
        <f>SUM(F18:F22)</f>
        <v>-595.62499999999989</v>
      </c>
      <c r="G24" s="2543"/>
      <c r="H24" s="664"/>
      <c r="I24" s="1179"/>
    </row>
    <row r="25" spans="2:9" ht="12.75" customHeight="1">
      <c r="B25" s="16"/>
      <c r="C25" s="16"/>
      <c r="D25" s="2543"/>
      <c r="E25" s="2543"/>
      <c r="F25" s="2543"/>
      <c r="G25" s="16"/>
    </row>
    <row r="26" spans="2:9" ht="12.75" customHeight="1">
      <c r="B26" s="24" t="s">
        <v>95</v>
      </c>
      <c r="C26" s="24"/>
      <c r="D26" s="1164">
        <f>D24</f>
        <v>-729.88723447604855</v>
      </c>
      <c r="E26" s="1164">
        <f>E24</f>
        <v>-63.339856903192008</v>
      </c>
      <c r="F26" s="1164">
        <f>F16</f>
        <v>-91.2</v>
      </c>
      <c r="G26" s="16"/>
    </row>
    <row r="27" spans="2:9" ht="12.75" customHeight="1">
      <c r="D27" s="980"/>
      <c r="E27" s="980"/>
      <c r="F27" s="980"/>
    </row>
    <row r="28" spans="2:9" ht="12.75" customHeight="1"/>
    <row r="29" spans="2:9" ht="12.75" customHeight="1"/>
    <row r="30" spans="2:9" ht="12.75" customHeight="1"/>
    <row r="31" spans="2:9" ht="12.75" customHeight="1"/>
    <row r="32" spans="2:9" ht="12.75" customHeight="1"/>
  </sheetData>
  <conditionalFormatting sqref="B4:D4">
    <cfRule type="cellIs" dxfId="202" priority="5" stopIfTrue="1" operator="equal">
      <formula>"input"</formula>
    </cfRule>
  </conditionalFormatting>
  <conditionalFormatting sqref="F4">
    <cfRule type="cellIs" dxfId="201" priority="4" stopIfTrue="1" operator="equal">
      <formula>"input"</formula>
    </cfRule>
  </conditionalFormatting>
  <conditionalFormatting sqref="F4">
    <cfRule type="cellIs" dxfId="200" priority="3" stopIfTrue="1" operator="equal">
      <formula>"input"</formula>
    </cfRule>
  </conditionalFormatting>
  <conditionalFormatting sqref="E4">
    <cfRule type="cellIs" dxfId="199" priority="2" stopIfTrue="1" operator="equal">
      <formula>"input"</formula>
    </cfRule>
  </conditionalFormatting>
  <conditionalFormatting sqref="E4">
    <cfRule type="cellIs" dxfId="198" priority="1" stopIfTrue="1" operator="equal">
      <formula>"input"</formula>
    </cfRule>
  </conditionalFormatting>
  <pageMargins left="0.5" right="0.5" top="0.5" bottom="0.5" header="0.5" footer="0.5"/>
  <pageSetup fitToWidth="0" fitToHeight="0" orientation="landscape" r:id="rId1"/>
  <legacyDrawingHF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R44"/>
  <sheetViews>
    <sheetView showGridLines="0" view="pageBreakPreview" zoomScale="85" zoomScaleNormal="100" zoomScaleSheetLayoutView="85" workbookViewId="0">
      <selection activeCell="I9" sqref="I9"/>
    </sheetView>
  </sheetViews>
  <sheetFormatPr defaultColWidth="9.33203125" defaultRowHeight="12.75"/>
  <cols>
    <col min="1" max="1" width="4.5" style="310" customWidth="1"/>
    <col min="2" max="2" width="56.1640625" style="310" customWidth="1"/>
    <col min="3" max="3" width="1.83203125" style="310" customWidth="1"/>
    <col min="4" max="7" width="20.83203125" style="310" customWidth="1"/>
    <col min="8" max="8" width="1.83203125" style="310" customWidth="1"/>
    <col min="9" max="9" width="17.83203125" style="310" customWidth="1"/>
    <col min="10" max="10" width="4.5" style="310" customWidth="1"/>
    <col min="11" max="11" width="9.33203125" style="310"/>
    <col min="12" max="12" width="14.83203125" style="310" customWidth="1"/>
    <col min="13" max="13" width="12.83203125" style="310" customWidth="1"/>
    <col min="14" max="14" width="15" style="310" customWidth="1"/>
    <col min="15" max="16384" width="9.33203125" style="310"/>
  </cols>
  <sheetData>
    <row r="1" spans="1:18" s="32" customFormat="1" ht="10.7" customHeight="1" thickBot="1">
      <c r="J1" s="310"/>
    </row>
    <row r="2" spans="1:18" ht="16.5" customHeight="1" thickTop="1">
      <c r="A2" s="32"/>
      <c r="B2" s="10" t="str">
        <f>'MASTER PubCo Inputs'!$C$5</f>
        <v>Hua Medicine</v>
      </c>
      <c r="C2" s="10"/>
      <c r="D2" s="10"/>
      <c r="E2" s="10"/>
      <c r="F2" s="10"/>
      <c r="G2" s="10"/>
      <c r="H2" s="10"/>
      <c r="I2" s="10"/>
    </row>
    <row r="3" spans="1:18" ht="15.75" customHeight="1">
      <c r="A3" s="32"/>
      <c r="B3" s="11" t="str">
        <f>VLOOKUP(B4,Outline!$E$8:$G$81,COLUMNS(Outline!$E$8:$G$8),FALSE)</f>
        <v>Exhibit C.2</v>
      </c>
      <c r="C3" s="11"/>
      <c r="D3" s="11"/>
      <c r="E3" s="11"/>
      <c r="F3" s="11"/>
      <c r="G3" s="11"/>
      <c r="H3" s="11"/>
      <c r="I3" s="11"/>
    </row>
    <row r="4" spans="1:18" ht="16.5" customHeight="1" thickBot="1">
      <c r="A4" s="32"/>
      <c r="B4" s="12" t="s">
        <v>78</v>
      </c>
      <c r="C4" s="12"/>
      <c r="D4" s="12"/>
      <c r="E4" s="12"/>
      <c r="F4" s="12"/>
      <c r="G4" s="13"/>
      <c r="H4" s="13"/>
      <c r="I4" s="13" t="str">
        <f>+'MASTER PubCo Inputs'!$C$21</f>
        <v>(in thousands of USD)</v>
      </c>
    </row>
    <row r="5" spans="1:18" s="16" customFormat="1" ht="12.75" customHeight="1" thickTop="1">
      <c r="B5" s="310"/>
      <c r="C5" s="310"/>
      <c r="D5" s="310"/>
      <c r="E5" s="310"/>
      <c r="F5" s="310"/>
      <c r="G5" s="310"/>
      <c r="H5" s="310"/>
      <c r="I5" s="310"/>
      <c r="J5" s="310"/>
    </row>
    <row r="6" spans="1:18" s="16" customFormat="1" ht="12.75" customHeight="1">
      <c r="B6" s="332"/>
      <c r="C6" s="310"/>
      <c r="D6" s="310"/>
      <c r="E6" s="310"/>
      <c r="F6" s="310"/>
      <c r="G6" s="310"/>
      <c r="H6" s="310"/>
      <c r="I6" s="1501"/>
      <c r="J6" s="310"/>
    </row>
    <row r="7" spans="1:18" ht="12.75" customHeight="1">
      <c r="C7" s="1420"/>
      <c r="D7" s="598" t="s">
        <v>445</v>
      </c>
      <c r="E7" s="314"/>
      <c r="F7" s="314"/>
      <c r="G7" s="1151"/>
      <c r="H7" s="335"/>
      <c r="I7" s="1161" t="s">
        <v>1586</v>
      </c>
    </row>
    <row r="8" spans="1:18" ht="12.75" customHeight="1">
      <c r="B8" s="46"/>
      <c r="C8" s="16"/>
      <c r="D8" s="2432">
        <f>E8-1</f>
        <v>2014</v>
      </c>
      <c r="E8" s="457">
        <f>F8-1</f>
        <v>2015</v>
      </c>
      <c r="F8" s="457">
        <f>G8-1</f>
        <v>2016</v>
      </c>
      <c r="G8" s="462">
        <f>YEAR('MASTER PubCo Inputs'!C7)</f>
        <v>2017</v>
      </c>
      <c r="H8" s="458"/>
      <c r="I8" s="459">
        <f>'MASTER PubCo Inputs'!C6</f>
        <v>43281</v>
      </c>
      <c r="L8" s="1" t="s">
        <v>3380</v>
      </c>
      <c r="O8" s="1" t="s">
        <v>3297</v>
      </c>
      <c r="R8" s="316" t="s">
        <v>3383</v>
      </c>
    </row>
    <row r="9" spans="1:18" ht="12.75" customHeight="1">
      <c r="D9" s="144"/>
      <c r="E9" s="144"/>
      <c r="F9" s="144"/>
      <c r="G9" s="144"/>
      <c r="H9" s="271"/>
      <c r="I9" s="653" t="s">
        <v>128</v>
      </c>
      <c r="L9" s="2422">
        <f>1/R9</f>
        <v>0.15107109405686317</v>
      </c>
      <c r="O9" s="310" t="str">
        <f>"1USD = "&amp;TEXT(R9,"0.0000")&amp;" RMB"</f>
        <v>1USD = 6.6194 RMB</v>
      </c>
      <c r="R9" s="316">
        <v>6.6193999999999997</v>
      </c>
    </row>
    <row r="10" spans="1:18" ht="12.75" customHeight="1">
      <c r="B10" s="310" t="s">
        <v>89</v>
      </c>
      <c r="D10" s="379" t="s">
        <v>90</v>
      </c>
      <c r="E10" s="379" t="s">
        <v>90</v>
      </c>
      <c r="F10" s="379" t="s">
        <v>90</v>
      </c>
      <c r="G10" s="379" t="s">
        <v>90</v>
      </c>
      <c r="H10" s="379"/>
      <c r="I10" s="379" t="s">
        <v>2193</v>
      </c>
    </row>
    <row r="11" spans="1:18" ht="12.75" customHeight="1">
      <c r="D11" s="378"/>
      <c r="E11" s="378"/>
      <c r="F11" s="378"/>
      <c r="G11" s="378"/>
      <c r="H11" s="378"/>
      <c r="I11" s="378"/>
      <c r="L11" s="1" t="s">
        <v>3239</v>
      </c>
    </row>
    <row r="12" spans="1:18" ht="12.75" customHeight="1">
      <c r="B12" s="310" t="s">
        <v>82</v>
      </c>
      <c r="D12" s="378"/>
      <c r="E12" s="378"/>
      <c r="F12" s="378"/>
      <c r="G12" s="378"/>
      <c r="H12" s="378"/>
      <c r="I12" s="378"/>
    </row>
    <row r="13" spans="1:18" ht="12.75" customHeight="1">
      <c r="B13" s="2" t="s">
        <v>83</v>
      </c>
      <c r="D13" s="1162">
        <v>-5277.82</v>
      </c>
      <c r="E13" s="1162">
        <f>-9960.643-E15</f>
        <v>-9946.0550000000003</v>
      </c>
      <c r="F13" s="1162">
        <f>-14509.239-F15</f>
        <v>-14508.242</v>
      </c>
      <c r="G13" s="1162">
        <v>-29915.58</v>
      </c>
      <c r="H13" s="378"/>
      <c r="I13" s="40">
        <f>-29432*L9-I15</f>
        <v>-4369.1271112185404</v>
      </c>
    </row>
    <row r="14" spans="1:18" ht="12.75" customHeight="1">
      <c r="B14" s="2" t="s">
        <v>1587</v>
      </c>
      <c r="D14" s="1162">
        <v>0</v>
      </c>
      <c r="E14" s="1162">
        <v>0</v>
      </c>
      <c r="F14" s="1162">
        <v>0</v>
      </c>
      <c r="G14" s="1162">
        <v>-139.43</v>
      </c>
      <c r="H14" s="378"/>
      <c r="I14" s="1162">
        <f>-4500*L9</f>
        <v>-679.81992325588431</v>
      </c>
    </row>
    <row r="15" spans="1:18" ht="12.75" customHeight="1">
      <c r="B15" s="2" t="s">
        <v>84</v>
      </c>
      <c r="D15" s="1162">
        <v>0</v>
      </c>
      <c r="E15" s="1162">
        <v>-14.587999999999999</v>
      </c>
      <c r="F15" s="1162">
        <v>-0.997</v>
      </c>
      <c r="G15" s="1162">
        <v>0</v>
      </c>
      <c r="H15" s="378"/>
      <c r="I15" s="40">
        <f>-(508+3)*L9</f>
        <v>-77.197329063057083</v>
      </c>
    </row>
    <row r="16" spans="1:18" ht="12.75" customHeight="1">
      <c r="B16" s="2" t="s">
        <v>3381</v>
      </c>
      <c r="D16" s="1162">
        <v>0</v>
      </c>
      <c r="E16" s="1162">
        <v>0</v>
      </c>
      <c r="F16" s="1162">
        <v>0</v>
      </c>
      <c r="G16" s="1162">
        <v>0</v>
      </c>
      <c r="H16" s="378"/>
      <c r="I16" s="40">
        <f>-85856*L9</f>
        <v>-12970.359851346044</v>
      </c>
    </row>
    <row r="17" spans="2:13" ht="12.75" customHeight="1">
      <c r="B17" s="2" t="s">
        <v>1823</v>
      </c>
      <c r="D17" s="1162">
        <v>0</v>
      </c>
      <c r="E17" s="1162">
        <v>0</v>
      </c>
      <c r="F17" s="1162">
        <v>0</v>
      </c>
      <c r="G17" s="1162">
        <v>0</v>
      </c>
      <c r="H17" s="378"/>
      <c r="I17" s="40">
        <f>-26618*L9</f>
        <v>-4021.2103816055837</v>
      </c>
    </row>
    <row r="18" spans="2:13" ht="12.75" customHeight="1">
      <c r="B18" s="5"/>
      <c r="C18" s="5"/>
      <c r="D18" s="1163"/>
      <c r="E18" s="1163"/>
      <c r="F18" s="1163"/>
      <c r="G18" s="1163"/>
      <c r="H18" s="378"/>
      <c r="I18" s="662"/>
    </row>
    <row r="19" spans="2:13" ht="12.75" customHeight="1">
      <c r="B19" s="17" t="s">
        <v>81</v>
      </c>
      <c r="D19" s="302">
        <f t="shared" ref="D19:F19" si="0">SUM(D13:D17)</f>
        <v>-5277.82</v>
      </c>
      <c r="E19" s="302">
        <f t="shared" si="0"/>
        <v>-9960.643</v>
      </c>
      <c r="F19" s="302">
        <f t="shared" si="0"/>
        <v>-14509.239</v>
      </c>
      <c r="G19" s="302">
        <f>SUM(G13:G17)</f>
        <v>-30055.010000000002</v>
      </c>
      <c r="H19" s="378"/>
      <c r="I19" s="302">
        <f>SUM(I13:I17)</f>
        <v>-22117.71459648911</v>
      </c>
      <c r="M19" s="1"/>
    </row>
    <row r="20" spans="2:13" ht="12.75" customHeight="1">
      <c r="D20" s="980"/>
      <c r="E20" s="980"/>
      <c r="F20" s="980"/>
      <c r="G20" s="980"/>
      <c r="H20" s="378"/>
      <c r="I20" s="378"/>
    </row>
    <row r="21" spans="2:13" ht="12.75" customHeight="1">
      <c r="B21" s="310" t="s">
        <v>91</v>
      </c>
      <c r="D21" s="980">
        <f>D19</f>
        <v>-5277.82</v>
      </c>
      <c r="E21" s="980">
        <f>E19</f>
        <v>-9960.643</v>
      </c>
      <c r="F21" s="980">
        <f>F19</f>
        <v>-14509.239</v>
      </c>
      <c r="G21" s="980">
        <f>G19</f>
        <v>-30055.010000000002</v>
      </c>
      <c r="H21" s="378"/>
      <c r="I21" s="302">
        <f>I19</f>
        <v>-22117.71459648911</v>
      </c>
    </row>
    <row r="22" spans="2:13" ht="12.75" customHeight="1">
      <c r="D22" s="980"/>
      <c r="E22" s="980"/>
      <c r="F22" s="980"/>
      <c r="G22" s="980"/>
      <c r="H22" s="378"/>
      <c r="I22" s="378"/>
    </row>
    <row r="23" spans="2:13" ht="12.75" customHeight="1">
      <c r="B23" s="2" t="s">
        <v>1589</v>
      </c>
      <c r="D23" s="1162">
        <v>0</v>
      </c>
      <c r="E23" s="1162">
        <v>29.218</v>
      </c>
      <c r="F23" s="1162">
        <v>212.173</v>
      </c>
      <c r="G23" s="1162">
        <v>0</v>
      </c>
      <c r="H23" s="378"/>
      <c r="I23" s="40">
        <v>0</v>
      </c>
    </row>
    <row r="24" spans="2:13" ht="12.75" customHeight="1">
      <c r="B24" s="2" t="s">
        <v>92</v>
      </c>
      <c r="D24" s="1162">
        <v>138.43</v>
      </c>
      <c r="E24" s="1162">
        <f>273.525</f>
        <v>273.52499999999998</v>
      </c>
      <c r="F24" s="1162">
        <f>484.348</f>
        <v>484.34800000000001</v>
      </c>
      <c r="G24" s="1162">
        <v>276.51</v>
      </c>
      <c r="H24" s="378"/>
      <c r="I24" s="40">
        <f>(49457+6342)*L9</f>
        <v>8429.6159772789088</v>
      </c>
    </row>
    <row r="25" spans="2:13" ht="12.75" customHeight="1">
      <c r="B25" s="2" t="s">
        <v>1588</v>
      </c>
      <c r="D25" s="1162">
        <v>0</v>
      </c>
      <c r="E25" s="1162">
        <v>-166.40100000000001</v>
      </c>
      <c r="F25" s="1162">
        <v>-1200.9459999999999</v>
      </c>
      <c r="G25" s="1162">
        <v>0</v>
      </c>
      <c r="H25" s="378"/>
      <c r="I25" s="40">
        <f>-1345625*L9</f>
        <v>-203285.04094026651</v>
      </c>
    </row>
    <row r="26" spans="2:13" ht="12.75" customHeight="1">
      <c r="B26" s="5"/>
      <c r="C26" s="5"/>
      <c r="D26" s="1163"/>
      <c r="E26" s="1163"/>
      <c r="F26" s="1163"/>
      <c r="G26" s="1163"/>
      <c r="H26" s="378"/>
      <c r="I26" s="662"/>
    </row>
    <row r="27" spans="2:13" ht="12.75" customHeight="1">
      <c r="B27" s="17" t="s">
        <v>93</v>
      </c>
      <c r="D27" s="980">
        <f>SUM(D21:D25)</f>
        <v>-5139.3899999999994</v>
      </c>
      <c r="E27" s="980">
        <f>SUM(E21:E25)</f>
        <v>-9824.3009999999995</v>
      </c>
      <c r="F27" s="980">
        <f>SUM(F21:F25)</f>
        <v>-15013.663999999999</v>
      </c>
      <c r="G27" s="980">
        <f>SUM(G21:G25)</f>
        <v>-29778.500000000004</v>
      </c>
      <c r="H27" s="378"/>
      <c r="I27" s="302">
        <f>SUM(I21:I25)</f>
        <v>-216973.13955947672</v>
      </c>
    </row>
    <row r="28" spans="2:13" ht="12.75" customHeight="1">
      <c r="D28" s="980"/>
      <c r="E28" s="980"/>
      <c r="F28" s="980"/>
      <c r="G28" s="980"/>
      <c r="H28" s="378"/>
      <c r="I28" s="378"/>
    </row>
    <row r="29" spans="2:13" ht="12.75" customHeight="1">
      <c r="B29" s="2" t="s">
        <v>94</v>
      </c>
      <c r="D29" s="1162">
        <v>0</v>
      </c>
      <c r="E29" s="1162">
        <v>0</v>
      </c>
      <c r="F29" s="1162">
        <v>0</v>
      </c>
      <c r="G29" s="1162">
        <v>0</v>
      </c>
      <c r="H29" s="378"/>
      <c r="I29" s="40">
        <v>0</v>
      </c>
    </row>
    <row r="30" spans="2:13" ht="12.75" customHeight="1">
      <c r="B30" s="5"/>
      <c r="C30" s="5"/>
      <c r="D30" s="1163"/>
      <c r="E30" s="1163"/>
      <c r="F30" s="1163"/>
      <c r="G30" s="1163"/>
      <c r="H30" s="378"/>
      <c r="I30" s="662"/>
    </row>
    <row r="31" spans="2:13" ht="12.75" customHeight="1">
      <c r="B31" s="24" t="s">
        <v>95</v>
      </c>
      <c r="C31" s="24"/>
      <c r="D31" s="1164">
        <f>D27+D29</f>
        <v>-5139.3899999999994</v>
      </c>
      <c r="E31" s="1164">
        <f>E27+E29</f>
        <v>-9824.3009999999995</v>
      </c>
      <c r="F31" s="1164">
        <f>F27+F29</f>
        <v>-15013.663999999999</v>
      </c>
      <c r="G31" s="1164">
        <f>G27+G29</f>
        <v>-29778.500000000004</v>
      </c>
      <c r="H31" s="664"/>
      <c r="I31" s="663">
        <f>I27+I29</f>
        <v>-216973.13955947672</v>
      </c>
      <c r="J31" s="16"/>
      <c r="L31" s="2423">
        <f>-1436232*L9</f>
        <v>-216973.13955947669</v>
      </c>
      <c r="M31" s="2548">
        <f>I31-L31</f>
        <v>0</v>
      </c>
    </row>
    <row r="32" spans="2:13" ht="12.75" customHeight="1">
      <c r="D32" s="980"/>
      <c r="E32" s="980"/>
      <c r="F32" s="980"/>
      <c r="G32" s="980"/>
      <c r="H32" s="378"/>
      <c r="I32" s="378"/>
    </row>
    <row r="33" spans="1:13" ht="12.75" customHeight="1">
      <c r="B33" s="1" t="s">
        <v>96</v>
      </c>
      <c r="D33" s="980"/>
      <c r="E33" s="980"/>
      <c r="F33" s="980"/>
      <c r="G33" s="980"/>
      <c r="H33" s="378"/>
      <c r="I33" s="378"/>
    </row>
    <row r="34" spans="1:13" ht="12.75" customHeight="1">
      <c r="B34" s="2" t="s">
        <v>97</v>
      </c>
      <c r="D34" s="1162">
        <v>0</v>
      </c>
      <c r="E34" s="1162">
        <v>0</v>
      </c>
      <c r="F34" s="1162">
        <v>4357.2250000000004</v>
      </c>
      <c r="G34" s="1162">
        <v>444.34</v>
      </c>
      <c r="H34" s="378"/>
      <c r="I34" s="40">
        <f>3578*L9</f>
        <v>540.53237453545637</v>
      </c>
    </row>
    <row r="35" spans="1:13" ht="12.75" customHeight="1">
      <c r="D35" s="378"/>
      <c r="E35" s="378"/>
      <c r="F35" s="378"/>
      <c r="G35" s="378"/>
      <c r="H35" s="378"/>
      <c r="I35" s="378"/>
      <c r="M35" s="1121"/>
    </row>
    <row r="36" spans="1:13" ht="12.75" customHeight="1">
      <c r="B36" s="2" t="s">
        <v>85</v>
      </c>
      <c r="D36" s="302">
        <f>D21-D15</f>
        <v>-5277.82</v>
      </c>
      <c r="E36" s="302">
        <f>E21-E15</f>
        <v>-9946.0550000000003</v>
      </c>
      <c r="F36" s="302">
        <f>F21-F15</f>
        <v>-14508.242</v>
      </c>
      <c r="G36" s="302">
        <f>G21-G15</f>
        <v>-30055.010000000002</v>
      </c>
      <c r="H36" s="378"/>
      <c r="I36" s="302">
        <f>I21-I15</f>
        <v>-22040.517267426054</v>
      </c>
      <c r="M36" s="1121"/>
    </row>
    <row r="37" spans="1:13" ht="12.75" customHeight="1"/>
    <row r="38" spans="1:13" ht="12.75" customHeight="1">
      <c r="B38" s="8" t="s">
        <v>16</v>
      </c>
    </row>
    <row r="39" spans="1:13" ht="27" customHeight="1">
      <c r="A39" s="653" t="s">
        <v>128</v>
      </c>
      <c r="B39" s="2603" t="str">
        <f>"Management provided the financials in Renminbi (""CNY""), which were converted into USD considering the the exchange rate of 1USD = 6.62RMB as of the Valuation Date, sourced from Capital IQ."</f>
        <v>Management provided the financials in Renminbi ("CNY"), which were converted into USD considering the the exchange rate of 1USD = 6.62RMB as of the Valuation Date, sourced from Capital IQ.</v>
      </c>
      <c r="C39" s="2603"/>
      <c r="D39" s="2603"/>
      <c r="E39" s="2603"/>
      <c r="F39" s="2603"/>
      <c r="G39" s="2603"/>
      <c r="H39" s="2603"/>
      <c r="I39" s="2603"/>
    </row>
    <row r="40" spans="1:13" ht="12.75" customHeight="1"/>
    <row r="41" spans="1:13" ht="12.75" customHeight="1"/>
    <row r="42" spans="1:13" ht="12.75" customHeight="1"/>
    <row r="43" spans="1:13" ht="12.75" customHeight="1"/>
    <row r="44" spans="1:13" ht="12.75" customHeight="1"/>
  </sheetData>
  <mergeCells count="1">
    <mergeCell ref="B39:I39"/>
  </mergeCells>
  <conditionalFormatting sqref="B4:F4">
    <cfRule type="cellIs" dxfId="197" priority="8" stopIfTrue="1" operator="equal">
      <formula>"input"</formula>
    </cfRule>
  </conditionalFormatting>
  <conditionalFormatting sqref="G4">
    <cfRule type="cellIs" dxfId="196" priority="6" stopIfTrue="1" operator="equal">
      <formula>"input"</formula>
    </cfRule>
  </conditionalFormatting>
  <conditionalFormatting sqref="G4">
    <cfRule type="cellIs" dxfId="195" priority="5" stopIfTrue="1" operator="equal">
      <formula>"input"</formula>
    </cfRule>
  </conditionalFormatting>
  <conditionalFormatting sqref="I4">
    <cfRule type="cellIs" dxfId="194" priority="4" stopIfTrue="1" operator="equal">
      <formula>"input"</formula>
    </cfRule>
  </conditionalFormatting>
  <conditionalFormatting sqref="I4">
    <cfRule type="cellIs" dxfId="193" priority="3" stopIfTrue="1" operator="equal">
      <formula>"input"</formula>
    </cfRule>
  </conditionalFormatting>
  <conditionalFormatting sqref="H4">
    <cfRule type="cellIs" dxfId="192" priority="2" stopIfTrue="1" operator="equal">
      <formula>"input"</formula>
    </cfRule>
  </conditionalFormatting>
  <conditionalFormatting sqref="H4">
    <cfRule type="cellIs" dxfId="191" priority="1" stopIfTrue="1" operator="equal">
      <formula>"input"</formula>
    </cfRule>
  </conditionalFormatting>
  <pageMargins left="0.5" right="0.5" top="0.5" bottom="0.5" header="0.5" footer="0.5"/>
  <pageSetup scale="90" fitToWidth="0" fitToHeight="0" orientation="landscape" r:id="rId1"/>
  <drawing r:id="rId2"/>
  <legacyDrawing r:id="rId3"/>
  <legacyDrawingHF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S70"/>
  <sheetViews>
    <sheetView showGridLines="0" view="pageBreakPreview" topLeftCell="B25" zoomScale="85" zoomScaleNormal="100" zoomScaleSheetLayoutView="85" workbookViewId="0">
      <selection activeCell="I9" sqref="I9"/>
    </sheetView>
  </sheetViews>
  <sheetFormatPr defaultColWidth="9.33203125" defaultRowHeight="12.75"/>
  <cols>
    <col min="1" max="1" width="4.5" style="310" customWidth="1"/>
    <col min="2" max="2" width="60" style="310" customWidth="1"/>
    <col min="3" max="3" width="2.83203125" style="310" customWidth="1"/>
    <col min="4" max="7" width="20.1640625" style="310" customWidth="1"/>
    <col min="8" max="8" width="2.83203125" style="310" customWidth="1"/>
    <col min="9" max="9" width="20.1640625" style="310" customWidth="1"/>
    <col min="10" max="11" width="4.5" style="310" customWidth="1"/>
    <col min="12" max="12" width="60" style="310" customWidth="1"/>
    <col min="13" max="13" width="2.83203125" style="310" customWidth="1"/>
    <col min="14" max="17" width="20.1640625" style="310" customWidth="1"/>
    <col min="18" max="18" width="2.83203125" style="310" customWidth="1"/>
    <col min="19" max="19" width="20.1640625" style="310" customWidth="1"/>
    <col min="20" max="20" width="4.5" style="310" customWidth="1"/>
    <col min="21" max="16384" width="9.33203125" style="310"/>
  </cols>
  <sheetData>
    <row r="1" spans="1:19" s="32" customFormat="1" ht="10.7" customHeight="1" thickBot="1">
      <c r="J1" s="310"/>
      <c r="N1" s="310"/>
      <c r="O1" s="310"/>
      <c r="P1" s="310"/>
      <c r="Q1" s="310"/>
      <c r="R1" s="310"/>
      <c r="S1" s="310"/>
    </row>
    <row r="2" spans="1:19" ht="16.5" customHeight="1" thickTop="1">
      <c r="A2" s="32"/>
      <c r="B2" s="10" t="str">
        <f>'MASTER PubCo Inputs'!$C$5</f>
        <v>Hua Medicine</v>
      </c>
      <c r="C2" s="10"/>
      <c r="D2" s="10"/>
      <c r="E2" s="10"/>
      <c r="F2" s="10"/>
      <c r="G2" s="10"/>
      <c r="H2" s="10"/>
      <c r="I2" s="10"/>
      <c r="K2" s="32"/>
      <c r="L2" s="10" t="str">
        <f>'MASTER PubCo Inputs'!$C$5</f>
        <v>Hua Medicine</v>
      </c>
      <c r="M2" s="10"/>
      <c r="N2" s="10"/>
      <c r="O2" s="10"/>
      <c r="P2" s="10"/>
      <c r="Q2" s="10"/>
      <c r="R2" s="10"/>
      <c r="S2" s="10"/>
    </row>
    <row r="3" spans="1:19" ht="15.75" customHeight="1">
      <c r="A3" s="32"/>
      <c r="B3" s="11" t="str">
        <f>VLOOKUP(B4,Outline!$E$8:$G$81,COLUMNS(Outline!$E$8:$G$8),FALSE)</f>
        <v>Exhibit C.3</v>
      </c>
      <c r="C3" s="11"/>
      <c r="D3" s="11"/>
      <c r="E3" s="11"/>
      <c r="F3" s="11"/>
      <c r="G3" s="11"/>
      <c r="H3" s="11"/>
      <c r="I3" s="11"/>
      <c r="K3" s="32"/>
      <c r="L3" s="11" t="str">
        <f>B3</f>
        <v>Exhibit C.3</v>
      </c>
      <c r="M3" s="11"/>
      <c r="N3" s="11"/>
      <c r="O3" s="11"/>
      <c r="P3" s="11"/>
      <c r="Q3" s="11"/>
      <c r="R3" s="11"/>
      <c r="S3" s="11"/>
    </row>
    <row r="4" spans="1:19" ht="16.5" customHeight="1" thickBot="1">
      <c r="A4" s="32"/>
      <c r="B4" s="12" t="s">
        <v>79</v>
      </c>
      <c r="C4" s="12"/>
      <c r="D4" s="12"/>
      <c r="E4" s="12"/>
      <c r="F4" s="12"/>
      <c r="G4" s="12"/>
      <c r="H4" s="12"/>
      <c r="I4" s="13" t="str">
        <f>+'MASTER PubCo Inputs'!$C$21</f>
        <v>(in thousands of USD)</v>
      </c>
      <c r="K4" s="32"/>
      <c r="L4" s="12" t="s">
        <v>447</v>
      </c>
      <c r="M4" s="12"/>
      <c r="N4" s="12"/>
      <c r="O4" s="12"/>
      <c r="P4" s="12"/>
      <c r="Q4" s="12"/>
      <c r="R4" s="12"/>
      <c r="S4" s="12"/>
    </row>
    <row r="5" spans="1:19" s="16" customFormat="1" ht="12.75" customHeight="1" thickTop="1">
      <c r="B5" s="310"/>
      <c r="C5" s="310"/>
      <c r="D5" s="310"/>
      <c r="E5" s="310"/>
      <c r="F5" s="310"/>
      <c r="G5" s="310"/>
      <c r="H5" s="310"/>
      <c r="I5" s="310"/>
      <c r="J5" s="310"/>
      <c r="L5" s="310"/>
      <c r="M5" s="310"/>
    </row>
    <row r="6" spans="1:19" s="16" customFormat="1" ht="12.75" customHeight="1">
      <c r="B6" s="332"/>
      <c r="C6" s="310"/>
      <c r="D6" s="310"/>
      <c r="E6" s="310"/>
      <c r="F6" s="310"/>
      <c r="G6" s="310"/>
      <c r="H6" s="310"/>
      <c r="I6" s="1501"/>
      <c r="J6" s="310"/>
      <c r="L6" s="310"/>
      <c r="M6" s="310"/>
    </row>
    <row r="7" spans="1:19" ht="12.75" customHeight="1">
      <c r="D7" s="100" t="s">
        <v>446</v>
      </c>
      <c r="E7" s="101"/>
      <c r="F7" s="101"/>
      <c r="G7" s="326"/>
      <c r="H7" s="335"/>
      <c r="I7" s="103" t="s">
        <v>99</v>
      </c>
      <c r="N7" s="100" t="s">
        <v>446</v>
      </c>
      <c r="O7" s="101"/>
      <c r="P7" s="101"/>
      <c r="Q7" s="326"/>
      <c r="R7" s="335"/>
      <c r="S7" s="103" t="s">
        <v>99</v>
      </c>
    </row>
    <row r="8" spans="1:19" ht="12.75" customHeight="1">
      <c r="B8" s="46"/>
      <c r="D8" s="460">
        <f>'Hist IS'!D8</f>
        <v>2014</v>
      </c>
      <c r="E8" s="461">
        <f>'Hist IS'!E8</f>
        <v>2015</v>
      </c>
      <c r="F8" s="461">
        <f>'Hist IS'!F8</f>
        <v>2016</v>
      </c>
      <c r="G8" s="462">
        <f>'Hist IS'!G8</f>
        <v>2017</v>
      </c>
      <c r="H8" s="458"/>
      <c r="I8" s="459">
        <f>'Hist IS'!I8</f>
        <v>43281</v>
      </c>
      <c r="L8" s="46"/>
      <c r="N8" s="460">
        <f>+D8</f>
        <v>2014</v>
      </c>
      <c r="O8" s="461">
        <f>+E8</f>
        <v>2015</v>
      </c>
      <c r="P8" s="461">
        <f>+F8</f>
        <v>2016</v>
      </c>
      <c r="Q8" s="462">
        <f>+G8</f>
        <v>2017</v>
      </c>
      <c r="R8" s="458"/>
      <c r="S8" s="459">
        <f>+I8</f>
        <v>43281</v>
      </c>
    </row>
    <row r="9" spans="1:19" ht="12.75" customHeight="1">
      <c r="I9" s="586" t="s">
        <v>128</v>
      </c>
      <c r="N9" s="144"/>
      <c r="O9" s="144"/>
      <c r="P9" s="144"/>
      <c r="Q9" s="144"/>
      <c r="R9" s="144"/>
      <c r="S9" s="144" t="str">
        <f>I9</f>
        <v>(1)</v>
      </c>
    </row>
    <row r="10" spans="1:19" ht="12.75" customHeight="1">
      <c r="B10" s="58" t="s">
        <v>100</v>
      </c>
      <c r="C10" s="59"/>
      <c r="D10" s="59"/>
      <c r="E10" s="59"/>
      <c r="F10" s="59"/>
      <c r="G10" s="59"/>
      <c r="H10" s="59"/>
      <c r="I10" s="60"/>
      <c r="L10" s="58" t="s">
        <v>100</v>
      </c>
      <c r="M10" s="59"/>
      <c r="N10" s="99"/>
      <c r="O10" s="99"/>
      <c r="P10" s="99"/>
      <c r="Q10" s="99"/>
      <c r="R10" s="99"/>
      <c r="S10" s="155"/>
    </row>
    <row r="11" spans="1:19" ht="12.75" customHeight="1"/>
    <row r="12" spans="1:19" ht="12.75" customHeight="1">
      <c r="B12" s="310" t="s">
        <v>101</v>
      </c>
      <c r="L12" s="310" t="str">
        <f>B12</f>
        <v>Current Assets</v>
      </c>
    </row>
    <row r="13" spans="1:19" ht="12.75" customHeight="1">
      <c r="B13" s="2" t="s">
        <v>102</v>
      </c>
      <c r="D13" s="980">
        <v>4824.53</v>
      </c>
      <c r="E13" s="980">
        <v>21297.883000000002</v>
      </c>
      <c r="F13" s="980">
        <v>27807.547999999999</v>
      </c>
      <c r="G13" s="980">
        <v>24992.7</v>
      </c>
      <c r="H13" s="302"/>
      <c r="I13" s="1103">
        <f>852794*L56</f>
        <v>128832.52258512856</v>
      </c>
      <c r="L13" s="2" t="str">
        <f>B13</f>
        <v>Cash &amp; Equivalents</v>
      </c>
      <c r="N13" s="51">
        <f t="shared" ref="N13:Q16" si="0">IF(ISERROR(D13/D$24), "n/a", D13/D$24)</f>
        <v>1</v>
      </c>
      <c r="O13" s="51">
        <f t="shared" si="0"/>
        <v>0.99166190187065573</v>
      </c>
      <c r="P13" s="51">
        <f t="shared" si="0"/>
        <v>0.85204255612386892</v>
      </c>
      <c r="Q13" s="51">
        <f t="shared" si="0"/>
        <v>0.96673985090838199</v>
      </c>
      <c r="S13" s="51">
        <f>IF(ISERROR(I13/I$24), "n/a", I13/I$24)</f>
        <v>0.90599877825290176</v>
      </c>
    </row>
    <row r="14" spans="1:19" ht="12.75" customHeight="1">
      <c r="B14" s="2" t="s">
        <v>103</v>
      </c>
      <c r="D14" s="980">
        <v>0</v>
      </c>
      <c r="E14" s="980">
        <v>59.786999999999999</v>
      </c>
      <c r="F14" s="980">
        <v>252.39099999999999</v>
      </c>
      <c r="G14" s="980">
        <v>210.37</v>
      </c>
      <c r="H14" s="302"/>
      <c r="I14" s="1105">
        <f>39903*L56</f>
        <v>6028.1898661510113</v>
      </c>
      <c r="L14" s="2" t="str">
        <f>B14</f>
        <v>Accounts Receivable</v>
      </c>
      <c r="N14" s="51">
        <f t="shared" si="0"/>
        <v>0</v>
      </c>
      <c r="O14" s="51">
        <f t="shared" si="0"/>
        <v>2.7837738674374767E-3</v>
      </c>
      <c r="P14" s="51">
        <f t="shared" si="0"/>
        <v>7.7334352810488503E-3</v>
      </c>
      <c r="Q14" s="51">
        <f t="shared" si="0"/>
        <v>8.1372985886117265E-3</v>
      </c>
      <c r="S14" s="51">
        <f>IF(ISERROR(I14/I$24), "n/a", I14/I$24)</f>
        <v>4.2392499535204915E-2</v>
      </c>
    </row>
    <row r="15" spans="1:19" ht="12.75" customHeight="1">
      <c r="B15" s="2" t="s">
        <v>104</v>
      </c>
      <c r="D15" s="980">
        <v>0</v>
      </c>
      <c r="E15" s="980">
        <v>1.55</v>
      </c>
      <c r="F15" s="980">
        <v>102.43</v>
      </c>
      <c r="G15" s="980">
        <v>254.68</v>
      </c>
      <c r="H15" s="302"/>
      <c r="I15" s="1105">
        <f>25613*L56</f>
        <v>3869.3839320784364</v>
      </c>
      <c r="L15" s="2" t="str">
        <f>B15</f>
        <v>Prepaid Expenses</v>
      </c>
      <c r="N15" s="51">
        <f t="shared" si="0"/>
        <v>0</v>
      </c>
      <c r="O15" s="51">
        <f t="shared" si="0"/>
        <v>7.2170363030894498E-5</v>
      </c>
      <c r="P15" s="51">
        <f t="shared" si="0"/>
        <v>3.1385262384072089E-3</v>
      </c>
      <c r="Q15" s="51">
        <f t="shared" si="0"/>
        <v>9.8512487738158239E-3</v>
      </c>
      <c r="S15" s="51">
        <f>IF(ISERROR(I15/I$24), "n/a", I15/I$24)</f>
        <v>2.7210963852221725E-2</v>
      </c>
    </row>
    <row r="16" spans="1:19" ht="12.75" customHeight="1">
      <c r="B16" s="2" t="s">
        <v>105</v>
      </c>
      <c r="D16" s="980">
        <v>0</v>
      </c>
      <c r="E16" s="980">
        <v>0</v>
      </c>
      <c r="F16" s="980">
        <v>4324.6360000000004</v>
      </c>
      <c r="G16" s="980">
        <v>0</v>
      </c>
      <c r="H16" s="302"/>
      <c r="I16" s="1105">
        <v>0</v>
      </c>
      <c r="L16" s="2" t="str">
        <f>B16</f>
        <v>Other Current Assets</v>
      </c>
      <c r="N16" s="51">
        <f t="shared" si="0"/>
        <v>0</v>
      </c>
      <c r="O16" s="51">
        <f t="shared" si="0"/>
        <v>0</v>
      </c>
      <c r="P16" s="51">
        <f t="shared" si="0"/>
        <v>0.13250984631026455</v>
      </c>
      <c r="Q16" s="51">
        <f t="shared" si="0"/>
        <v>0</v>
      </c>
      <c r="S16" s="51">
        <f>IF(ISERROR(I16/I$24), "n/a", I16/I$24)</f>
        <v>0</v>
      </c>
    </row>
    <row r="17" spans="2:19" ht="3" customHeight="1">
      <c r="B17" s="52"/>
      <c r="C17" s="5"/>
      <c r="D17" s="1163"/>
      <c r="E17" s="1163"/>
      <c r="F17" s="1163"/>
      <c r="G17" s="1163"/>
      <c r="H17" s="664"/>
      <c r="I17" s="1176"/>
      <c r="L17" s="52"/>
      <c r="M17" s="5"/>
      <c r="N17" s="5"/>
      <c r="O17" s="5"/>
      <c r="P17" s="5"/>
      <c r="Q17" s="5"/>
      <c r="S17" s="5"/>
    </row>
    <row r="18" spans="2:19" ht="12.75" customHeight="1">
      <c r="B18" s="17" t="s">
        <v>108</v>
      </c>
      <c r="D18" s="980">
        <f>SUM(D13:D16)</f>
        <v>4824.53</v>
      </c>
      <c r="E18" s="980">
        <f>SUM(E13:E16)</f>
        <v>21359.22</v>
      </c>
      <c r="F18" s="980">
        <f>SUM(F13:F16)</f>
        <v>32487.004999999997</v>
      </c>
      <c r="G18" s="980">
        <f>SUM(G13:G16)</f>
        <v>25457.75</v>
      </c>
      <c r="H18" s="664"/>
      <c r="I18" s="1105">
        <f>SUM(I13:I16)</f>
        <v>138730.096383358</v>
      </c>
      <c r="L18" s="17" t="str">
        <f>B18</f>
        <v>Total Current Assets</v>
      </c>
      <c r="N18" s="51">
        <f>IF(ISERROR(D18/D$24), "n/a", D18/D$24)</f>
        <v>1</v>
      </c>
      <c r="O18" s="51">
        <f>IF(ISERROR(E18/E$24), "n/a", E18/E$24)</f>
        <v>0.99451784610112415</v>
      </c>
      <c r="P18" s="51">
        <f>IF(ISERROR(F18/F$24), "n/a", F18/F$24)</f>
        <v>0.99542436395358946</v>
      </c>
      <c r="Q18" s="51">
        <f>IF(ISERROR(G18/G$24), "n/a", G18/G$24)</f>
        <v>0.98472839827080949</v>
      </c>
      <c r="S18" s="51">
        <f>IF(ISERROR(I18/I$24), "n/a", I18/I$24)</f>
        <v>0.97560224164032827</v>
      </c>
    </row>
    <row r="19" spans="2:19" ht="12.75" customHeight="1">
      <c r="D19" s="980"/>
      <c r="E19" s="980"/>
      <c r="F19" s="980"/>
      <c r="G19" s="980"/>
      <c r="H19" s="664"/>
      <c r="I19" s="1105"/>
    </row>
    <row r="20" spans="2:19" ht="12.75" customHeight="1">
      <c r="B20" s="49" t="s">
        <v>106</v>
      </c>
      <c r="D20" s="980">
        <v>0</v>
      </c>
      <c r="E20" s="980">
        <v>94.021000000000001</v>
      </c>
      <c r="F20" s="980">
        <v>126.61</v>
      </c>
      <c r="G20" s="980">
        <v>382.74</v>
      </c>
      <c r="H20" s="1179"/>
      <c r="I20" s="1105">
        <f>3578*L56</f>
        <v>540.53237453545637</v>
      </c>
      <c r="L20" s="49" t="str">
        <f>B20</f>
        <v>Net Fixed Assets</v>
      </c>
      <c r="N20" s="51">
        <f t="shared" ref="N20:Q21" si="1">IF(ISERROR(D20/D$24), "n/a", D20/D$24)</f>
        <v>0</v>
      </c>
      <c r="O20" s="51">
        <f t="shared" si="1"/>
        <v>4.3777610984049881E-3</v>
      </c>
      <c r="P20" s="51">
        <f t="shared" si="1"/>
        <v>3.8794182079931335E-3</v>
      </c>
      <c r="Q20" s="51">
        <f t="shared" si="1"/>
        <v>1.4804723400699969E-2</v>
      </c>
      <c r="S20" s="51">
        <f>IF(ISERROR(I20/I$24), "n/a", I20/I$24)</f>
        <v>3.8012270590422567E-3</v>
      </c>
    </row>
    <row r="21" spans="2:19" ht="12.75" customHeight="1">
      <c r="B21" s="49" t="s">
        <v>107</v>
      </c>
      <c r="D21" s="980">
        <v>0</v>
      </c>
      <c r="E21" s="980">
        <v>23.719000000000001</v>
      </c>
      <c r="F21" s="980">
        <v>22.722000000000001</v>
      </c>
      <c r="G21" s="980">
        <v>12.07</v>
      </c>
      <c r="H21" s="1179"/>
      <c r="I21" s="1105">
        <f>320*L56</f>
        <v>48.342750098196213</v>
      </c>
      <c r="L21" s="49" t="str">
        <f>B21</f>
        <v>Intangible Assets</v>
      </c>
      <c r="N21" s="51">
        <f t="shared" si="1"/>
        <v>0</v>
      </c>
      <c r="O21" s="51">
        <f t="shared" si="1"/>
        <v>1.1043928004708301E-3</v>
      </c>
      <c r="P21" s="51">
        <f t="shared" si="1"/>
        <v>6.9621783841734451E-4</v>
      </c>
      <c r="Q21" s="51">
        <f t="shared" si="1"/>
        <v>4.6687832849048606E-4</v>
      </c>
      <c r="S21" s="51">
        <f>IF(ISERROR(I21/I$24), "n/a", I21/I$24)</f>
        <v>3.3996440997583068E-4</v>
      </c>
    </row>
    <row r="22" spans="2:19" ht="12.75" customHeight="1">
      <c r="B22" s="49" t="s">
        <v>3295</v>
      </c>
      <c r="D22" s="980">
        <v>0</v>
      </c>
      <c r="E22" s="980">
        <v>0</v>
      </c>
      <c r="F22" s="980">
        <v>0</v>
      </c>
      <c r="G22" s="980">
        <v>0</v>
      </c>
      <c r="H22" s="1179"/>
      <c r="I22" s="1105">
        <f>(15778+3289)*L56</f>
        <v>2880.4725503822101</v>
      </c>
      <c r="L22" s="49" t="str">
        <f>B22</f>
        <v>Other Non-Current Assets</v>
      </c>
      <c r="N22" s="51">
        <f>IF(ISERROR(D22/D$24), "n/a", D22/D$24)</f>
        <v>0</v>
      </c>
      <c r="O22" s="51">
        <f>IF(ISERROR(E22/E$24), "n/a", E22/E$24)</f>
        <v>0</v>
      </c>
      <c r="P22" s="51">
        <f>IF(ISERROR(F22/F$24), "n/a", F22/F$24)</f>
        <v>0</v>
      </c>
      <c r="Q22" s="51">
        <f>IF(ISERROR(G22/G$24), "n/a", G22/G$24)</f>
        <v>0</v>
      </c>
      <c r="S22" s="51">
        <f>IF(ISERROR(I22/I$24), "n/a", I22/I$24)</f>
        <v>2.0256566890653638E-2</v>
      </c>
    </row>
    <row r="23" spans="2:19" ht="3" customHeight="1">
      <c r="B23" s="5"/>
      <c r="C23" s="5"/>
      <c r="D23" s="1163"/>
      <c r="E23" s="1163"/>
      <c r="F23" s="1163"/>
      <c r="G23" s="1163"/>
      <c r="H23" s="664"/>
      <c r="I23" s="1176"/>
      <c r="L23" s="5"/>
      <c r="M23" s="5"/>
      <c r="N23" s="5"/>
      <c r="O23" s="5"/>
      <c r="P23" s="5"/>
      <c r="Q23" s="5"/>
      <c r="S23" s="5"/>
    </row>
    <row r="24" spans="2:19" ht="12.75" customHeight="1">
      <c r="B24" s="39" t="s">
        <v>109</v>
      </c>
      <c r="C24" s="1"/>
      <c r="D24" s="1177">
        <f>SUM(D18:D22)</f>
        <v>4824.53</v>
      </c>
      <c r="E24" s="1177">
        <f>SUM(E18:E22)</f>
        <v>21476.960000000003</v>
      </c>
      <c r="F24" s="1177">
        <f>SUM(F18:F22)</f>
        <v>32636.337</v>
      </c>
      <c r="G24" s="1177">
        <f>SUM(G18:G22)</f>
        <v>25852.560000000001</v>
      </c>
      <c r="H24" s="1180"/>
      <c r="I24" s="1177">
        <f>SUM(I18:I22)</f>
        <v>142199.44405837386</v>
      </c>
      <c r="L24" s="39" t="str">
        <f>B24</f>
        <v>Total Assets</v>
      </c>
      <c r="M24" s="1"/>
      <c r="N24" s="333">
        <f>IF(ISERROR(D24/D$24), "n/a", D24/D$24)</f>
        <v>1</v>
      </c>
      <c r="O24" s="333">
        <f>IF(ISERROR(E24/E$24), "n/a", E24/E$24)</f>
        <v>1</v>
      </c>
      <c r="P24" s="333">
        <f>IF(ISERROR(F24/F$24), "n/a", F24/F$24)</f>
        <v>1</v>
      </c>
      <c r="Q24" s="333">
        <f>IF(ISERROR(G24/G$24), "n/a", G24/G$24)</f>
        <v>1</v>
      </c>
      <c r="R24" s="1"/>
      <c r="S24" s="333">
        <f>IF(ISERROR(I24/I$24), "n/a", I24/I$24)</f>
        <v>1</v>
      </c>
    </row>
    <row r="25" spans="2:19" ht="12.75" customHeight="1">
      <c r="D25" s="980"/>
      <c r="E25" s="980"/>
      <c r="F25" s="980"/>
      <c r="G25" s="980"/>
      <c r="H25" s="378"/>
      <c r="I25" s="1105"/>
    </row>
    <row r="26" spans="2:19" ht="12.75" customHeight="1">
      <c r="B26" s="58" t="s">
        <v>110</v>
      </c>
      <c r="C26" s="59"/>
      <c r="D26" s="1175"/>
      <c r="E26" s="1175"/>
      <c r="F26" s="1175"/>
      <c r="G26" s="1175"/>
      <c r="H26" s="94"/>
      <c r="I26" s="1178"/>
      <c r="L26" s="58" t="s">
        <v>110</v>
      </c>
      <c r="M26" s="59"/>
      <c r="N26" s="99"/>
      <c r="O26" s="99"/>
      <c r="P26" s="99"/>
      <c r="Q26" s="99"/>
      <c r="R26" s="99"/>
      <c r="S26" s="155"/>
    </row>
    <row r="27" spans="2:19" ht="12.75" customHeight="1">
      <c r="D27" s="980"/>
      <c r="E27" s="980"/>
      <c r="F27" s="980"/>
      <c r="G27" s="980"/>
      <c r="H27" s="378"/>
      <c r="I27" s="1105"/>
    </row>
    <row r="28" spans="2:19" ht="12.75" customHeight="1">
      <c r="B28" s="310" t="s">
        <v>111</v>
      </c>
      <c r="D28" s="980"/>
      <c r="E28" s="980"/>
      <c r="F28" s="980"/>
      <c r="G28" s="980"/>
      <c r="H28" s="378"/>
      <c r="I28" s="1105"/>
      <c r="L28" s="310" t="str">
        <f>B28</f>
        <v>Current Liabilities</v>
      </c>
    </row>
    <row r="29" spans="2:19" ht="12.75" customHeight="1">
      <c r="B29" s="2" t="s">
        <v>112</v>
      </c>
      <c r="D29" s="980">
        <v>241.54</v>
      </c>
      <c r="E29" s="980">
        <v>914.10500000000002</v>
      </c>
      <c r="F29" s="980">
        <f>1243.904+924.267</f>
        <v>2168.1710000000003</v>
      </c>
      <c r="G29" s="980">
        <v>3992.6</v>
      </c>
      <c r="H29" s="302"/>
      <c r="I29" s="1105">
        <f>(83584+6220)*L56</f>
        <v>13566.788530682541</v>
      </c>
      <c r="L29" s="2" t="str">
        <f>B29</f>
        <v>Accounts Payable</v>
      </c>
      <c r="N29" s="51">
        <f t="shared" ref="N29:O31" si="2">IF(ISERROR(D29/D$24), "n/a", D29/D$24)</f>
        <v>5.0064980422963479E-2</v>
      </c>
      <c r="O29" s="51">
        <f t="shared" si="2"/>
        <v>4.256212238603601E-2</v>
      </c>
      <c r="P29" s="51">
        <f t="shared" ref="P29:S31" si="3">IF(ISERROR(F29/F$24), "n/a", F29/F$24)</f>
        <v>6.6434263134370758E-2</v>
      </c>
      <c r="Q29" s="51">
        <f t="shared" si="3"/>
        <v>0.15443731684599127</v>
      </c>
      <c r="S29" s="51">
        <f t="shared" si="3"/>
        <v>9.5406762104592188E-2</v>
      </c>
    </row>
    <row r="30" spans="2:19" ht="12.75" customHeight="1">
      <c r="B30" s="2" t="s">
        <v>1593</v>
      </c>
      <c r="D30" s="980">
        <v>66.66</v>
      </c>
      <c r="E30" s="980">
        <v>0</v>
      </c>
      <c r="F30" s="980">
        <v>0</v>
      </c>
      <c r="G30" s="980">
        <v>-1521.69</v>
      </c>
      <c r="H30" s="302"/>
      <c r="I30" s="1105">
        <v>0</v>
      </c>
      <c r="L30" s="2" t="str">
        <f>B30</f>
        <v>Tax Payable</v>
      </c>
      <c r="N30" s="51">
        <f t="shared" si="2"/>
        <v>1.381688993539267E-2</v>
      </c>
      <c r="O30" s="51">
        <f t="shared" si="2"/>
        <v>0</v>
      </c>
      <c r="P30" s="51">
        <f t="shared" si="3"/>
        <v>0</v>
      </c>
      <c r="Q30" s="51">
        <f t="shared" si="3"/>
        <v>-5.8860321763105856E-2</v>
      </c>
      <c r="S30" s="51">
        <f t="shared" si="3"/>
        <v>0</v>
      </c>
    </row>
    <row r="31" spans="2:19" ht="12.75" customHeight="1">
      <c r="B31" s="2" t="s">
        <v>113</v>
      </c>
      <c r="D31" s="980">
        <v>1573.86</v>
      </c>
      <c r="E31" s="980">
        <v>0</v>
      </c>
      <c r="F31" s="980">
        <v>0</v>
      </c>
      <c r="G31" s="980">
        <v>0</v>
      </c>
      <c r="H31" s="302"/>
      <c r="I31" s="1105">
        <f>G31</f>
        <v>0</v>
      </c>
      <c r="L31" s="2" t="str">
        <f>B31</f>
        <v>Other Current Liabilities</v>
      </c>
      <c r="N31" s="51">
        <f t="shared" si="2"/>
        <v>0.32622037794355097</v>
      </c>
      <c r="O31" s="51">
        <f t="shared" si="2"/>
        <v>0</v>
      </c>
      <c r="P31" s="51">
        <f t="shared" si="3"/>
        <v>0</v>
      </c>
      <c r="Q31" s="51">
        <f t="shared" si="3"/>
        <v>0</v>
      </c>
      <c r="S31" s="51">
        <f t="shared" si="3"/>
        <v>0</v>
      </c>
    </row>
    <row r="32" spans="2:19" ht="3" customHeight="1">
      <c r="B32" s="5"/>
      <c r="C32" s="5"/>
      <c r="D32" s="1163"/>
      <c r="E32" s="1163"/>
      <c r="F32" s="1163"/>
      <c r="G32" s="1163"/>
      <c r="H32" s="664"/>
      <c r="I32" s="1176"/>
      <c r="L32" s="5"/>
      <c r="M32" s="5"/>
      <c r="N32" s="5"/>
      <c r="O32" s="5"/>
      <c r="P32" s="5"/>
      <c r="Q32" s="5"/>
      <c r="S32" s="5"/>
    </row>
    <row r="33" spans="2:19" ht="12.75" customHeight="1">
      <c r="B33" s="17" t="s">
        <v>114</v>
      </c>
      <c r="D33" s="980">
        <f>SUM(D29:D31)</f>
        <v>1882.06</v>
      </c>
      <c r="E33" s="980">
        <f>SUM(E29:E31)</f>
        <v>914.10500000000002</v>
      </c>
      <c r="F33" s="980">
        <f>SUM(F29:F31)</f>
        <v>2168.1710000000003</v>
      </c>
      <c r="G33" s="980">
        <f>SUM(G29:G31)</f>
        <v>2470.91</v>
      </c>
      <c r="H33" s="664"/>
      <c r="I33" s="1105">
        <f>SUM(I29:I31)</f>
        <v>13566.788530682541</v>
      </c>
      <c r="L33" s="17" t="str">
        <f>B33</f>
        <v>Total Current Liabilities</v>
      </c>
      <c r="N33" s="51">
        <f>IF(ISERROR(D33/D$24), "n/a", D33/D$24)</f>
        <v>0.39010224830190715</v>
      </c>
      <c r="O33" s="51">
        <f>IF(ISERROR(E33/E$24), "n/a", E33/E$24)</f>
        <v>4.256212238603601E-2</v>
      </c>
      <c r="P33" s="51">
        <f>IF(ISERROR(F33/F$24), "n/a", F33/F$24)</f>
        <v>6.6434263134370758E-2</v>
      </c>
      <c r="Q33" s="51">
        <f>IF(ISERROR(G33/G$24), "n/a", G33/G$24)</f>
        <v>9.5576995082885405E-2</v>
      </c>
      <c r="S33" s="51">
        <f>IF(ISERROR(I33/I$24), "n/a", I33/I$24)</f>
        <v>9.5406762104592188E-2</v>
      </c>
    </row>
    <row r="34" spans="2:19" ht="12.75" customHeight="1">
      <c r="D34" s="980"/>
      <c r="E34" s="980"/>
      <c r="F34" s="980"/>
      <c r="G34" s="980"/>
      <c r="H34" s="664"/>
      <c r="I34" s="1105"/>
    </row>
    <row r="35" spans="2:19" ht="12.75" customHeight="1">
      <c r="B35" s="2" t="s">
        <v>1903</v>
      </c>
      <c r="D35" s="980">
        <v>0</v>
      </c>
      <c r="E35" s="980">
        <v>2396.9679999999998</v>
      </c>
      <c r="F35" s="980">
        <v>3315.9430000000002</v>
      </c>
      <c r="G35" s="980">
        <v>3332.06</v>
      </c>
      <c r="H35" s="1179"/>
      <c r="I35" s="1105">
        <f>(5968+2905)*L56</f>
        <v>1340.4538175665468</v>
      </c>
      <c r="L35" s="2" t="str">
        <f>B35</f>
        <v>Deferred Revenue</v>
      </c>
      <c r="N35" s="51">
        <f t="shared" ref="N35:Q36" si="4">IF(ISERROR(D35/D$24), "n/a", D35/D$24)</f>
        <v>0</v>
      </c>
      <c r="O35" s="51">
        <f t="shared" si="4"/>
        <v>0.11160648434415296</v>
      </c>
      <c r="P35" s="51">
        <f t="shared" si="4"/>
        <v>0.10160279323013487</v>
      </c>
      <c r="Q35" s="51">
        <f t="shared" si="4"/>
        <v>0.12888704252112748</v>
      </c>
      <c r="S35" s="51">
        <f>IF(ISERROR(I35/I$24), "n/a", I35/I$24)</f>
        <v>9.4265756553610809E-3</v>
      </c>
    </row>
    <row r="36" spans="2:19" ht="12.75" customHeight="1">
      <c r="B36" s="2" t="s">
        <v>3382</v>
      </c>
      <c r="D36" s="980">
        <v>0</v>
      </c>
      <c r="E36" s="980">
        <v>0</v>
      </c>
      <c r="F36" s="980">
        <v>0</v>
      </c>
      <c r="G36" s="980">
        <v>0</v>
      </c>
      <c r="H36" s="1179"/>
      <c r="I36" s="1105">
        <f>(3210623)*$L$56</f>
        <v>485032.3292141282</v>
      </c>
      <c r="L36" s="2" t="str">
        <f>B36</f>
        <v>Financial Liabilities at FVTPL</v>
      </c>
      <c r="N36" s="51">
        <f t="shared" si="4"/>
        <v>0</v>
      </c>
      <c r="O36" s="51">
        <f t="shared" si="4"/>
        <v>0</v>
      </c>
      <c r="P36" s="51">
        <f t="shared" si="4"/>
        <v>0</v>
      </c>
      <c r="Q36" s="51">
        <f t="shared" si="4"/>
        <v>0</v>
      </c>
      <c r="S36" s="51">
        <f>IF(ISERROR(I36/I$24), "n/a", I36/I$24)</f>
        <v>3.4109298557807235</v>
      </c>
    </row>
    <row r="37" spans="2:19" ht="3" customHeight="1">
      <c r="B37" s="5"/>
      <c r="C37" s="5"/>
      <c r="D37" s="1163"/>
      <c r="E37" s="1163"/>
      <c r="F37" s="1163"/>
      <c r="G37" s="1163"/>
      <c r="H37" s="664"/>
      <c r="I37" s="1176"/>
      <c r="L37" s="5"/>
      <c r="M37" s="5"/>
      <c r="N37" s="5"/>
      <c r="O37" s="5"/>
      <c r="P37" s="5"/>
      <c r="Q37" s="5"/>
      <c r="S37" s="5"/>
    </row>
    <row r="38" spans="2:19" ht="12.75" customHeight="1">
      <c r="B38" s="17" t="s">
        <v>115</v>
      </c>
      <c r="D38" s="980">
        <f>SUM(D33:D36)</f>
        <v>1882.06</v>
      </c>
      <c r="E38" s="980">
        <f t="shared" ref="E38:I38" si="5">SUM(E33:E36)</f>
        <v>3311.0729999999999</v>
      </c>
      <c r="F38" s="980">
        <f t="shared" si="5"/>
        <v>5484.1140000000005</v>
      </c>
      <c r="G38" s="980">
        <f t="shared" si="5"/>
        <v>5802.9699999999993</v>
      </c>
      <c r="H38" s="664"/>
      <c r="I38" s="980">
        <f t="shared" si="5"/>
        <v>499939.57156237727</v>
      </c>
      <c r="L38" s="17" t="str">
        <f>B38</f>
        <v>Total Liabilities</v>
      </c>
      <c r="N38" s="51">
        <f>IF(ISERROR(D38/D$24), "n/a", D38/D$24)</f>
        <v>0.39010224830190715</v>
      </c>
      <c r="O38" s="51">
        <f>IF(ISERROR(E38/E$24), "n/a", E38/E$24)</f>
        <v>0.15416860673018898</v>
      </c>
      <c r="P38" s="51">
        <f>IF(ISERROR(F38/F$24), "n/a", F38/F$24)</f>
        <v>0.16803705636450564</v>
      </c>
      <c r="Q38" s="51">
        <f>IF(ISERROR(G38/G$24), "n/a", G38/G$24)</f>
        <v>0.22446403760401287</v>
      </c>
      <c r="S38" s="51">
        <f>IF(ISERROR(I38/I$24), "n/a", I38/I$24)</f>
        <v>3.5157631935406766</v>
      </c>
    </row>
    <row r="39" spans="2:19" ht="12.75" customHeight="1">
      <c r="D39" s="980"/>
      <c r="E39" s="980"/>
      <c r="F39" s="980"/>
      <c r="G39" s="980"/>
      <c r="H39" s="378"/>
      <c r="I39" s="1105"/>
    </row>
    <row r="40" spans="2:19" ht="12.75" customHeight="1">
      <c r="B40" s="310" t="s">
        <v>118</v>
      </c>
      <c r="D40" s="980"/>
      <c r="E40" s="980"/>
      <c r="F40" s="980"/>
      <c r="G40" s="980"/>
      <c r="H40" s="378"/>
      <c r="I40" s="1105"/>
      <c r="L40" s="310" t="str">
        <f t="shared" ref="L40:L46" si="6">B40</f>
        <v>Shareholders' Equity</v>
      </c>
    </row>
    <row r="41" spans="2:19" ht="12.75" customHeight="1">
      <c r="B41" s="2" t="s">
        <v>116</v>
      </c>
      <c r="D41" s="980">
        <v>0</v>
      </c>
      <c r="E41" s="980">
        <v>0</v>
      </c>
      <c r="F41" s="980">
        <v>0</v>
      </c>
      <c r="G41" s="980">
        <v>0</v>
      </c>
      <c r="H41" s="302"/>
      <c r="I41" s="1105">
        <f>G41</f>
        <v>0</v>
      </c>
      <c r="L41" s="2" t="str">
        <f t="shared" si="6"/>
        <v>Common</v>
      </c>
      <c r="N41" s="51">
        <f t="shared" ref="N41:O50" si="7">IF(ISERROR(D41/D$24), "n/a", D41/D$24)</f>
        <v>0</v>
      </c>
      <c r="O41" s="51">
        <f t="shared" si="7"/>
        <v>0</v>
      </c>
      <c r="P41" s="51">
        <f t="shared" ref="P41:P46" si="8">IF(ISERROR(F41/F$24), "n/a", F41/F$24)</f>
        <v>0</v>
      </c>
      <c r="Q41" s="51">
        <f t="shared" ref="Q41:S46" si="9">IF(ISERROR(G41/G$24), "n/a", G41/G$24)</f>
        <v>0</v>
      </c>
      <c r="S41" s="51">
        <f t="shared" si="9"/>
        <v>0</v>
      </c>
    </row>
    <row r="42" spans="2:19" ht="12.75" customHeight="1">
      <c r="B42" s="2" t="s">
        <v>1590</v>
      </c>
      <c r="D42" s="980">
        <v>20002.66</v>
      </c>
      <c r="E42" s="980">
        <v>45002.45</v>
      </c>
      <c r="F42" s="980">
        <v>68137.232999999993</v>
      </c>
      <c r="G42" s="980">
        <v>56002.45</v>
      </c>
      <c r="H42" s="302"/>
      <c r="I42" s="1103">
        <f>48*L56</f>
        <v>7.2514125147294326</v>
      </c>
      <c r="L42" s="2" t="str">
        <f t="shared" si="6"/>
        <v>Share Capital</v>
      </c>
      <c r="N42" s="51">
        <f t="shared" si="7"/>
        <v>4.1460328778140045</v>
      </c>
      <c r="O42" s="51">
        <f t="shared" si="7"/>
        <v>2.0953826798578565</v>
      </c>
      <c r="P42" s="51">
        <f t="shared" si="8"/>
        <v>2.0877720744212191</v>
      </c>
      <c r="Q42" s="51">
        <f t="shared" si="9"/>
        <v>2.1662245441070436</v>
      </c>
      <c r="S42" s="51">
        <f t="shared" si="9"/>
        <v>5.099466149637461E-5</v>
      </c>
    </row>
    <row r="43" spans="2:19" ht="12.75" customHeight="1">
      <c r="B43" s="2" t="s">
        <v>1591</v>
      </c>
      <c r="D43" s="980">
        <v>0</v>
      </c>
      <c r="E43" s="980">
        <v>0</v>
      </c>
      <c r="F43" s="980">
        <v>0</v>
      </c>
      <c r="G43" s="980">
        <v>18635.84</v>
      </c>
      <c r="H43" s="302"/>
      <c r="I43" s="1105">
        <f>26487*L56</f>
        <v>4001.4200682841347</v>
      </c>
      <c r="L43" s="2" t="str">
        <f t="shared" si="6"/>
        <v>Capital Reserves</v>
      </c>
      <c r="N43" s="51">
        <f t="shared" si="7"/>
        <v>0</v>
      </c>
      <c r="O43" s="51">
        <f t="shared" si="7"/>
        <v>0</v>
      </c>
      <c r="P43" s="51">
        <f t="shared" si="8"/>
        <v>0</v>
      </c>
      <c r="Q43" s="51">
        <f t="shared" si="9"/>
        <v>0.72085085577598507</v>
      </c>
      <c r="S43" s="51">
        <f t="shared" si="9"/>
        <v>2.8139491646968211E-2</v>
      </c>
    </row>
    <row r="44" spans="2:19" ht="12.75" customHeight="1">
      <c r="B44" s="2" t="s">
        <v>1594</v>
      </c>
      <c r="D44" s="980"/>
      <c r="E44" s="980">
        <v>-796.38699999999994</v>
      </c>
      <c r="F44" s="980">
        <v>-1929.912</v>
      </c>
      <c r="G44" s="980">
        <v>0</v>
      </c>
      <c r="H44" s="302"/>
      <c r="I44" s="1105">
        <v>0</v>
      </c>
      <c r="L44" s="2" t="str">
        <f>B44</f>
        <v>Other Reserves</v>
      </c>
      <c r="N44" s="51">
        <f>IF(ISERROR(D44/D$24), "n/a", D44/D$24)</f>
        <v>0</v>
      </c>
      <c r="O44" s="51">
        <f>IF(ISERROR(E44/E$24), "n/a", E44/E$24)</f>
        <v>-3.7080992840699982E-2</v>
      </c>
      <c r="P44" s="51">
        <f>IF(ISERROR(F44/F$24), "n/a", F44/F$24)</f>
        <v>-5.9133842134305697E-2</v>
      </c>
      <c r="Q44" s="51">
        <f>IF(ISERROR(G44/G$24), "n/a", G44/G$24)</f>
        <v>0</v>
      </c>
      <c r="S44" s="51">
        <f>IF(ISERROR(I44/I$24), "n/a", I44/I$24)</f>
        <v>0</v>
      </c>
    </row>
    <row r="45" spans="2:19" ht="12.75" customHeight="1">
      <c r="B45" s="2" t="s">
        <v>117</v>
      </c>
      <c r="D45" s="980">
        <v>-17060.189999999999</v>
      </c>
      <c r="E45" s="980">
        <v>-26040.174999999999</v>
      </c>
      <c r="F45" s="980">
        <v>-39605.21</v>
      </c>
      <c r="G45" s="980">
        <v>-55539.38</v>
      </c>
      <c r="H45" s="302"/>
      <c r="I45" s="1105">
        <f>-2394560*L56</f>
        <v>-361748.79898480227</v>
      </c>
      <c r="L45" s="2" t="str">
        <f t="shared" si="6"/>
        <v>Retained Earnings</v>
      </c>
      <c r="N45" s="51">
        <f t="shared" si="7"/>
        <v>-3.5361351261159117</v>
      </c>
      <c r="O45" s="51">
        <f t="shared" si="7"/>
        <v>-1.2124702471858213</v>
      </c>
      <c r="P45" s="51">
        <f t="shared" si="8"/>
        <v>-1.2135311018512893</v>
      </c>
      <c r="Q45" s="51">
        <f t="shared" si="9"/>
        <v>-2.1483125849045508</v>
      </c>
      <c r="S45" s="51">
        <f t="shared" si="9"/>
        <v>-2.5439536798491411</v>
      </c>
    </row>
    <row r="46" spans="2:19" ht="12.75" customHeight="1">
      <c r="B46" s="2" t="s">
        <v>1592</v>
      </c>
      <c r="D46" s="980">
        <v>0</v>
      </c>
      <c r="E46" s="980">
        <v>0</v>
      </c>
      <c r="F46" s="980">
        <v>550.11199999999997</v>
      </c>
      <c r="G46" s="980">
        <v>950.7</v>
      </c>
      <c r="H46" s="302"/>
      <c r="I46" s="1105">
        <v>0</v>
      </c>
      <c r="L46" s="2" t="str">
        <f t="shared" si="6"/>
        <v>Non-Controlling Interest</v>
      </c>
      <c r="N46" s="51">
        <f t="shared" si="7"/>
        <v>0</v>
      </c>
      <c r="O46" s="51">
        <f t="shared" si="7"/>
        <v>0</v>
      </c>
      <c r="P46" s="51">
        <f t="shared" si="8"/>
        <v>1.6855813199869826E-2</v>
      </c>
      <c r="Q46" s="51">
        <f t="shared" si="9"/>
        <v>3.6773921035286254E-2</v>
      </c>
      <c r="S46" s="51">
        <f t="shared" si="9"/>
        <v>0</v>
      </c>
    </row>
    <row r="47" spans="2:19" ht="3" customHeight="1">
      <c r="B47" s="5"/>
      <c r="C47" s="5"/>
      <c r="D47" s="1163"/>
      <c r="E47" s="1163"/>
      <c r="F47" s="1163"/>
      <c r="G47" s="1163"/>
      <c r="H47" s="664"/>
      <c r="I47" s="1176"/>
      <c r="L47" s="5"/>
      <c r="M47" s="5"/>
      <c r="N47" s="5"/>
      <c r="O47" s="5"/>
      <c r="P47" s="5"/>
      <c r="Q47" s="5"/>
      <c r="S47" s="5"/>
    </row>
    <row r="48" spans="2:19" ht="12.75" customHeight="1">
      <c r="B48" s="17" t="s">
        <v>120</v>
      </c>
      <c r="D48" s="980">
        <f>SUM(D41:D46)</f>
        <v>2942.4700000000012</v>
      </c>
      <c r="E48" s="980">
        <f>SUM(E41:E46)</f>
        <v>18165.887999999995</v>
      </c>
      <c r="F48" s="980">
        <f>SUM(F41:F46)</f>
        <v>27152.222999999998</v>
      </c>
      <c r="G48" s="980">
        <f>SUM(G41:G46)</f>
        <v>20049.609999999997</v>
      </c>
      <c r="H48" s="664"/>
      <c r="I48" s="980">
        <f>SUM(I41:I46)</f>
        <v>-357740.12750400341</v>
      </c>
      <c r="L48" s="17" t="str">
        <f>B48</f>
        <v>Total Shareholders' Equity</v>
      </c>
      <c r="N48" s="51">
        <f t="shared" si="7"/>
        <v>0.60989775169809313</v>
      </c>
      <c r="O48" s="51">
        <f t="shared" si="7"/>
        <v>0.84583143983133524</v>
      </c>
      <c r="P48" s="51">
        <f>IF(ISERROR(F48/F$24), "n/a", F48/F$24)</f>
        <v>0.83196294363549439</v>
      </c>
      <c r="Q48" s="51">
        <f>IF(ISERROR(G48/G$24), "n/a", G48/G$24)</f>
        <v>0.77553673601376405</v>
      </c>
      <c r="S48" s="51">
        <f>IF(ISERROR(I48/I$24), "n/a", I48/I$24)</f>
        <v>-2.5157631935406766</v>
      </c>
    </row>
    <row r="49" spans="1:19" ht="15" customHeight="1">
      <c r="D49" s="980"/>
      <c r="E49" s="980"/>
      <c r="F49" s="980"/>
      <c r="G49" s="980"/>
      <c r="H49" s="664"/>
      <c r="I49" s="980"/>
      <c r="N49" s="16"/>
      <c r="O49" s="5"/>
      <c r="P49" s="5"/>
      <c r="Q49" s="5"/>
      <c r="S49" s="5"/>
    </row>
    <row r="50" spans="1:19" ht="12.75" customHeight="1">
      <c r="B50" s="1165" t="s">
        <v>119</v>
      </c>
      <c r="C50" s="1165"/>
      <c r="D50" s="1167">
        <f>D48+D38</f>
        <v>4824.5300000000007</v>
      </c>
      <c r="E50" s="1167">
        <f>E48+E38</f>
        <v>21476.960999999996</v>
      </c>
      <c r="F50" s="1167">
        <f>F48+F38</f>
        <v>32636.337</v>
      </c>
      <c r="G50" s="1167">
        <f>G48+G38</f>
        <v>25852.579999999994</v>
      </c>
      <c r="H50" s="1180"/>
      <c r="I50" s="1167">
        <f>I48+I38</f>
        <v>142199.44405837386</v>
      </c>
      <c r="L50" s="1165" t="str">
        <f>B50</f>
        <v>Total Liabilities &amp; Shareholders' Equity</v>
      </c>
      <c r="M50" s="1165"/>
      <c r="N50" s="1166">
        <f t="shared" si="7"/>
        <v>1.0000000000000002</v>
      </c>
      <c r="O50" s="333">
        <f t="shared" si="7"/>
        <v>1.0000000465615242</v>
      </c>
      <c r="P50" s="333">
        <f>IF(ISERROR(F50/F$24), "n/a", F50/F$24)</f>
        <v>1</v>
      </c>
      <c r="Q50" s="333">
        <f>IF(ISERROR(G50/G$24), "n/a", G50/G$24)</f>
        <v>1.000000773617777</v>
      </c>
      <c r="R50" s="1"/>
      <c r="S50" s="333">
        <f>IF(ISERROR(I50/I$24), "n/a", I50/I$24)</f>
        <v>1</v>
      </c>
    </row>
    <row r="51" spans="1:19" ht="12.75" customHeight="1"/>
    <row r="52" spans="1:19" ht="12.75" customHeight="1">
      <c r="B52" s="8" t="s">
        <v>16</v>
      </c>
      <c r="L52" s="8" t="s">
        <v>16</v>
      </c>
    </row>
    <row r="53" spans="1:19" ht="27" customHeight="1">
      <c r="A53" s="653" t="s">
        <v>128</v>
      </c>
      <c r="B53" s="2603" t="str">
        <f>"Management provided the financials in Renminbi (""CNY""), which were converted into USD considering the the exchange rate of 1USD = 6.62CNY as of the Valuation Date, sourced from Capital IQ."</f>
        <v>Management provided the financials in Renminbi ("CNY"), which were converted into USD considering the the exchange rate of 1USD = 6.62CNY as of the Valuation Date, sourced from Capital IQ.</v>
      </c>
      <c r="C53" s="2603"/>
      <c r="D53" s="2603"/>
      <c r="E53" s="2603"/>
      <c r="F53" s="2603"/>
      <c r="G53" s="2603"/>
      <c r="H53" s="2603"/>
      <c r="I53" s="2603"/>
      <c r="K53" s="653" t="s">
        <v>128</v>
      </c>
      <c r="L53" s="2603" t="str">
        <f>"Management provided the financials in Renminbi (""CNY""), which were converted into USD considering the the exchange rate of 1USD = 6.62CNY as of the Valuation Date, sourced from Capital IQ."</f>
        <v>Management provided the financials in Renminbi ("CNY"), which were converted into USD considering the the exchange rate of 1USD = 6.62CNY as of the Valuation Date, sourced from Capital IQ.</v>
      </c>
      <c r="M53" s="2603"/>
      <c r="N53" s="2603"/>
      <c r="O53" s="2603"/>
      <c r="P53" s="2603"/>
      <c r="Q53" s="2603"/>
      <c r="R53" s="2603"/>
      <c r="S53" s="2603"/>
    </row>
    <row r="54" spans="1:19" ht="12.75" customHeight="1"/>
    <row r="55" spans="1:19" ht="12.75" customHeight="1">
      <c r="B55" s="26" t="s">
        <v>122</v>
      </c>
      <c r="C55" s="27"/>
      <c r="D55" s="27"/>
      <c r="E55" s="27"/>
      <c r="F55" s="27"/>
      <c r="G55" s="27"/>
      <c r="H55" s="27"/>
      <c r="I55" s="28"/>
      <c r="L55" s="1" t="s">
        <v>3238</v>
      </c>
    </row>
    <row r="56" spans="1:19" ht="12.75" customHeight="1">
      <c r="L56" s="2436">
        <f>'Hist IS'!L9</f>
        <v>0.15107109405686317</v>
      </c>
    </row>
    <row r="57" spans="1:19" ht="12.75" customHeight="1">
      <c r="B57" s="310" t="s">
        <v>125</v>
      </c>
      <c r="D57" s="211">
        <f>D13</f>
        <v>4824.53</v>
      </c>
      <c r="E57" s="211">
        <f>E13</f>
        <v>21297.883000000002</v>
      </c>
      <c r="F57" s="211">
        <f>F13</f>
        <v>27807.547999999999</v>
      </c>
      <c r="G57" s="211">
        <f>G13</f>
        <v>24992.7</v>
      </c>
      <c r="H57" s="211"/>
      <c r="I57" s="211">
        <f>I13</f>
        <v>128832.52258512856</v>
      </c>
    </row>
    <row r="58" spans="1:19" ht="12.75" customHeight="1">
      <c r="B58" s="54" t="s">
        <v>124</v>
      </c>
      <c r="C58" s="331" t="s">
        <v>128</v>
      </c>
      <c r="D58" s="665">
        <f>-D57</f>
        <v>-4824.53</v>
      </c>
      <c r="E58" s="665">
        <f>-E57</f>
        <v>-21297.883000000002</v>
      </c>
      <c r="F58" s="665">
        <f>-F57</f>
        <v>-27807.547999999999</v>
      </c>
      <c r="G58" s="665">
        <f>-G57</f>
        <v>-24992.7</v>
      </c>
      <c r="H58" s="665"/>
      <c r="I58" s="665">
        <f>-I57</f>
        <v>-128832.52258512856</v>
      </c>
      <c r="L58" s="1" t="s">
        <v>3239</v>
      </c>
      <c r="N58" s="1121"/>
    </row>
    <row r="59" spans="1:19" s="20" customFormat="1" ht="12.75" customHeight="1">
      <c r="B59" s="55"/>
      <c r="C59" s="56"/>
      <c r="D59" s="57"/>
      <c r="E59" s="57"/>
      <c r="F59" s="57"/>
      <c r="G59" s="57"/>
      <c r="H59" s="57"/>
      <c r="I59" s="57"/>
      <c r="L59" s="310"/>
      <c r="M59" s="310"/>
      <c r="N59" s="310"/>
      <c r="O59" s="310"/>
      <c r="P59" s="310"/>
      <c r="Q59" s="310"/>
      <c r="R59" s="310"/>
      <c r="S59" s="310"/>
    </row>
    <row r="60" spans="1:19" ht="12.75" customHeight="1">
      <c r="B60" s="1" t="s">
        <v>123</v>
      </c>
      <c r="C60" s="1"/>
      <c r="D60" s="36">
        <f>SUM(D57:D58)</f>
        <v>0</v>
      </c>
      <c r="E60" s="36">
        <f>SUM(E57:E58)</f>
        <v>0</v>
      </c>
      <c r="F60" s="36">
        <f>SUM(F57:F58)</f>
        <v>0</v>
      </c>
      <c r="G60" s="36">
        <f>SUM(G57:G58)</f>
        <v>0</v>
      </c>
      <c r="H60" s="1"/>
      <c r="I60" s="36">
        <f>SUM(I57:I58)</f>
        <v>0</v>
      </c>
    </row>
    <row r="61" spans="1:19" ht="12.75" customHeight="1"/>
    <row r="62" spans="1:19" ht="12.75" customHeight="1">
      <c r="B62" s="1" t="s">
        <v>126</v>
      </c>
      <c r="C62" s="1"/>
      <c r="D62" s="36"/>
      <c r="E62" s="36"/>
      <c r="F62" s="36"/>
      <c r="G62" s="36"/>
      <c r="H62" s="1"/>
      <c r="I62" s="36"/>
    </row>
    <row r="63" spans="1:19" ht="12.75" customHeight="1"/>
    <row r="64" spans="1:19" ht="12.75" customHeight="1">
      <c r="B64" s="8" t="s">
        <v>16</v>
      </c>
    </row>
    <row r="65" spans="1:14" ht="12.75" customHeight="1">
      <c r="B65" s="9" t="s">
        <v>441</v>
      </c>
    </row>
    <row r="66" spans="1:14" ht="12.75" customHeight="1">
      <c r="B66" s="9" t="s">
        <v>98</v>
      </c>
    </row>
    <row r="67" spans="1:14" ht="12.75" customHeight="1"/>
    <row r="68" spans="1:14" ht="12.75" customHeight="1"/>
    <row r="69" spans="1:14">
      <c r="A69" s="310">
        <v>0</v>
      </c>
      <c r="B69" s="688" t="s">
        <v>121</v>
      </c>
      <c r="C69" s="19"/>
      <c r="D69" s="689">
        <f>D50-D24</f>
        <v>0</v>
      </c>
      <c r="E69" s="689">
        <f>E50-E24</f>
        <v>9.999999929277692E-4</v>
      </c>
      <c r="F69" s="689">
        <f>F50-F24</f>
        <v>0</v>
      </c>
      <c r="G69" s="689">
        <f>G50-G24</f>
        <v>1.99999999931606E-2</v>
      </c>
      <c r="H69" s="19"/>
      <c r="I69" s="690">
        <f>I50-I24</f>
        <v>0</v>
      </c>
      <c r="L69" s="24"/>
      <c r="M69" s="24"/>
      <c r="N69" s="16"/>
    </row>
    <row r="70" spans="1:14">
      <c r="B70" s="798" t="s">
        <v>1061</v>
      </c>
      <c r="D70" s="797" t="str">
        <f>IF(OR(D69&gt;0.1,D69&lt;-0.1,E69&gt;0.1,E69&lt;-0.1,F69&gt;0.1,F69&lt;-0.1,G69&gt;0.1,G69&lt;-0.1,I69&gt;0.1,I69&lt;-0.1),"Check","")</f>
        <v/>
      </c>
    </row>
  </sheetData>
  <mergeCells count="2">
    <mergeCell ref="B53:I53"/>
    <mergeCell ref="L53:S53"/>
  </mergeCells>
  <conditionalFormatting sqref="L4:S4">
    <cfRule type="cellIs" dxfId="190" priority="3" stopIfTrue="1" operator="equal">
      <formula>"input"</formula>
    </cfRule>
  </conditionalFormatting>
  <conditionalFormatting sqref="I4">
    <cfRule type="cellIs" dxfId="189" priority="2" stopIfTrue="1" operator="equal">
      <formula>"input"</formula>
    </cfRule>
  </conditionalFormatting>
  <conditionalFormatting sqref="B4:H4">
    <cfRule type="cellIs" dxfId="188" priority="6" stopIfTrue="1" operator="equal">
      <formula>"input"</formula>
    </cfRule>
  </conditionalFormatting>
  <conditionalFormatting sqref="I4">
    <cfRule type="cellIs" dxfId="187" priority="1" stopIfTrue="1" operator="equal">
      <formula>"input"</formula>
    </cfRule>
  </conditionalFormatting>
  <pageMargins left="0.5" right="0.5" top="0.5" bottom="0.5" header="0.5" footer="0.5"/>
  <pageSetup scale="85" fitToWidth="0" fitToHeight="0" orientation="landscape" r:id="rId1"/>
  <colBreaks count="1" manualBreakCount="1">
    <brk id="10" max="50"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3" tint="-0.499984740745262"/>
    <pageSetUpPr fitToPage="1"/>
  </sheetPr>
  <dimension ref="B6:F30"/>
  <sheetViews>
    <sheetView showGridLines="0" view="pageBreakPreview" topLeftCell="A7" zoomScale="85" zoomScaleNormal="100" zoomScaleSheetLayoutView="85" workbookViewId="0">
      <selection activeCell="I9" sqref="I9"/>
    </sheetView>
  </sheetViews>
  <sheetFormatPr defaultColWidth="9.33203125" defaultRowHeight="15"/>
  <cols>
    <col min="1" max="1" width="4.5" style="222" customWidth="1"/>
    <col min="2" max="2" width="3.83203125" style="222" customWidth="1"/>
    <col min="3" max="3" width="15.83203125" style="222" customWidth="1"/>
    <col min="4" max="4" width="105.33203125" style="223" customWidth="1"/>
    <col min="5" max="5" width="15.83203125" style="222" customWidth="1"/>
    <col min="6" max="6" width="3.83203125" style="222" customWidth="1"/>
    <col min="7" max="7" width="4.5" style="222" customWidth="1"/>
    <col min="8" max="8" width="9.33203125" style="222"/>
    <col min="9" max="9" width="16.33203125" style="222" bestFit="1" customWidth="1"/>
    <col min="10" max="10" width="19" style="222" bestFit="1" customWidth="1"/>
    <col min="11" max="16384" width="9.33203125" style="222"/>
  </cols>
  <sheetData>
    <row r="6" spans="2:6">
      <c r="B6" s="224"/>
      <c r="C6" s="213"/>
      <c r="D6" s="214"/>
      <c r="E6" s="213"/>
      <c r="F6" s="213"/>
    </row>
    <row r="7" spans="2:6" ht="15.75" thickBot="1">
      <c r="B7" s="224"/>
      <c r="C7" s="213"/>
      <c r="D7" s="214"/>
      <c r="E7" s="213"/>
      <c r="F7" s="213"/>
    </row>
    <row r="8" spans="2:6" ht="15.75" thickTop="1">
      <c r="B8" s="14"/>
      <c r="C8" s="225"/>
      <c r="D8" s="226"/>
      <c r="E8" s="225"/>
      <c r="F8" s="225"/>
    </row>
    <row r="9" spans="2:6" s="227" customFormat="1" ht="40.5">
      <c r="B9" s="228"/>
      <c r="C9" s="229"/>
      <c r="D9" s="230" t="s">
        <v>278</v>
      </c>
      <c r="E9" s="229"/>
      <c r="F9" s="229"/>
    </row>
    <row r="10" spans="2:6" ht="15.75" thickBot="1">
      <c r="B10" s="217"/>
      <c r="C10" s="232"/>
      <c r="D10" s="233"/>
      <c r="E10" s="232"/>
      <c r="F10" s="232"/>
    </row>
    <row r="11" spans="2:6" ht="15.75" thickTop="1"/>
    <row r="13" spans="2:6" ht="18.75">
      <c r="D13" s="218"/>
    </row>
    <row r="14" spans="2:6" ht="18.75">
      <c r="D14" s="219"/>
    </row>
    <row r="27" spans="4:4" ht="23.25">
      <c r="D27" s="687" t="s">
        <v>576</v>
      </c>
    </row>
    <row r="29" spans="4:4" ht="18.75">
      <c r="D29" s="220" t="s">
        <v>414</v>
      </c>
    </row>
    <row r="30" spans="4:4" ht="37.5">
      <c r="D30" s="221" t="s">
        <v>269</v>
      </c>
    </row>
  </sheetData>
  <pageMargins left="0.5" right="0.5" top="0.5" bottom="0.5" header="0.5" footer="0.5"/>
  <pageSetup scale="98" orientation="landscape"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S38"/>
  <sheetViews>
    <sheetView showGridLines="0" view="pageBreakPreview" zoomScale="85" zoomScaleNormal="130" zoomScaleSheetLayoutView="85" workbookViewId="0">
      <selection activeCell="I9" sqref="I9"/>
    </sheetView>
  </sheetViews>
  <sheetFormatPr defaultColWidth="9.33203125" defaultRowHeight="12.75" outlineLevelRow="1"/>
  <cols>
    <col min="1" max="1" width="4.5" style="144" customWidth="1"/>
    <col min="2" max="2" width="68" style="310" customWidth="1"/>
    <col min="3" max="3" width="4" style="310" customWidth="1"/>
    <col min="4" max="4" width="11.83203125" style="316" customWidth="1"/>
    <col min="5" max="5" width="2.83203125" style="310" customWidth="1"/>
    <col min="6" max="6" width="11.83203125" style="316" customWidth="1"/>
    <col min="7" max="7" width="2.83203125" style="310" customWidth="1"/>
    <col min="8" max="8" width="13.1640625" style="316" customWidth="1"/>
    <col min="9" max="9" width="2.83203125" style="310" customWidth="1"/>
    <col min="10" max="10" width="11.83203125" style="316" customWidth="1"/>
    <col min="11" max="11" width="2.83203125" style="310" customWidth="1"/>
    <col min="12" max="12" width="11.5" style="310" bestFit="1" customWidth="1"/>
    <col min="13" max="13" width="2.83203125" style="310" customWidth="1"/>
    <col min="14" max="14" width="5.83203125" style="310" customWidth="1"/>
    <col min="15" max="15" width="4.5" style="310" customWidth="1"/>
    <col min="16" max="17" width="9.33203125" style="310"/>
    <col min="18" max="18" width="13.83203125" style="310" bestFit="1" customWidth="1"/>
    <col min="19" max="16384" width="9.33203125" style="310"/>
  </cols>
  <sheetData>
    <row r="1" spans="1:19" ht="10.7" customHeight="1" thickBot="1">
      <c r="D1" s="310"/>
      <c r="F1" s="310"/>
      <c r="H1" s="310"/>
      <c r="J1" s="310"/>
    </row>
    <row r="2" spans="1:19" ht="16.5" customHeight="1" thickTop="1">
      <c r="B2" s="10" t="str">
        <f>'MASTER PubCo Inputs'!$C$5</f>
        <v>Hua Medicine</v>
      </c>
      <c r="C2" s="10"/>
      <c r="D2" s="10"/>
      <c r="E2" s="10"/>
      <c r="F2" s="10"/>
      <c r="G2" s="10"/>
      <c r="H2" s="10"/>
      <c r="I2" s="10"/>
      <c r="J2" s="10"/>
      <c r="K2" s="10"/>
      <c r="L2" s="10"/>
      <c r="M2" s="10"/>
      <c r="N2" s="10"/>
    </row>
    <row r="3" spans="1:19" ht="15.75" customHeight="1">
      <c r="B3" s="11" t="str">
        <f>VLOOKUP(B4,Outline!$E$8:$G$81,COLUMNS(Outline!$E$8:$G$8),FALSE)</f>
        <v>Exhibit D.1</v>
      </c>
      <c r="C3" s="11"/>
      <c r="D3" s="11"/>
      <c r="E3" s="11"/>
      <c r="F3" s="11"/>
      <c r="G3" s="11"/>
      <c r="H3" s="11"/>
      <c r="I3" s="11"/>
      <c r="J3" s="11"/>
      <c r="K3" s="11"/>
      <c r="L3" s="11"/>
      <c r="M3" s="11"/>
      <c r="N3" s="11"/>
    </row>
    <row r="4" spans="1:19" ht="16.5" customHeight="1" thickBot="1">
      <c r="B4" s="12" t="s">
        <v>1569</v>
      </c>
      <c r="C4" s="350" t="s">
        <v>128</v>
      </c>
      <c r="D4" s="12"/>
      <c r="E4" s="12"/>
      <c r="F4" s="12"/>
      <c r="G4" s="12"/>
      <c r="H4" s="12"/>
      <c r="I4" s="12"/>
      <c r="J4" s="13"/>
      <c r="K4" s="13"/>
      <c r="L4" s="13"/>
      <c r="M4" s="13"/>
      <c r="N4" s="13" t="str">
        <f>+'MASTER PubCo Inputs'!$C$20</f>
        <v>(in thousands of USD and shares, except price per share)</v>
      </c>
    </row>
    <row r="5" spans="1:19" s="16" customFormat="1" ht="12.75" customHeight="1" thickTop="1">
      <c r="A5" s="254"/>
      <c r="B5" s="310"/>
      <c r="C5" s="144"/>
      <c r="D5" s="310"/>
      <c r="E5" s="310"/>
      <c r="F5" s="310"/>
      <c r="G5" s="310"/>
      <c r="H5" s="310"/>
      <c r="I5" s="310"/>
      <c r="J5" s="310"/>
      <c r="K5" s="310"/>
      <c r="L5" s="310"/>
      <c r="M5" s="310"/>
      <c r="N5" s="310"/>
      <c r="O5" s="310"/>
      <c r="P5" s="310"/>
      <c r="Q5" s="310"/>
      <c r="R5" s="310"/>
      <c r="S5" s="310"/>
    </row>
    <row r="6" spans="1:19" s="16" customFormat="1" ht="12.75" customHeight="1">
      <c r="A6" s="254"/>
      <c r="B6" s="310"/>
      <c r="D6" s="310"/>
      <c r="E6" s="310"/>
      <c r="F6" s="310"/>
      <c r="G6" s="310"/>
      <c r="H6" s="310"/>
      <c r="I6" s="310"/>
      <c r="J6" s="310"/>
      <c r="L6" s="310"/>
      <c r="M6" s="310"/>
      <c r="N6" s="310"/>
      <c r="O6" s="310"/>
    </row>
    <row r="7" spans="1:19" ht="12.75" customHeight="1">
      <c r="B7" s="343" t="s">
        <v>155</v>
      </c>
      <c r="C7" s="345"/>
      <c r="D7" s="679" t="s">
        <v>151</v>
      </c>
      <c r="E7" s="666"/>
      <c r="F7" s="666" t="s">
        <v>152</v>
      </c>
      <c r="G7" s="666"/>
      <c r="H7" s="666" t="s">
        <v>153</v>
      </c>
      <c r="I7" s="666"/>
      <c r="J7" s="667" t="s">
        <v>154</v>
      </c>
      <c r="K7" s="347"/>
      <c r="L7" s="346" t="s">
        <v>4</v>
      </c>
      <c r="M7" s="346"/>
      <c r="N7" s="344"/>
    </row>
    <row r="8" spans="1:19" ht="12.75" customHeight="1">
      <c r="D8" s="144"/>
      <c r="E8" s="144"/>
      <c r="F8" s="144"/>
      <c r="G8" s="144"/>
      <c r="H8" s="144"/>
      <c r="I8" s="144"/>
      <c r="J8" s="144"/>
      <c r="P8" s="1621"/>
      <c r="Q8" s="1621"/>
      <c r="R8" s="1621"/>
    </row>
    <row r="9" spans="1:19" ht="12.75" hidden="1" customHeight="1" outlineLevel="1">
      <c r="B9" s="310" t="s">
        <v>25</v>
      </c>
      <c r="D9" s="668"/>
      <c r="E9" s="669"/>
      <c r="F9" s="668"/>
      <c r="G9" s="144"/>
      <c r="H9" s="340">
        <f>'Hist BS'!I62</f>
        <v>0</v>
      </c>
      <c r="I9" s="144"/>
      <c r="J9" s="670">
        <v>0.05</v>
      </c>
      <c r="L9" s="308" t="str">
        <f>'Hist BS'!B3</f>
        <v>Exhibit C.3</v>
      </c>
      <c r="M9" s="3" t="s">
        <v>127</v>
      </c>
      <c r="N9" s="3" t="s">
        <v>144</v>
      </c>
      <c r="P9" s="18"/>
      <c r="Q9" s="18"/>
      <c r="R9" s="18"/>
    </row>
    <row r="10" spans="1:19" ht="12.75" hidden="1" customHeight="1" outlineLevel="1">
      <c r="D10" s="669"/>
      <c r="E10" s="669"/>
      <c r="F10" s="669"/>
      <c r="G10" s="144"/>
      <c r="H10" s="671"/>
      <c r="I10" s="144"/>
      <c r="J10" s="144"/>
      <c r="L10" s="72"/>
    </row>
    <row r="11" spans="1:19" ht="12.75" customHeight="1" collapsed="1">
      <c r="B11" s="310" t="s">
        <v>156</v>
      </c>
      <c r="D11" s="668"/>
      <c r="E11" s="669"/>
      <c r="F11" s="668"/>
      <c r="G11" s="144"/>
      <c r="H11" s="340">
        <f>'IPO Waterfall'!D114</f>
        <v>220901.09735956829</v>
      </c>
      <c r="I11" s="144"/>
      <c r="J11" s="670">
        <v>0.125</v>
      </c>
      <c r="L11" s="327" t="str">
        <f>'IPO Waterfall'!B3</f>
        <v>Exhibit B.2</v>
      </c>
      <c r="M11" s="3" t="s">
        <v>127</v>
      </c>
      <c r="N11" s="3" t="s">
        <v>144</v>
      </c>
      <c r="P11" s="93"/>
    </row>
    <row r="12" spans="1:19" ht="12.75" customHeight="1">
      <c r="D12" s="669"/>
      <c r="E12" s="669"/>
      <c r="F12" s="669"/>
      <c r="G12" s="144"/>
      <c r="H12" s="671"/>
      <c r="I12" s="144"/>
      <c r="J12" s="144"/>
      <c r="L12" s="72"/>
    </row>
    <row r="13" spans="1:19" ht="12.75" customHeight="1">
      <c r="B13" s="310" t="s">
        <v>157</v>
      </c>
      <c r="D13" s="668"/>
      <c r="E13" s="669"/>
      <c r="F13" s="668"/>
      <c r="G13" s="144"/>
      <c r="H13" s="340">
        <f>'IPO Waterfall'!D121</f>
        <v>543033.04493092257</v>
      </c>
      <c r="I13" s="144"/>
      <c r="J13" s="670">
        <v>0.22</v>
      </c>
      <c r="L13" s="327" t="str">
        <f>'IPO Waterfall'!B3</f>
        <v>Exhibit B.2</v>
      </c>
      <c r="M13" s="3" t="s">
        <v>145</v>
      </c>
      <c r="N13" s="3" t="s">
        <v>146</v>
      </c>
      <c r="P13" s="93"/>
    </row>
    <row r="14" spans="1:19" ht="12.75" customHeight="1">
      <c r="D14" s="669"/>
      <c r="E14" s="669"/>
      <c r="F14" s="669"/>
      <c r="G14" s="144"/>
      <c r="H14" s="144"/>
      <c r="I14" s="144"/>
      <c r="J14" s="144"/>
      <c r="L14" s="72"/>
    </row>
    <row r="15" spans="1:19" ht="12.75" customHeight="1">
      <c r="B15" s="310" t="s">
        <v>952</v>
      </c>
      <c r="D15" s="340">
        <f>+'Cap Table'!M11</f>
        <v>7451.1540000000005</v>
      </c>
      <c r="E15" s="144"/>
      <c r="F15" s="2431">
        <f>+'Val Summ'!J11</f>
        <v>7.28</v>
      </c>
      <c r="G15" s="144"/>
      <c r="H15" s="81">
        <f>+D15*F15</f>
        <v>54244.401120000002</v>
      </c>
      <c r="I15" s="144"/>
      <c r="J15" s="670">
        <v>0.22</v>
      </c>
      <c r="L15" s="328" t="str">
        <f>'Cap Table'!B3</f>
        <v>Exhibit G.1</v>
      </c>
      <c r="M15" s="3" t="s">
        <v>161</v>
      </c>
      <c r="N15" s="3" t="s">
        <v>162</v>
      </c>
      <c r="P15" s="47"/>
    </row>
    <row r="16" spans="1:19" ht="12.75" customHeight="1">
      <c r="D16" s="340"/>
      <c r="E16" s="144"/>
      <c r="F16" s="672"/>
      <c r="G16" s="144"/>
      <c r="H16" s="81"/>
      <c r="I16" s="144"/>
      <c r="J16" s="670"/>
      <c r="L16" s="328"/>
      <c r="M16" s="3"/>
      <c r="N16" s="3"/>
      <c r="P16" s="47"/>
    </row>
    <row r="17" spans="1:17" ht="12.75" customHeight="1">
      <c r="B17" s="310" t="s">
        <v>570</v>
      </c>
      <c r="D17" s="340">
        <f>'IPO Waterfall'!D169</f>
        <v>4460.4637273962426</v>
      </c>
      <c r="E17" s="144"/>
      <c r="F17" s="1090">
        <f>+F15</f>
        <v>7.28</v>
      </c>
      <c r="G17" s="144"/>
      <c r="H17" s="81">
        <f>+D17*F17</f>
        <v>32472.175935444648</v>
      </c>
      <c r="I17" s="144"/>
      <c r="J17" s="51">
        <f>+J15</f>
        <v>0.22</v>
      </c>
      <c r="L17" s="328"/>
      <c r="M17" s="3"/>
      <c r="N17" s="3"/>
      <c r="P17" s="47"/>
    </row>
    <row r="18" spans="1:17" ht="12.75" customHeight="1">
      <c r="D18" s="144"/>
      <c r="E18" s="144"/>
      <c r="F18" s="144"/>
      <c r="G18" s="144"/>
      <c r="H18" s="144"/>
      <c r="I18" s="144"/>
      <c r="J18" s="144"/>
    </row>
    <row r="19" spans="1:17" ht="12.75" customHeight="1">
      <c r="B19" s="96" t="s">
        <v>158</v>
      </c>
      <c r="C19" s="29"/>
      <c r="D19" s="673"/>
      <c r="E19" s="673"/>
      <c r="F19" s="673"/>
      <c r="G19" s="673"/>
      <c r="H19" s="674">
        <f>SUM(H9:H17)</f>
        <v>850650.71934593562</v>
      </c>
      <c r="I19" s="675"/>
      <c r="J19" s="676">
        <f>IF(ISERROR(SUMPRODUCT(J9:J17,H9:H17)/H19), "n/a", SUMPRODUCT(J9:J17,H9:H17)/H19)</f>
        <v>0.19532994004249499</v>
      </c>
    </row>
    <row r="20" spans="1:17" ht="12.75" customHeight="1">
      <c r="D20" s="144"/>
      <c r="E20" s="144"/>
      <c r="F20" s="144"/>
      <c r="G20" s="144"/>
      <c r="H20" s="144"/>
      <c r="I20" s="144"/>
      <c r="J20" s="144"/>
    </row>
    <row r="21" spans="1:17" ht="12.75" customHeight="1">
      <c r="B21" s="8" t="s">
        <v>159</v>
      </c>
      <c r="D21" s="144"/>
      <c r="E21" s="144"/>
      <c r="F21" s="144"/>
      <c r="G21" s="144"/>
      <c r="H21" s="144"/>
      <c r="I21" s="144"/>
      <c r="J21" s="38">
        <f>IF(ISERROR(SUMPRODUCT(H11:H13,J11:J13/SUM(H11:H13))), "n/a", SUMPRODUCT(H11:H13,J11:J13/SUM(H11:H13)))</f>
        <v>0.19252956362673065</v>
      </c>
      <c r="M21" s="3"/>
      <c r="P21" s="301">
        <v>0.19</v>
      </c>
      <c r="Q21" s="310" t="s">
        <v>419</v>
      </c>
    </row>
    <row r="22" spans="1:17" ht="12.75" customHeight="1">
      <c r="D22" s="144"/>
      <c r="E22" s="144"/>
      <c r="F22" s="144"/>
      <c r="G22" s="144"/>
      <c r="H22" s="144"/>
      <c r="I22" s="144"/>
      <c r="J22" s="144"/>
    </row>
    <row r="23" spans="1:17" ht="12.75" customHeight="1">
      <c r="B23" s="26" t="s">
        <v>160</v>
      </c>
      <c r="C23" s="27"/>
      <c r="D23" s="677"/>
      <c r="E23" s="677"/>
      <c r="F23" s="677"/>
      <c r="G23" s="677"/>
      <c r="H23" s="677"/>
      <c r="I23" s="677"/>
      <c r="J23" s="678">
        <v>0.19500000000000001</v>
      </c>
    </row>
    <row r="24" spans="1:17" ht="12.75" customHeight="1"/>
    <row r="25" spans="1:17" ht="12.75" customHeight="1">
      <c r="B25" s="8" t="s">
        <v>16</v>
      </c>
    </row>
    <row r="26" spans="1:17" ht="27" customHeight="1">
      <c r="A26" s="592" t="str">
        <f>C4</f>
        <v>(1)</v>
      </c>
      <c r="B26" s="2605" t="s">
        <v>1566</v>
      </c>
      <c r="C26" s="2605"/>
      <c r="D26" s="2605"/>
      <c r="E26" s="2605"/>
      <c r="F26" s="2605"/>
      <c r="G26" s="2605"/>
      <c r="H26" s="2605"/>
      <c r="I26" s="2605"/>
      <c r="J26" s="2605"/>
      <c r="K26" s="2605"/>
      <c r="L26" s="2605"/>
      <c r="M26" s="2605"/>
      <c r="N26" s="2605"/>
      <c r="P26" s="303"/>
      <c r="Q26" s="23"/>
    </row>
    <row r="27" spans="1:17" ht="12.75" hidden="1" customHeight="1" outlineLevel="1">
      <c r="A27" s="592" t="str">
        <f>M9</f>
        <v>(2)</v>
      </c>
      <c r="B27" s="304" t="s">
        <v>430</v>
      </c>
      <c r="C27" s="305"/>
      <c r="D27" s="306"/>
      <c r="E27" s="305"/>
      <c r="F27" s="306"/>
      <c r="G27" s="305"/>
      <c r="H27" s="306"/>
      <c r="I27" s="305"/>
      <c r="J27" s="306"/>
      <c r="K27" s="305"/>
      <c r="L27" s="305"/>
      <c r="M27" s="305"/>
      <c r="N27" s="305"/>
      <c r="P27" s="303"/>
      <c r="Q27" s="23"/>
    </row>
    <row r="28" spans="1:17" ht="12.75" hidden="1" customHeight="1" outlineLevel="1">
      <c r="A28" s="592" t="str">
        <f>N9</f>
        <v>(3)</v>
      </c>
      <c r="B28" s="304" t="s">
        <v>431</v>
      </c>
      <c r="C28" s="305"/>
      <c r="D28" s="306"/>
      <c r="E28" s="305"/>
      <c r="F28" s="306"/>
      <c r="G28" s="305"/>
      <c r="H28" s="306"/>
      <c r="I28" s="305"/>
      <c r="J28" s="306"/>
      <c r="K28" s="305"/>
      <c r="L28" s="305"/>
      <c r="M28" s="305"/>
      <c r="N28" s="305"/>
    </row>
    <row r="29" spans="1:17" ht="12.75" customHeight="1" collapsed="1">
      <c r="A29" s="592" t="str">
        <f>M11</f>
        <v>(2)</v>
      </c>
      <c r="B29" s="304" t="s">
        <v>1567</v>
      </c>
      <c r="C29" s="305"/>
      <c r="D29" s="306"/>
      <c r="E29" s="305"/>
      <c r="F29" s="306"/>
      <c r="G29" s="305"/>
      <c r="H29" s="306"/>
      <c r="I29" s="305"/>
      <c r="J29" s="306"/>
      <c r="K29" s="305"/>
      <c r="L29" s="305"/>
      <c r="M29" s="305"/>
      <c r="N29" s="305"/>
    </row>
    <row r="30" spans="1:17" ht="12.75" customHeight="1">
      <c r="A30" s="592" t="str">
        <f>N11</f>
        <v>(3)</v>
      </c>
      <c r="B30" s="304" t="s">
        <v>432</v>
      </c>
      <c r="C30" s="305"/>
      <c r="D30" s="306"/>
      <c r="E30" s="305"/>
      <c r="F30" s="306"/>
      <c r="G30" s="305"/>
      <c r="H30" s="306"/>
      <c r="I30" s="305"/>
      <c r="J30" s="306"/>
      <c r="K30" s="305"/>
      <c r="L30" s="305"/>
      <c r="M30" s="305"/>
      <c r="N30" s="305"/>
    </row>
    <row r="31" spans="1:17">
      <c r="A31" s="592" t="str">
        <f>M13</f>
        <v>(4)</v>
      </c>
      <c r="B31" s="2606" t="s">
        <v>433</v>
      </c>
      <c r="C31" s="2606"/>
      <c r="D31" s="2606"/>
      <c r="E31" s="2606"/>
      <c r="F31" s="2606"/>
      <c r="G31" s="2606"/>
      <c r="H31" s="2606"/>
      <c r="I31" s="2606"/>
      <c r="J31" s="2606"/>
      <c r="K31" s="2606"/>
      <c r="L31" s="2606"/>
      <c r="M31" s="2606"/>
      <c r="N31" s="2606"/>
    </row>
    <row r="32" spans="1:17" ht="27" customHeight="1">
      <c r="A32" s="592" t="str">
        <f>N13</f>
        <v>(5)</v>
      </c>
      <c r="B32" s="2605" t="s">
        <v>569</v>
      </c>
      <c r="C32" s="2605"/>
      <c r="D32" s="2605"/>
      <c r="E32" s="2605"/>
      <c r="F32" s="2605"/>
      <c r="G32" s="2605"/>
      <c r="H32" s="2605"/>
      <c r="I32" s="2605"/>
      <c r="J32" s="2605"/>
      <c r="K32" s="2605"/>
      <c r="L32" s="2605"/>
      <c r="M32" s="2605"/>
      <c r="N32" s="2605"/>
      <c r="P32" s="303"/>
    </row>
    <row r="33" spans="1:14" ht="12.75" customHeight="1">
      <c r="A33" s="592" t="str">
        <f>M15</f>
        <v>(6)</v>
      </c>
      <c r="B33" s="304" t="s">
        <v>434</v>
      </c>
      <c r="C33" s="305"/>
      <c r="D33" s="306"/>
      <c r="E33" s="305"/>
      <c r="F33" s="306"/>
      <c r="G33" s="305"/>
      <c r="H33" s="306"/>
      <c r="I33" s="305"/>
      <c r="J33" s="306"/>
      <c r="K33" s="305"/>
      <c r="L33" s="305"/>
      <c r="M33" s="305"/>
      <c r="N33" s="305"/>
    </row>
    <row r="34" spans="1:14" ht="12.75" customHeight="1">
      <c r="A34" s="587" t="str">
        <f>N15</f>
        <v>(7)</v>
      </c>
      <c r="B34" s="2607" t="s">
        <v>1568</v>
      </c>
      <c r="C34" s="2607"/>
      <c r="D34" s="2607"/>
      <c r="E34" s="2607"/>
      <c r="F34" s="2607"/>
      <c r="G34" s="2607"/>
      <c r="H34" s="2607"/>
      <c r="I34" s="2607"/>
      <c r="J34" s="2607"/>
      <c r="K34" s="2607"/>
      <c r="L34" s="2607"/>
      <c r="M34" s="2607"/>
      <c r="N34" s="2607"/>
    </row>
    <row r="35" spans="1:14" ht="12.75" customHeight="1">
      <c r="A35" s="591"/>
      <c r="B35" s="2607"/>
      <c r="C35" s="2607"/>
      <c r="D35" s="2607"/>
      <c r="E35" s="2607"/>
      <c r="F35" s="2607"/>
      <c r="G35" s="2607"/>
      <c r="H35" s="2607"/>
      <c r="I35" s="2607"/>
      <c r="J35" s="2607"/>
      <c r="K35" s="2607"/>
      <c r="L35" s="2607"/>
      <c r="M35" s="2607"/>
      <c r="N35" s="2607"/>
    </row>
    <row r="36" spans="1:14" ht="12.75" customHeight="1"/>
    <row r="37" spans="1:14" ht="12.75" customHeight="1"/>
    <row r="38" spans="1:14" ht="12.75" customHeight="1"/>
  </sheetData>
  <mergeCells count="4">
    <mergeCell ref="B26:N26"/>
    <mergeCell ref="B31:N31"/>
    <mergeCell ref="B34:N35"/>
    <mergeCell ref="B32:N32"/>
  </mergeCells>
  <conditionalFormatting sqref="B4:I4">
    <cfRule type="cellIs" dxfId="186" priority="11" stopIfTrue="1" operator="equal">
      <formula>"input"</formula>
    </cfRule>
  </conditionalFormatting>
  <conditionalFormatting sqref="J4">
    <cfRule type="cellIs" dxfId="185" priority="9" stopIfTrue="1" operator="equal">
      <formula>"input"</formula>
    </cfRule>
  </conditionalFormatting>
  <conditionalFormatting sqref="J4">
    <cfRule type="cellIs" dxfId="184" priority="10" stopIfTrue="1" operator="equal">
      <formula>"input"</formula>
    </cfRule>
  </conditionalFormatting>
  <conditionalFormatting sqref="K4:M4">
    <cfRule type="cellIs" dxfId="183" priority="7" stopIfTrue="1" operator="equal">
      <formula>"input"</formula>
    </cfRule>
  </conditionalFormatting>
  <conditionalFormatting sqref="K4:M4">
    <cfRule type="cellIs" dxfId="182" priority="8" stopIfTrue="1" operator="equal">
      <formula>"input"</formula>
    </cfRule>
  </conditionalFormatting>
  <conditionalFormatting sqref="N4">
    <cfRule type="cellIs" dxfId="181" priority="1" stopIfTrue="1" operator="equal">
      <formula>"input"</formula>
    </cfRule>
  </conditionalFormatting>
  <conditionalFormatting sqref="N4">
    <cfRule type="cellIs" dxfId="180" priority="2" stopIfTrue="1" operator="equal">
      <formula>"input"</formula>
    </cfRule>
  </conditionalFormatting>
  <pageMargins left="0.5" right="0.5" top="0.5" bottom="0.5" header="0.5" footer="0.5"/>
  <pageSetup scale="95" fitToWidth="0" fitToHeight="0" orientation="landscape" r:id="rId1"/>
  <ignoredErrors>
    <ignoredError sqref="C4" numberStoredAsText="1"/>
  </ignoredErrors>
  <legacyDrawing r:id="rId2"/>
  <legacyDrawingHF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J32"/>
  <sheetViews>
    <sheetView showGridLines="0" view="pageBreakPreview" zoomScale="85" zoomScaleNormal="100" zoomScaleSheetLayoutView="85" workbookViewId="0">
      <selection activeCell="I9" sqref="I9"/>
    </sheetView>
  </sheetViews>
  <sheetFormatPr defaultColWidth="9.33203125" defaultRowHeight="12.75" outlineLevelRow="1"/>
  <cols>
    <col min="1" max="1" width="4.5" style="310" customWidth="1"/>
    <col min="2" max="2" width="44.1640625" style="310" customWidth="1"/>
    <col min="3" max="3" width="2.83203125" style="310" customWidth="1"/>
    <col min="4" max="4" width="30.83203125" style="310" customWidth="1"/>
    <col min="5" max="5" width="2.83203125" style="310" customWidth="1"/>
    <col min="6" max="6" width="30.83203125" style="310" customWidth="1"/>
    <col min="7" max="7" width="1.83203125" style="310" customWidth="1"/>
    <col min="8" max="8" width="30.83203125" style="310" customWidth="1"/>
    <col min="9" max="9" width="4.5" style="310" customWidth="1"/>
    <col min="10" max="16384" width="9.33203125" style="310"/>
  </cols>
  <sheetData>
    <row r="1" spans="1:10" ht="10.7" customHeight="1" thickBot="1"/>
    <row r="2" spans="1:10" ht="16.5" customHeight="1" thickTop="1">
      <c r="B2" s="10" t="str">
        <f>'MASTER PubCo Inputs'!$C$5</f>
        <v>Hua Medicine</v>
      </c>
      <c r="C2" s="10"/>
      <c r="D2" s="10"/>
      <c r="E2" s="10"/>
      <c r="F2" s="10"/>
      <c r="G2" s="10"/>
      <c r="H2" s="10"/>
    </row>
    <row r="3" spans="1:10" ht="15.75" customHeight="1">
      <c r="B3" s="11" t="str">
        <f>VLOOKUP(B4,Outline!$E$8:$G$81,COLUMNS(Outline!$E$8:$G$8),FALSE)</f>
        <v>Exhibit D.2</v>
      </c>
      <c r="C3" s="11"/>
      <c r="D3" s="11"/>
      <c r="E3" s="11"/>
      <c r="F3" s="11"/>
      <c r="G3" s="11"/>
      <c r="H3" s="11"/>
    </row>
    <row r="4" spans="1:10" ht="16.5" customHeight="1" thickBot="1">
      <c r="B4" s="12" t="s">
        <v>437</v>
      </c>
      <c r="C4" s="12"/>
      <c r="D4" s="12"/>
      <c r="E4" s="349" t="s">
        <v>128</v>
      </c>
      <c r="F4" s="12"/>
      <c r="G4" s="12"/>
      <c r="H4" s="13"/>
    </row>
    <row r="5" spans="1:10" s="16" customFormat="1" ht="12.75" customHeight="1" thickTop="1">
      <c r="B5" s="15"/>
      <c r="C5" s="310"/>
      <c r="D5" s="310"/>
      <c r="E5" s="310"/>
      <c r="F5" s="310"/>
      <c r="G5" s="310"/>
      <c r="H5" s="310"/>
      <c r="I5" s="310"/>
      <c r="J5" s="310"/>
    </row>
    <row r="6" spans="1:10" s="16" customFormat="1" ht="12.75" customHeight="1">
      <c r="B6" s="310"/>
      <c r="C6" s="310"/>
      <c r="D6" s="310"/>
      <c r="E6" s="310"/>
      <c r="F6" s="310"/>
      <c r="G6" s="310"/>
      <c r="H6" s="310"/>
      <c r="I6" s="310"/>
    </row>
    <row r="7" spans="1:10" ht="12.75" customHeight="1">
      <c r="A7" s="16"/>
      <c r="B7" s="348" t="s">
        <v>138</v>
      </c>
      <c r="C7" s="314"/>
      <c r="D7" s="314" t="s">
        <v>449</v>
      </c>
      <c r="E7" s="314"/>
      <c r="F7" s="314" t="s">
        <v>450</v>
      </c>
      <c r="G7" s="314"/>
      <c r="H7" s="319" t="s">
        <v>451</v>
      </c>
    </row>
    <row r="8" spans="1:10" ht="12.75" customHeight="1"/>
    <row r="9" spans="1:10" ht="12.75" customHeight="1">
      <c r="B9" s="310" t="s">
        <v>139</v>
      </c>
      <c r="D9" s="316" t="s">
        <v>129</v>
      </c>
      <c r="E9" s="316"/>
      <c r="F9" s="316" t="s">
        <v>129</v>
      </c>
      <c r="G9" s="316"/>
      <c r="H9" s="316" t="s">
        <v>130</v>
      </c>
    </row>
    <row r="10" spans="1:10" ht="12.75" customHeight="1">
      <c r="B10" s="310" t="s">
        <v>140</v>
      </c>
      <c r="D10" s="316" t="s">
        <v>131</v>
      </c>
      <c r="E10" s="316"/>
      <c r="F10" s="316" t="s">
        <v>131</v>
      </c>
      <c r="G10" s="316"/>
      <c r="H10" s="316" t="s">
        <v>131</v>
      </c>
    </row>
    <row r="11" spans="1:10" ht="12.75" customHeight="1">
      <c r="B11" s="310" t="s">
        <v>141</v>
      </c>
      <c r="D11" s="316" t="s">
        <v>132</v>
      </c>
      <c r="E11" s="316"/>
      <c r="F11" s="316" t="s">
        <v>133</v>
      </c>
      <c r="G11" s="316"/>
      <c r="H11" s="316" t="s">
        <v>134</v>
      </c>
    </row>
    <row r="12" spans="1:10" ht="12.75" customHeight="1">
      <c r="B12" s="310" t="s">
        <v>142</v>
      </c>
      <c r="D12" s="316" t="s">
        <v>135</v>
      </c>
      <c r="E12" s="316"/>
      <c r="F12" s="316" t="s">
        <v>136</v>
      </c>
      <c r="G12" s="316"/>
      <c r="H12" s="316" t="s">
        <v>137</v>
      </c>
    </row>
    <row r="13" spans="1:10" ht="12.75" customHeight="1"/>
    <row r="14" spans="1:10" ht="12.75" hidden="1" customHeight="1" outlineLevel="1"/>
    <row r="15" spans="1:10" ht="12.75" hidden="1" customHeight="1" outlineLevel="1">
      <c r="B15" s="26" t="s">
        <v>143</v>
      </c>
      <c r="C15" s="27"/>
      <c r="D15" s="27"/>
      <c r="E15" s="27"/>
      <c r="F15" s="27"/>
      <c r="G15" s="27"/>
      <c r="H15" s="583">
        <v>0.21</v>
      </c>
    </row>
    <row r="16" spans="1:10" ht="12.75" customHeight="1" collapsed="1">
      <c r="B16" s="24"/>
      <c r="C16" s="24"/>
      <c r="D16" s="24"/>
      <c r="E16" s="24"/>
      <c r="F16" s="24"/>
      <c r="G16" s="24"/>
      <c r="H16" s="25"/>
    </row>
    <row r="17" spans="1:2" ht="12.75" customHeight="1">
      <c r="B17" s="8" t="s">
        <v>16</v>
      </c>
    </row>
    <row r="18" spans="1:2" ht="12.75" customHeight="1">
      <c r="A18" s="586" t="s">
        <v>128</v>
      </c>
      <c r="B18" s="593" t="s">
        <v>620</v>
      </c>
    </row>
    <row r="19" spans="1:2" ht="12.75" customHeight="1">
      <c r="A19" s="586" t="s">
        <v>127</v>
      </c>
      <c r="B19" s="17" t="s">
        <v>621</v>
      </c>
    </row>
    <row r="20" spans="1:2" ht="12.75" customHeight="1">
      <c r="A20" s="586" t="s">
        <v>144</v>
      </c>
      <c r="B20" s="17" t="s">
        <v>622</v>
      </c>
    </row>
    <row r="21" spans="1:2" ht="12.75" customHeight="1">
      <c r="A21" s="144"/>
      <c r="B21" s="17" t="s">
        <v>538</v>
      </c>
    </row>
    <row r="22" spans="1:2" ht="12.75" customHeight="1">
      <c r="A22" s="586" t="s">
        <v>145</v>
      </c>
      <c r="B22" s="17" t="s">
        <v>623</v>
      </c>
    </row>
    <row r="23" spans="1:2" ht="12.75" customHeight="1">
      <c r="A23" s="144"/>
      <c r="B23" s="17" t="s">
        <v>539</v>
      </c>
    </row>
    <row r="24" spans="1:2" ht="12.75" customHeight="1">
      <c r="A24" s="586" t="s">
        <v>146</v>
      </c>
      <c r="B24" s="17" t="s">
        <v>624</v>
      </c>
    </row>
    <row r="25" spans="1:2" ht="12.75" customHeight="1">
      <c r="A25" s="144"/>
      <c r="B25" s="17" t="s">
        <v>540</v>
      </c>
    </row>
    <row r="26" spans="1:2" ht="12.75" customHeight="1">
      <c r="A26" s="586" t="s">
        <v>161</v>
      </c>
      <c r="B26" s="17" t="s">
        <v>625</v>
      </c>
    </row>
    <row r="27" spans="1:2" ht="12.75" customHeight="1">
      <c r="A27" s="144"/>
      <c r="B27" s="17" t="s">
        <v>541</v>
      </c>
    </row>
    <row r="28" spans="1:2" ht="12.75" customHeight="1">
      <c r="A28" s="586" t="s">
        <v>162</v>
      </c>
      <c r="B28" s="17" t="s">
        <v>626</v>
      </c>
    </row>
    <row r="29" spans="1:2" ht="12.75" customHeight="1">
      <c r="A29" s="586" t="s">
        <v>163</v>
      </c>
      <c r="B29" s="17" t="s">
        <v>627</v>
      </c>
    </row>
    <row r="30" spans="1:2" ht="12.75" customHeight="1">
      <c r="B30" s="17" t="s">
        <v>542</v>
      </c>
    </row>
    <row r="31" spans="1:2" ht="12.75" customHeight="1"/>
    <row r="32" spans="1:2" ht="12.75" customHeight="1"/>
  </sheetData>
  <conditionalFormatting sqref="B4:G4">
    <cfRule type="cellIs" dxfId="179" priority="5" stopIfTrue="1" operator="equal">
      <formula>"input"</formula>
    </cfRule>
  </conditionalFormatting>
  <conditionalFormatting sqref="H4">
    <cfRule type="cellIs" dxfId="178" priority="1" stopIfTrue="1" operator="equal">
      <formula>"input"</formula>
    </cfRule>
  </conditionalFormatting>
  <conditionalFormatting sqref="H4">
    <cfRule type="cellIs" dxfId="177" priority="2" stopIfTrue="1" operator="equal">
      <formula>"input"</formula>
    </cfRule>
  </conditionalFormatting>
  <pageMargins left="0.5" right="0.5" top="0.5" bottom="0.5" header="0.5" footer="0.5"/>
  <pageSetup orientation="landscape" r:id="rId1"/>
  <ignoredErrors>
    <ignoredError sqref="E4" numberStoredAsText="1"/>
  </ignoredErrors>
  <legacy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tint="-0.499984740745262"/>
    <pageSetUpPr fitToPage="1"/>
  </sheetPr>
  <dimension ref="B6:F30"/>
  <sheetViews>
    <sheetView showGridLines="0" view="pageBreakPreview" topLeftCell="A7" zoomScale="85" zoomScaleNormal="100" zoomScaleSheetLayoutView="85" workbookViewId="0">
      <selection activeCell="I9" sqref="I9"/>
    </sheetView>
  </sheetViews>
  <sheetFormatPr defaultColWidth="9.33203125" defaultRowHeight="15"/>
  <cols>
    <col min="1" max="1" width="4.5" style="222" customWidth="1"/>
    <col min="2" max="2" width="3.83203125" style="222" customWidth="1"/>
    <col min="3" max="3" width="15.83203125" style="222" customWidth="1"/>
    <col min="4" max="4" width="107.1640625" style="223" customWidth="1"/>
    <col min="5" max="5" width="15.83203125" style="222" customWidth="1"/>
    <col min="6" max="6" width="3.83203125" style="222" customWidth="1"/>
    <col min="7" max="7" width="4.5" style="222" customWidth="1"/>
    <col min="8" max="8" width="9.33203125" style="222"/>
    <col min="9" max="9" width="16.33203125" style="222" bestFit="1" customWidth="1"/>
    <col min="10" max="10" width="19" style="222" bestFit="1" customWidth="1"/>
    <col min="11" max="16384" width="9.33203125" style="222"/>
  </cols>
  <sheetData>
    <row r="6" spans="2:6">
      <c r="B6" s="224"/>
      <c r="C6" s="213"/>
      <c r="D6" s="214"/>
      <c r="E6" s="213"/>
      <c r="F6" s="213"/>
    </row>
    <row r="7" spans="2:6" ht="15.75" thickBot="1">
      <c r="B7" s="224"/>
      <c r="C7" s="213"/>
      <c r="D7" s="214"/>
      <c r="E7" s="213"/>
      <c r="F7" s="213"/>
    </row>
    <row r="8" spans="2:6" ht="15.75" thickTop="1">
      <c r="B8" s="14"/>
      <c r="C8" s="225"/>
      <c r="D8" s="226"/>
      <c r="E8" s="225"/>
      <c r="F8" s="225"/>
    </row>
    <row r="9" spans="2:6" s="227" customFormat="1" ht="40.5">
      <c r="B9" s="228"/>
      <c r="C9" s="229"/>
      <c r="D9" s="230" t="s">
        <v>448</v>
      </c>
      <c r="E9" s="229"/>
      <c r="F9" s="229"/>
    </row>
    <row r="10" spans="2:6" ht="15.75" thickBot="1">
      <c r="B10" s="217"/>
      <c r="C10" s="232"/>
      <c r="D10" s="233"/>
      <c r="E10" s="232"/>
      <c r="F10" s="232"/>
    </row>
    <row r="11" spans="2:6" ht="15.75" thickTop="1"/>
    <row r="13" spans="2:6" ht="18.75">
      <c r="D13" s="218"/>
    </row>
    <row r="14" spans="2:6" ht="18.75">
      <c r="D14" s="219"/>
    </row>
    <row r="27" spans="4:4" ht="23.25">
      <c r="D27" s="687" t="s">
        <v>576</v>
      </c>
    </row>
    <row r="29" spans="4:4" ht="18.75">
      <c r="D29" s="220" t="s">
        <v>414</v>
      </c>
    </row>
    <row r="30" spans="4:4" ht="37.5">
      <c r="D30" s="221" t="s">
        <v>269</v>
      </c>
    </row>
  </sheetData>
  <pageMargins left="0.5" right="0.5" top="0.5" bottom="0.5" header="0.5" footer="0.5"/>
  <pageSetup scale="98"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L58"/>
  <sheetViews>
    <sheetView showGridLines="0" view="pageBreakPreview" zoomScale="85" zoomScaleNormal="100" zoomScaleSheetLayoutView="85" workbookViewId="0">
      <selection activeCell="I9" sqref="I9"/>
    </sheetView>
  </sheetViews>
  <sheetFormatPr defaultColWidth="9.33203125" defaultRowHeight="12.75" outlineLevelCol="1"/>
  <cols>
    <col min="1" max="1" width="4.5" style="310" customWidth="1"/>
    <col min="2" max="2" width="50.83203125" style="310" customWidth="1"/>
    <col min="3" max="3" width="12.33203125" style="310" customWidth="1"/>
    <col min="4" max="4" width="2.83203125" style="310" customWidth="1"/>
    <col min="5" max="6" width="15.83203125" style="310" hidden="1" customWidth="1" outlineLevel="1"/>
    <col min="7" max="7" width="2.83203125" style="310" hidden="1" customWidth="1" outlineLevel="1"/>
    <col min="8" max="9" width="15.1640625" style="310" hidden="1" customWidth="1" outlineLevel="1"/>
    <col min="10" max="10" width="11.83203125" style="310" customWidth="1" collapsed="1"/>
    <col min="11" max="11" width="2.83203125" style="310" customWidth="1"/>
    <col min="12" max="13" width="18.83203125" style="310" hidden="1" customWidth="1" outlineLevel="1"/>
    <col min="14" max="14" width="12.83203125" style="310" customWidth="1" collapsed="1"/>
    <col min="15" max="16" width="12.83203125" style="310" customWidth="1"/>
    <col min="17" max="17" width="2.83203125" style="310" customWidth="1"/>
    <col min="18" max="19" width="12.83203125" style="310" hidden="1" customWidth="1" outlineLevel="1"/>
    <col min="20" max="20" width="12.1640625" style="310" customWidth="1" collapsed="1"/>
    <col min="21" max="21" width="2.83203125" style="310" customWidth="1"/>
    <col min="22" max="23" width="12.83203125" style="310" hidden="1" customWidth="1" outlineLevel="1"/>
    <col min="24" max="24" width="10.83203125" style="310" customWidth="1" collapsed="1"/>
    <col min="25" max="26" width="10.83203125" style="310" customWidth="1"/>
    <col min="27" max="27" width="4.5" style="310" customWidth="1"/>
    <col min="28" max="32" width="13.6640625" style="310" customWidth="1"/>
    <col min="33" max="33" width="13.6640625" style="329" customWidth="1"/>
    <col min="34" max="35" width="13.6640625" style="310" customWidth="1"/>
    <col min="36" max="36" width="1.83203125" style="310" customWidth="1"/>
    <col min="37" max="37" width="15.33203125" style="310" bestFit="1" customWidth="1"/>
    <col min="38" max="38" width="12.5" style="310" customWidth="1"/>
    <col min="39" max="39" width="1.83203125" style="310" customWidth="1"/>
    <col min="40" max="16384" width="9.33203125" style="310"/>
  </cols>
  <sheetData>
    <row r="1" spans="2:38" ht="10.7" customHeight="1" thickBot="1">
      <c r="AB1" s="448"/>
      <c r="AC1" s="515" t="s">
        <v>565</v>
      </c>
      <c r="AD1" s="515" t="s">
        <v>566</v>
      </c>
      <c r="AE1" s="516" t="s">
        <v>40</v>
      </c>
    </row>
    <row r="2" spans="2:38" ht="16.5" customHeight="1" thickTop="1">
      <c r="B2" s="10" t="str">
        <f>'MASTER PubCo Inputs'!$C$5</f>
        <v>Hua Medicine</v>
      </c>
      <c r="C2" s="10"/>
      <c r="D2" s="10"/>
      <c r="E2" s="10"/>
      <c r="F2" s="10"/>
      <c r="G2" s="10"/>
      <c r="H2" s="10"/>
      <c r="I2" s="10"/>
      <c r="J2" s="10"/>
      <c r="K2" s="10"/>
      <c r="L2" s="10"/>
      <c r="M2" s="10"/>
      <c r="N2" s="10"/>
      <c r="O2" s="10"/>
      <c r="P2" s="10"/>
      <c r="Q2" s="10"/>
      <c r="R2" s="10"/>
      <c r="S2" s="10"/>
      <c r="T2" s="10"/>
      <c r="U2" s="10"/>
      <c r="V2" s="10"/>
      <c r="W2" s="10"/>
      <c r="X2" s="10"/>
      <c r="Y2" s="10"/>
      <c r="Z2" s="10"/>
      <c r="AB2" s="517" t="str">
        <f>+C8</f>
        <v>Enterprise Value</v>
      </c>
      <c r="AC2" s="518">
        <f>SUM('Capital IQ DATA'!H13:H42)</f>
        <v>146712.52982999996</v>
      </c>
      <c r="AD2" s="518">
        <f>+SUM('Capital IQ Sheet-GPC'!H13:H42)</f>
        <v>146712.52982999996</v>
      </c>
      <c r="AE2" s="168" t="b">
        <f>AC2=AD2</f>
        <v>1</v>
      </c>
      <c r="AK2" s="234" t="s">
        <v>17</v>
      </c>
      <c r="AL2" s="235">
        <f>'MASTER PubCo Inputs'!$C$6</f>
        <v>43281</v>
      </c>
    </row>
    <row r="3" spans="2:38" ht="15.75" customHeight="1">
      <c r="B3" s="11" t="str">
        <f>VLOOKUP(B4,Outline!$E$8:$G$81,COLUMNS(Outline!$E$8:$G$8),FALSE)</f>
        <v>Exhibit E.1</v>
      </c>
      <c r="C3" s="11"/>
      <c r="D3" s="11"/>
      <c r="E3" s="11"/>
      <c r="F3" s="11"/>
      <c r="G3" s="11"/>
      <c r="H3" s="11"/>
      <c r="I3" s="11"/>
      <c r="J3" s="11"/>
      <c r="K3" s="11"/>
      <c r="L3" s="11"/>
      <c r="M3" s="11"/>
      <c r="N3" s="11"/>
      <c r="O3" s="11"/>
      <c r="P3" s="11"/>
      <c r="Q3" s="11"/>
      <c r="R3" s="11"/>
      <c r="S3" s="11"/>
      <c r="T3" s="11"/>
      <c r="U3" s="11"/>
      <c r="V3" s="11"/>
      <c r="W3" s="11"/>
      <c r="X3" s="11"/>
      <c r="Y3" s="11"/>
      <c r="Z3" s="11"/>
      <c r="AB3" s="517" t="str">
        <f>+J8</f>
        <v>LTM</v>
      </c>
      <c r="AC3" s="518">
        <f>+SUM('Capital IQ DATA'!Q13:Q42)</f>
        <v>21395.736629999996</v>
      </c>
      <c r="AD3" s="518">
        <f>+SUM('Capital IQ Sheet-GPC'!Q13:Q42)</f>
        <v>21395.736629999996</v>
      </c>
      <c r="AE3" s="168" t="b">
        <f>AC3=AD3</f>
        <v>1</v>
      </c>
      <c r="AK3" s="164" t="s">
        <v>273</v>
      </c>
      <c r="AL3" s="236" t="s">
        <v>275</v>
      </c>
    </row>
    <row r="4" spans="2:38" ht="16.5" customHeight="1" thickBot="1">
      <c r="B4" s="12" t="s">
        <v>456</v>
      </c>
      <c r="C4" s="12"/>
      <c r="D4" s="12"/>
      <c r="E4" s="12"/>
      <c r="F4" s="12"/>
      <c r="G4" s="12"/>
      <c r="H4" s="12"/>
      <c r="I4" s="12"/>
      <c r="J4" s="12"/>
      <c r="K4" s="12"/>
      <c r="L4" s="12"/>
      <c r="M4" s="13"/>
      <c r="N4" s="13"/>
      <c r="O4" s="13"/>
      <c r="P4" s="13"/>
      <c r="Q4" s="13"/>
      <c r="R4" s="13"/>
      <c r="S4" s="13"/>
      <c r="T4" s="13"/>
      <c r="U4" s="13"/>
      <c r="V4" s="13"/>
      <c r="W4" s="13"/>
      <c r="X4" s="13"/>
      <c r="Y4" s="13"/>
      <c r="Z4" s="13" t="str">
        <f>+'MASTER PubCo Inputs'!$C$24</f>
        <v>(in millions of USD)</v>
      </c>
      <c r="AB4" s="519">
        <f>+N8</f>
        <v>2018</v>
      </c>
      <c r="AC4" s="520">
        <f>+SUM('Capital IQ DATA'!T13:T42)</f>
        <v>21126.067829999996</v>
      </c>
      <c r="AD4" s="520">
        <f>+SUM('Capital IQ Sheet-GPC'!T13:T42)</f>
        <v>21126.067829999996</v>
      </c>
      <c r="AE4" s="336" t="b">
        <f>AC4=AD4</f>
        <v>1</v>
      </c>
      <c r="AK4" s="164" t="s">
        <v>274</v>
      </c>
      <c r="AL4" s="236" t="s">
        <v>276</v>
      </c>
    </row>
    <row r="5" spans="2:38" ht="13.5" thickTop="1">
      <c r="B5" s="15"/>
      <c r="C5" s="15"/>
      <c r="AK5" s="76" t="s">
        <v>19</v>
      </c>
      <c r="AL5" s="237" t="s">
        <v>20</v>
      </c>
    </row>
    <row r="6" spans="2:38">
      <c r="H6" s="354" t="s">
        <v>166</v>
      </c>
      <c r="I6" s="355"/>
      <c r="J6" s="44"/>
      <c r="L6" s="354" t="s">
        <v>166</v>
      </c>
      <c r="M6" s="356"/>
      <c r="N6" s="354" t="s">
        <v>166</v>
      </c>
      <c r="O6" s="356"/>
      <c r="P6" s="357"/>
      <c r="R6" s="352" t="s">
        <v>166</v>
      </c>
      <c r="S6" s="359"/>
      <c r="T6" s="334"/>
      <c r="U6" s="358"/>
      <c r="V6" s="352" t="s">
        <v>166</v>
      </c>
      <c r="W6" s="353"/>
      <c r="X6" s="354" t="s">
        <v>166</v>
      </c>
      <c r="Y6" s="356"/>
      <c r="Z6" s="357"/>
      <c r="AB6" s="594" t="s">
        <v>628</v>
      </c>
      <c r="AC6" s="595">
        <v>100</v>
      </c>
      <c r="AD6" s="594" t="s">
        <v>629</v>
      </c>
      <c r="AE6" s="595">
        <v>0</v>
      </c>
    </row>
    <row r="7" spans="2:38">
      <c r="H7" s="318" t="s">
        <v>454</v>
      </c>
      <c r="I7" s="318"/>
      <c r="J7" s="313" t="s">
        <v>453</v>
      </c>
      <c r="K7" s="335"/>
      <c r="L7" s="318" t="s">
        <v>452</v>
      </c>
      <c r="M7" s="314"/>
      <c r="N7" s="318" t="s">
        <v>1690</v>
      </c>
      <c r="O7" s="314"/>
      <c r="P7" s="319"/>
      <c r="R7" s="318" t="s">
        <v>167</v>
      </c>
      <c r="S7" s="314"/>
      <c r="T7" s="313" t="s">
        <v>167</v>
      </c>
      <c r="U7" s="335"/>
      <c r="V7" s="318" t="s">
        <v>167</v>
      </c>
      <c r="W7" s="314"/>
      <c r="X7" s="318" t="s">
        <v>167</v>
      </c>
      <c r="Y7" s="314"/>
      <c r="Z7" s="319"/>
      <c r="AB7" s="273" t="s">
        <v>21</v>
      </c>
      <c r="AC7" s="276"/>
      <c r="AD7" s="276"/>
      <c r="AE7" s="276"/>
      <c r="AF7" s="276"/>
      <c r="AG7" s="380"/>
      <c r="AH7" s="276"/>
      <c r="AI7" s="277"/>
    </row>
    <row r="8" spans="2:38" s="6" customFormat="1" ht="26.1" customHeight="1">
      <c r="B8" s="360" t="s">
        <v>455</v>
      </c>
      <c r="C8" s="465" t="s">
        <v>71</v>
      </c>
      <c r="D8" s="260"/>
      <c r="E8" s="835" t="s">
        <v>1243</v>
      </c>
      <c r="F8" s="834" t="s">
        <v>1244</v>
      </c>
      <c r="G8" s="260"/>
      <c r="H8" s="466" t="s">
        <v>169</v>
      </c>
      <c r="I8" s="467" t="s">
        <v>164</v>
      </c>
      <c r="J8" s="468" t="s">
        <v>165</v>
      </c>
      <c r="K8" s="469"/>
      <c r="L8" s="470">
        <f>M8-1</f>
        <v>2016</v>
      </c>
      <c r="M8" s="471">
        <f>N8-1</f>
        <v>2017</v>
      </c>
      <c r="N8" s="472">
        <f>YEAR($AL$2)</f>
        <v>2018</v>
      </c>
      <c r="O8" s="473">
        <f>N8+1</f>
        <v>2019</v>
      </c>
      <c r="P8" s="474">
        <f>O8+1</f>
        <v>2020</v>
      </c>
      <c r="Q8" s="260"/>
      <c r="R8" s="466" t="str">
        <f>H8</f>
        <v>LTM-2</v>
      </c>
      <c r="S8" s="467" t="str">
        <f>I8</f>
        <v>LTM-1</v>
      </c>
      <c r="T8" s="468" t="str">
        <f>J8</f>
        <v>LTM</v>
      </c>
      <c r="U8" s="469"/>
      <c r="V8" s="472">
        <f>L8</f>
        <v>2016</v>
      </c>
      <c r="W8" s="471">
        <f>M8</f>
        <v>2017</v>
      </c>
      <c r="X8" s="472">
        <f>N8</f>
        <v>2018</v>
      </c>
      <c r="Y8" s="473">
        <f>O8</f>
        <v>2019</v>
      </c>
      <c r="Z8" s="474">
        <f>P8</f>
        <v>2020</v>
      </c>
      <c r="AB8" s="285" t="s">
        <v>24</v>
      </c>
      <c r="AC8" s="286" t="s">
        <v>25</v>
      </c>
      <c r="AD8" s="286" t="s">
        <v>26</v>
      </c>
      <c r="AE8" s="286" t="s">
        <v>27</v>
      </c>
      <c r="AF8" s="286" t="s">
        <v>28</v>
      </c>
      <c r="AG8" s="381" t="s">
        <v>29</v>
      </c>
      <c r="AH8" s="286" t="s">
        <v>30</v>
      </c>
      <c r="AI8" s="287" t="s">
        <v>31</v>
      </c>
      <c r="AK8" s="77" t="s">
        <v>38</v>
      </c>
    </row>
    <row r="9" spans="2:38" ht="12.75" customHeight="1">
      <c r="H9" s="16"/>
      <c r="I9" s="16"/>
      <c r="J9" s="16"/>
      <c r="K9" s="16"/>
      <c r="L9" s="16"/>
      <c r="M9" s="16"/>
      <c r="N9" s="16"/>
      <c r="O9" s="16"/>
      <c r="P9" s="16"/>
      <c r="U9" s="358"/>
    </row>
    <row r="10" spans="2:38" ht="12.75" customHeight="1">
      <c r="B10" s="240" t="s">
        <v>277</v>
      </c>
      <c r="C10" s="46"/>
      <c r="D10" s="46"/>
      <c r="E10" s="46"/>
      <c r="F10" s="46"/>
      <c r="G10" s="46"/>
      <c r="H10" s="46"/>
      <c r="I10" s="46"/>
      <c r="J10" s="46"/>
      <c r="K10" s="46"/>
      <c r="L10" s="46"/>
      <c r="M10" s="46"/>
      <c r="N10" s="46"/>
      <c r="O10" s="46"/>
      <c r="P10" s="46"/>
      <c r="Q10" s="53"/>
      <c r="R10" s="46"/>
      <c r="S10" s="46"/>
      <c r="T10" s="46"/>
      <c r="U10" s="46"/>
      <c r="V10" s="46"/>
      <c r="W10" s="46"/>
      <c r="X10" s="46"/>
      <c r="Y10" s="46"/>
      <c r="Z10" s="46"/>
      <c r="AK10" s="84"/>
    </row>
    <row r="11" spans="2:38" s="53" customFormat="1" ht="12.75" customHeight="1">
      <c r="B11" s="46"/>
      <c r="C11" s="46"/>
      <c r="D11" s="46"/>
      <c r="E11" s="46"/>
      <c r="F11" s="46"/>
      <c r="G11" s="46"/>
      <c r="H11" s="46"/>
      <c r="I11" s="46"/>
      <c r="J11" s="46"/>
      <c r="K11" s="46"/>
      <c r="L11" s="46"/>
      <c r="M11" s="46"/>
      <c r="N11" s="46"/>
      <c r="O11" s="46"/>
      <c r="P11" s="46"/>
      <c r="R11" s="46"/>
      <c r="S11" s="46"/>
      <c r="T11" s="46"/>
      <c r="U11" s="46"/>
      <c r="V11" s="46"/>
      <c r="W11" s="46"/>
      <c r="X11" s="46"/>
      <c r="Y11" s="46"/>
      <c r="Z11" s="46"/>
      <c r="AB11" s="310"/>
      <c r="AC11" s="310"/>
      <c r="AD11" s="310"/>
      <c r="AE11" s="310"/>
      <c r="AF11" s="310"/>
      <c r="AG11" s="329"/>
      <c r="AH11" s="310"/>
      <c r="AI11" s="310"/>
    </row>
    <row r="12" spans="2:38" s="53" customFormat="1" ht="12.75" customHeight="1">
      <c r="B12" s="46" t="s">
        <v>1688</v>
      </c>
      <c r="C12" s="46"/>
      <c r="D12" s="46"/>
      <c r="E12" s="46"/>
      <c r="F12" s="46"/>
      <c r="G12" s="46"/>
      <c r="H12" s="46"/>
      <c r="I12" s="46"/>
      <c r="J12" s="46"/>
      <c r="K12" s="46"/>
      <c r="L12" s="46"/>
      <c r="M12" s="46"/>
      <c r="N12" s="46"/>
      <c r="O12" s="46"/>
      <c r="P12" s="46"/>
      <c r="R12" s="46"/>
      <c r="S12" s="46"/>
      <c r="T12" s="46"/>
      <c r="U12" s="46"/>
      <c r="V12" s="46"/>
      <c r="W12" s="46"/>
      <c r="X12" s="46"/>
      <c r="Y12" s="46"/>
      <c r="Z12" s="46"/>
      <c r="AB12" s="310"/>
      <c r="AC12" s="310"/>
      <c r="AD12" s="310"/>
      <c r="AE12" s="310"/>
      <c r="AF12" s="310"/>
      <c r="AG12" s="329"/>
      <c r="AH12" s="310"/>
      <c r="AI12" s="310"/>
    </row>
    <row r="13" spans="2:38" ht="12.75" customHeight="1">
      <c r="B13" s="310" t="str">
        <f>'Capital IQ Sheet-GPC'!C13</f>
        <v>Novo Nordisk A/S</v>
      </c>
      <c r="C13" s="81">
        <f>'Capital IQ Sheet-GPC'!H13</f>
        <v>110584.08422999999</v>
      </c>
      <c r="H13" s="81">
        <f>'Capital IQ Sheet-GPC'!O13</f>
        <v>16804.59172</v>
      </c>
      <c r="I13" s="81">
        <f>'Capital IQ Sheet-GPC'!P13</f>
        <v>16251.231239999999</v>
      </c>
      <c r="J13" s="81">
        <f>'Capital IQ Sheet-GPC'!Q13</f>
        <v>18209.76585</v>
      </c>
      <c r="K13" s="311"/>
      <c r="L13" s="81">
        <f>'Capital IQ Sheet-GPC'!R13</f>
        <v>15871.280479999999</v>
      </c>
      <c r="M13" s="81">
        <f>'Capital IQ Sheet-GPC'!S13</f>
        <v>18013.653439999998</v>
      </c>
      <c r="N13" s="81">
        <f>'Capital IQ Sheet-GPC'!T13</f>
        <v>17333.342359999999</v>
      </c>
      <c r="O13" s="81">
        <f>'Capital IQ Sheet-GPC'!U13</f>
        <v>18225.362359999999</v>
      </c>
      <c r="P13" s="81">
        <f>'Capital IQ Sheet-GPC'!V13</f>
        <v>19451.656569999999</v>
      </c>
      <c r="R13" s="80">
        <f>IF(ISERROR($C13/H13), "n/a", $C13/H13)</f>
        <v>6.5805873818635083</v>
      </c>
      <c r="S13" s="80">
        <f>IF(ISERROR($C13/I13), "n/a", $C13/I13)</f>
        <v>6.8046588345757852</v>
      </c>
      <c r="T13" s="80">
        <f>IFERROR(IF(($C13/J13)&gt;$AC$6, "NM", IF(($C13/J13)&lt;$AE$6, "NM", $C13/J13)),"n/a")</f>
        <v>6.0727900150347072</v>
      </c>
      <c r="V13" s="80">
        <f t="shared" ref="V13:Z14" si="0">IFERROR(IF(($C13/L13)&gt;$AC$6, "NM", IF(($C13/L13)&lt;$AE$6, "NM", $C13/L13)),"n/a")</f>
        <v>6.9675590680506954</v>
      </c>
      <c r="W13" s="80">
        <f t="shared" si="0"/>
        <v>6.1389037264613879</v>
      </c>
      <c r="X13" s="80">
        <f t="shared" si="0"/>
        <v>6.3798476908408563</v>
      </c>
      <c r="Y13" s="80">
        <f t="shared" si="0"/>
        <v>6.067593172945835</v>
      </c>
      <c r="Z13" s="80">
        <f t="shared" si="0"/>
        <v>5.6850728282213341</v>
      </c>
      <c r="AB13" s="311">
        <f>'Capital IQ Sheet-GPC'!J13</f>
        <v>112194.50996</v>
      </c>
      <c r="AC13" s="311">
        <f>'Capital IQ Sheet-GPC'!K13</f>
        <v>37.684269999999998</v>
      </c>
      <c r="AD13" s="311" t="str">
        <f>'Capital IQ Sheet-GPC'!L13</f>
        <v>n/a</v>
      </c>
      <c r="AE13" s="311" t="str">
        <f>'Capital IQ Sheet-GPC'!M13</f>
        <v>n/a</v>
      </c>
      <c r="AF13" s="311">
        <f>SUM(AC13:AE13)</f>
        <v>37.684269999999998</v>
      </c>
      <c r="AG13" s="382">
        <f>SUM(AB13:AE13)</f>
        <v>112232.19422999999</v>
      </c>
      <c r="AH13" s="311">
        <f>'Capital IQ Sheet-GPC'!N13</f>
        <v>1737.6084000000001</v>
      </c>
      <c r="AI13" s="81">
        <f>IF(ISERROR(AG13-AH13), "n/a", AG13-AH13)</f>
        <v>110494.58583</v>
      </c>
      <c r="AK13" s="82" t="str">
        <f>IF('MASTER PubCo Inputs'!C28="","",'MASTER PubCo Inputs'!C28)</f>
        <v>IQ323452</v>
      </c>
      <c r="AL13" s="310" t="str">
        <f>'Capital IQ Sheet-GPC'!AP13</f>
        <v>Novo Nordisk A/S, a healthcare company, engages in the discovery, development, manufacture, and marketing of pharmaceutical products worldwide. It operates in two segments, Diabetes Care and Obesity, and Biopharmaceuticals. The Diabetes Care and Obesity segment provides insulins, GLP-1 and related delivery systems, and oral anti-diabetic drugs and obesity. The Biopharmaceuticals segment offers products in the areas of haemophilia care, growth hormone therapy, and hormone replacement therapy. Novo Nordisk A/S has a research and licensing agreement with DUKE National University Singapore Medical School to develop stem cell-based treatments for chronic heart failure and age-related macular degeneration, as well as a research collaboration with Kallyope Inc. The company markets and distributes its products through distributors and independent agents. Novo Nordisk A/S was founded in 1925 and is headquartered in Bagsvaerd, Denmark.</v>
      </c>
    </row>
    <row r="14" spans="2:38" ht="12.75" customHeight="1">
      <c r="B14" s="310" t="str">
        <f>'Capital IQ Sheet-GPC'!C14</f>
        <v>Tonghua Dongbao Pharmaceutical Co., Ltd.</v>
      </c>
      <c r="C14" s="81">
        <f>'Capital IQ Sheet-GPC'!H14</f>
        <v>6000.97145</v>
      </c>
      <c r="H14" s="81">
        <f>'Capital IQ Sheet-GPC'!O14</f>
        <v>266.80338999999998</v>
      </c>
      <c r="I14" s="81">
        <f>'Capital IQ Sheet-GPC'!P14</f>
        <v>312.89407</v>
      </c>
      <c r="J14" s="81">
        <f>'Capital IQ Sheet-GPC'!Q14</f>
        <v>430.28374000000002</v>
      </c>
      <c r="K14" s="311"/>
      <c r="L14" s="81">
        <f>'Capital IQ Sheet-GPC'!R14</f>
        <v>293.86101000000002</v>
      </c>
      <c r="M14" s="81">
        <f>'Capital IQ Sheet-GPC'!S14</f>
        <v>391.18522999999999</v>
      </c>
      <c r="N14" s="81">
        <f>'Capital IQ Sheet-GPC'!T14</f>
        <v>464.06795</v>
      </c>
      <c r="O14" s="81">
        <f>'Capital IQ Sheet-GPC'!U14</f>
        <v>574.01760999999999</v>
      </c>
      <c r="P14" s="81">
        <f>'Capital IQ Sheet-GPC'!V14</f>
        <v>694.93681000000004</v>
      </c>
      <c r="R14" s="80">
        <f>IF(ISERROR($C14/H14), "n/a", $C14/H14)</f>
        <v>22.492110951064003</v>
      </c>
      <c r="S14" s="80">
        <f>IF(ISERROR($C14/I14), "n/a", $C14/I14)</f>
        <v>19.17892355710033</v>
      </c>
      <c r="T14" s="80">
        <f>IFERROR(IF(($C14/J14)&gt;$AC$6, "NM", IF(($C14/J14)&lt;$AE$6, "NM", $C14/J14)),"n/a")</f>
        <v>13.946544784611195</v>
      </c>
      <c r="V14" s="80">
        <f t="shared" si="0"/>
        <v>20.421121706482939</v>
      </c>
      <c r="W14" s="80">
        <f t="shared" si="0"/>
        <v>15.340485759137685</v>
      </c>
      <c r="X14" s="80">
        <f t="shared" si="0"/>
        <v>12.931234423751953</v>
      </c>
      <c r="Y14" s="80">
        <f t="shared" si="0"/>
        <v>10.454333360957341</v>
      </c>
      <c r="Z14" s="80">
        <f t="shared" si="0"/>
        <v>8.6352764217512092</v>
      </c>
      <c r="AB14" s="311">
        <f>'Capital IQ Sheet-GPC'!J14</f>
        <v>7436.2830000000004</v>
      </c>
      <c r="AC14" s="311">
        <f>'Capital IQ Sheet-GPC'!K14</f>
        <v>0</v>
      </c>
      <c r="AD14" s="311" t="str">
        <f>'Capital IQ Sheet-GPC'!L14</f>
        <v>n/a</v>
      </c>
      <c r="AE14" s="311">
        <f>'Capital IQ Sheet-GPC'!M14</f>
        <v>1.49579</v>
      </c>
      <c r="AF14" s="311">
        <f>SUM(AC14:AE14)</f>
        <v>1.49579</v>
      </c>
      <c r="AG14" s="382">
        <f>SUM(AB14:AE14)</f>
        <v>7437.7787900000003</v>
      </c>
      <c r="AH14" s="311">
        <f>'Capital IQ Sheet-GPC'!N14</f>
        <v>75.958299999999994</v>
      </c>
      <c r="AI14" s="81">
        <f>IF(ISERROR(AG14-AH14), "n/a", AG14-AH14)</f>
        <v>7361.8204900000001</v>
      </c>
      <c r="AK14" s="82" t="str">
        <f>IF('MASTER PubCo Inputs'!C29="","",'MASTER PubCo Inputs'!C29)</f>
        <v>IQ11419352</v>
      </c>
      <c r="AL14" s="310" t="str">
        <f>'Capital IQ Sheet-GPC'!AP14</f>
        <v>Tonghua Dongbao Pharmaceutical Co., Ltd. researches and develops, manufactures, and sells pharmaceutical products for the treatment of diabetes and cardiovascular-based diseases in China. The company operates through Pharmaceutical Industry and Building Materials Industry segments. It lead product portfolio includes insulin analogues, such as insulin glargine, Insulin aspart, insulin detemir, and insulin lispro; antidiabetic drug agonist products; oral hypoglycemic agents; and Zhen Nao Ning and Nao Xue Kang capsules, as well as Gan Shulin pens, blood glucose meters, and other medical devices. The company is also involved in developing Y-PEG of recombinant human interferon a 2b injection, which has been completed Phase III clinical stage to treat chronic hepatitis C (2,3 gene type) and chronic hepatitis B III; Y-PEG a recombinant human granulocyte colony-stimulating factor injection that is in Phase II clinical stage for the treatment of chemotherapy-induced neutropenia; Y-PEG injection of recombinant human growth hormone, which is in Phase II clinical stage to treat short stature and growth hormone deficiency; and Y-PEG of recombinant human interferon a 2a injection that is in Phase II clinical stage to treat chronic hepatitis B and hepatitis C. It offers building materials comprising plastic windows and sections; and other products. The company has a strategic alliance with Adocia. Tonghua Dongbao Pharmaceutical Co., Ltd. was founded in 1985 and is based in Tonghua, China.</v>
      </c>
    </row>
    <row r="15" spans="2:38" ht="12.75" customHeight="1">
      <c r="B15" s="310" t="str">
        <f>'Capital IQ Sheet-GPC'!C15</f>
        <v>3SBio Inc.</v>
      </c>
      <c r="C15" s="81">
        <f>'Capital IQ Sheet-GPC'!H15</f>
        <v>3399.7200899999998</v>
      </c>
      <c r="H15" s="81">
        <f>'Capital IQ Sheet-GPC'!O15</f>
        <v>257.70134999999999</v>
      </c>
      <c r="I15" s="81">
        <f>'Capital IQ Sheet-GPC'!P15</f>
        <v>402.87020999999999</v>
      </c>
      <c r="J15" s="81">
        <f>'Capital IQ Sheet-GPC'!Q15</f>
        <v>573.92133999999999</v>
      </c>
      <c r="K15" s="311"/>
      <c r="L15" s="81">
        <f>'Capital IQ Sheet-GPC'!R15</f>
        <v>402.87020999999999</v>
      </c>
      <c r="M15" s="81">
        <f>'Capital IQ Sheet-GPC'!S15</f>
        <v>573.92133999999999</v>
      </c>
      <c r="N15" s="81">
        <f>'Capital IQ Sheet-GPC'!T15</f>
        <v>757.17007999999998</v>
      </c>
      <c r="O15" s="81">
        <f>'Capital IQ Sheet-GPC'!U15</f>
        <v>939.10441000000003</v>
      </c>
      <c r="P15" s="81">
        <f>'Capital IQ Sheet-GPC'!V15</f>
        <v>1129.0559499999999</v>
      </c>
      <c r="R15" s="80">
        <f t="shared" ref="R15:R39" si="1">IF(ISERROR($C15/H15), "n/a", $C15/H15)</f>
        <v>13.192480714594627</v>
      </c>
      <c r="S15" s="80">
        <f t="shared" ref="S15:S39" si="2">IF(ISERROR($C15/I15), "n/a", $C15/I15)</f>
        <v>8.4387477793406465</v>
      </c>
      <c r="T15" s="80">
        <f t="shared" ref="T15:T39" si="3">IFERROR(IF(($C15/J15)&gt;$AC$6, "NM", IF(($C15/J15)&lt;$AE$6, "NM", $C15/J15)),"n/a")</f>
        <v>5.9236690693536502</v>
      </c>
      <c r="V15" s="80">
        <f t="shared" ref="V15:V30" si="4">IFERROR(IF(($C15/L15)&gt;$AC$6, "NM", IF(($C15/L15)&lt;$AE$6, "NM", $C15/L15)),"n/a")</f>
        <v>8.4387477793406465</v>
      </c>
      <c r="W15" s="80">
        <f t="shared" ref="W15:W30" si="5">IFERROR(IF(($C15/M15)&gt;$AC$6, "NM", IF(($C15/M15)&lt;$AE$6, "NM", $C15/M15)),"n/a")</f>
        <v>5.9236690693536502</v>
      </c>
      <c r="X15" s="80">
        <f t="shared" ref="X15:X39" si="6">IFERROR(IF(($C15/N15)&gt;$AC$6, "NM", IF(($C15/N15)&lt;$AE$6, "NM", $C15/N15)),"n/a")</f>
        <v>4.4900349073486892</v>
      </c>
      <c r="Y15" s="80">
        <f t="shared" ref="Y15:Y39" si="7">IFERROR(IF(($C15/O15)&gt;$AC$6, "NM", IF(($C15/O15)&lt;$AE$6, "NM", $C15/O15)),"n/a")</f>
        <v>3.6201726387377944</v>
      </c>
      <c r="Z15" s="80">
        <f t="shared" ref="Z15:Z39" si="8">IFERROR(IF(($C15/P15)&gt;$AC$6, "NM", IF(($C15/P15)&lt;$AE$6, "NM", $C15/P15)),"n/a")</f>
        <v>3.0111174649936525</v>
      </c>
      <c r="AB15" s="311">
        <f>'Capital IQ Sheet-GPC'!J15</f>
        <v>5765.9263099999998</v>
      </c>
      <c r="AC15" s="311">
        <f>'Capital IQ Sheet-GPC'!K15</f>
        <v>677.16830000000004</v>
      </c>
      <c r="AD15" s="311" t="str">
        <f>'Capital IQ Sheet-GPC'!L15</f>
        <v>n/a</v>
      </c>
      <c r="AE15" s="311">
        <f>'Capital IQ Sheet-GPC'!M15</f>
        <v>35.787419999999997</v>
      </c>
      <c r="AF15" s="311">
        <f t="shared" ref="AF15:AF39" si="9">SUM(AC15:AE15)</f>
        <v>712.95572000000004</v>
      </c>
      <c r="AG15" s="382">
        <f t="shared" ref="AG15:AG39" si="10">SUM(AB15:AE15)</f>
        <v>6478.8820299999998</v>
      </c>
      <c r="AH15" s="311">
        <f>'Capital IQ Sheet-GPC'!N15</f>
        <v>476.92147999999997</v>
      </c>
      <c r="AI15" s="81">
        <f t="shared" ref="AI15:AI39" si="11">IF(ISERROR(AG15-AH15), "n/a", AG15-AH15)</f>
        <v>6001.9605499999998</v>
      </c>
      <c r="AK15" s="82" t="str">
        <f>IF('MASTER PubCo Inputs'!C30="","",'MASTER PubCo Inputs'!C30)</f>
        <v>IQ24164591</v>
      </c>
      <c r="AL15" s="310" t="str">
        <f>'Capital IQ Sheet-GPC'!AP15</f>
        <v>3SBio Inc. develops, manufactures, markets, and sells biopharmaceuticals. The company’s primary products include TPIAO, a recombinant human thrombopoietin for thrombocytopenia; Yisaipu, a tumour necrosis factor for treating rheumatoid arthritis, ankylosing spondylitis, and psoriasis; and EPIAO, a recombinant human erythropoietin for the treatment of anemia associated with chronic kidney disease (CKD), chemotherapy-induced anemia, and reduction of allogeneic blood transfusion in surgery patients. Its primary products also comprise SEPO, a recombinant human erythropoietin for anemia associated with CKD and chemotherapy; Byetta/Bydureon, an exenatide injection to improve glycemic control in adults with type-2 diabetes mellitus; and Qiming Keli for retinopathy caused by type-2 diabetes. In addition, the company offers Ruisiyi to treat advanced breast cancer; Wanwei for treating vomiting caused by cytotoxic chemotherapy; and Intefen to treat lymphatic or hematopoietic malignancies and viral infections. Further, it provides Inleusin for renal cell carcinoma, melanoma, thoracic fluid build-up caused by cancer, and tuberculosis; Etanercept for moderate to severe rheumatoid arthritis and plaque psoriasis, and active ankylosing spondylitis; and Sparin for prophylaxis and vein thrombosis, and to prevent clotting during hemodialysis. Additionally, the company offers Mandi for male-pattern alopecia and alopecia areata; Aiyishu for iron-deficiency anemia; Disu to prevent and treat chronic bronchitis, colds, and asthma; Jiannipai to prevent acute rejection after renal transplantation; and Humulin for diabetes, as well as contract development and manufacturing, trading, project management and consultation, and technology services. The company markets its products through in-house sales and marketing team, as well as distributors and third-party promoters. 3SBio Inc. was incorporated in 2006 and is headquartered in Shenyang, the People’s Republic of China.</v>
      </c>
    </row>
    <row r="16" spans="2:38" ht="12.75" customHeight="1">
      <c r="B16" s="310" t="str">
        <f>'Capital IQ Sheet-GPC'!C16</f>
        <v>Luye Pharma Group Ltd.</v>
      </c>
      <c r="C16" s="81">
        <f>'Capital IQ Sheet-GPC'!H16</f>
        <v>2515.66275</v>
      </c>
      <c r="H16" s="81">
        <f>'Capital IQ Sheet-GPC'!O16</f>
        <v>394.78305999999998</v>
      </c>
      <c r="I16" s="81">
        <f>'Capital IQ Sheet-GPC'!P16</f>
        <v>420.22554000000002</v>
      </c>
      <c r="J16" s="81">
        <f>'Capital IQ Sheet-GPC'!Q16</f>
        <v>586.29443000000003</v>
      </c>
      <c r="K16" s="311"/>
      <c r="L16" s="81">
        <f>'Capital IQ Sheet-GPC'!R16</f>
        <v>420.22554000000002</v>
      </c>
      <c r="M16" s="81">
        <f>'Capital IQ Sheet-GPC'!S16</f>
        <v>586.29443000000003</v>
      </c>
      <c r="N16" s="81">
        <f>'Capital IQ Sheet-GPC'!T16</f>
        <v>681.62617</v>
      </c>
      <c r="O16" s="81">
        <f>'Capital IQ Sheet-GPC'!U16</f>
        <v>797.48961999999995</v>
      </c>
      <c r="P16" s="81">
        <f>'Capital IQ Sheet-GPC'!V16</f>
        <v>911.34821999999997</v>
      </c>
      <c r="R16" s="80">
        <f t="shared" si="1"/>
        <v>6.3722662010877569</v>
      </c>
      <c r="S16" s="80">
        <f t="shared" si="2"/>
        <v>5.98645848607869</v>
      </c>
      <c r="T16" s="80">
        <f t="shared" si="3"/>
        <v>4.2907839837400461</v>
      </c>
      <c r="V16" s="80">
        <f t="shared" si="4"/>
        <v>5.98645848607869</v>
      </c>
      <c r="W16" s="80">
        <f t="shared" si="5"/>
        <v>4.2907839837400461</v>
      </c>
      <c r="X16" s="80">
        <f t="shared" si="6"/>
        <v>3.6906780589131429</v>
      </c>
      <c r="Y16" s="80">
        <f t="shared" si="7"/>
        <v>3.1544771078023564</v>
      </c>
      <c r="Z16" s="80">
        <f t="shared" si="8"/>
        <v>2.7603748981920435</v>
      </c>
      <c r="AB16" s="311">
        <f>'Capital IQ Sheet-GPC'!J16</f>
        <v>3359.9747900000002</v>
      </c>
      <c r="AC16" s="311">
        <f>'Capital IQ Sheet-GPC'!K16</f>
        <v>439.75547999999998</v>
      </c>
      <c r="AD16" s="311" t="str">
        <f>'Capital IQ Sheet-GPC'!L16</f>
        <v>n/a</v>
      </c>
      <c r="AE16" s="311">
        <f>'Capital IQ Sheet-GPC'!M16</f>
        <v>19.597180000000002</v>
      </c>
      <c r="AF16" s="311">
        <f t="shared" si="9"/>
        <v>459.35265999999996</v>
      </c>
      <c r="AG16" s="382">
        <f t="shared" si="10"/>
        <v>3819.3274500000002</v>
      </c>
      <c r="AH16" s="311">
        <f>'Capital IQ Sheet-GPC'!N16</f>
        <v>419.44011999999998</v>
      </c>
      <c r="AI16" s="81">
        <f t="shared" si="11"/>
        <v>3399.8873300000005</v>
      </c>
      <c r="AK16" s="82" t="str">
        <f>IF('MASTER PubCo Inputs'!C31="","",'MASTER PubCo Inputs'!C31)</f>
        <v>IQ9994690</v>
      </c>
      <c r="AL16" s="310" t="str">
        <f>'Capital IQ Sheet-GPC'!AP16</f>
        <v>Luye Pharma Group Ltd., an investment holding company, develops, produces, markets, and sells pharmaceutical products. The company offers Maitongna for cerebral edema and edema caused by trauma; Xuezhikang, a blood lipid regulator capsule; Tiandida for ovarian or non-small cell lung cancer; Yitaida for acute promyelocytic leukemia and liver cancer; CMNa for tumor radiotherapy; LIPUSU for ovarian, metastatic ovarian, breast, and non-small-cell lung cancer patient; Nuosen for acute upper digestive tract hemorrhage; Bei Tang Ning, a capsule to control blood glucose in patients with type 2 diabetes; Bei Xi, an acarbose capsule for diabetes; and LUTINGNUO, reduced glutathione injection for toxicity, and injuries caused by ionizing radiation, as well as for hypoxemia. It also provides Glucosamine Hydrochloride tablets for osteoarthritis; Xi Ming Ting largetrifoliolious bugbane rhizome total saponin tablets for invigorating splenic yang and relieving depression, and treating perimenopausal syndrome in females, as well as improving the symptoms of hot flashes, sweating, irritability, insomnia, hypochondriac pain, dizziness and tinnitus, aching pain of waist and knee, melancholy, unhappy, etc. In addition, the company provides Oukai sodium aescinate tablets for soft tissue swelling and venous edema; Oulai, a compound sodium aescinate gel for local swelling induced by inflammation, degenerative lesion, and trauma; Sidinuo for osteoporosis and relieving pain induced by osteoporosis; Outong, a capsaicin gel; and Jinsiping selegiline hydrochloride tablets for Parkinson’s disease. Further, it distributes, sells, and retails pharmaceutical drugs; manufactures and sells eggs; and provides business and investment consultation, as well as contract research, process development, and manufacturing services. The company has strategic collaboration with Excel BioPharm LLC. The company was founded in 1994 and is headquartered in Yantai, the People’s Republic of China.</v>
      </c>
    </row>
    <row r="17" spans="2:38" ht="12.75" customHeight="1">
      <c r="B17" s="310" t="str">
        <f>'Capital IQ Sheet-GPC'!C17</f>
        <v>Intercept Pharmaceuticals, Inc.</v>
      </c>
      <c r="C17" s="81">
        <f>'Capital IQ Sheet-GPC'!H17</f>
        <v>2204.7008599999999</v>
      </c>
      <c r="H17" s="81">
        <f>'Capital IQ Sheet-GPC'!O17</f>
        <v>1.782</v>
      </c>
      <c r="I17" s="81">
        <f>'Capital IQ Sheet-GPC'!P17</f>
        <v>45.554000000000002</v>
      </c>
      <c r="J17" s="81">
        <f>'Capital IQ Sheet-GPC'!Q17</f>
        <v>145.87100000000001</v>
      </c>
      <c r="K17" s="311"/>
      <c r="L17" s="81">
        <f>'Capital IQ Sheet-GPC'!R17</f>
        <v>24.951000000000001</v>
      </c>
      <c r="M17" s="81">
        <f>'Capital IQ Sheet-GPC'!S17</f>
        <v>130.95599999999999</v>
      </c>
      <c r="N17" s="81">
        <f>'Capital IQ Sheet-GPC'!T17</f>
        <v>179.11264</v>
      </c>
      <c r="O17" s="81">
        <f>'Capital IQ Sheet-GPC'!U17</f>
        <v>274.30029999999999</v>
      </c>
      <c r="P17" s="81">
        <f>'Capital IQ Sheet-GPC'!V17</f>
        <v>320.26038</v>
      </c>
      <c r="R17" s="80">
        <f t="shared" si="1"/>
        <v>1237.205869809203</v>
      </c>
      <c r="S17" s="80">
        <f t="shared" si="2"/>
        <v>48.397525135004607</v>
      </c>
      <c r="T17" s="80">
        <f t="shared" si="3"/>
        <v>15.114045012373944</v>
      </c>
      <c r="V17" s="80">
        <f t="shared" si="4"/>
        <v>88.36122239589595</v>
      </c>
      <c r="W17" s="80">
        <f t="shared" si="5"/>
        <v>16.835432206237211</v>
      </c>
      <c r="X17" s="80">
        <f t="shared" si="6"/>
        <v>12.309018838648127</v>
      </c>
      <c r="Y17" s="80">
        <f t="shared" si="7"/>
        <v>8.0375444722444715</v>
      </c>
      <c r="Z17" s="80">
        <f t="shared" si="8"/>
        <v>6.8840886905835807</v>
      </c>
      <c r="AB17" s="311">
        <f>'Capital IQ Sheet-GPC'!J17</f>
        <v>2482.30575</v>
      </c>
      <c r="AC17" s="311">
        <f>'Capital IQ Sheet-GPC'!K17</f>
        <v>359.44900000000001</v>
      </c>
      <c r="AD17" s="311" t="str">
        <f>'Capital IQ Sheet-GPC'!L17</f>
        <v>n/a</v>
      </c>
      <c r="AE17" s="311" t="str">
        <f>'Capital IQ Sheet-GPC'!M17</f>
        <v>n/a</v>
      </c>
      <c r="AF17" s="311">
        <f t="shared" si="9"/>
        <v>359.44900000000001</v>
      </c>
      <c r="AG17" s="382">
        <f t="shared" si="10"/>
        <v>2841.7547500000001</v>
      </c>
      <c r="AH17" s="311">
        <f>'Capital IQ Sheet-GPC'!N17</f>
        <v>326.09199999999998</v>
      </c>
      <c r="AI17" s="81">
        <f t="shared" si="11"/>
        <v>2515.66275</v>
      </c>
      <c r="AK17" s="82" t="str">
        <f>IF('MASTER PubCo Inputs'!C32="","",'MASTER PubCo Inputs'!C32)</f>
        <v>IQ11382658</v>
      </c>
      <c r="AL17" s="310" t="str">
        <f>'Capital IQ Sheet-GPC'!AP17</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8" spans="2:38" ht="12.75" customHeight="1">
      <c r="B18" s="310" t="str">
        <f>'Capital IQ Sheet-GPC'!C18</f>
        <v>The United Laboratories International Holdings Limited</v>
      </c>
      <c r="C18" s="81">
        <f>'Capital IQ Sheet-GPC'!H18</f>
        <v>379.61124999999998</v>
      </c>
      <c r="H18" s="81">
        <f>'Capital IQ Sheet-GPC'!O18</f>
        <v>992.83531000000005</v>
      </c>
      <c r="I18" s="81">
        <f>'Capital IQ Sheet-GPC'!P18</f>
        <v>875.35559000000001</v>
      </c>
      <c r="J18" s="81">
        <f>'Capital IQ Sheet-GPC'!Q18</f>
        <v>1049.1716200000001</v>
      </c>
      <c r="K18" s="311"/>
      <c r="L18" s="81">
        <f>'Capital IQ Sheet-GPC'!R18</f>
        <v>875.35559000000001</v>
      </c>
      <c r="M18" s="81">
        <f>'Capital IQ Sheet-GPC'!S18</f>
        <v>1049.1716200000001</v>
      </c>
      <c r="N18" s="81">
        <f>'Capital IQ Sheet-GPC'!T18</f>
        <v>1193.23696</v>
      </c>
      <c r="O18" s="81">
        <f>'Capital IQ Sheet-GPC'!U18</f>
        <v>1285.52421</v>
      </c>
      <c r="P18" s="81">
        <f>'Capital IQ Sheet-GPC'!V18</f>
        <v>1414.86087</v>
      </c>
      <c r="R18" s="80">
        <f t="shared" si="1"/>
        <v>0.38235067405086548</v>
      </c>
      <c r="S18" s="80">
        <f t="shared" si="2"/>
        <v>0.433665191993576</v>
      </c>
      <c r="T18" s="80">
        <f t="shared" si="3"/>
        <v>0.36181997564897911</v>
      </c>
      <c r="V18" s="80">
        <f t="shared" si="4"/>
        <v>0.433665191993576</v>
      </c>
      <c r="W18" s="80">
        <f t="shared" si="5"/>
        <v>0.36181997564897911</v>
      </c>
      <c r="X18" s="80">
        <f t="shared" si="6"/>
        <v>0.3181356785998315</v>
      </c>
      <c r="Y18" s="80">
        <f t="shared" si="7"/>
        <v>0.29529685014644724</v>
      </c>
      <c r="Z18" s="80">
        <f t="shared" si="8"/>
        <v>0.26830288267142477</v>
      </c>
      <c r="AB18" s="311">
        <f>'Capital IQ Sheet-GPC'!J18</f>
        <v>1705.28388</v>
      </c>
      <c r="AC18" s="311">
        <f>'Capital IQ Sheet-GPC'!K18</f>
        <v>746.46118999999999</v>
      </c>
      <c r="AD18" s="311" t="str">
        <f>'Capital IQ Sheet-GPC'!L18</f>
        <v>n/a</v>
      </c>
      <c r="AE18" s="311" t="str">
        <f>'Capital IQ Sheet-GPC'!M18</f>
        <v>n/a</v>
      </c>
      <c r="AF18" s="311">
        <f t="shared" si="9"/>
        <v>746.46118999999999</v>
      </c>
      <c r="AG18" s="382">
        <f t="shared" si="10"/>
        <v>2451.7450699999999</v>
      </c>
      <c r="AH18" s="311">
        <f>'Capital IQ Sheet-GPC'!N18</f>
        <v>244.9426</v>
      </c>
      <c r="AI18" s="81">
        <f t="shared" si="11"/>
        <v>2206.8024700000001</v>
      </c>
      <c r="AK18" s="82" t="str">
        <f>IF('MASTER PubCo Inputs'!C33="","",'MASTER PubCo Inputs'!C33)</f>
        <v>IQ34724429</v>
      </c>
      <c r="AL18" s="310" t="str">
        <f>'Capital IQ Sheet-GPC'!AP18</f>
        <v>The United Laboratories International Holdings Limited, an investment holding company, manufactures and sells pharmaceutical products. It operates in three segments: Intermediate Products, Bulk Medicine, and Finished Products. The company offers oral antibiotics, antimicrobials for injection, anti-cold products, cough medicines, ophthalmic drugs, antiviral drugs, anti-hepatitis B drugs, diabetes drugs, skin drugs for external use, cardiovascular and cerebrovascular drugs, nervous system drugs, vitamins, and vacant gelatin capsules, as well as non-antibiotics finished products and soft capsule casings. It also provides chemical pharmaceuticals, including anti-cancer drugs and various antibiotics. In addition, the company manufactures and sells organic fertilizers; holds trademarks; trades in pharmaceutical products; and offers management services. It has operations in the People's Republic of China, Europe, India, Hong Kong, the Middle East, South America, other Asian regions, and other regions. The company was founded in 1990 and is headquartered in Yuen Long, Hong Kong. The United Laboratories International Holdings Limited is a subsidiary of Heren Far East Limited.</v>
      </c>
    </row>
    <row r="19" spans="2:38" ht="12.75" customHeight="1">
      <c r="B19" s="310" t="str">
        <f>'Capital IQ Sheet-GPC'!C19</f>
        <v>Corcept Therapeutics Incorporated</v>
      </c>
      <c r="C19" s="81">
        <f>'Capital IQ Sheet-GPC'!H19</f>
        <v>336.76713999999998</v>
      </c>
      <c r="H19" s="81">
        <f>'Capital IQ Sheet-GPC'!O19</f>
        <v>56.244999999999997</v>
      </c>
      <c r="I19" s="81">
        <f>'Capital IQ Sheet-GPC'!P19</f>
        <v>92.858999999999995</v>
      </c>
      <c r="J19" s="81">
        <f>'Capital IQ Sheet-GPC'!Q19</f>
        <v>189.261</v>
      </c>
      <c r="K19" s="311"/>
      <c r="L19" s="81">
        <f>'Capital IQ Sheet-GPC'!R19</f>
        <v>81.320999999999998</v>
      </c>
      <c r="M19" s="81">
        <f>'Capital IQ Sheet-GPC'!S19</f>
        <v>159.20099999999999</v>
      </c>
      <c r="N19" s="81">
        <f>'Capital IQ Sheet-GPC'!T19</f>
        <v>291.39585</v>
      </c>
      <c r="O19" s="81">
        <f>'Capital IQ Sheet-GPC'!U19</f>
        <v>395.32461000000001</v>
      </c>
      <c r="P19" s="81">
        <f>'Capital IQ Sheet-GPC'!V19</f>
        <v>568.34267</v>
      </c>
      <c r="R19" s="80">
        <f>IF(ISERROR($C19/H19), "n/a", $C19/H19)</f>
        <v>5.9875036003200286</v>
      </c>
      <c r="S19" s="80">
        <f>IF(ISERROR($C19/I19), "n/a", $C19/I19)</f>
        <v>3.6266505131435833</v>
      </c>
      <c r="T19" s="80">
        <f>IFERROR(IF(($C19/J19)&gt;$AC$6, "NM", IF(($C19/J19)&lt;$AE$6, "NM", $C19/J19)),"n/a")</f>
        <v>1.7793794812454757</v>
      </c>
      <c r="V19" s="80">
        <f>IFERROR(IF(($C19/L19)&gt;$AC$6, "NM", IF(($C19/L19)&lt;$AE$6, "NM", $C19/L19)),"n/a")</f>
        <v>4.1412075601628118</v>
      </c>
      <c r="W19" s="80">
        <f>IFERROR(IF(($C19/M19)&gt;$AC$6, "NM", IF(($C19/M19)&lt;$AE$6, "NM", $C19/M19)),"n/a")</f>
        <v>2.1153581949862126</v>
      </c>
      <c r="X19" s="80">
        <f>IFERROR(IF(($C19/N19)&gt;$AC$6, "NM", IF(($C19/N19)&lt;$AE$6, "NM", $C19/N19)),"n/a")</f>
        <v>1.155703281292441</v>
      </c>
      <c r="Y19" s="80">
        <f>IFERROR(IF(($C19/O19)&gt;$AC$6, "NM", IF(($C19/O19)&lt;$AE$6, "NM", $C19/O19)),"n/a")</f>
        <v>0.85187496928157336</v>
      </c>
      <c r="Z19" s="80">
        <f>IFERROR(IF(($C19/P19)&gt;$AC$6, "NM", IF(($C19/P19)&lt;$AE$6, "NM", $C19/P19)),"n/a")</f>
        <v>0.59254241811546537</v>
      </c>
      <c r="AB19" s="311">
        <f>'Capital IQ Sheet-GPC'!J19</f>
        <v>1811.4944</v>
      </c>
      <c r="AC19" s="311">
        <f>'Capital IQ Sheet-GPC'!K19</f>
        <v>0</v>
      </c>
      <c r="AD19" s="311" t="str">
        <f>'Capital IQ Sheet-GPC'!L19</f>
        <v>n/a</v>
      </c>
      <c r="AE19" s="311" t="str">
        <f>'Capital IQ Sheet-GPC'!M19</f>
        <v>n/a</v>
      </c>
      <c r="AF19" s="311">
        <f>SUM(AC19:AE19)</f>
        <v>0</v>
      </c>
      <c r="AG19" s="382">
        <f>SUM(AB19:AE19)</f>
        <v>1811.4944</v>
      </c>
      <c r="AH19" s="311">
        <f>'Capital IQ Sheet-GPC'!N19</f>
        <v>125.36199999999999</v>
      </c>
      <c r="AI19" s="81">
        <f>IF(ISERROR(AG19-AH19), "n/a", AG19-AH19)</f>
        <v>1686.1324</v>
      </c>
      <c r="AK19" s="82" t="str">
        <f>IF('MASTER PubCo Inputs'!C34="","",'MASTER PubCo Inputs'!C34)</f>
        <v>IQ1423826</v>
      </c>
      <c r="AL19" s="310" t="str">
        <f>'Capital IQ Sheet-GPC'!AP19</f>
        <v>Corcept Therapeutics Incorporated, a pharmaceutical company, discovers, develops, and commercializes drugs for the treatment of severe metabolic, oncologic, and psychiatric disorders in the United States. The company offers Korlym (mifepristone) tablets as a once-daily oral medication for the treatment of hyperglycemia secondary to hypercortisolism in adult patients with endogenous Cushing’s syndrome, who have type 2 diabetes mellitus or glucose intolerance, and have failed surgery or are not candidates for surgery, as well as develops CLIA-validated assay to measure FKBP5 gene expression. It is developing relacorilant that is in a Phase II trial to treat patients with Cushing’s syndrome; abraxane in combination with relacorilant, which is in Phase I/II open label trial to treat solid tumors; and selective cortisol modulator CORT125281 combined with Xtandi that is in open label Phase I/II trial to treat patients with metastatic castration-resistant prostate cancer. The company is also developing CORT118335 selective cortisol modulator, which is in Phase I/II open label trial for the treatment of antipsychotic-induced weight gain and non-alcoholic steatotic hepatitis. Corcept Therapeutics Incorporated was founded in 1998 and is headquartered in Menlo Park, California.</v>
      </c>
    </row>
    <row r="20" spans="2:38" ht="12.75" customHeight="1">
      <c r="B20" s="310" t="str">
        <f>'Capital IQ Sheet-GPC'!C20</f>
        <v>MannKind Corporation</v>
      </c>
      <c r="C20" s="81">
        <f>'Capital IQ Sheet-GPC'!H20</f>
        <v>7365.7138199999999</v>
      </c>
      <c r="H20" s="81" t="str">
        <f>'Capital IQ Sheet-GPC'!O20</f>
        <v>n/a</v>
      </c>
      <c r="I20" s="81">
        <f>'Capital IQ Sheet-GPC'!P20</f>
        <v>177.767</v>
      </c>
      <c r="J20" s="81">
        <f>'Capital IQ Sheet-GPC'!Q20</f>
        <v>11.601000000000001</v>
      </c>
      <c r="K20" s="311"/>
      <c r="L20" s="81">
        <f>'Capital IQ Sheet-GPC'!R20</f>
        <v>174.75800000000001</v>
      </c>
      <c r="M20" s="81">
        <f>'Capital IQ Sheet-GPC'!S20</f>
        <v>11.145</v>
      </c>
      <c r="N20" s="81">
        <f>'Capital IQ Sheet-GPC'!T20</f>
        <v>20.834</v>
      </c>
      <c r="O20" s="81">
        <f>'Capital IQ Sheet-GPC'!U20</f>
        <v>45.429000000000002</v>
      </c>
      <c r="P20" s="81">
        <f>'Capital IQ Sheet-GPC'!V20</f>
        <v>97.474000000000004</v>
      </c>
      <c r="R20" s="80" t="str">
        <f t="shared" si="1"/>
        <v>n/a</v>
      </c>
      <c r="S20" s="80">
        <f t="shared" si="2"/>
        <v>41.434652213290434</v>
      </c>
      <c r="T20" s="80" t="str">
        <f t="shared" si="3"/>
        <v>NM</v>
      </c>
      <c r="V20" s="80">
        <f t="shared" si="4"/>
        <v>42.148078027901441</v>
      </c>
      <c r="W20" s="80" t="str">
        <f t="shared" si="5"/>
        <v>NM</v>
      </c>
      <c r="X20" s="80" t="str">
        <f t="shared" si="6"/>
        <v>NM</v>
      </c>
      <c r="Y20" s="80" t="str">
        <f t="shared" si="7"/>
        <v>NM</v>
      </c>
      <c r="Z20" s="80">
        <f t="shared" si="8"/>
        <v>75.565933684880065</v>
      </c>
      <c r="AB20" s="311">
        <f>'Capital IQ Sheet-GPC'!J20</f>
        <v>266.04825</v>
      </c>
      <c r="AC20" s="311">
        <f>'Capital IQ Sheet-GPC'!K20</f>
        <v>140.26900000000001</v>
      </c>
      <c r="AD20" s="311" t="str">
        <f>'Capital IQ Sheet-GPC'!L20</f>
        <v>n/a</v>
      </c>
      <c r="AE20" s="311" t="str">
        <f>'Capital IQ Sheet-GPC'!M20</f>
        <v>n/a</v>
      </c>
      <c r="AF20" s="311">
        <f t="shared" si="9"/>
        <v>140.26900000000001</v>
      </c>
      <c r="AG20" s="382">
        <f t="shared" si="10"/>
        <v>406.31725</v>
      </c>
      <c r="AH20" s="311">
        <f>'Capital IQ Sheet-GPC'!N20</f>
        <v>26.706</v>
      </c>
      <c r="AI20" s="81">
        <f t="shared" si="11"/>
        <v>379.61124999999998</v>
      </c>
      <c r="AK20" s="82" t="str">
        <f>IF('MASTER PubCo Inputs'!C35="","",'MASTER PubCo Inputs'!C35)</f>
        <v>IQ9282918</v>
      </c>
      <c r="AL20" s="310" t="str">
        <f>'Capital IQ Sheet-GPC'!AP20</f>
        <v>MannKind Corporation, a biopharmaceutical company, focuses on the development and commercialization of inhaled therapeutic products for diabetes and pulmonary arterial hypertension patients. It offers Afrezza, a dry powder formulation of human insulin that controls high blood sugar in adults with type 1 and type 2 diabetes in the United States. The company was founded in 1991 and is headquartered in Westlake Village, California.</v>
      </c>
    </row>
    <row r="21" spans="2:38" ht="12.75" customHeight="1">
      <c r="B21" s="310" t="str">
        <f>'Capital IQ Sheet-GPC'!C21</f>
        <v>Zealand Pharma A/S</v>
      </c>
      <c r="C21" s="81">
        <f>'Capital IQ Sheet-GPC'!H21</f>
        <v>1686.1324</v>
      </c>
      <c r="H21" s="81">
        <f>'Capital IQ Sheet-GPC'!O21</f>
        <v>28.79383</v>
      </c>
      <c r="I21" s="81">
        <f>'Capital IQ Sheet-GPC'!P21</f>
        <v>43.950650000000003</v>
      </c>
      <c r="J21" s="81">
        <f>'Capital IQ Sheet-GPC'!Q21</f>
        <v>12.0631</v>
      </c>
      <c r="K21" s="311"/>
      <c r="L21" s="81">
        <f>'Capital IQ Sheet-GPC'!R21</f>
        <v>33.335369999999998</v>
      </c>
      <c r="M21" s="81">
        <f>'Capital IQ Sheet-GPC'!S21</f>
        <v>22.542059999999999</v>
      </c>
      <c r="N21" s="81">
        <f>'Capital IQ Sheet-GPC'!T21</f>
        <v>10.686590000000001</v>
      </c>
      <c r="O21" s="81">
        <f>'Capital IQ Sheet-GPC'!U21</f>
        <v>60.234870000000001</v>
      </c>
      <c r="P21" s="81">
        <f>'Capital IQ Sheet-GPC'!V21</f>
        <v>83.694180000000003</v>
      </c>
      <c r="R21" s="80">
        <f t="shared" si="1"/>
        <v>58.558809300464716</v>
      </c>
      <c r="S21" s="80">
        <f t="shared" si="2"/>
        <v>38.364219869330711</v>
      </c>
      <c r="T21" s="80" t="str">
        <f t="shared" si="3"/>
        <v>NM</v>
      </c>
      <c r="V21" s="80">
        <f t="shared" si="4"/>
        <v>50.580881508139854</v>
      </c>
      <c r="W21" s="80">
        <f t="shared" si="5"/>
        <v>74.79939277954189</v>
      </c>
      <c r="X21" s="80" t="str">
        <f t="shared" si="6"/>
        <v>NM</v>
      </c>
      <c r="Y21" s="80">
        <f t="shared" si="7"/>
        <v>27.992629518416823</v>
      </c>
      <c r="Z21" s="80">
        <f t="shared" si="8"/>
        <v>20.146351872973725</v>
      </c>
      <c r="AB21" s="311">
        <f>'Capital IQ Sheet-GPC'!J21</f>
        <v>403.61899</v>
      </c>
      <c r="AC21" s="311">
        <f>'Capital IQ Sheet-GPC'!K21</f>
        <v>22.171900000000001</v>
      </c>
      <c r="AD21" s="311" t="str">
        <f>'Capital IQ Sheet-GPC'!L21</f>
        <v>n/a</v>
      </c>
      <c r="AE21" s="311" t="str">
        <f>'Capital IQ Sheet-GPC'!M21</f>
        <v>n/a</v>
      </c>
      <c r="AF21" s="311">
        <f t="shared" si="9"/>
        <v>22.171900000000001</v>
      </c>
      <c r="AG21" s="382">
        <f t="shared" si="10"/>
        <v>425.79088999999999</v>
      </c>
      <c r="AH21" s="311">
        <f>'Capital IQ Sheet-GPC'!N21</f>
        <v>92.739000000000004</v>
      </c>
      <c r="AI21" s="81">
        <f t="shared" si="11"/>
        <v>333.05188999999996</v>
      </c>
      <c r="AK21" s="82" t="str">
        <f>IF('MASTER PubCo Inputs'!C36="","",'MASTER PubCo Inputs'!C36)</f>
        <v>IQ1268514</v>
      </c>
      <c r="AL21" s="310" t="str">
        <f>'Capital IQ Sheet-GPC'!AP21</f>
        <v>Zealand Pharma A/S, a biotechnology company, engages in the discovery, design, and development of peptide therapeutics-based medicines in Denmark. It has a portfolio of proprietary medicines in late-stage clinical development focusing on gastrointestinal and metabolic diseases. The company markets lixisenatide for the treatment of type 2 diabetes under the brand names of Adlyxin and Lyxumia; and a combination of lixisenatide and insulin glargine for the treatment of type 2 diabetes under the brand names of Soliqua 100/33 and Suliqua. The company’s product pipeline includes glepaglutide, a long acting GLP-2 analog for the treatment of short bowel syndrome, which has completed Phase 2 clinical trials; and dasiglucagon, a proprietary glucagon analog for various indications comprising as a dual-hormone artificial pancreas for diabetes treatment, rescue treatment for severe hypoglycemia, and congenital hyperinsulinism. The company has collaboration agreements with Sanofi-Aventis Deutschland GmbH and Boehringer Ingelheim GmbH. The company was founded in 1997 and is headquartered in Copenhagen, Denmark.</v>
      </c>
    </row>
    <row r="22" spans="2:38" ht="12.75" customHeight="1">
      <c r="C22" s="81"/>
      <c r="H22" s="81"/>
      <c r="I22" s="81"/>
      <c r="J22" s="81"/>
      <c r="K22" s="311"/>
      <c r="L22" s="81"/>
      <c r="M22" s="81"/>
      <c r="N22" s="81"/>
      <c r="O22" s="81"/>
      <c r="P22" s="81"/>
      <c r="R22" s="80"/>
      <c r="S22" s="80"/>
      <c r="T22" s="80"/>
      <c r="V22" s="80"/>
      <c r="W22" s="80"/>
      <c r="X22" s="80"/>
      <c r="Y22" s="80"/>
      <c r="Z22" s="80"/>
      <c r="AB22" s="311"/>
      <c r="AC22" s="311"/>
      <c r="AD22" s="311"/>
      <c r="AE22" s="311"/>
      <c r="AF22" s="311"/>
      <c r="AG22" s="382"/>
      <c r="AH22" s="311"/>
      <c r="AI22" s="81"/>
      <c r="AK22" s="82"/>
    </row>
    <row r="23" spans="2:38" ht="12.75" customHeight="1">
      <c r="B23" s="46" t="s">
        <v>1689</v>
      </c>
      <c r="C23" s="81"/>
      <c r="H23" s="81"/>
      <c r="I23" s="81"/>
      <c r="J23" s="81"/>
      <c r="K23" s="311"/>
      <c r="L23" s="81"/>
      <c r="M23" s="81"/>
      <c r="N23" s="81"/>
      <c r="O23" s="81"/>
      <c r="P23" s="81"/>
      <c r="R23" s="80"/>
      <c r="S23" s="80"/>
      <c r="T23" s="80"/>
      <c r="V23" s="80"/>
      <c r="W23" s="80"/>
      <c r="X23" s="80"/>
      <c r="Y23" s="80"/>
      <c r="Z23" s="80"/>
      <c r="AB23" s="311"/>
      <c r="AC23" s="311"/>
      <c r="AD23" s="311"/>
      <c r="AE23" s="311"/>
      <c r="AF23" s="311"/>
      <c r="AG23" s="382"/>
      <c r="AH23" s="311"/>
      <c r="AI23" s="81"/>
      <c r="AK23" s="82"/>
    </row>
    <row r="24" spans="2:38" ht="12.75" customHeight="1">
      <c r="B24" s="310" t="str">
        <f>'Capital IQ Sheet-GPC'!C22</f>
        <v>Amicus Therapeutics, Inc.</v>
      </c>
      <c r="C24" s="81">
        <f>'Capital IQ Sheet-GPC'!H22</f>
        <v>2548.1713800000002</v>
      </c>
      <c r="H24" s="81" t="str">
        <f>'Capital IQ Sheet-GPC'!O22</f>
        <v>n/a</v>
      </c>
      <c r="I24" s="81">
        <f>'Capital IQ Sheet-GPC'!P22</f>
        <v>9.1270000000000007</v>
      </c>
      <c r="J24" s="81">
        <f>'Capital IQ Sheet-GPC'!Q22</f>
        <v>49.457000000000001</v>
      </c>
      <c r="K24" s="311"/>
      <c r="L24" s="81">
        <f>'Capital IQ Sheet-GPC'!R22</f>
        <v>4.9580000000000002</v>
      </c>
      <c r="M24" s="81">
        <f>'Capital IQ Sheet-GPC'!S22</f>
        <v>36.93</v>
      </c>
      <c r="N24" s="81">
        <f>'Capital IQ Sheet-GPC'!T22</f>
        <v>86.128420000000006</v>
      </c>
      <c r="O24" s="81">
        <f>'Capital IQ Sheet-GPC'!U22</f>
        <v>171.63927000000001</v>
      </c>
      <c r="P24" s="81">
        <f>'Capital IQ Sheet-GPC'!V22</f>
        <v>249.64086</v>
      </c>
      <c r="R24" s="80" t="str">
        <f t="shared" si="1"/>
        <v>n/a</v>
      </c>
      <c r="S24" s="80">
        <f t="shared" si="2"/>
        <v>279.19046565136409</v>
      </c>
      <c r="T24" s="80">
        <f t="shared" si="3"/>
        <v>51.522967021857376</v>
      </c>
      <c r="V24" s="80" t="str">
        <f t="shared" si="4"/>
        <v>NM</v>
      </c>
      <c r="W24" s="80">
        <f t="shared" si="5"/>
        <v>69.000037367993514</v>
      </c>
      <c r="X24" s="80">
        <f t="shared" si="6"/>
        <v>29.58572071796975</v>
      </c>
      <c r="Y24" s="80">
        <f t="shared" si="7"/>
        <v>14.84608609673066</v>
      </c>
      <c r="Z24" s="80">
        <f t="shared" si="8"/>
        <v>10.207348989264018</v>
      </c>
      <c r="AB24" s="311">
        <f>'Capital IQ Sheet-GPC'!J22</f>
        <v>2943.9233800000002</v>
      </c>
      <c r="AC24" s="311">
        <f>'Capital IQ Sheet-GPC'!K22</f>
        <v>166.768</v>
      </c>
      <c r="AD24" s="311" t="str">
        <f>'Capital IQ Sheet-GPC'!L22</f>
        <v>n/a</v>
      </c>
      <c r="AE24" s="311" t="str">
        <f>'Capital IQ Sheet-GPC'!M22</f>
        <v>n/a</v>
      </c>
      <c r="AF24" s="311">
        <f t="shared" si="9"/>
        <v>166.768</v>
      </c>
      <c r="AG24" s="382">
        <f t="shared" si="10"/>
        <v>3110.6913800000002</v>
      </c>
      <c r="AH24" s="311">
        <f>'Capital IQ Sheet-GPC'!N22</f>
        <v>562.52</v>
      </c>
      <c r="AI24" s="81">
        <f t="shared" si="11"/>
        <v>2548.1713800000002</v>
      </c>
      <c r="AK24" s="82" t="str">
        <f>IF('MASTER PubCo Inputs'!C37="","",'MASTER PubCo Inputs'!C37)</f>
        <v>IQ7009878</v>
      </c>
      <c r="AL24" s="310" t="str">
        <f>'Capital IQ Sheet-GPC'!AP22</f>
        <v>Amicus Therapeutics, Inc., a biotechnology company, engages in the discovery, development, and commercialization of medicines for various rare and orphan diseases. The company offers migalastat HCl, an orally administered small molecule pharmacological chaperone for the treatment of Fabry disease. It is also conducting a Phase 1/2 clinical study of ATB200-02 to investigate in patients with pompe disease. The company has strategic alliance with GlaxoSmithKline plc to develop and commercialize migalastat as a monotherapy and in combination with ERT for Fabry disease. Amicus Therapeutics, Inc. was founded in 2002 and is headquartered in Cranbury, New Jersey.</v>
      </c>
    </row>
    <row r="25" spans="2:38" ht="12.75" customHeight="1">
      <c r="B25" s="310" t="str">
        <f>'Capital IQ Sheet-GPC'!C23</f>
        <v>Myovant Sciences Ltd.</v>
      </c>
      <c r="C25" s="81">
        <f>'Capital IQ Sheet-GPC'!H23</f>
        <v>1418.6912500000001</v>
      </c>
      <c r="H25" s="81" t="str">
        <f>'Capital IQ Sheet-GPC'!O23</f>
        <v>n/a</v>
      </c>
      <c r="I25" s="81" t="str">
        <f>'Capital IQ Sheet-GPC'!P23</f>
        <v>n/a</v>
      </c>
      <c r="J25" s="81" t="str">
        <f>'Capital IQ Sheet-GPC'!Q23</f>
        <v>n/a</v>
      </c>
      <c r="K25" s="311"/>
      <c r="L25" s="81" t="str">
        <f>'Capital IQ Sheet-GPC'!R23</f>
        <v>n/a</v>
      </c>
      <c r="M25" s="81" t="str">
        <f>'Capital IQ Sheet-GPC'!S23</f>
        <v>n/a</v>
      </c>
      <c r="N25" s="81" t="str">
        <f>'Capital IQ Sheet-GPC'!T23</f>
        <v>n/a</v>
      </c>
      <c r="O25" s="81">
        <f>'Capital IQ Sheet-GPC'!U23</f>
        <v>28.75</v>
      </c>
      <c r="P25" s="81">
        <f>'Capital IQ Sheet-GPC'!V23</f>
        <v>10</v>
      </c>
      <c r="R25" s="80" t="str">
        <f t="shared" si="1"/>
        <v>n/a</v>
      </c>
      <c r="S25" s="80" t="str">
        <f t="shared" si="2"/>
        <v>n/a</v>
      </c>
      <c r="T25" s="80" t="str">
        <f t="shared" si="3"/>
        <v>n/a</v>
      </c>
      <c r="V25" s="80" t="str">
        <f t="shared" si="4"/>
        <v>n/a</v>
      </c>
      <c r="W25" s="80" t="str">
        <f t="shared" si="5"/>
        <v>n/a</v>
      </c>
      <c r="X25" s="80" t="str">
        <f t="shared" si="6"/>
        <v>n/a</v>
      </c>
      <c r="Y25" s="80">
        <f t="shared" si="7"/>
        <v>49.345782608695657</v>
      </c>
      <c r="Z25" s="80" t="str">
        <f t="shared" si="8"/>
        <v>NM</v>
      </c>
      <c r="AB25" s="311">
        <f>'Capital IQ Sheet-GPC'!J23</f>
        <v>1483.6912500000001</v>
      </c>
      <c r="AC25" s="311">
        <f>'Capital IQ Sheet-GPC'!K23</f>
        <v>43.624000000000002</v>
      </c>
      <c r="AD25" s="311" t="str">
        <f>'Capital IQ Sheet-GPC'!L23</f>
        <v>n/a</v>
      </c>
      <c r="AE25" s="311" t="str">
        <f>'Capital IQ Sheet-GPC'!M23</f>
        <v>n/a</v>
      </c>
      <c r="AF25" s="311">
        <f t="shared" si="9"/>
        <v>43.624000000000002</v>
      </c>
      <c r="AG25" s="382">
        <f t="shared" si="10"/>
        <v>1527.3152500000001</v>
      </c>
      <c r="AH25" s="311">
        <f>'Capital IQ Sheet-GPC'!N23</f>
        <v>108.624</v>
      </c>
      <c r="AI25" s="81">
        <f t="shared" si="11"/>
        <v>1418.6912500000001</v>
      </c>
      <c r="AK25" s="82" t="str">
        <f>IF('MASTER PubCo Inputs'!C38="","",'MASTER PubCo Inputs'!C38)</f>
        <v>IQ403430039</v>
      </c>
      <c r="AL25" s="310" t="str">
        <f>'Capital IQ Sheet-GPC'!AP23</f>
        <v>Myovant Sciences Ltd., a clinical-stage biopharmaceutical company, focuses on developing and commercializing therapies for women’s health and endocrine diseases. The company’s lead product is relugolix, an oral, once-daily, small molecule that acts as a gonadotropin-releasing hormone receptor antagonist for the treatment of heavy menstrual bleeding related with uterine fibroids, endometriosis-associated pain, and advanced prostate cancer. It is also developing MVT-602, an oligopeptide kisspeptin agonist, for the treatment of female infertility as part of the hormonal preparation used in assisted reproduction. The company was formerly known as Roivant Endocrinology Ltd. and changed its name to Myovant Sciences Ltd. in May 2016. The company was founded in 2016 and is based in London, the United Kingdom. Myovant Sciences Ltd. is a subsidiary of Roivant Sciences Ltd.</v>
      </c>
    </row>
    <row r="26" spans="2:38" ht="12.75" customHeight="1">
      <c r="B26" s="310" t="str">
        <f>'Capital IQ Sheet-GPC'!C24</f>
        <v>Lexicon Pharmaceuticals, Inc.</v>
      </c>
      <c r="C26" s="81">
        <f>'Capital IQ Sheet-GPC'!H24</f>
        <v>1253.1064200000001</v>
      </c>
      <c r="H26" s="81">
        <f>'Capital IQ Sheet-GPC'!O24</f>
        <v>140.71600000000001</v>
      </c>
      <c r="I26" s="81">
        <f>'Capital IQ Sheet-GPC'!P24</f>
        <v>89.135999999999996</v>
      </c>
      <c r="J26" s="81">
        <f>'Capital IQ Sheet-GPC'!Q24</f>
        <v>97.248999999999995</v>
      </c>
      <c r="K26" s="311"/>
      <c r="L26" s="81">
        <f>'Capital IQ Sheet-GPC'!R24</f>
        <v>83.337000000000003</v>
      </c>
      <c r="M26" s="81">
        <f>'Capital IQ Sheet-GPC'!S24</f>
        <v>90.334999999999994</v>
      </c>
      <c r="N26" s="81">
        <f>'Capital IQ Sheet-GPC'!T24</f>
        <v>71.616</v>
      </c>
      <c r="O26" s="81">
        <f>'Capital IQ Sheet-GPC'!U24</f>
        <v>206.62008</v>
      </c>
      <c r="P26" s="81">
        <f>'Capital IQ Sheet-GPC'!V24</f>
        <v>273.62119999999999</v>
      </c>
      <c r="R26" s="80">
        <f t="shared" si="1"/>
        <v>8.905216322237699</v>
      </c>
      <c r="S26" s="80">
        <f t="shared" si="2"/>
        <v>14.058364970382339</v>
      </c>
      <c r="T26" s="80">
        <f t="shared" si="3"/>
        <v>12.885545558309085</v>
      </c>
      <c r="V26" s="80">
        <f t="shared" si="4"/>
        <v>15.036615428921127</v>
      </c>
      <c r="W26" s="80">
        <f t="shared" si="5"/>
        <v>13.871770852936294</v>
      </c>
      <c r="X26" s="80">
        <f t="shared" si="6"/>
        <v>17.497576239946383</v>
      </c>
      <c r="Y26" s="80">
        <f t="shared" si="7"/>
        <v>6.0647852812756637</v>
      </c>
      <c r="Z26" s="80">
        <f t="shared" si="8"/>
        <v>4.5797124638003197</v>
      </c>
      <c r="AB26" s="311">
        <f>'Capital IQ Sheet-GPC'!J24</f>
        <v>1269.98242</v>
      </c>
      <c r="AC26" s="311">
        <f>'Capital IQ Sheet-GPC'!K24</f>
        <v>245.39599999999999</v>
      </c>
      <c r="AD26" s="311" t="str">
        <f>'Capital IQ Sheet-GPC'!L24</f>
        <v>n/a</v>
      </c>
      <c r="AE26" s="311" t="str">
        <f>'Capital IQ Sheet-GPC'!M24</f>
        <v>n/a</v>
      </c>
      <c r="AF26" s="311">
        <f t="shared" si="9"/>
        <v>245.39599999999999</v>
      </c>
      <c r="AG26" s="382">
        <f t="shared" si="10"/>
        <v>1515.37842</v>
      </c>
      <c r="AH26" s="311">
        <f>'Capital IQ Sheet-GPC'!N24</f>
        <v>262.27199999999999</v>
      </c>
      <c r="AI26" s="81">
        <f t="shared" si="11"/>
        <v>1253.1064200000001</v>
      </c>
      <c r="AK26" s="82" t="str">
        <f>IF('MASTER PubCo Inputs'!C39="","",'MASTER PubCo Inputs'!C39)</f>
        <v>IQ30781</v>
      </c>
      <c r="AL26" s="310" t="str">
        <f>'Capital IQ Sheet-GPC'!AP24</f>
        <v>Lexicon Pharmaceuticals, Inc., a biopharmaceutical company, focuses on the development and commercialization of pharmaceutical products for the treatment of human diseases. The company offers XERMELO, an orally-delivered small molecule drug candidate for the treatment of carcinoid syndrome diarrhea in combination with somatostatin analog therapy in adults. Its orally-delivered small molecule drug candidates under development comprise Sotagliflozin that is in Phase 3 clinical trials for the treatment of type 1 and type 2 diabetes; LX2761, which is in Phase 1 clinical development for the treatment of diabetes; and LX9211 that is in Phase 1 clinical development for the treatment of neuropathic pain. The company has strategic collaboration and license agreements with Sanofi; Ipsen Pharma SAS; Bristol-Myers Squibb Company; and Genentech, Inc. Lexicon Pharmaceuticals, Inc. was founded in 1995 and is headquartered in The Woodlands, Texas.</v>
      </c>
    </row>
    <row r="27" spans="2:38" ht="12.75" customHeight="1">
      <c r="B27" s="310" t="str">
        <f>'Capital IQ Sheet-GPC'!C25</f>
        <v>Rhythm Pharmaceuticals, Inc.</v>
      </c>
      <c r="C27" s="81">
        <f>'Capital IQ Sheet-GPC'!H25</f>
        <v>930.20021999999994</v>
      </c>
      <c r="H27" s="81" t="str">
        <f>'Capital IQ Sheet-GPC'!O25</f>
        <v>n/a</v>
      </c>
      <c r="I27" s="81" t="str">
        <f>'Capital IQ Sheet-GPC'!P25</f>
        <v>n/a</v>
      </c>
      <c r="J27" s="81" t="str">
        <f>'Capital IQ Sheet-GPC'!Q25</f>
        <v>n/a</v>
      </c>
      <c r="K27" s="311"/>
      <c r="L27" s="81" t="str">
        <f>'Capital IQ Sheet-GPC'!R25</f>
        <v>n/a</v>
      </c>
      <c r="M27" s="81" t="str">
        <f>'Capital IQ Sheet-GPC'!S25</f>
        <v>n/a</v>
      </c>
      <c r="N27" s="81" t="str">
        <f>'Capital IQ Sheet-GPC'!T25</f>
        <v>n/a</v>
      </c>
      <c r="O27" s="81">
        <f>'Capital IQ Sheet-GPC'!U25</f>
        <v>0.67901999999999996</v>
      </c>
      <c r="P27" s="81">
        <f>'Capital IQ Sheet-GPC'!V25</f>
        <v>44</v>
      </c>
      <c r="R27" s="80" t="str">
        <f t="shared" si="1"/>
        <v>n/a</v>
      </c>
      <c r="S27" s="80" t="str">
        <f t="shared" si="2"/>
        <v>n/a</v>
      </c>
      <c r="T27" s="80" t="str">
        <f t="shared" si="3"/>
        <v>n/a</v>
      </c>
      <c r="V27" s="80" t="str">
        <f t="shared" si="4"/>
        <v>n/a</v>
      </c>
      <c r="W27" s="80" t="str">
        <f t="shared" si="5"/>
        <v>n/a</v>
      </c>
      <c r="X27" s="80" t="str">
        <f t="shared" si="6"/>
        <v>n/a</v>
      </c>
      <c r="Y27" s="80" t="str">
        <f t="shared" si="7"/>
        <v>NM</v>
      </c>
      <c r="Z27" s="80">
        <f t="shared" si="8"/>
        <v>21.140914090909089</v>
      </c>
      <c r="AB27" s="311">
        <f>'Capital IQ Sheet-GPC'!J25</f>
        <v>1066.6532199999999</v>
      </c>
      <c r="AC27" s="311">
        <f>'Capital IQ Sheet-GPC'!K25</f>
        <v>0</v>
      </c>
      <c r="AD27" s="311" t="str">
        <f>'Capital IQ Sheet-GPC'!L25</f>
        <v>n/a</v>
      </c>
      <c r="AE27" s="311" t="str">
        <f>'Capital IQ Sheet-GPC'!M25</f>
        <v>n/a</v>
      </c>
      <c r="AF27" s="311">
        <f t="shared" si="9"/>
        <v>0</v>
      </c>
      <c r="AG27" s="382">
        <f t="shared" si="10"/>
        <v>1066.6532199999999</v>
      </c>
      <c r="AH27" s="311">
        <f>'Capital IQ Sheet-GPC'!N25</f>
        <v>136.453</v>
      </c>
      <c r="AI27" s="81">
        <f t="shared" si="11"/>
        <v>930.20021999999994</v>
      </c>
      <c r="AK27" s="82" t="str">
        <f>IF('MASTER PubCo Inputs'!C40="","",'MASTER PubCo Inputs'!C40)</f>
        <v>IQ309184792</v>
      </c>
      <c r="AL27" s="310" t="str">
        <f>'Capital IQ Sheet-GPC'!AP25</f>
        <v>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v>
      </c>
    </row>
    <row r="28" spans="2:38" ht="12.75" customHeight="1">
      <c r="B28" s="310" t="str">
        <f>'Capital IQ Sheet-GPC'!C26</f>
        <v>Aptinyx Inc.</v>
      </c>
      <c r="C28" s="81">
        <f>'Capital IQ Sheet-GPC'!H26</f>
        <v>859.63972999999999</v>
      </c>
      <c r="H28" s="81" t="str">
        <f>'Capital IQ Sheet-GPC'!O26</f>
        <v>n/a</v>
      </c>
      <c r="I28" s="81" t="str">
        <f>'Capital IQ Sheet-GPC'!P26</f>
        <v>n/a</v>
      </c>
      <c r="J28" s="81">
        <f>'Capital IQ Sheet-GPC'!Q26</f>
        <v>6.2809999999999997</v>
      </c>
      <c r="K28" s="311"/>
      <c r="L28" s="81">
        <f>'Capital IQ Sheet-GPC'!R26</f>
        <v>9.7919999999999998</v>
      </c>
      <c r="M28" s="81">
        <f>'Capital IQ Sheet-GPC'!S26</f>
        <v>4.9619999999999997</v>
      </c>
      <c r="N28" s="81" t="str">
        <f>'Capital IQ Sheet-GPC'!T26</f>
        <v>n/a</v>
      </c>
      <c r="O28" s="81" t="str">
        <f>'Capital IQ Sheet-GPC'!U26</f>
        <v>n/a</v>
      </c>
      <c r="P28" s="81" t="str">
        <f>'Capital IQ Sheet-GPC'!V26</f>
        <v>n/a</v>
      </c>
      <c r="R28" s="80" t="str">
        <f t="shared" si="1"/>
        <v>n/a</v>
      </c>
      <c r="S28" s="80" t="str">
        <f t="shared" si="2"/>
        <v>n/a</v>
      </c>
      <c r="T28" s="80" t="str">
        <f t="shared" si="3"/>
        <v>NM</v>
      </c>
      <c r="V28" s="80">
        <f t="shared" si="4"/>
        <v>87.790005106209151</v>
      </c>
      <c r="W28" s="80" t="str">
        <f t="shared" si="5"/>
        <v>NM</v>
      </c>
      <c r="X28" s="80" t="str">
        <f t="shared" si="6"/>
        <v>n/a</v>
      </c>
      <c r="Y28" s="80" t="str">
        <f t="shared" si="7"/>
        <v>n/a</v>
      </c>
      <c r="Z28" s="80" t="str">
        <f t="shared" si="8"/>
        <v>n/a</v>
      </c>
      <c r="AB28" s="311">
        <f>'Capital IQ Sheet-GPC'!J26</f>
        <v>809.60373000000004</v>
      </c>
      <c r="AC28" s="311">
        <f>'Capital IQ Sheet-GPC'!K26</f>
        <v>0</v>
      </c>
      <c r="AD28" s="311">
        <f>'Capital IQ Sheet-GPC'!L26</f>
        <v>132.386</v>
      </c>
      <c r="AE28" s="311" t="str">
        <f>'Capital IQ Sheet-GPC'!M26</f>
        <v>n/a</v>
      </c>
      <c r="AF28" s="311">
        <f t="shared" si="9"/>
        <v>132.386</v>
      </c>
      <c r="AG28" s="382">
        <f t="shared" si="10"/>
        <v>941.98973000000001</v>
      </c>
      <c r="AH28" s="311">
        <f>'Capital IQ Sheet-GPC'!N26</f>
        <v>82.35</v>
      </c>
      <c r="AI28" s="81">
        <f t="shared" si="11"/>
        <v>859.63972999999999</v>
      </c>
      <c r="AK28" s="82" t="str">
        <f>IF('MASTER PubCo Inputs'!C41="","",'MASTER PubCo Inputs'!C41)</f>
        <v>IQ336341295</v>
      </c>
      <c r="AL28" s="310" t="str">
        <f>'Capital IQ Sheet-GPC'!AP26</f>
        <v>Aptinyx Inc., a clinical-stage biopharmaceutical company, focuses on the discovery, development, and commercialization of novel, proprietary, and synthetic small molecules for the treatment of brain and nervous system disorders. It is developing NYX-2925 that is in Phase II clinical trial for the treatment of painful diabetic peripheral neuropathy, as well as in Phase II exploratory clinical trial for fibromyalgia; and NYX-783, an NMDAr receptor that is in Phase I clinical trial for the treatment of post-traumatic stress disorder. The company has a collaboration agreement with Allergan plc. Aptinyx Inc. was founded in 2015 and is headquartered in Evanston, Illinois.</v>
      </c>
    </row>
    <row r="29" spans="2:38" ht="12.75" customHeight="1">
      <c r="B29" s="310" t="str">
        <f>'Capital IQ Sheet-GPC'!C27</f>
        <v>BeyondSpring Inc.</v>
      </c>
      <c r="C29" s="81">
        <f>'Capital IQ Sheet-GPC'!H27</f>
        <v>593.39386999999999</v>
      </c>
      <c r="H29" s="81" t="str">
        <f>'Capital IQ Sheet-GPC'!O27</f>
        <v>n/a</v>
      </c>
      <c r="I29" s="81" t="str">
        <f>'Capital IQ Sheet-GPC'!P27</f>
        <v>n/a</v>
      </c>
      <c r="J29" s="81" t="str">
        <f>'Capital IQ Sheet-GPC'!Q27</f>
        <v>n/a</v>
      </c>
      <c r="K29" s="311"/>
      <c r="L29" s="81" t="str">
        <f>'Capital IQ Sheet-GPC'!R27</f>
        <v>n/a</v>
      </c>
      <c r="M29" s="81" t="str">
        <f>'Capital IQ Sheet-GPC'!S27</f>
        <v>n/a</v>
      </c>
      <c r="N29" s="81" t="str">
        <f>'Capital IQ Sheet-GPC'!T27</f>
        <v>n/a</v>
      </c>
      <c r="O29" s="81">
        <f>'Capital IQ Sheet-GPC'!U27</f>
        <v>15</v>
      </c>
      <c r="P29" s="81">
        <f>'Capital IQ Sheet-GPC'!V27</f>
        <v>115.9175</v>
      </c>
      <c r="R29" s="80" t="str">
        <f t="shared" si="1"/>
        <v>n/a</v>
      </c>
      <c r="S29" s="80" t="str">
        <f t="shared" si="2"/>
        <v>n/a</v>
      </c>
      <c r="T29" s="80" t="str">
        <f t="shared" si="3"/>
        <v>n/a</v>
      </c>
      <c r="V29" s="80" t="str">
        <f t="shared" si="4"/>
        <v>n/a</v>
      </c>
      <c r="W29" s="80" t="str">
        <f t="shared" si="5"/>
        <v>n/a</v>
      </c>
      <c r="X29" s="80" t="str">
        <f t="shared" si="6"/>
        <v>n/a</v>
      </c>
      <c r="Y29" s="80">
        <f t="shared" si="7"/>
        <v>39.55959133333333</v>
      </c>
      <c r="Z29" s="80">
        <f t="shared" si="8"/>
        <v>5.1191051394310607</v>
      </c>
      <c r="AB29" s="311">
        <f>'Capital IQ Sheet-GPC'!J27</f>
        <v>614.36387000000002</v>
      </c>
      <c r="AC29" s="311">
        <f>'Capital IQ Sheet-GPC'!K27</f>
        <v>0</v>
      </c>
      <c r="AD29" s="311" t="str">
        <f>'Capital IQ Sheet-GPC'!L27</f>
        <v>n/a</v>
      </c>
      <c r="AE29" s="311">
        <f>'Capital IQ Sheet-GPC'!M27</f>
        <v>0.56799999999999995</v>
      </c>
      <c r="AF29" s="311">
        <f t="shared" si="9"/>
        <v>0.56799999999999995</v>
      </c>
      <c r="AG29" s="382">
        <f t="shared" si="10"/>
        <v>614.93187</v>
      </c>
      <c r="AH29" s="311">
        <f>'Capital IQ Sheet-GPC'!N27</f>
        <v>21.538</v>
      </c>
      <c r="AI29" s="81">
        <f t="shared" si="11"/>
        <v>593.39386999999999</v>
      </c>
      <c r="AK29" s="82" t="str">
        <f>IF('MASTER PubCo Inputs'!C42="","",'MASTER PubCo Inputs'!C42)</f>
        <v>IQ409784135</v>
      </c>
      <c r="AL29" s="310" t="str">
        <f>'Capital IQ Sheet-GPC'!AP27</f>
        <v>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 Phase 3 clinical trial as an anticancer agent in combination with docetaxel in advanced non-small cell lung cancer; and Phase 1/2 clinical trials with the immuno-oncology agent nivolumab. BeyondSpring Inc. was founded in 2010 and is headquartered in New York, New York.</v>
      </c>
    </row>
    <row r="30" spans="2:38" ht="12.75" customHeight="1">
      <c r="B30" s="310" t="str">
        <f>'Capital IQ Sheet-GPC'!C28</f>
        <v>CymaBay Therapeutics, Inc.</v>
      </c>
      <c r="C30" s="81">
        <f>'Capital IQ Sheet-GPC'!H28</f>
        <v>564.50228000000004</v>
      </c>
      <c r="H30" s="81" t="str">
        <f>'Capital IQ Sheet-GPC'!O28</f>
        <v>n/a</v>
      </c>
      <c r="I30" s="81">
        <f>'Capital IQ Sheet-GPC'!P28</f>
        <v>4.7930000000000001</v>
      </c>
      <c r="J30" s="81">
        <f>'Capital IQ Sheet-GPC'!Q28</f>
        <v>5.2069999999999999</v>
      </c>
      <c r="K30" s="311"/>
      <c r="L30" s="81" t="str">
        <f>'Capital IQ Sheet-GPC'!R28</f>
        <v>n/a</v>
      </c>
      <c r="M30" s="81">
        <f>'Capital IQ Sheet-GPC'!S28</f>
        <v>10</v>
      </c>
      <c r="N30" s="81">
        <f>'Capital IQ Sheet-GPC'!T28</f>
        <v>0.71428999999999998</v>
      </c>
      <c r="O30" s="81">
        <f>'Capital IQ Sheet-GPC'!U28</f>
        <v>2.8571399999999998</v>
      </c>
      <c r="P30" s="81">
        <f>'Capital IQ Sheet-GPC'!V28</f>
        <v>59.333329999999997</v>
      </c>
      <c r="R30" s="80" t="str">
        <f t="shared" si="1"/>
        <v>n/a</v>
      </c>
      <c r="S30" s="80">
        <f t="shared" si="2"/>
        <v>117.7763989150845</v>
      </c>
      <c r="T30" s="80" t="str">
        <f t="shared" si="3"/>
        <v>NM</v>
      </c>
      <c r="V30" s="80" t="str">
        <f t="shared" si="4"/>
        <v>n/a</v>
      </c>
      <c r="W30" s="80">
        <f t="shared" si="5"/>
        <v>56.450228000000003</v>
      </c>
      <c r="X30" s="80" t="str">
        <f t="shared" si="6"/>
        <v>NM</v>
      </c>
      <c r="Y30" s="80" t="str">
        <f t="shared" si="7"/>
        <v>NM</v>
      </c>
      <c r="Z30" s="80">
        <f t="shared" si="8"/>
        <v>9.5140839052856148</v>
      </c>
      <c r="AB30" s="311">
        <f>'Capital IQ Sheet-GPC'!J28</f>
        <v>788.67728</v>
      </c>
      <c r="AC30" s="311">
        <f>'Capital IQ Sheet-GPC'!K28</f>
        <v>5.3609999999999998</v>
      </c>
      <c r="AD30" s="311" t="str">
        <f>'Capital IQ Sheet-GPC'!L28</f>
        <v>n/a</v>
      </c>
      <c r="AE30" s="311" t="str">
        <f>'Capital IQ Sheet-GPC'!M28</f>
        <v>n/a</v>
      </c>
      <c r="AF30" s="311">
        <f t="shared" si="9"/>
        <v>5.3609999999999998</v>
      </c>
      <c r="AG30" s="382">
        <f t="shared" si="10"/>
        <v>794.03827999999999</v>
      </c>
      <c r="AH30" s="311">
        <f>'Capital IQ Sheet-GPC'!N28</f>
        <v>229.536</v>
      </c>
      <c r="AI30" s="81">
        <f t="shared" si="11"/>
        <v>564.50227999999993</v>
      </c>
      <c r="AK30" s="82" t="str">
        <f>IF('MASTER PubCo Inputs'!C43="","",'MASTER PubCo Inputs'!C43)</f>
        <v>IQ31424</v>
      </c>
      <c r="AL30" s="310" t="str">
        <f>'Capital IQ Sheet-GPC'!AP28</f>
        <v>CymaBay Therapeutics, Inc., a clinical-stage biopharmaceutical company, focuses on developing and providing therapies to treat liver and other chronic diseases. Its lead product candidate is seladelpar, a selective agonist of peroxisome proliferator-activated receptor delta, which has completed Phase II clinical study for the treatment of primary biliary cholangitis, as well as patients with nonalcoholic steatohepatitis. The company also develops arhalofenate, which has completed five Phase II clinical trials for the treatment of patients with gout; and MBX-2982, an oral G-protein coupled receptor agonist that has completed one Phase II clinical trial for therapeutic indications. It has licensing agreement with Kowa Pharmaceuticals America, Inc. for the development and commercialization of arhalofenate in the United States; and Janssen Pharmaceuticals, Inc. to develop and discover undisclosed metabolic disease target agonists for the treatment of type II diabetes and other disorders, as well as a license and development agreement with DiaTex, Inc. to develop and commercialize therapeutic products comrprising halofenate and its enantiomers, derivatives, and analogs for the treatment of diseases. The company was formerly known as Metabolex, Inc. CymaBay Therapeutics, Inc. was incorporated in 1988 and is headquartered in Newark, California.</v>
      </c>
    </row>
    <row r="31" spans="2:38" ht="12.75" customHeight="1">
      <c r="B31" s="310" t="str">
        <f>'Capital IQ Sheet-GPC'!C29</f>
        <v>Intra-Cellular Therapies, Inc.</v>
      </c>
      <c r="C31" s="81">
        <f>'Capital IQ Sheet-GPC'!H29</f>
        <v>529.47951999999998</v>
      </c>
      <c r="H31" s="81">
        <f>'Capital IQ Sheet-GPC'!O29</f>
        <v>8.8050000000000003E-2</v>
      </c>
      <c r="I31" s="81">
        <f>'Capital IQ Sheet-GPC'!P29</f>
        <v>0.42598999999999998</v>
      </c>
      <c r="J31" s="81">
        <f>'Capital IQ Sheet-GPC'!Q29</f>
        <v>0.15054999999999999</v>
      </c>
      <c r="K31" s="311"/>
      <c r="L31" s="81">
        <f>'Capital IQ Sheet-GPC'!R29</f>
        <v>0.33069999999999999</v>
      </c>
      <c r="M31" s="81">
        <f>'Capital IQ Sheet-GPC'!S29</f>
        <v>0.24584</v>
      </c>
      <c r="N31" s="81">
        <f>'Capital IQ Sheet-GPC'!T29</f>
        <v>9.7100000000000006E-2</v>
      </c>
      <c r="O31" s="81">
        <f>'Capital IQ Sheet-GPC'!U29</f>
        <v>30.175909999999998</v>
      </c>
      <c r="P31" s="81">
        <f>'Capital IQ Sheet-GPC'!V29</f>
        <v>144.4684</v>
      </c>
      <c r="R31" s="80">
        <f t="shared" si="1"/>
        <v>6013.3960249858028</v>
      </c>
      <c r="S31" s="80">
        <f t="shared" si="2"/>
        <v>1242.938848329773</v>
      </c>
      <c r="T31" s="80" t="str">
        <f t="shared" si="3"/>
        <v>NM</v>
      </c>
      <c r="V31" s="80" t="str">
        <f t="shared" ref="V31:V39" si="12">IFERROR(IF(($C31/L31)&gt;$AC$6, "NM", IF(($C31/L31)&lt;$AE$6, "NM", $C31/L31)),"n/a")</f>
        <v>NM</v>
      </c>
      <c r="W31" s="80" t="str">
        <f t="shared" ref="W31:W39" si="13">IFERROR(IF(($C31/M31)&gt;$AC$6, "NM", IF(($C31/M31)&lt;$AE$6, "NM", $C31/M31)),"n/a")</f>
        <v>NM</v>
      </c>
      <c r="X31" s="80" t="str">
        <f t="shared" si="6"/>
        <v>NM</v>
      </c>
      <c r="Y31" s="80">
        <f t="shared" si="7"/>
        <v>17.546430911279892</v>
      </c>
      <c r="Z31" s="80">
        <f t="shared" si="8"/>
        <v>3.6650196167466378</v>
      </c>
      <c r="AB31" s="311">
        <f>'Capital IQ Sheet-GPC'!J29</f>
        <v>966.48504000000003</v>
      </c>
      <c r="AC31" s="311">
        <f>'Capital IQ Sheet-GPC'!K29</f>
        <v>0</v>
      </c>
      <c r="AD31" s="311" t="str">
        <f>'Capital IQ Sheet-GPC'!L29</f>
        <v>n/a</v>
      </c>
      <c r="AE31" s="311" t="str">
        <f>'Capital IQ Sheet-GPC'!M29</f>
        <v>n/a</v>
      </c>
      <c r="AF31" s="311">
        <f t="shared" si="9"/>
        <v>0</v>
      </c>
      <c r="AG31" s="382">
        <f t="shared" si="10"/>
        <v>966.48504000000003</v>
      </c>
      <c r="AH31" s="311">
        <f>'Capital IQ Sheet-GPC'!N29</f>
        <v>437.00551000000002</v>
      </c>
      <c r="AI31" s="81">
        <f t="shared" si="11"/>
        <v>529.47953000000007</v>
      </c>
      <c r="AK31" s="82" t="str">
        <f>IF('MASTER PubCo Inputs'!C44="","",'MASTER PubCo Inputs'!C44)</f>
        <v>IQ9425271</v>
      </c>
      <c r="AL31" s="310" t="str">
        <f>'Capital IQ Sheet-GPC'!AP29</f>
        <v>Intra-Cellular Therapies, Inc., a biopharmaceutical company, engages in developing novel drugs for the treatment of neuropsychiatric and neurodegenerative diseases. The company is developing its lead drug candidate, lumateperone, known as ITI-007, for the treatment of schizophrenia, bipolar disorder, behavioral disturbances in patients with dementia, and other neuropsychiatric and neurological disorders. Lumateperone, a molecule, is in Phase III clinical development for the treatment of schizophrenia, bipolar depression, and agitation associated with dementia, including Alzheimer's disease. It is also developing ITI-214 for Parkinson’s disease; and ITI-333, for substance use disorders, pain, and psychiatric comorbidities, including depression and anxiety. Intra-Cellular Therapies, Inc. is headquartered in New York, New York.</v>
      </c>
    </row>
    <row r="32" spans="2:38" ht="12.75" customHeight="1">
      <c r="B32" s="310" t="str">
        <f>'Capital IQ Sheet-GPC'!C30</f>
        <v>Viking Therapeutics, Inc.</v>
      </c>
      <c r="C32" s="81">
        <f>'Capital IQ Sheet-GPC'!H30</f>
        <v>491.46026999999998</v>
      </c>
      <c r="H32" s="81" t="str">
        <f>'Capital IQ Sheet-GPC'!O30</f>
        <v>n/a</v>
      </c>
      <c r="I32" s="81" t="str">
        <f>'Capital IQ Sheet-GPC'!P30</f>
        <v>n/a</v>
      </c>
      <c r="J32" s="81" t="str">
        <f>'Capital IQ Sheet-GPC'!Q30</f>
        <v>n/a</v>
      </c>
      <c r="K32" s="311"/>
      <c r="L32" s="81" t="str">
        <f>'Capital IQ Sheet-GPC'!R30</f>
        <v>n/a</v>
      </c>
      <c r="M32" s="81" t="str">
        <f>'Capital IQ Sheet-GPC'!S30</f>
        <v>n/a</v>
      </c>
      <c r="N32" s="81" t="str">
        <f>'Capital IQ Sheet-GPC'!T30</f>
        <v>n/a</v>
      </c>
      <c r="O32" s="81" t="str">
        <f>'Capital IQ Sheet-GPC'!U30</f>
        <v>n/a</v>
      </c>
      <c r="P32" s="81" t="str">
        <f>'Capital IQ Sheet-GPC'!V30</f>
        <v>n/a</v>
      </c>
      <c r="R32" s="80" t="str">
        <f t="shared" si="1"/>
        <v>n/a</v>
      </c>
      <c r="S32" s="80" t="str">
        <f t="shared" si="2"/>
        <v>n/a</v>
      </c>
      <c r="T32" s="80" t="str">
        <f t="shared" si="3"/>
        <v>n/a</v>
      </c>
      <c r="V32" s="80" t="str">
        <f t="shared" si="12"/>
        <v>n/a</v>
      </c>
      <c r="W32" s="80" t="str">
        <f t="shared" si="13"/>
        <v>n/a</v>
      </c>
      <c r="X32" s="80" t="str">
        <f t="shared" si="6"/>
        <v>n/a</v>
      </c>
      <c r="Y32" s="80" t="str">
        <f t="shared" si="7"/>
        <v>n/a</v>
      </c>
      <c r="Z32" s="80" t="str">
        <f t="shared" si="8"/>
        <v>n/a</v>
      </c>
      <c r="AB32" s="311">
        <f>'Capital IQ Sheet-GPC'!J30</f>
        <v>565.20726999999999</v>
      </c>
      <c r="AC32" s="311">
        <f>'Capital IQ Sheet-GPC'!K30</f>
        <v>3.7210000000000001</v>
      </c>
      <c r="AD32" s="311" t="str">
        <f>'Capital IQ Sheet-GPC'!L30</f>
        <v>n/a</v>
      </c>
      <c r="AE32" s="311" t="str">
        <f>'Capital IQ Sheet-GPC'!M30</f>
        <v>n/a</v>
      </c>
      <c r="AF32" s="311">
        <f t="shared" si="9"/>
        <v>3.7210000000000001</v>
      </c>
      <c r="AG32" s="382">
        <f t="shared" si="10"/>
        <v>568.92827</v>
      </c>
      <c r="AH32" s="311">
        <f>'Capital IQ Sheet-GPC'!N30</f>
        <v>77.468000000000004</v>
      </c>
      <c r="AI32" s="81">
        <f t="shared" si="11"/>
        <v>491.46026999999998</v>
      </c>
      <c r="AK32" s="82" t="str">
        <f>IF('MASTER PubCo Inputs'!C45="","",'MASTER PubCo Inputs'!C45)</f>
        <v>IQ246791410</v>
      </c>
      <c r="AL32" s="310" t="str">
        <f>'Capital IQ Sheet-GPC'!AP30</f>
        <v>Viking Therapeutics, Inc., a clinical-stage biopharmaceutical company, focuses on the development of novel therapies for metabolic and endocrine disorders. Its lead clinical program, VK5211, is an orally available, non-steroidal selective androgen receptor modulator in Phase II development for the treatment of patients recovering from non-elective hip fracture surgery; in Phase I clinical trials for improving lean body mass; and in pre-clinical trial for improving bone mineral density, bone mineral content, bone strength, and other measures. The company is also developing VK2809, an orally available, tissue and receptor-subtype selective agonist of the thyroid hormone receptor beta, which is in a Phase II clinical trial for the treatment of patients with hypercholesterolemia and fatty liver disease; and in a Phase I clinical trial to treat patients who suffer from glycogen storage disease type Ia. In addition, it is developing VK0214 for X-linked adrenoleukodystrophy, which is in pre-clinical stage. Viking Therapeutics, Inc. was founded in 2012 and is headquartered in San Diego, California.</v>
      </c>
    </row>
    <row r="33" spans="2:38" ht="12.75" customHeight="1">
      <c r="B33" s="310" t="str">
        <f>'Capital IQ Sheet-GPC'!C31</f>
        <v>Xeris Pharmaceuticals, Inc.</v>
      </c>
      <c r="C33" s="81">
        <f>'Capital IQ Sheet-GPC'!H31</f>
        <v>436.81565999999998</v>
      </c>
      <c r="H33" s="81" t="str">
        <f>'Capital IQ Sheet-GPC'!O31</f>
        <v>n/a</v>
      </c>
      <c r="I33" s="81" t="str">
        <f>'Capital IQ Sheet-GPC'!P31</f>
        <v>n/a</v>
      </c>
      <c r="J33" s="81">
        <f>'Capital IQ Sheet-GPC'!Q31</f>
        <v>1.4650000000000001</v>
      </c>
      <c r="K33" s="311"/>
      <c r="L33" s="81">
        <f>'Capital IQ Sheet-GPC'!R31</f>
        <v>1.075</v>
      </c>
      <c r="M33" s="81">
        <f>'Capital IQ Sheet-GPC'!S31</f>
        <v>1.556</v>
      </c>
      <c r="N33" s="81" t="str">
        <f>'Capital IQ Sheet-GPC'!T31</f>
        <v>n/a</v>
      </c>
      <c r="O33" s="81" t="str">
        <f>'Capital IQ Sheet-GPC'!U31</f>
        <v>n/a</v>
      </c>
      <c r="P33" s="81" t="str">
        <f>'Capital IQ Sheet-GPC'!V31</f>
        <v>n/a</v>
      </c>
      <c r="R33" s="80" t="str">
        <f t="shared" si="1"/>
        <v>n/a</v>
      </c>
      <c r="S33" s="80" t="str">
        <f t="shared" si="2"/>
        <v>n/a</v>
      </c>
      <c r="T33" s="80" t="str">
        <f t="shared" si="3"/>
        <v>NM</v>
      </c>
      <c r="V33" s="80" t="str">
        <f t="shared" si="12"/>
        <v>NM</v>
      </c>
      <c r="W33" s="80" t="str">
        <f t="shared" si="13"/>
        <v>NM</v>
      </c>
      <c r="X33" s="80" t="str">
        <f t="shared" si="6"/>
        <v>n/a</v>
      </c>
      <c r="Y33" s="80" t="str">
        <f t="shared" si="7"/>
        <v>n/a</v>
      </c>
      <c r="Z33" s="80" t="str">
        <f t="shared" si="8"/>
        <v>n/a</v>
      </c>
      <c r="AB33" s="311">
        <f>'Capital IQ Sheet-GPC'!J31</f>
        <v>374.58265999999998</v>
      </c>
      <c r="AC33" s="311">
        <f>'Capital IQ Sheet-GPC'!K31</f>
        <v>18.050999999999998</v>
      </c>
      <c r="AD33" s="311">
        <f>'Capital IQ Sheet-GPC'!L31</f>
        <v>102.292</v>
      </c>
      <c r="AE33" s="311" t="str">
        <f>'Capital IQ Sheet-GPC'!M31</f>
        <v>n/a</v>
      </c>
      <c r="AF33" s="311">
        <f t="shared" si="9"/>
        <v>120.343</v>
      </c>
      <c r="AG33" s="382">
        <f t="shared" si="10"/>
        <v>494.92565999999999</v>
      </c>
      <c r="AH33" s="311">
        <f>'Capital IQ Sheet-GPC'!N31</f>
        <v>58.11</v>
      </c>
      <c r="AI33" s="81">
        <f t="shared" si="11"/>
        <v>436.81565999999998</v>
      </c>
      <c r="AK33" s="82" t="str">
        <f>IF('MASTER PubCo Inputs'!C46="","",'MASTER PubCo Inputs'!C46)</f>
        <v>IQ105901792</v>
      </c>
      <c r="AL33" s="310" t="str">
        <f>'Capital IQ Sheet-GPC'!AP31</f>
        <v>Xeris Pharmaceuticals, Inc., a specialty pharmaceutical company, develops and commercializes ready-to-use injectable and infusible drug formulations. Its proprietary XeriSol and XeriJect formulation technologies allow for the subcutaneous and intramuscular delivery of highly-concentrated, ready-to-use formulations of peptides, proteins, antibodies, and small molecules using commercially available syringes, auto-injectors, multi-dose pens, and infusion pumps. The company’s lead product candidate is glucagon rescue pen, which has completed Phase III clinical trials for the treatment of severe hypoglycemia, a potentially life-threatening condition in people with diabetes. Its product candidates also comprise self-administered glucagon that is in Phase IIa clinical trials for the treatment of post-bariatric hypoglycemia; continuous glucagon, which is in Phase II clinical trials for the treatment of congenital hyperinsulinism; continuous glucagon that is in Phase IIa clinical trials for the treatment of hypoglycemia-associated autonomic failure; self-administered glucagon, which is in Phase IIa clinical trials for the treatment of exercise-induced hypoglycemia; and ready-to-use glucagon that is in Phase II clinical trials for use in a bi-hormonal artificial pancreas closed-loop systems. The company’s preclinical programs include ready-to-use diazepam, a ready-to-use diazepam formulation for the treatment of ARS in patients with epilepsy; and pram-insulin, a ready-to-use fixed dose combination of insulin and pramlintide. It serves patients, caregivers, and health practitioners. The company was founded in 2005 and is based in Chicago, Illinois.</v>
      </c>
    </row>
    <row r="34" spans="2:38" ht="12.75" customHeight="1">
      <c r="B34" s="310" t="str">
        <f>'Capital IQ Sheet-GPC'!C32</f>
        <v>Odonate Therapeutics, Inc.</v>
      </c>
      <c r="C34" s="81">
        <f>'Capital IQ Sheet-GPC'!H32</f>
        <v>398.43880999999999</v>
      </c>
      <c r="H34" s="81" t="str">
        <f>'Capital IQ Sheet-GPC'!O32</f>
        <v>n/a</v>
      </c>
      <c r="I34" s="81" t="str">
        <f>'Capital IQ Sheet-GPC'!P32</f>
        <v>n/a</v>
      </c>
      <c r="J34" s="81" t="str">
        <f>'Capital IQ Sheet-GPC'!Q32</f>
        <v>n/a</v>
      </c>
      <c r="K34" s="311"/>
      <c r="L34" s="81" t="str">
        <f>'Capital IQ Sheet-GPC'!R32</f>
        <v>n/a</v>
      </c>
      <c r="M34" s="81" t="str">
        <f>'Capital IQ Sheet-GPC'!S32</f>
        <v>n/a</v>
      </c>
      <c r="N34" s="81" t="str">
        <f>'Capital IQ Sheet-GPC'!T32</f>
        <v>n/a</v>
      </c>
      <c r="O34" s="81" t="str">
        <f>'Capital IQ Sheet-GPC'!U32</f>
        <v>n/a</v>
      </c>
      <c r="P34" s="81" t="str">
        <f>'Capital IQ Sheet-GPC'!V32</f>
        <v>n/a</v>
      </c>
      <c r="R34" s="80" t="str">
        <f t="shared" si="1"/>
        <v>n/a</v>
      </c>
      <c r="S34" s="80" t="str">
        <f t="shared" si="2"/>
        <v>n/a</v>
      </c>
      <c r="T34" s="80" t="str">
        <f t="shared" si="3"/>
        <v>n/a</v>
      </c>
      <c r="V34" s="80" t="str">
        <f t="shared" si="12"/>
        <v>n/a</v>
      </c>
      <c r="W34" s="80" t="str">
        <f t="shared" si="13"/>
        <v>n/a</v>
      </c>
      <c r="X34" s="80" t="str">
        <f t="shared" si="6"/>
        <v>n/a</v>
      </c>
      <c r="Y34" s="80" t="str">
        <f t="shared" si="7"/>
        <v>n/a</v>
      </c>
      <c r="Z34" s="80" t="str">
        <f t="shared" si="8"/>
        <v>n/a</v>
      </c>
      <c r="AB34" s="311">
        <f>'Capital IQ Sheet-GPC'!J32</f>
        <v>593.68480999999997</v>
      </c>
      <c r="AC34" s="311">
        <f>'Capital IQ Sheet-GPC'!K32</f>
        <v>0</v>
      </c>
      <c r="AD34" s="311" t="str">
        <f>'Capital IQ Sheet-GPC'!L32</f>
        <v>n/a</v>
      </c>
      <c r="AE34" s="311" t="str">
        <f>'Capital IQ Sheet-GPC'!M32</f>
        <v>n/a</v>
      </c>
      <c r="AF34" s="311">
        <f t="shared" si="9"/>
        <v>0</v>
      </c>
      <c r="AG34" s="382">
        <f t="shared" si="10"/>
        <v>593.68480999999997</v>
      </c>
      <c r="AH34" s="311">
        <f>'Capital IQ Sheet-GPC'!N32</f>
        <v>195.24600000000001</v>
      </c>
      <c r="AI34" s="81">
        <f t="shared" si="11"/>
        <v>398.43880999999999</v>
      </c>
      <c r="AK34" s="82" t="str">
        <f>IF('MASTER PubCo Inputs'!C47="","",'MASTER PubCo Inputs'!C47)</f>
        <v>IQ541399578</v>
      </c>
      <c r="AL34" s="310" t="str">
        <f>'Capital IQ Sheet-GPC'!AP32</f>
        <v>Odonate Therapeutics, Inc., a pharmaceutical company, develops therapeutics for the treatment of cancer. It focuses on the development of tesetaxel, an orally administered chemotherapy agent for patients with advanced or metastatic breast cancer (MBC). Odonate Therapeutics, Inc. also conducting a Phase III study in MBC, which is known as CONTESSA. The company was founded in 2013 and is based in San Diego, California.</v>
      </c>
    </row>
    <row r="35" spans="2:38" ht="12.75" customHeight="1">
      <c r="B35" s="310" t="str">
        <f>'Capital IQ Sheet-GPC'!C33</f>
        <v>Nightstar Therapeutics plc</v>
      </c>
      <c r="C35" s="81">
        <f>'Capital IQ Sheet-GPC'!H33</f>
        <v>340.19842</v>
      </c>
      <c r="H35" s="81" t="str">
        <f>'Capital IQ Sheet-GPC'!O33</f>
        <v>n/a</v>
      </c>
      <c r="I35" s="81" t="str">
        <f>'Capital IQ Sheet-GPC'!P33</f>
        <v>n/a</v>
      </c>
      <c r="J35" s="81" t="str">
        <f>'Capital IQ Sheet-GPC'!Q33</f>
        <v>n/a</v>
      </c>
      <c r="K35" s="311"/>
      <c r="L35" s="81" t="str">
        <f>'Capital IQ Sheet-GPC'!R33</f>
        <v>n/a</v>
      </c>
      <c r="M35" s="81" t="str">
        <f>'Capital IQ Sheet-GPC'!S33</f>
        <v>n/a</v>
      </c>
      <c r="N35" s="81" t="str">
        <f>'Capital IQ Sheet-GPC'!T33</f>
        <v>n/a</v>
      </c>
      <c r="O35" s="81" t="str">
        <f>'Capital IQ Sheet-GPC'!U33</f>
        <v>n/a</v>
      </c>
      <c r="P35" s="81">
        <f>'Capital IQ Sheet-GPC'!V33</f>
        <v>0.78983000000000003</v>
      </c>
      <c r="R35" s="80" t="str">
        <f t="shared" si="1"/>
        <v>n/a</v>
      </c>
      <c r="S35" s="80" t="str">
        <f t="shared" si="2"/>
        <v>n/a</v>
      </c>
      <c r="T35" s="80" t="str">
        <f t="shared" si="3"/>
        <v>n/a</v>
      </c>
      <c r="V35" s="80" t="str">
        <f t="shared" si="12"/>
        <v>n/a</v>
      </c>
      <c r="W35" s="80" t="str">
        <f t="shared" si="13"/>
        <v>n/a</v>
      </c>
      <c r="X35" s="80" t="str">
        <f t="shared" si="6"/>
        <v>n/a</v>
      </c>
      <c r="Y35" s="80" t="str">
        <f t="shared" si="7"/>
        <v>n/a</v>
      </c>
      <c r="Z35" s="80" t="str">
        <f t="shared" si="8"/>
        <v>NM</v>
      </c>
      <c r="AB35" s="311">
        <f>'Capital IQ Sheet-GPC'!J33</f>
        <v>462.47541999999999</v>
      </c>
      <c r="AC35" s="311">
        <f>'Capital IQ Sheet-GPC'!K33</f>
        <v>0</v>
      </c>
      <c r="AD35" s="311" t="str">
        <f>'Capital IQ Sheet-GPC'!L33</f>
        <v>n/a</v>
      </c>
      <c r="AE35" s="311" t="str">
        <f>'Capital IQ Sheet-GPC'!M33</f>
        <v>n/a</v>
      </c>
      <c r="AF35" s="311">
        <f t="shared" si="9"/>
        <v>0</v>
      </c>
      <c r="AG35" s="382">
        <f t="shared" si="10"/>
        <v>462.47541999999999</v>
      </c>
      <c r="AH35" s="311">
        <f>'Capital IQ Sheet-GPC'!N33</f>
        <v>122.277</v>
      </c>
      <c r="AI35" s="81">
        <f t="shared" si="11"/>
        <v>340.19842</v>
      </c>
      <c r="AK35" s="82" t="str">
        <f>IF('MASTER PubCo Inputs'!C48="","",'MASTER PubCo Inputs'!C48)</f>
        <v>IQ270062348</v>
      </c>
      <c r="AL35" s="310" t="str">
        <f>'Capital IQ Sheet-GPC'!AP33</f>
        <v>Nightstar Therapeutics plc, a clinical-stage gene therapy company, focuses on developing and commercializing novel one-time treatments for patients suffering from rare inherited retinal diseases in the United Kingdom. The company’s lead product candidate is NSR-REP1, a candidate that is in phase 3 clinical development for the treatment of patients with choroideremia. It is also developing NSR-RPGR, a candidate that is in Phase 1/2 clinical trials for the treatment of patients with X-linked retinitis pigmentosa, an inherited X-linked recessive retinal disease; and NSR-BEST1, a candidate that is in preclinical development stage for the treatment of best vitelliform macular dystrophy. In addition, the company is developing NSR-ABCA4, a candidate that is in preclinical development stage for the treatment of Stargardt disease. The company was founded in 2013 and is headquartered in London, the United Kingdom.</v>
      </c>
    </row>
    <row r="36" spans="2:38" ht="12.75" customHeight="1">
      <c r="B36" s="310" t="str">
        <f>'Capital IQ Sheet-GPC'!C34</f>
        <v>Zafgen, Inc.</v>
      </c>
      <c r="C36" s="81">
        <f>'Capital IQ Sheet-GPC'!H34</f>
        <v>294.85737</v>
      </c>
      <c r="H36" s="81" t="str">
        <f>'Capital IQ Sheet-GPC'!O34</f>
        <v>n/a</v>
      </c>
      <c r="I36" s="81" t="str">
        <f>'Capital IQ Sheet-GPC'!P34</f>
        <v>n/a</v>
      </c>
      <c r="J36" s="81" t="str">
        <f>'Capital IQ Sheet-GPC'!Q34</f>
        <v>n/a</v>
      </c>
      <c r="K36" s="311"/>
      <c r="L36" s="81" t="str">
        <f>'Capital IQ Sheet-GPC'!R34</f>
        <v>n/a</v>
      </c>
      <c r="M36" s="81" t="str">
        <f>'Capital IQ Sheet-GPC'!S34</f>
        <v>n/a</v>
      </c>
      <c r="N36" s="81" t="str">
        <f>'Capital IQ Sheet-GPC'!T34</f>
        <v>n/a</v>
      </c>
      <c r="O36" s="81">
        <f>'Capital IQ Sheet-GPC'!U34</f>
        <v>3.3333300000000001</v>
      </c>
      <c r="P36" s="81" t="str">
        <f>'Capital IQ Sheet-GPC'!V34</f>
        <v>n/a</v>
      </c>
      <c r="R36" s="80" t="str">
        <f t="shared" si="1"/>
        <v>n/a</v>
      </c>
      <c r="S36" s="80" t="str">
        <f t="shared" si="2"/>
        <v>n/a</v>
      </c>
      <c r="T36" s="80" t="str">
        <f t="shared" si="3"/>
        <v>n/a</v>
      </c>
      <c r="V36" s="80" t="str">
        <f t="shared" si="12"/>
        <v>n/a</v>
      </c>
      <c r="W36" s="80" t="str">
        <f t="shared" si="13"/>
        <v>n/a</v>
      </c>
      <c r="X36" s="80" t="str">
        <f t="shared" si="6"/>
        <v>n/a</v>
      </c>
      <c r="Y36" s="80">
        <f t="shared" si="7"/>
        <v>88.457299457299456</v>
      </c>
      <c r="Z36" s="80" t="str">
        <f t="shared" si="8"/>
        <v>n/a</v>
      </c>
      <c r="AB36" s="311">
        <f>'Capital IQ Sheet-GPC'!J34</f>
        <v>363.76737000000003</v>
      </c>
      <c r="AC36" s="311">
        <f>'Capital IQ Sheet-GPC'!K34</f>
        <v>20.16</v>
      </c>
      <c r="AD36" s="311" t="str">
        <f>'Capital IQ Sheet-GPC'!L34</f>
        <v>n/a</v>
      </c>
      <c r="AE36" s="311" t="str">
        <f>'Capital IQ Sheet-GPC'!M34</f>
        <v>n/a</v>
      </c>
      <c r="AF36" s="311">
        <f t="shared" si="9"/>
        <v>20.16</v>
      </c>
      <c r="AG36" s="382">
        <f t="shared" si="10"/>
        <v>383.92737000000005</v>
      </c>
      <c r="AH36" s="311">
        <f>'Capital IQ Sheet-GPC'!N34</f>
        <v>89.07</v>
      </c>
      <c r="AI36" s="81">
        <f t="shared" si="11"/>
        <v>294.85737000000006</v>
      </c>
      <c r="AK36" s="82" t="str">
        <f>IF('MASTER PubCo Inputs'!C49="","",'MASTER PubCo Inputs'!C49)</f>
        <v>IQ29016215</v>
      </c>
      <c r="AL36" s="310" t="str">
        <f>'Capital IQ Sheet-GPC'!AP34</f>
        <v>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v>
      </c>
    </row>
    <row r="37" spans="2:38" ht="12.75" customHeight="1">
      <c r="B37" s="310" t="str">
        <f>'Capital IQ Sheet-GPC'!C35</f>
        <v>MediciNova, Inc.</v>
      </c>
      <c r="C37" s="81">
        <f>'Capital IQ Sheet-GPC'!H35</f>
        <v>264.44821999999999</v>
      </c>
      <c r="H37" s="81" t="str">
        <f>'Capital IQ Sheet-GPC'!O35</f>
        <v>n/a</v>
      </c>
      <c r="I37" s="81" t="str">
        <f>'Capital IQ Sheet-GPC'!P35</f>
        <v>n/a</v>
      </c>
      <c r="J37" s="81" t="str">
        <f>'Capital IQ Sheet-GPC'!Q35</f>
        <v>n/a</v>
      </c>
      <c r="K37" s="311"/>
      <c r="L37" s="81" t="str">
        <f>'Capital IQ Sheet-GPC'!R35</f>
        <v>n/a</v>
      </c>
      <c r="M37" s="81" t="str">
        <f>'Capital IQ Sheet-GPC'!S35</f>
        <v>n/a</v>
      </c>
      <c r="N37" s="81" t="str">
        <f>'Capital IQ Sheet-GPC'!T35</f>
        <v>n/a</v>
      </c>
      <c r="O37" s="81" t="str">
        <f>'Capital IQ Sheet-GPC'!U35</f>
        <v>n/a</v>
      </c>
      <c r="P37" s="81" t="str">
        <f>'Capital IQ Sheet-GPC'!V35</f>
        <v>n/a</v>
      </c>
      <c r="R37" s="80" t="str">
        <f t="shared" si="1"/>
        <v>n/a</v>
      </c>
      <c r="S37" s="80" t="str">
        <f t="shared" si="2"/>
        <v>n/a</v>
      </c>
      <c r="T37" s="80" t="str">
        <f t="shared" si="3"/>
        <v>n/a</v>
      </c>
      <c r="V37" s="80" t="str">
        <f t="shared" si="12"/>
        <v>n/a</v>
      </c>
      <c r="W37" s="80" t="str">
        <f t="shared" si="13"/>
        <v>n/a</v>
      </c>
      <c r="X37" s="80" t="str">
        <f t="shared" si="6"/>
        <v>n/a</v>
      </c>
      <c r="Y37" s="80" t="str">
        <f t="shared" si="7"/>
        <v>n/a</v>
      </c>
      <c r="Z37" s="80" t="str">
        <f t="shared" si="8"/>
        <v>n/a</v>
      </c>
      <c r="AB37" s="311">
        <f>'Capital IQ Sheet-GPC'!J35</f>
        <v>327.38742000000002</v>
      </c>
      <c r="AC37" s="311">
        <f>'Capital IQ Sheet-GPC'!K35</f>
        <v>0</v>
      </c>
      <c r="AD37" s="311" t="str">
        <f>'Capital IQ Sheet-GPC'!L35</f>
        <v>n/a</v>
      </c>
      <c r="AE37" s="311" t="str">
        <f>'Capital IQ Sheet-GPC'!M35</f>
        <v>n/a</v>
      </c>
      <c r="AF37" s="311">
        <f t="shared" si="9"/>
        <v>0</v>
      </c>
      <c r="AG37" s="382">
        <f t="shared" si="10"/>
        <v>327.38742000000002</v>
      </c>
      <c r="AH37" s="311">
        <f>'Capital IQ Sheet-GPC'!N35</f>
        <v>62.9392</v>
      </c>
      <c r="AI37" s="81">
        <f t="shared" si="11"/>
        <v>264.44821999999999</v>
      </c>
      <c r="AK37" s="82" t="str">
        <f>IF('MASTER PubCo Inputs'!C50="","",'MASTER PubCo Inputs'!C50)</f>
        <v>IQ9262264</v>
      </c>
      <c r="AL37" s="310" t="str">
        <f>'Capital IQ Sheet-GPC'!AP35</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38" spans="2:38" ht="12.75" customHeight="1">
      <c r="B38" s="310" t="str">
        <f>'Capital IQ Sheet-GPC'!C36</f>
        <v>AVEO Pharmaceuticals, Inc.</v>
      </c>
      <c r="C38" s="81">
        <f>'Capital IQ Sheet-GPC'!H36</f>
        <v>260.23347999999999</v>
      </c>
      <c r="H38" s="81">
        <f>'Capital IQ Sheet-GPC'!O36</f>
        <v>20.093</v>
      </c>
      <c r="I38" s="81">
        <f>'Capital IQ Sheet-GPC'!P36</f>
        <v>3.8439999999999999</v>
      </c>
      <c r="J38" s="81">
        <f>'Capital IQ Sheet-GPC'!Q36</f>
        <v>6.0730000000000004</v>
      </c>
      <c r="K38" s="311"/>
      <c r="L38" s="81">
        <f>'Capital IQ Sheet-GPC'!R36</f>
        <v>2.5150000000000001</v>
      </c>
      <c r="M38" s="81">
        <f>'Capital IQ Sheet-GPC'!S36</f>
        <v>7.5789999999999997</v>
      </c>
      <c r="N38" s="81">
        <f>'Capital IQ Sheet-GPC'!T36</f>
        <v>6.1336700000000004</v>
      </c>
      <c r="O38" s="81">
        <f>'Capital IQ Sheet-GPC'!U36</f>
        <v>19.423500000000001</v>
      </c>
      <c r="P38" s="81">
        <f>'Capital IQ Sheet-GPC'!V36</f>
        <v>71.5</v>
      </c>
      <c r="R38" s="80">
        <f t="shared" si="1"/>
        <v>12.951449758622406</v>
      </c>
      <c r="S38" s="80">
        <f t="shared" si="2"/>
        <v>67.698616024973987</v>
      </c>
      <c r="T38" s="80">
        <f t="shared" si="3"/>
        <v>42.850894121521485</v>
      </c>
      <c r="V38" s="80" t="str">
        <f t="shared" si="12"/>
        <v>NM</v>
      </c>
      <c r="W38" s="80">
        <f t="shared" si="13"/>
        <v>34.336123499142367</v>
      </c>
      <c r="X38" s="80">
        <f t="shared" si="6"/>
        <v>42.427042863408033</v>
      </c>
      <c r="Y38" s="80">
        <f t="shared" si="7"/>
        <v>13.397867531598321</v>
      </c>
      <c r="Z38" s="80">
        <f t="shared" si="8"/>
        <v>3.6396290909090907</v>
      </c>
      <c r="AB38" s="311">
        <f>'Capital IQ Sheet-GPC'!J36</f>
        <v>268.64048000000003</v>
      </c>
      <c r="AC38" s="311">
        <f>'Capital IQ Sheet-GPC'!K36</f>
        <v>18.588000000000001</v>
      </c>
      <c r="AD38" s="311" t="str">
        <f>'Capital IQ Sheet-GPC'!L36</f>
        <v>n/a</v>
      </c>
      <c r="AE38" s="311" t="str">
        <f>'Capital IQ Sheet-GPC'!M36</f>
        <v>n/a</v>
      </c>
      <c r="AF38" s="311">
        <f t="shared" si="9"/>
        <v>18.588000000000001</v>
      </c>
      <c r="AG38" s="382">
        <f t="shared" si="10"/>
        <v>287.22848000000005</v>
      </c>
      <c r="AH38" s="311">
        <f>'Capital IQ Sheet-GPC'!N36</f>
        <v>26.995000000000001</v>
      </c>
      <c r="AI38" s="81">
        <f t="shared" si="11"/>
        <v>260.23348000000004</v>
      </c>
      <c r="AK38" s="82" t="str">
        <f>IF('MASTER PubCo Inputs'!C51="","",'MASTER PubCo Inputs'!C51)</f>
        <v>IQ1906420</v>
      </c>
      <c r="AL38" s="310" t="str">
        <f>'Capital IQ Sheet-GPC'!AP36</f>
        <v>AVEO Pharmaceuticals, Inc., a biopharmaceutical company, develops and commercializes a portfolio of targeted medicines for oncology and other areas of unmet medical need. It markets its lead candidate, tivozanib, an oral, once-daily, vascular endothelial growth factor receptor tyrosine kinase inhibitor, which is used for the treatment of renal cell carcinoma (RCC). The company has also completed a Phase 3 TIVO-3 trial of tivozanib for the treatment of advanced RCC; and initiated enrollment in a phase Ib/II clinical trial of tivozanib in combination with Opdivo (nivolumab), an immune checkpoint (PD-1) inhibitor, for the treatment of advanced RCC. In addition, it is developing Ficlatuzumab, a potent hepatocyte growth factor inhibitory antibody, in Phase I and Phase II clinical trials in squamous cell carcinoma of the head and neck, metastatic pancreatic ductal cancer, and acute myeloid leukemia; and AV-203, a potent anti-ErbB3 specific monoclonal antibody, which has completed Phase I clinical trial for treating esophageal cancer. The company’s preclinical stage products include AV-380, a potent humanized IgG1 inhibitory monoclonal antibody for the treatment or prevention of cachexia; and AV-353 for the treatment of pulmonary arterial hypertension. It has strategic partnerships with CANbridge Life Sciences Ltd.; EUSA Pharma (UK) Limited; Novartis International Pharmaceutical Ltd.; Biodesix, Inc.; St. Vincent’s Hospital Sydney Limited; Biogen Idec; and Kyowa Hakko Kirin Co., Ltd. The company was formerly known as GenPath Pharmaceuticals, Inc. and changed its name to AVEO Pharmaceuticals, Inc. in March 2005. AVEO Pharmaceuticals, Inc. was incorporated in 2001 and is based in Cambridge, Massachusetts.</v>
      </c>
    </row>
    <row r="39" spans="2:38" ht="12.75" customHeight="1">
      <c r="B39" s="310" t="str">
        <f>'Capital IQ Sheet-GPC'!C37</f>
        <v>BioTime, Inc.</v>
      </c>
      <c r="C39" s="81">
        <f>'Capital IQ Sheet-GPC'!H37</f>
        <v>233.89886999999999</v>
      </c>
      <c r="H39" s="81">
        <f>'Capital IQ Sheet-GPC'!O37</f>
        <v>7.8449999999999998</v>
      </c>
      <c r="I39" s="81">
        <f>'Capital IQ Sheet-GPC'!P37</f>
        <v>4.24</v>
      </c>
      <c r="J39" s="81">
        <f>'Capital IQ Sheet-GPC'!Q37</f>
        <v>3.7690000000000001</v>
      </c>
      <c r="K39" s="311"/>
      <c r="L39" s="81">
        <f>'Capital IQ Sheet-GPC'!R37</f>
        <v>5.923</v>
      </c>
      <c r="M39" s="81">
        <f>'Capital IQ Sheet-GPC'!S37</f>
        <v>3.4580000000000002</v>
      </c>
      <c r="N39" s="81">
        <f>'Capital IQ Sheet-GPC'!T37</f>
        <v>2.3733300000000002</v>
      </c>
      <c r="O39" s="81">
        <f>'Capital IQ Sheet-GPC'!U37</f>
        <v>6.3353299999999999</v>
      </c>
      <c r="P39" s="81">
        <f>'Capital IQ Sheet-GPC'!V37</f>
        <v>8.0020000000000007</v>
      </c>
      <c r="R39" s="80">
        <f t="shared" si="1"/>
        <v>29.815024856596558</v>
      </c>
      <c r="S39" s="80">
        <f t="shared" si="2"/>
        <v>55.164827830188671</v>
      </c>
      <c r="T39" s="80">
        <f t="shared" si="3"/>
        <v>62.058601751127618</v>
      </c>
      <c r="V39" s="80">
        <f t="shared" si="12"/>
        <v>39.489932466655411</v>
      </c>
      <c r="W39" s="80">
        <f t="shared" si="13"/>
        <v>67.63992770387506</v>
      </c>
      <c r="X39" s="80">
        <f t="shared" si="6"/>
        <v>98.553033080102622</v>
      </c>
      <c r="Y39" s="80">
        <f t="shared" si="7"/>
        <v>36.919761085847142</v>
      </c>
      <c r="Z39" s="80">
        <f t="shared" si="8"/>
        <v>29.230051237190697</v>
      </c>
      <c r="AB39" s="311">
        <f>'Capital IQ Sheet-GPC'!J37</f>
        <v>261.35887000000002</v>
      </c>
      <c r="AC39" s="311">
        <f>'Capital IQ Sheet-GPC'!K37</f>
        <v>1.4319999999999999</v>
      </c>
      <c r="AD39" s="311" t="str">
        <f>'Capital IQ Sheet-GPC'!L37</f>
        <v>n/a</v>
      </c>
      <c r="AE39" s="311">
        <f>'Capital IQ Sheet-GPC'!M37</f>
        <v>2.4870000000000001</v>
      </c>
      <c r="AF39" s="311">
        <f t="shared" si="9"/>
        <v>3.919</v>
      </c>
      <c r="AG39" s="382">
        <f t="shared" si="10"/>
        <v>265.27787000000006</v>
      </c>
      <c r="AH39" s="311">
        <f>'Capital IQ Sheet-GPC'!N37</f>
        <v>31.379000000000001</v>
      </c>
      <c r="AI39" s="81">
        <f t="shared" si="11"/>
        <v>233.89887000000007</v>
      </c>
      <c r="AK39" s="82" t="str">
        <f>IF('MASTER PubCo Inputs'!C52="","",'MASTER PubCo Inputs'!C52)</f>
        <v>IQ25622</v>
      </c>
      <c r="AL39" s="310" t="str">
        <f>'Capital IQ Sheet-GPC'!AP37</f>
        <v>BioTime, Inc., a clinical-stage biotechnology company, focuses on developing and commercializing products addressing degenerative diseases based on pluripotent stem cells and HyStem cell/drug delivery platform technologies primarily in the United States and Israel. The company’s lead product candidates include OpRegen, a retinal pigment epithelium cell replacement therapy, which is in Phase I/IIa multicenter trial for the treatment of the dry age-related macular degeneration; and Renevia, a facial aesthetics product that is in pivotal clinical trial for the treatment of HIV-associated facial lipoatrophy. It also develops Premvia, a HyStem hydrogel formulation for use in the treatment of age-related facial lipoatrophy, as well as for the management of wounds, including partial and full-thickness wounds, ulcers, tunneled/undermined wounds, surgical wounds, and burns; and ReGlyde, a HyStem product in preclinical development as a device for viscosupplementation, and as a platform for intraarticular drug delivery in osteoarthritis. In addition, the company through its subsidiary, AgeX Therapeutics, Inc., develops AGEX-BAT1 that consists of pluripotent stem cell-derived brown adipocytes for the treatment of type 2 diabetes; AGEX-VASC1, which consists of vascular progenitors targeting cardiac ischemia; and induced tissue regeneration, a systemic therapy for inducing the scar less regeneration of tissues. Further, it markets GeneCards, a human gene database; MalaCards, a human disease database; and Hextend, a plasma volume expander used to treat or prevent hypovolemia, including albumin, generic 6% hetastarch solutions, and crystalloid solutions. BioTime, Inc. was founded in 1990 and is based in Alameda, California.</v>
      </c>
    </row>
    <row r="40" spans="2:38" ht="12.75" customHeight="1">
      <c r="B40" s="310" t="str">
        <f>'Capital IQ Sheet-GPC'!C38</f>
        <v>Cytokinetics, Incorporated</v>
      </c>
      <c r="C40" s="81">
        <f>'Capital IQ Sheet-GPC'!H38</f>
        <v>230.33963</v>
      </c>
      <c r="H40" s="81">
        <f>'Capital IQ Sheet-GPC'!O38</f>
        <v>32.664999999999999</v>
      </c>
      <c r="I40" s="81">
        <f>'Capital IQ Sheet-GPC'!P38</f>
        <v>102.139</v>
      </c>
      <c r="J40" s="81">
        <f>'Capital IQ Sheet-GPC'!Q38</f>
        <v>14.483000000000001</v>
      </c>
      <c r="K40" s="311"/>
      <c r="L40" s="81">
        <f>'Capital IQ Sheet-GPC'!R38</f>
        <v>106.407</v>
      </c>
      <c r="M40" s="81">
        <f>'Capital IQ Sheet-GPC'!S38</f>
        <v>13.368</v>
      </c>
      <c r="N40" s="81">
        <f>'Capital IQ Sheet-GPC'!T38</f>
        <v>22.119420000000002</v>
      </c>
      <c r="O40" s="81">
        <f>'Capital IQ Sheet-GPC'!U38</f>
        <v>22.95</v>
      </c>
      <c r="P40" s="81">
        <f>'Capital IQ Sheet-GPC'!V38</f>
        <v>35.9</v>
      </c>
      <c r="R40" s="80">
        <f t="shared" ref="R40:S47" si="14">IF(ISERROR($C40/H40), "n/a", $C40/H40)</f>
        <v>7.0515729373947655</v>
      </c>
      <c r="S40" s="80">
        <f t="shared" si="14"/>
        <v>2.2551584605292789</v>
      </c>
      <c r="T40" s="80">
        <f t="shared" ref="T40:T47" si="15">IFERROR(IF(($C40/J40)&gt;$AC$6, "NM", IF(($C40/J40)&lt;$AE$6, "NM", $C40/J40)),"n/a")</f>
        <v>15.904137954843609</v>
      </c>
      <c r="V40" s="80">
        <f t="shared" ref="V40:Z47" si="16">IFERROR(IF(($C40/L40)&gt;$AC$6, "NM", IF(($C40/L40)&lt;$AE$6, "NM", $C40/L40)),"n/a")</f>
        <v>2.1647037318973377</v>
      </c>
      <c r="W40" s="80">
        <f t="shared" si="16"/>
        <v>17.230672501496109</v>
      </c>
      <c r="X40" s="80">
        <f t="shared" si="16"/>
        <v>10.413457043629533</v>
      </c>
      <c r="Y40" s="80">
        <f t="shared" si="16"/>
        <v>10.036585185185185</v>
      </c>
      <c r="Z40" s="80">
        <f t="shared" si="16"/>
        <v>6.4161456824512539</v>
      </c>
      <c r="AB40" s="311">
        <f>'Capital IQ Sheet-GPC'!J38</f>
        <v>449.83963</v>
      </c>
      <c r="AC40" s="311">
        <f>'Capital IQ Sheet-GPC'!K38</f>
        <v>31.954000000000001</v>
      </c>
      <c r="AD40" s="311" t="str">
        <f>'Capital IQ Sheet-GPC'!L38</f>
        <v>n/a</v>
      </c>
      <c r="AE40" s="311" t="str">
        <f>'Capital IQ Sheet-GPC'!M38</f>
        <v>n/a</v>
      </c>
      <c r="AF40" s="311">
        <f t="shared" ref="AF40:AF47" si="17">SUM(AC40:AE40)</f>
        <v>31.954000000000001</v>
      </c>
      <c r="AG40" s="382">
        <f t="shared" ref="AG40:AG47" si="18">SUM(AB40:AE40)</f>
        <v>481.79363000000001</v>
      </c>
      <c r="AH40" s="311">
        <f>'Capital IQ Sheet-GPC'!N38</f>
        <v>251.45400000000001</v>
      </c>
      <c r="AI40" s="81">
        <f t="shared" ref="AI40:AI47" si="19">IF(ISERROR(AG40-AH40), "n/a", AG40-AH40)</f>
        <v>230.33963</v>
      </c>
      <c r="AK40" s="82" t="str">
        <f>IF('MASTER PubCo Inputs'!C53="","",'MASTER PubCo Inputs'!C53)</f>
        <v>IQ27315</v>
      </c>
      <c r="AL40" s="310" t="str">
        <f>'Capital IQ Sheet-GPC'!AP38</f>
        <v>Cytokinetics, Incorporated, a late-stage biopharmaceutical company, focuses on discovering, developing, and commercializing muscle activators as potential treatments for debilitating diseases in which muscle performance is compromised and/or declining. It is developing small molecule drug candidates primarily engineered to increase muscle function and contractility. The company’s drug candidates include omecamtiv mecarbil, a novel cardiac myosin activator that is in phase III clinical trials in patients with heart failure; and reldesemtiv, a fast skeletal muscle activator, which is in two phase II clinical trials in patients with spinal muscular atrophy and amyotrophic lateral sclerosis. It also develops reldesemtiv that is in phase II clinical trials in patients with chronic obstructive pulmonary disease, as well as in phase Ib clinical trials in elderly subjects with limited mobility. The company has strategic alliances with Astellas Pharma Inc. and Amgen Inc. The company was founded in 1997 and is headquartered in South San Francisco, California.</v>
      </c>
    </row>
    <row r="41" spans="2:38" ht="12.75" customHeight="1">
      <c r="B41" s="310" t="str">
        <f>'Capital IQ Sheet-GPC'!C39</f>
        <v>Emisphere Technologies, Inc.</v>
      </c>
      <c r="C41" s="81">
        <f>'Capital IQ Sheet-GPC'!H39</f>
        <v>209.49594999999999</v>
      </c>
      <c r="H41" s="81">
        <f>'Capital IQ Sheet-GPC'!O39</f>
        <v>6.0000000000000001E-3</v>
      </c>
      <c r="I41" s="81">
        <f>'Capital IQ Sheet-GPC'!P39</f>
        <v>0.77800000000000002</v>
      </c>
      <c r="J41" s="81">
        <f>'Capital IQ Sheet-GPC'!Q39</f>
        <v>1.044</v>
      </c>
      <c r="K41" s="311"/>
      <c r="L41" s="81">
        <f>'Capital IQ Sheet-GPC'!R39</f>
        <v>1.1950000000000001</v>
      </c>
      <c r="M41" s="81" t="str">
        <f>'Capital IQ Sheet-GPC'!S39</f>
        <v>n/a</v>
      </c>
      <c r="N41" s="81" t="str">
        <f>'Capital IQ Sheet-GPC'!T39</f>
        <v>n/a</v>
      </c>
      <c r="O41" s="81" t="str">
        <f>'Capital IQ Sheet-GPC'!U39</f>
        <v>n/a</v>
      </c>
      <c r="P41" s="81" t="str">
        <f>'Capital IQ Sheet-GPC'!V39</f>
        <v>n/a</v>
      </c>
      <c r="R41" s="80">
        <f t="shared" si="14"/>
        <v>34915.991666666661</v>
      </c>
      <c r="S41" s="80">
        <f t="shared" si="14"/>
        <v>269.27499999999998</v>
      </c>
      <c r="T41" s="80" t="str">
        <f t="shared" si="15"/>
        <v>NM</v>
      </c>
      <c r="V41" s="80" t="str">
        <f t="shared" si="16"/>
        <v>NM</v>
      </c>
      <c r="W41" s="80" t="str">
        <f t="shared" si="16"/>
        <v>n/a</v>
      </c>
      <c r="X41" s="80" t="str">
        <f t="shared" si="16"/>
        <v>n/a</v>
      </c>
      <c r="Y41" s="80" t="str">
        <f t="shared" si="16"/>
        <v>n/a</v>
      </c>
      <c r="Z41" s="80" t="str">
        <f t="shared" si="16"/>
        <v>n/a</v>
      </c>
      <c r="AB41" s="311">
        <f>'Capital IQ Sheet-GPC'!J39</f>
        <v>146.04595</v>
      </c>
      <c r="AC41" s="311">
        <f>'Capital IQ Sheet-GPC'!K39</f>
        <v>68.088999999999999</v>
      </c>
      <c r="AD41" s="311" t="str">
        <f>'Capital IQ Sheet-GPC'!L39</f>
        <v>n/a</v>
      </c>
      <c r="AE41" s="311" t="str">
        <f>'Capital IQ Sheet-GPC'!M39</f>
        <v>n/a</v>
      </c>
      <c r="AF41" s="311">
        <f t="shared" si="17"/>
        <v>68.088999999999999</v>
      </c>
      <c r="AG41" s="382">
        <f t="shared" si="18"/>
        <v>214.13495</v>
      </c>
      <c r="AH41" s="311">
        <f>'Capital IQ Sheet-GPC'!N39</f>
        <v>4.6390000000000002</v>
      </c>
      <c r="AI41" s="81">
        <f t="shared" si="19"/>
        <v>209.49594999999999</v>
      </c>
      <c r="AK41" s="82" t="str">
        <f>IF('MASTER PubCo Inputs'!C54="","",'MASTER PubCo Inputs'!C54)</f>
        <v>IQ261438</v>
      </c>
      <c r="AL41" s="310" t="str">
        <f>'Capital IQ Sheet-GPC'!AP39</f>
        <v>Emisphere Technologies, Inc. operates as a commercial stage pharmaceutical and drug delivery company in the United States. The company offers oral Eligen B12 Rx, an oral formulation prescription medical food for use by B12 deficient individuals. It is also developing GLP-1, which is in Phase III clinical trial for the treatment of type 2 diabetes and related conditions. The company’s preclinical programs focus on the development of oral formulations for the treatment of diabetes; and products in the areas of cardiovascular, appetite suppression, and pain, as well as in the development and expansion of nutritional supplement products. It has license agreements with Novo Nordisk A/S to develop and commercialize oral formulations of GLP-1 receptor agonists in combination with Emisphere carriers, as well as to develop and commercialize oral formulations of Novo Nordisk’s insulin using the company’s Eligen Technology. The company was formerly known as Clinical Technologies Associates, Inc. and changed its name to Emisphere Technologies, Inc. in 1991. Emisphere Technologies, Inc. was founded in 1986 and is based in Roseland, New Jersey.</v>
      </c>
    </row>
    <row r="42" spans="2:38" ht="12.75" customHeight="1">
      <c r="B42" s="310" t="str">
        <f>'Capital IQ Sheet-GPC'!C40</f>
        <v>CohBar, Inc.</v>
      </c>
      <c r="C42" s="81">
        <f>'Capital IQ Sheet-GPC'!H40</f>
        <v>204.76295999999999</v>
      </c>
      <c r="H42" s="81" t="str">
        <f>'Capital IQ Sheet-GPC'!O40</f>
        <v>n/a</v>
      </c>
      <c r="I42" s="81" t="str">
        <f>'Capital IQ Sheet-GPC'!P40</f>
        <v>n/a</v>
      </c>
      <c r="J42" s="81" t="str">
        <f>'Capital IQ Sheet-GPC'!Q40</f>
        <v>n/a</v>
      </c>
      <c r="K42" s="311"/>
      <c r="L42" s="81" t="str">
        <f>'Capital IQ Sheet-GPC'!R40</f>
        <v>n/a</v>
      </c>
      <c r="M42" s="81" t="str">
        <f>'Capital IQ Sheet-GPC'!S40</f>
        <v>n/a</v>
      </c>
      <c r="N42" s="81" t="str">
        <f>'Capital IQ Sheet-GPC'!T40</f>
        <v>n/a</v>
      </c>
      <c r="O42" s="81" t="str">
        <f>'Capital IQ Sheet-GPC'!U40</f>
        <v>n/a</v>
      </c>
      <c r="P42" s="81" t="str">
        <f>'Capital IQ Sheet-GPC'!V40</f>
        <v>n/a</v>
      </c>
      <c r="R42" s="80" t="str">
        <f t="shared" si="14"/>
        <v>n/a</v>
      </c>
      <c r="S42" s="80" t="str">
        <f t="shared" si="14"/>
        <v>n/a</v>
      </c>
      <c r="T42" s="80" t="str">
        <f t="shared" si="15"/>
        <v>n/a</v>
      </c>
      <c r="V42" s="80" t="str">
        <f t="shared" si="16"/>
        <v>n/a</v>
      </c>
      <c r="W42" s="80" t="str">
        <f t="shared" si="16"/>
        <v>n/a</v>
      </c>
      <c r="X42" s="80" t="str">
        <f t="shared" si="16"/>
        <v>n/a</v>
      </c>
      <c r="Y42" s="80" t="str">
        <f t="shared" si="16"/>
        <v>n/a</v>
      </c>
      <c r="Z42" s="80" t="str">
        <f t="shared" si="16"/>
        <v>n/a</v>
      </c>
      <c r="AB42" s="311">
        <f>'Capital IQ Sheet-GPC'!J40</f>
        <v>199.81565000000001</v>
      </c>
      <c r="AC42" s="311">
        <f>'Capital IQ Sheet-GPC'!K40</f>
        <v>1.40126</v>
      </c>
      <c r="AD42" s="311" t="str">
        <f>'Capital IQ Sheet-GPC'!L40</f>
        <v>n/a</v>
      </c>
      <c r="AE42" s="311" t="str">
        <f>'Capital IQ Sheet-GPC'!M40</f>
        <v>n/a</v>
      </c>
      <c r="AF42" s="311">
        <f t="shared" si="17"/>
        <v>1.40126</v>
      </c>
      <c r="AG42" s="382">
        <f t="shared" si="18"/>
        <v>201.21691000000001</v>
      </c>
      <c r="AH42" s="311">
        <f>'Capital IQ Sheet-GPC'!N40</f>
        <v>8.4566599999999994</v>
      </c>
      <c r="AI42" s="81">
        <f t="shared" si="19"/>
        <v>192.76025000000001</v>
      </c>
      <c r="AK42" s="82" t="str">
        <f>IF('MASTER PubCo Inputs'!C55="","",'MASTER PubCo Inputs'!C55)</f>
        <v>IQ134282175</v>
      </c>
      <c r="AL42" s="310" t="str">
        <f>'Capital IQ Sheet-GPC'!AP40</f>
        <v>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v>
      </c>
    </row>
    <row r="43" spans="2:38" ht="12.75" customHeight="1">
      <c r="B43" s="310" t="str">
        <f>'Capital IQ Sheet-GPC'!C41</f>
        <v>vTv Therapeutics Inc.</v>
      </c>
      <c r="C43" s="81">
        <f>'Capital IQ Sheet-GPC'!H41</f>
        <v>148.21010999999999</v>
      </c>
      <c r="H43" s="81">
        <f>'Capital IQ Sheet-GPC'!O41</f>
        <v>0.84499999999999997</v>
      </c>
      <c r="I43" s="81">
        <f>'Capital IQ Sheet-GPC'!P41</f>
        <v>0.28799999999999998</v>
      </c>
      <c r="J43" s="81">
        <f>'Capital IQ Sheet-GPC'!Q41</f>
        <v>2.3250000000000002</v>
      </c>
      <c r="K43" s="311"/>
      <c r="L43" s="81">
        <f>'Capital IQ Sheet-GPC'!R41</f>
        <v>0.63400000000000001</v>
      </c>
      <c r="M43" s="81">
        <f>'Capital IQ Sheet-GPC'!S41</f>
        <v>0.29099999999999998</v>
      </c>
      <c r="N43" s="81">
        <f>'Capital IQ Sheet-GPC'!T41</f>
        <v>5.4130000000000003</v>
      </c>
      <c r="O43" s="81">
        <f>'Capital IQ Sheet-GPC'!U41</f>
        <v>3.4</v>
      </c>
      <c r="P43" s="81">
        <f>'Capital IQ Sheet-GPC'!V41</f>
        <v>0.2</v>
      </c>
      <c r="R43" s="80">
        <f t="shared" si="14"/>
        <v>175.39657988165681</v>
      </c>
      <c r="S43" s="80">
        <f t="shared" si="14"/>
        <v>514.61843750000003</v>
      </c>
      <c r="T43" s="80">
        <f t="shared" si="15"/>
        <v>63.74628387096773</v>
      </c>
      <c r="V43" s="80" t="str">
        <f t="shared" si="16"/>
        <v>NM</v>
      </c>
      <c r="W43" s="80" t="str">
        <f t="shared" si="16"/>
        <v>NM</v>
      </c>
      <c r="X43" s="80">
        <f t="shared" si="16"/>
        <v>27.380400886754106</v>
      </c>
      <c r="Y43" s="80">
        <f t="shared" si="16"/>
        <v>43.591208823529406</v>
      </c>
      <c r="Z43" s="80" t="str">
        <f t="shared" si="16"/>
        <v>NM</v>
      </c>
      <c r="AB43" s="311">
        <f>'Capital IQ Sheet-GPC'!J41</f>
        <v>16.74211</v>
      </c>
      <c r="AC43" s="311">
        <f>'Capital IQ Sheet-GPC'!K41</f>
        <v>19.861999999999998</v>
      </c>
      <c r="AD43" s="311" t="str">
        <f>'Capital IQ Sheet-GPC'!L41</f>
        <v>n/a</v>
      </c>
      <c r="AE43" s="311">
        <f>'Capital IQ Sheet-GPC'!M41</f>
        <v>120.39700000000001</v>
      </c>
      <c r="AF43" s="311">
        <f t="shared" si="17"/>
        <v>140.25900000000001</v>
      </c>
      <c r="AG43" s="382">
        <f t="shared" si="18"/>
        <v>157.00111000000001</v>
      </c>
      <c r="AH43" s="311">
        <f>'Capital IQ Sheet-GPC'!N41</f>
        <v>6.5350000000000001</v>
      </c>
      <c r="AI43" s="81">
        <f t="shared" si="19"/>
        <v>150.46611000000001</v>
      </c>
      <c r="AK43" s="82" t="str">
        <f>IF('MASTER PubCo Inputs'!C56="","",'MASTER PubCo Inputs'!C56)</f>
        <v>IQ304063261</v>
      </c>
      <c r="AL43" s="310" t="str">
        <f>'Capital IQ Sheet-GPC'!AP41</f>
        <v>vTv Therapeutics Inc., a clinical-stage biopharmaceutical company, discovers, develops, and sells orally administered small molecule drug candidates worldwide. The company’s drug candidates comprise azeliragon (TTP488), an orally administered, small molecule antagonist targeting the receptor for advanced glycation endproducts, which is in Phase III clinical trials for the treatment of Alzheimer’s disease. Its drug candidates also include TTP399, an orally administered, liver-selective glucokinase activator that has completed Phase 2b clinical trials for the treatment of type 2 diabetes, as well as initiated Phase 1b/2 clinical trials for the treatment of type 1 diabetes; and TTP273, an orally administered, non-peptide agonist that targets the glucagon-like peptide-1 receptor, which has completed Phase II clinical trials for the treatment of type 2 diabetes. vTv Therapeutics Inc. has a license and research agreement with Calithera Biosciences, Inc. to develop and commercialize its hexokinase II inhibitors for therapeutic, prophylactic, preventative, or diagnostic use. The company was founded in 2015 and is headquartered in High Point, North Carolina. vTv Therapeutics Inc. is a subsidiary of vTv Therapeutics Holdings LLC.</v>
      </c>
    </row>
    <row r="44" spans="2:38" ht="12.75" customHeight="1">
      <c r="B44" s="310" t="str">
        <f>'Capital IQ Sheet-GPC'!C42</f>
        <v>Rezolute, Inc.</v>
      </c>
      <c r="C44" s="81">
        <f>'Capital IQ Sheet-GPC'!H42</f>
        <v>28.82142</v>
      </c>
      <c r="H44" s="81" t="str">
        <f>'Capital IQ Sheet-GPC'!O42</f>
        <v>n/a</v>
      </c>
      <c r="I44" s="81" t="str">
        <f>'Capital IQ Sheet-GPC'!P42</f>
        <v>n/a</v>
      </c>
      <c r="J44" s="81" t="str">
        <f>'Capital IQ Sheet-GPC'!Q42</f>
        <v>n/a</v>
      </c>
      <c r="K44" s="311"/>
      <c r="L44" s="81" t="str">
        <f>'Capital IQ Sheet-GPC'!R42</f>
        <v>n/a</v>
      </c>
      <c r="M44" s="81" t="str">
        <f>'Capital IQ Sheet-GPC'!S42</f>
        <v>n/a</v>
      </c>
      <c r="N44" s="81" t="str">
        <f>'Capital IQ Sheet-GPC'!T42</f>
        <v>n/a</v>
      </c>
      <c r="O44" s="81" t="str">
        <f>'Capital IQ Sheet-GPC'!U42</f>
        <v>n/a</v>
      </c>
      <c r="P44" s="81" t="str">
        <f>'Capital IQ Sheet-GPC'!V42</f>
        <v>n/a</v>
      </c>
      <c r="R44" s="80" t="str">
        <f t="shared" si="14"/>
        <v>n/a</v>
      </c>
      <c r="S44" s="80" t="str">
        <f t="shared" si="14"/>
        <v>n/a</v>
      </c>
      <c r="T44" s="80" t="str">
        <f t="shared" si="15"/>
        <v>n/a</v>
      </c>
      <c r="V44" s="80" t="str">
        <f t="shared" si="16"/>
        <v>n/a</v>
      </c>
      <c r="W44" s="80" t="str">
        <f t="shared" si="16"/>
        <v>n/a</v>
      </c>
      <c r="X44" s="80" t="str">
        <f t="shared" si="16"/>
        <v>n/a</v>
      </c>
      <c r="Y44" s="80" t="str">
        <f t="shared" si="16"/>
        <v>n/a</v>
      </c>
      <c r="Z44" s="80" t="str">
        <f t="shared" si="16"/>
        <v>n/a</v>
      </c>
      <c r="AB44" s="311">
        <f>'Capital IQ Sheet-GPC'!J42</f>
        <v>29.46659</v>
      </c>
      <c r="AC44" s="311">
        <f>'Capital IQ Sheet-GPC'!K42</f>
        <v>0.92469999999999997</v>
      </c>
      <c r="AD44" s="311" t="str">
        <f>'Capital IQ Sheet-GPC'!L42</f>
        <v>n/a</v>
      </c>
      <c r="AE44" s="311" t="str">
        <f>'Capital IQ Sheet-GPC'!M42</f>
        <v>n/a</v>
      </c>
      <c r="AF44" s="311">
        <f t="shared" si="17"/>
        <v>0.92469999999999997</v>
      </c>
      <c r="AG44" s="382">
        <f t="shared" si="18"/>
        <v>30.391290000000001</v>
      </c>
      <c r="AH44" s="311">
        <f>'Capital IQ Sheet-GPC'!N42</f>
        <v>7.8119999999999995E-2</v>
      </c>
      <c r="AI44" s="81">
        <f t="shared" si="19"/>
        <v>30.313170000000003</v>
      </c>
      <c r="AK44" s="82" t="str">
        <f>IF('MASTER PubCo Inputs'!C57="","",'MASTER PubCo Inputs'!C57)</f>
        <v>IQ177932577</v>
      </c>
      <c r="AL44" s="310" t="str">
        <f>'Capital IQ Sheet-GPC'!AP42</f>
        <v>Rezolute, Inc., a clinical stage biopharmaceutical company, specializes in the development of drug therapies for treating diabetes and metabolic diseases in the United States. Its lead product candidate is AB101, which is a human recombinant insulin that is used alone and in combination with bolus prandial insulin or oral glucose lowering therapies to enhance glycemic control in patients with type 1 and type 2 diabetes mellitus has completed phase I clinical trial. The company also develops AB301, a human glucagon-like peptide-1 agonist for the treatment of patients with type 2 diabetes; AB402 for vision-threatening eye complications of diabetes, including Diabetic Retinopathy and Diabetic Macular Edema; and AB602 to treat Hereditary Angioedema, which are in preclinical studies. It has a licensing agreement with ActiveSite Pharmaceuticals, Inc. The company was formerly known as AntriaBio, Inc. and changed its name to Rezolute, Inc. in December 2017. Rezolute, Inc. is headquartered in Louisville, Colorado.</v>
      </c>
    </row>
    <row r="45" spans="2:38" ht="12.75" customHeight="1">
      <c r="B45" s="310" t="str">
        <f>'Capital IQ Sheet-GPC'!C44</f>
        <v>Boston Therapeutics, Inc.</v>
      </c>
      <c r="C45" s="81">
        <f>'Capital IQ Sheet-GPC'!H44</f>
        <v>9.8918400000000002</v>
      </c>
      <c r="H45" s="81">
        <f>'Capital IQ Sheet-GPC'!O44</f>
        <v>5.9920000000000001E-2</v>
      </c>
      <c r="I45" s="81">
        <f>'Capital IQ Sheet-GPC'!P44</f>
        <v>9.1050000000000006E-2</v>
      </c>
      <c r="J45" s="81">
        <f>'Capital IQ Sheet-GPC'!Q44</f>
        <v>3.4110000000000001E-2</v>
      </c>
      <c r="K45" s="311"/>
      <c r="L45" s="81">
        <f>'Capital IQ Sheet-GPC'!R44</f>
        <v>9.8879999999999996E-2</v>
      </c>
      <c r="M45" s="81">
        <f>'Capital IQ Sheet-GPC'!S44</f>
        <v>2.9360000000000001E-2</v>
      </c>
      <c r="N45" s="81" t="str">
        <f>'Capital IQ Sheet-GPC'!T44</f>
        <v>n/a</v>
      </c>
      <c r="O45" s="81" t="str">
        <f>'Capital IQ Sheet-GPC'!U44</f>
        <v>n/a</v>
      </c>
      <c r="P45" s="81" t="str">
        <f>'Capital IQ Sheet-GPC'!V44</f>
        <v>n/a</v>
      </c>
      <c r="R45" s="80">
        <f t="shared" si="14"/>
        <v>165.0841121495327</v>
      </c>
      <c r="S45" s="80">
        <f t="shared" si="14"/>
        <v>108.64184514003294</v>
      </c>
      <c r="T45" s="80" t="str">
        <f t="shared" si="15"/>
        <v>NM</v>
      </c>
      <c r="V45" s="80" t="str">
        <f t="shared" si="16"/>
        <v>NM</v>
      </c>
      <c r="W45" s="80" t="str">
        <f t="shared" si="16"/>
        <v>NM</v>
      </c>
      <c r="X45" s="80" t="str">
        <f t="shared" si="16"/>
        <v>n/a</v>
      </c>
      <c r="Y45" s="80" t="str">
        <f t="shared" si="16"/>
        <v>n/a</v>
      </c>
      <c r="Z45" s="80" t="str">
        <f t="shared" si="16"/>
        <v>n/a</v>
      </c>
      <c r="AB45" s="311">
        <f>'Capital IQ Sheet-GPC'!J44</f>
        <v>8.1007300000000004</v>
      </c>
      <c r="AC45" s="311">
        <f>'Capital IQ Sheet-GPC'!K44</f>
        <v>1.99634</v>
      </c>
      <c r="AD45" s="311">
        <f>'Capital IQ Sheet-GPC'!L44</f>
        <v>8.0000000000000007E-5</v>
      </c>
      <c r="AE45" s="311" t="str">
        <f>'Capital IQ Sheet-GPC'!M44</f>
        <v>n/a</v>
      </c>
      <c r="AF45" s="311">
        <f t="shared" si="17"/>
        <v>1.9964200000000001</v>
      </c>
      <c r="AG45" s="382">
        <f t="shared" si="18"/>
        <v>10.097150000000001</v>
      </c>
      <c r="AH45" s="311">
        <f>'Capital IQ Sheet-GPC'!N44</f>
        <v>0.20532</v>
      </c>
      <c r="AI45" s="81">
        <f t="shared" si="19"/>
        <v>9.8918300000000006</v>
      </c>
      <c r="AK45" s="82" t="str">
        <f>IF('MASTER PubCo Inputs'!C58="","",'MASTER PubCo Inputs'!C58)</f>
        <v>IQ96050543</v>
      </c>
      <c r="AL45" s="310" t="str">
        <f>'Capital IQ Sheet-GPC'!AP44</f>
        <v>Boston Therapeutics, Inc., a pre-clinical and clinical-stage pharmaceutical company, focuses on the development, manufacture, and commercialization of carbohydrate-based therapeutic drugs and dietary supplements in the United States. Its lead pharmaceutical drug candidates include BTI-320, a non-systemic, carbohydrate-based compound that is in Phase IIb clinical trial to reduce post-meal elevation of blood glucose levels in Type 2 diabetic and pre diabetic patients; BTI-410, a peptide injectable compound that has completed Phase Ib clinical trials for type 1 immunosuppression therapy after kidney transplant surgery and type 2 diabetes patients; and IPOXYN, a carbohydrate-based, injectable drug to prevent necrosis, or cell death, as well as to treat hypoxic conditions, such as diabetic foot ulcers and other vascular/neurological complications. The company also develops OxyFex, an oxygen delivery agent for ischemia and trauma for blood loss during surgery in veterinary medicine applications. In addition, it produces and sells SUGARDOWN, a non-systemic complex carbohydrate-based dietary food supplement to support healthy post-meal blood glucose. The company was formerly known as Avanyx Therapeutics, Inc. and changed its name to Boston Therapeutics, Inc. in November 2010. Boston Therapeutics, Inc. was founded in 2009 and is headquartered in Lawrence, Massachusetts.</v>
      </c>
    </row>
    <row r="46" spans="2:38" ht="12.75" customHeight="1">
      <c r="B46" s="310" t="str">
        <f>'Capital IQ Sheet-GPC'!C45</f>
        <v>Neuralstem, Inc.</v>
      </c>
      <c r="C46" s="81">
        <f>'Capital IQ Sheet-GPC'!H45</f>
        <v>7.1133699999999997</v>
      </c>
      <c r="H46" s="81">
        <f>'Capital IQ Sheet-GPC'!O45</f>
        <v>0.01</v>
      </c>
      <c r="I46" s="81">
        <f>'Capital IQ Sheet-GPC'!P45</f>
        <v>1.6250000000000001E-2</v>
      </c>
      <c r="J46" s="81">
        <f>'Capital IQ Sheet-GPC'!Q45</f>
        <v>0.26</v>
      </c>
      <c r="K46" s="311"/>
      <c r="L46" s="81">
        <f>'Capital IQ Sheet-GPC'!R45</f>
        <v>1.6250000000000001E-2</v>
      </c>
      <c r="M46" s="81">
        <f>'Capital IQ Sheet-GPC'!S45</f>
        <v>0.26</v>
      </c>
      <c r="N46" s="81" t="str">
        <f>'Capital IQ Sheet-GPC'!T45</f>
        <v>n/a</v>
      </c>
      <c r="O46" s="81" t="str">
        <f>'Capital IQ Sheet-GPC'!U45</f>
        <v>n/a</v>
      </c>
      <c r="P46" s="81" t="str">
        <f>'Capital IQ Sheet-GPC'!V45</f>
        <v>n/a</v>
      </c>
      <c r="R46" s="80">
        <f t="shared" si="14"/>
        <v>711.33699999999999</v>
      </c>
      <c r="S46" s="80">
        <f t="shared" si="14"/>
        <v>437.74584615384612</v>
      </c>
      <c r="T46" s="80">
        <f t="shared" si="15"/>
        <v>27.359115384615382</v>
      </c>
      <c r="V46" s="80" t="str">
        <f t="shared" si="16"/>
        <v>NM</v>
      </c>
      <c r="W46" s="80">
        <f t="shared" si="16"/>
        <v>27.359115384615382</v>
      </c>
      <c r="X46" s="80" t="str">
        <f t="shared" si="16"/>
        <v>n/a</v>
      </c>
      <c r="Y46" s="80" t="str">
        <f t="shared" si="16"/>
        <v>n/a</v>
      </c>
      <c r="Z46" s="80" t="str">
        <f t="shared" si="16"/>
        <v>n/a</v>
      </c>
      <c r="AB46" s="311">
        <f>'Capital IQ Sheet-GPC'!J45</f>
        <v>16.82762</v>
      </c>
      <c r="AC46" s="311">
        <f>'Capital IQ Sheet-GPC'!K45</f>
        <v>0</v>
      </c>
      <c r="AD46" s="311">
        <f>'Capital IQ Sheet-GPC'!L45</f>
        <v>0.01</v>
      </c>
      <c r="AE46" s="311" t="str">
        <f>'Capital IQ Sheet-GPC'!M45</f>
        <v>n/a</v>
      </c>
      <c r="AF46" s="311">
        <f t="shared" si="17"/>
        <v>0.01</v>
      </c>
      <c r="AG46" s="382">
        <f t="shared" si="18"/>
        <v>16.837620000000001</v>
      </c>
      <c r="AH46" s="311">
        <f>'Capital IQ Sheet-GPC'!N45</f>
        <v>9.7242499999999996</v>
      </c>
      <c r="AI46" s="81">
        <f t="shared" si="19"/>
        <v>7.1133700000000015</v>
      </c>
      <c r="AK46" s="82" t="str">
        <f>IF('MASTER PubCo Inputs'!C59="","",'MASTER PubCo Inputs'!C59)</f>
        <v>IQ7728881</v>
      </c>
      <c r="AL46" s="310" t="str">
        <f>'Capital IQ Sheet-GPC'!AP45</f>
        <v>Neuralstem, Inc., a clinical stage biopharmaceutical company, focuses on the research and development of nervous system therapies based on its proprietary human neuronal stem cells and small molecule compounds. The company’s stem cell based technology enables the isolation and expansion of human neural stem cells from various areas of the developing human brain and spinal cord enabling the generation of physiologically relevant human neurons of various types. Its lead product candidate is NSI-189, a chemical entity, which has been completed Phase II clinical trial for the treatment of major depressive disorder, as well as is in preclinical study for the MCAO stroke, type 1 and 2 diabetes related neuropathy, irradiation-induced cognition, long-term potentiation enhancement, and angelman syndrome. The company also develops NSI-566, which has completed Phase II clinical trial for treating amyotrophic lateral sclerosis disease, as well as is in Phase I clinical trials for the treatment of chronic spinal cord injury and motor deficits due to ischemic stroke. Neuralstem, Inc. was founded in 1996 and is headquartered in Germantown, Maryland.</v>
      </c>
    </row>
    <row r="47" spans="2:38" ht="12.75" customHeight="1">
      <c r="B47" s="310" t="str">
        <f>'Capital IQ Sheet-GPC'!C46</f>
        <v>Nexus BioPharma, Inc.</v>
      </c>
      <c r="C47" s="81">
        <f>'Capital IQ Sheet-GPC'!H46</f>
        <v>4.2106599999999998</v>
      </c>
      <c r="H47" s="81" t="str">
        <f>'Capital IQ Sheet-GPC'!O46</f>
        <v>n/a</v>
      </c>
      <c r="I47" s="81" t="str">
        <f>'Capital IQ Sheet-GPC'!P46</f>
        <v>n/a</v>
      </c>
      <c r="J47" s="81" t="str">
        <f>'Capital IQ Sheet-GPC'!Q46</f>
        <v>n/a</v>
      </c>
      <c r="K47" s="311"/>
      <c r="L47" s="81" t="str">
        <f>'Capital IQ Sheet-GPC'!R46</f>
        <v>n/a</v>
      </c>
      <c r="M47" s="81" t="str">
        <f>'Capital IQ Sheet-GPC'!S46</f>
        <v>n/a</v>
      </c>
      <c r="N47" s="81" t="str">
        <f>'Capital IQ Sheet-GPC'!T46</f>
        <v>n/a</v>
      </c>
      <c r="O47" s="81" t="str">
        <f>'Capital IQ Sheet-GPC'!U46</f>
        <v>n/a</v>
      </c>
      <c r="P47" s="81" t="str">
        <f>'Capital IQ Sheet-GPC'!V46</f>
        <v>n/a</v>
      </c>
      <c r="R47" s="80" t="str">
        <f t="shared" si="14"/>
        <v>n/a</v>
      </c>
      <c r="S47" s="80" t="str">
        <f t="shared" si="14"/>
        <v>n/a</v>
      </c>
      <c r="T47" s="80" t="str">
        <f t="shared" si="15"/>
        <v>n/a</v>
      </c>
      <c r="V47" s="80" t="str">
        <f t="shared" si="16"/>
        <v>n/a</v>
      </c>
      <c r="W47" s="80" t="str">
        <f t="shared" si="16"/>
        <v>n/a</v>
      </c>
      <c r="X47" s="80" t="str">
        <f t="shared" si="16"/>
        <v>n/a</v>
      </c>
      <c r="Y47" s="80" t="str">
        <f t="shared" si="16"/>
        <v>n/a</v>
      </c>
      <c r="Z47" s="80" t="str">
        <f t="shared" si="16"/>
        <v>n/a</v>
      </c>
      <c r="AB47" s="311">
        <f>'Capital IQ Sheet-GPC'!J46</f>
        <v>3.8515700000000002</v>
      </c>
      <c r="AC47" s="311">
        <f>'Capital IQ Sheet-GPC'!K46</f>
        <v>0.36752000000000001</v>
      </c>
      <c r="AD47" s="311" t="str">
        <f>'Capital IQ Sheet-GPC'!L46</f>
        <v>n/a</v>
      </c>
      <c r="AE47" s="311" t="str">
        <f>'Capital IQ Sheet-GPC'!M46</f>
        <v>n/a</v>
      </c>
      <c r="AF47" s="311">
        <f t="shared" si="17"/>
        <v>0.36752000000000001</v>
      </c>
      <c r="AG47" s="382">
        <f t="shared" si="18"/>
        <v>4.2190900000000005</v>
      </c>
      <c r="AH47" s="311">
        <f>'Capital IQ Sheet-GPC'!N46</f>
        <v>8.43E-3</v>
      </c>
      <c r="AI47" s="81">
        <f t="shared" si="19"/>
        <v>4.2106600000000007</v>
      </c>
      <c r="AK47" s="82" t="str">
        <f>IF('MASTER PubCo Inputs'!C60="","",'MASTER PubCo Inputs'!C60)</f>
        <v>IQ340704541</v>
      </c>
      <c r="AL47" s="310" t="str">
        <f>'Capital IQ Sheet-GPC'!AP46</f>
        <v>Nexus BioPharma, Inc., a life science company, focuses on the development and commercialization of a pharmaceutical preparation to treat obesity and the symptoms of type 2 diabetes. The company is headquartered in Houston, Texas.</v>
      </c>
    </row>
    <row r="48" spans="2:38" ht="12.75" customHeight="1">
      <c r="B48" s="310" t="str">
        <f>'Capital IQ Sheet-GPC'!C47</f>
        <v>ERYTECH Pharma S.A.</v>
      </c>
      <c r="C48" s="81">
        <f>'Capital IQ Sheet-GPC'!H47</f>
        <v>-11.39209</v>
      </c>
      <c r="H48" s="81">
        <f>'Capital IQ Sheet-GPC'!O47</f>
        <v>3.1810999999999998</v>
      </c>
      <c r="I48" s="81">
        <f>'Capital IQ Sheet-GPC'!P47</f>
        <v>4.3681999999999999</v>
      </c>
      <c r="J48" s="81">
        <f>'Capital IQ Sheet-GPC'!Q47</f>
        <v>4.03939</v>
      </c>
      <c r="K48" s="311"/>
      <c r="L48" s="81">
        <f>'Capital IQ Sheet-GPC'!R47</f>
        <v>4.3681999999999999</v>
      </c>
      <c r="M48" s="81">
        <f>'Capital IQ Sheet-GPC'!S47</f>
        <v>4.03939</v>
      </c>
      <c r="N48" s="81">
        <f>'Capital IQ Sheet-GPC'!T47</f>
        <v>6.4904900000000003</v>
      </c>
      <c r="O48" s="81">
        <f>'Capital IQ Sheet-GPC'!U47</f>
        <v>8.3173499999999994</v>
      </c>
      <c r="P48" s="81">
        <f>'Capital IQ Sheet-GPC'!V47</f>
        <v>5.8713499999999996</v>
      </c>
      <c r="R48" s="80">
        <f>IF(ISERROR($C48/H48), "n/a", $C48/H48)</f>
        <v>-3.5811794662223759</v>
      </c>
      <c r="S48" s="80">
        <f>IF(ISERROR($C48/I48), "n/a", $C48/I48)</f>
        <v>-2.6079598003754407</v>
      </c>
      <c r="T48" s="80" t="str">
        <f>IFERROR(IF(($C48/J48)&gt;$AC$6, "NM", IF(($C48/J48)&lt;$AE$6, "NM", $C48/J48)),"n/a")</f>
        <v>NM</v>
      </c>
      <c r="V48" s="80" t="str">
        <f>IFERROR(IF(($C48/L48)&gt;$AC$6, "NM", IF(($C48/L48)&lt;$AE$6, "NM", $C48/L48)),"n/a")</f>
        <v>NM</v>
      </c>
      <c r="W48" s="80" t="str">
        <f>IFERROR(IF(($C48/M48)&gt;$AC$6, "NM", IF(($C48/M48)&lt;$AE$6, "NM", $C48/M48)),"n/a")</f>
        <v>NM</v>
      </c>
      <c r="X48" s="80" t="str">
        <f>IFERROR(IF(($C48/N48)&gt;$AC$6, "NM", IF(($C48/N48)&lt;$AE$6, "NM", $C48/N48)),"n/a")</f>
        <v>NM</v>
      </c>
      <c r="Y48" s="80" t="str">
        <f>IFERROR(IF(($C48/O48)&gt;$AC$6, "NM", IF(($C48/O48)&lt;$AE$6, "NM", $C48/O48)),"n/a")</f>
        <v>NM</v>
      </c>
      <c r="Z48" s="80" t="str">
        <f>IFERROR(IF(($C48/P48)&gt;$AC$6, "NM", IF(($C48/P48)&lt;$AE$6, "NM", $C48/P48)),"n/a")</f>
        <v>NM</v>
      </c>
      <c r="AB48" s="311">
        <f>'Capital IQ Sheet-GPC'!J47</f>
        <v>201.74755999999999</v>
      </c>
      <c r="AC48" s="311">
        <f>'Capital IQ Sheet-GPC'!K47</f>
        <v>3.4137900000000001</v>
      </c>
      <c r="AD48" s="311" t="str">
        <f>'Capital IQ Sheet-GPC'!L47</f>
        <v>n/a</v>
      </c>
      <c r="AE48" s="311" t="str">
        <f>'Capital IQ Sheet-GPC'!M47</f>
        <v>n/a</v>
      </c>
      <c r="AF48" s="311">
        <f>SUM(AC48:AE48)</f>
        <v>3.4137900000000001</v>
      </c>
      <c r="AG48" s="382">
        <f>SUM(AB48:AE48)</f>
        <v>205.16135</v>
      </c>
      <c r="AH48" s="311">
        <f>'Capital IQ Sheet-GPC'!N47</f>
        <v>222.77257</v>
      </c>
      <c r="AI48" s="81">
        <f>IF(ISERROR(AG48-AH48), "n/a", AG48-AH48)</f>
        <v>-17.611220000000003</v>
      </c>
      <c r="AK48" s="82" t="str">
        <f>IF('MASTER PubCo Inputs'!C61="","",'MASTER PubCo Inputs'!C61)</f>
        <v>IQ24677080</v>
      </c>
      <c r="AL48" s="310" t="str">
        <f>'Capital IQ Sheet-GPC'!AP47</f>
        <v>ERYTECH Pharma S.A., a biopharmaceutical company, develops therapies for severe forms of cancer and orphan diseases. It is developing a pipeline of product candidates targeting solid and liquid tumors for patients with high unmet medical needs. The company’s lead product candidate is eryaspase, which is used for the treatment of severe solid tumors, including pancreatic cancer and in acute lymphoblastic leukemia. It is preparing for the launch of a pivotal Phase III clinical trial of eryaspase in the United States and Europe. ERYTECH Pharma S.A. has research collaborations with the Fox Chase Cancer Center to advance the preclinical development of erymethionase for the treatment of homocystinuria and with Queen’s University of Canada to advance the preclinical development of eryminase for the treatment of arginase-1-deficiency. ERYTECH Pharma S.A. was founded in 2004 and is based in Lyon, France.</v>
      </c>
    </row>
    <row r="49" spans="2:28" ht="12.75" customHeight="1">
      <c r="C49" s="311"/>
      <c r="H49" s="311"/>
      <c r="I49" s="311"/>
      <c r="J49" s="311"/>
      <c r="K49" s="311"/>
      <c r="L49" s="311"/>
      <c r="M49" s="311"/>
      <c r="N49" s="311"/>
      <c r="O49" s="311"/>
      <c r="P49" s="311"/>
    </row>
    <row r="50" spans="2:28" ht="12.75" customHeight="1">
      <c r="B50" s="68" t="s">
        <v>41</v>
      </c>
      <c r="C50" s="107">
        <f>MAX(C13:C48)</f>
        <v>110584.08422999999</v>
      </c>
      <c r="D50" s="69"/>
      <c r="E50" s="833">
        <f t="shared" ref="E50:J50" si="20">MAX(E13:E48)</f>
        <v>0</v>
      </c>
      <c r="F50" s="833">
        <f t="shared" si="20"/>
        <v>0</v>
      </c>
      <c r="G50" s="833">
        <f t="shared" si="20"/>
        <v>0</v>
      </c>
      <c r="H50" s="107">
        <f t="shared" si="20"/>
        <v>16804.59172</v>
      </c>
      <c r="I50" s="107">
        <f t="shared" si="20"/>
        <v>16251.231239999999</v>
      </c>
      <c r="J50" s="107">
        <f t="shared" si="20"/>
        <v>18209.76585</v>
      </c>
      <c r="K50" s="107"/>
      <c r="L50" s="107">
        <f>MAX(L13:L48)</f>
        <v>15871.280479999999</v>
      </c>
      <c r="M50" s="107">
        <f>MAX(M13:M48)</f>
        <v>18013.653439999998</v>
      </c>
      <c r="N50" s="107">
        <f>MAX(N13:N48)</f>
        <v>17333.342359999999</v>
      </c>
      <c r="O50" s="107">
        <f>MAX(O13:O48)</f>
        <v>18225.362359999999</v>
      </c>
      <c r="P50" s="107">
        <f>MAX(P13:P48)</f>
        <v>19451.656569999999</v>
      </c>
      <c r="Q50" s="108"/>
      <c r="R50" s="86">
        <f>MAX(R13:R48)</f>
        <v>34915.991666666661</v>
      </c>
      <c r="S50" s="86">
        <f>MAX(S13:S48)</f>
        <v>1242.938848329773</v>
      </c>
      <c r="T50" s="86">
        <f>MAX(T13:T48)</f>
        <v>63.74628387096773</v>
      </c>
      <c r="U50" s="108"/>
      <c r="V50" s="86">
        <f>MAX(V13:V48)</f>
        <v>88.36122239589595</v>
      </c>
      <c r="W50" s="86">
        <f>MAX(W13:W48)</f>
        <v>74.79939277954189</v>
      </c>
      <c r="X50" s="86">
        <f>MAX(X13:X48)</f>
        <v>98.553033080102622</v>
      </c>
      <c r="Y50" s="86">
        <f>MAX(Y13:Y48)</f>
        <v>88.457299457299456</v>
      </c>
      <c r="Z50" s="109">
        <f>MAX(Z13:Z48)</f>
        <v>75.565933684880065</v>
      </c>
      <c r="AA50" s="46"/>
      <c r="AB50" s="46"/>
    </row>
    <row r="51" spans="2:28" ht="12.75" customHeight="1">
      <c r="B51" s="87" t="s">
        <v>45</v>
      </c>
      <c r="C51" s="89">
        <f>QUARTILE(C13:C48,3)</f>
        <v>1377.2950425000001</v>
      </c>
      <c r="D51" s="73"/>
      <c r="E51" s="73" t="e">
        <f t="shared" ref="E51:J51" si="21">QUARTILE(E13:E48,3)</f>
        <v>#NUM!</v>
      </c>
      <c r="F51" s="73" t="e">
        <f t="shared" si="21"/>
        <v>#NUM!</v>
      </c>
      <c r="G51" s="73" t="e">
        <f t="shared" si="21"/>
        <v>#NUM!</v>
      </c>
      <c r="H51" s="89">
        <f t="shared" si="21"/>
        <v>228.45501250000001</v>
      </c>
      <c r="I51" s="89">
        <f t="shared" si="21"/>
        <v>177.767</v>
      </c>
      <c r="J51" s="89">
        <f t="shared" si="21"/>
        <v>167.566</v>
      </c>
      <c r="K51" s="89"/>
      <c r="L51" s="89">
        <f>QUARTILE(L13:L48,3)</f>
        <v>157.67025000000001</v>
      </c>
      <c r="M51" s="89">
        <f>QUARTILE(M13:M48,3)</f>
        <v>152.13974999999999</v>
      </c>
      <c r="N51" s="89">
        <f>QUARTILE(N13:N48,3)</f>
        <v>420.899925</v>
      </c>
      <c r="O51" s="89">
        <f>QUARTILE(O13:O48,3)</f>
        <v>365.0685325</v>
      </c>
      <c r="P51" s="89">
        <f>QUARTILE(P13:P48,3)</f>
        <v>506.32209749999998</v>
      </c>
      <c r="Q51" s="110"/>
      <c r="R51" s="88">
        <f>QUARTILE(R13:R48,3)</f>
        <v>172.81846294862578</v>
      </c>
      <c r="S51" s="88">
        <f>QUARTILE(S13:S48,3)</f>
        <v>117.7763989150845</v>
      </c>
      <c r="T51" s="88">
        <f>QUARTILE(T13:T48,3)</f>
        <v>38.97794943729496</v>
      </c>
      <c r="U51" s="110"/>
      <c r="V51" s="88">
        <f>QUARTILE(V13:V48,3)</f>
        <v>42.148078027901441</v>
      </c>
      <c r="W51" s="88">
        <f>QUARTILE(W13:W48,3)</f>
        <v>45.393175749571185</v>
      </c>
      <c r="X51" s="88">
        <f>QUARTILE(X13:X48,3)</f>
        <v>27.380400886754106</v>
      </c>
      <c r="Y51" s="88">
        <f>QUARTILE(Y13:Y48,3)</f>
        <v>34.687978193989565</v>
      </c>
      <c r="Z51" s="111">
        <f>QUARTILE(Z13:Z48,3)</f>
        <v>10.034032718269417</v>
      </c>
      <c r="AA51" s="46"/>
      <c r="AB51" s="46"/>
    </row>
    <row r="52" spans="2:28" ht="12.75" customHeight="1">
      <c r="B52" s="87" t="s">
        <v>43</v>
      </c>
      <c r="C52" s="89">
        <f>AVERAGE(C13:C48)</f>
        <v>4315.3633414705873</v>
      </c>
      <c r="D52" s="73"/>
      <c r="E52" s="73" t="e">
        <f t="shared" ref="E52:J52" si="22">AVERAGE(E13:E48)</f>
        <v>#DIV/0!</v>
      </c>
      <c r="F52" s="73" t="e">
        <f t="shared" si="22"/>
        <v>#DIV/0!</v>
      </c>
      <c r="G52" s="73" t="e">
        <f t="shared" si="22"/>
        <v>#DIV/0!</v>
      </c>
      <c r="H52" s="89">
        <f t="shared" si="22"/>
        <v>1056.0580405555556</v>
      </c>
      <c r="I52" s="89">
        <f t="shared" si="22"/>
        <v>897.23589476190477</v>
      </c>
      <c r="J52" s="89">
        <f t="shared" si="22"/>
        <v>930.43783173913027</v>
      </c>
      <c r="K52" s="89"/>
      <c r="L52" s="89">
        <f>AVERAGE(L13:L48)</f>
        <v>836.30037409090903</v>
      </c>
      <c r="M52" s="89">
        <f>AVERAGE(M13:M48)</f>
        <v>959.59653227272725</v>
      </c>
      <c r="N52" s="89">
        <f>AVERAGE(N13:N48)</f>
        <v>1174.0310177777776</v>
      </c>
      <c r="O52" s="89">
        <f>AVERAGE(O13:O48)</f>
        <v>1050.7394509090911</v>
      </c>
      <c r="P52" s="89">
        <f>AVERAGE(P13:P48)</f>
        <v>1167.7670054545458</v>
      </c>
      <c r="Q52" s="110"/>
      <c r="R52" s="88">
        <f>AVERAGE(R13:R48)</f>
        <v>2410.3955248180519</v>
      </c>
      <c r="S52" s="88">
        <f>AVERAGE(S13:S48)</f>
        <v>156.16292146455513</v>
      </c>
      <c r="T52" s="88">
        <f>AVERAGE(T13:T48)</f>
        <v>23.129755570375018</v>
      </c>
      <c r="U52" s="110"/>
      <c r="V52" s="88">
        <f>AVERAGE(V13:V48)</f>
        <v>28.612322958286899</v>
      </c>
      <c r="W52" s="88">
        <f>AVERAGE(W13:W48)</f>
        <v>27.446248067011052</v>
      </c>
      <c r="X52" s="88">
        <f>AVERAGE(X13:X48)</f>
        <v>20.5486064393235</v>
      </c>
      <c r="Y52" s="88">
        <f>AVERAGE(Y13:Y48)</f>
        <v>21.124406689183743</v>
      </c>
      <c r="Z52" s="111">
        <f>AVERAGE(Z13:Z48)</f>
        <v>12.058948409909462</v>
      </c>
      <c r="AA52" s="46"/>
      <c r="AB52" s="46"/>
    </row>
    <row r="53" spans="2:28" ht="12.75" customHeight="1">
      <c r="B53" s="87" t="s">
        <v>3</v>
      </c>
      <c r="C53" s="89">
        <f>MEDIAN(C13:C48)</f>
        <v>417.62723499999998</v>
      </c>
      <c r="D53" s="73"/>
      <c r="E53" s="73" t="e">
        <f t="shared" ref="E53:J53" si="23">MEDIAN(E13:E48)</f>
        <v>#NUM!</v>
      </c>
      <c r="F53" s="73" t="e">
        <f t="shared" si="23"/>
        <v>#NUM!</v>
      </c>
      <c r="G53" s="73" t="e">
        <f t="shared" si="23"/>
        <v>#NUM!</v>
      </c>
      <c r="H53" s="89">
        <f t="shared" si="23"/>
        <v>24.443415000000002</v>
      </c>
      <c r="I53" s="89">
        <f t="shared" si="23"/>
        <v>43.950650000000003</v>
      </c>
      <c r="J53" s="89">
        <f t="shared" si="23"/>
        <v>11.601000000000001</v>
      </c>
      <c r="K53" s="89"/>
      <c r="L53" s="89">
        <f>MEDIAN(L13:L48)</f>
        <v>17.371500000000001</v>
      </c>
      <c r="M53" s="89">
        <f>MEDIAN(M13:M48)</f>
        <v>12.256499999999999</v>
      </c>
      <c r="N53" s="89">
        <f>MEDIAN(N13:N48)</f>
        <v>46.867710000000002</v>
      </c>
      <c r="O53" s="89">
        <f>MEDIAN(O13:O48)</f>
        <v>37.802455000000002</v>
      </c>
      <c r="P53" s="89">
        <f>MEDIAN(P13:P48)</f>
        <v>106.69575</v>
      </c>
      <c r="Q53" s="110"/>
      <c r="R53" s="88">
        <f>MEDIAN(R13:R48)</f>
        <v>17.842295832829315</v>
      </c>
      <c r="S53" s="88">
        <f>MEDIAN(S13:S48)</f>
        <v>41.434652213290434</v>
      </c>
      <c r="T53" s="88">
        <f>MEDIAN(T13:T48)</f>
        <v>14.530294898492571</v>
      </c>
      <c r="U53" s="110"/>
      <c r="V53" s="88">
        <f>MEDIAN(V13:V48)</f>
        <v>15.036615428921127</v>
      </c>
      <c r="W53" s="88">
        <f>MEDIAN(W13:W48)</f>
        <v>16.835432206237211</v>
      </c>
      <c r="X53" s="88">
        <f>MEDIAN(X13:X48)</f>
        <v>12.309018838648127</v>
      </c>
      <c r="Y53" s="88">
        <f>MEDIAN(Y13:Y48)</f>
        <v>11.926100446277831</v>
      </c>
      <c r="Z53" s="111">
        <f>MEDIAN(Z13:Z48)</f>
        <v>6.050609255336294</v>
      </c>
      <c r="AA53" s="46"/>
      <c r="AB53" s="46"/>
    </row>
    <row r="54" spans="2:28" ht="12.75" customHeight="1">
      <c r="B54" s="87" t="s">
        <v>44</v>
      </c>
      <c r="C54" s="89">
        <f>QUARTILE(C13:C48,1)</f>
        <v>231.22944000000001</v>
      </c>
      <c r="D54" s="73"/>
      <c r="E54" s="73" t="e">
        <f t="shared" ref="E54:J54" si="24">QUARTILE(E13:E48,1)</f>
        <v>#NUM!</v>
      </c>
      <c r="F54" s="73" t="e">
        <f t="shared" si="24"/>
        <v>#NUM!</v>
      </c>
      <c r="G54" s="73" t="e">
        <f t="shared" si="24"/>
        <v>#NUM!</v>
      </c>
      <c r="H54" s="89">
        <f t="shared" si="24"/>
        <v>1.07925</v>
      </c>
      <c r="I54" s="89">
        <f t="shared" si="24"/>
        <v>3.8439999999999999</v>
      </c>
      <c r="J54" s="89">
        <f t="shared" si="24"/>
        <v>3.0470000000000002</v>
      </c>
      <c r="K54" s="89"/>
      <c r="L54" s="89">
        <f>QUARTILE(L13:L48,1)</f>
        <v>1.5250000000000001</v>
      </c>
      <c r="M54" s="89">
        <f>QUARTILE(M13:M48,1)</f>
        <v>3.6033474999999999</v>
      </c>
      <c r="N54" s="89">
        <f>QUARTILE(N13:N48,1)</f>
        <v>6.2228750000000002</v>
      </c>
      <c r="O54" s="89">
        <f>QUARTILE(O13:O48,1)</f>
        <v>9.9880125</v>
      </c>
      <c r="P54" s="89">
        <f>QUARTILE(P13:P48,1)</f>
        <v>37.924999999999997</v>
      </c>
      <c r="Q54" s="110"/>
      <c r="R54" s="88">
        <f>QUARTILE(R13:R48,1)</f>
        <v>6.6983337707463226</v>
      </c>
      <c r="S54" s="88">
        <f>QUARTILE(S13:S48,1)</f>
        <v>6.8046588345757852</v>
      </c>
      <c r="T54" s="88">
        <f>QUARTILE(T13:T48,1)</f>
        <v>5.960949305773914</v>
      </c>
      <c r="U54" s="110"/>
      <c r="V54" s="88">
        <f>QUARTILE(V13:V48,1)</f>
        <v>5.98645848607869</v>
      </c>
      <c r="W54" s="88">
        <f>QUARTILE(W13:W48,1)</f>
        <v>6.0312863979075191</v>
      </c>
      <c r="X54" s="88">
        <f>QUARTILE(X13:X48,1)</f>
        <v>4.4900349073486892</v>
      </c>
      <c r="Y54" s="88">
        <f>QUARTILE(Y13:Y48,1)</f>
        <v>6.0654872541932061</v>
      </c>
      <c r="Z54" s="111">
        <f>QUARTILE(Z13:Z48,1)</f>
        <v>3.6459767223684776</v>
      </c>
      <c r="AA54" s="46"/>
      <c r="AB54" s="46"/>
    </row>
    <row r="55" spans="2:28" ht="12.75" customHeight="1">
      <c r="B55" s="90" t="s">
        <v>42</v>
      </c>
      <c r="C55" s="70">
        <f>MIN(C13:C48)</f>
        <v>-11.39209</v>
      </c>
      <c r="D55" s="67"/>
      <c r="E55" s="67">
        <f t="shared" ref="E55:J55" si="25">MIN(E13:E48)</f>
        <v>0</v>
      </c>
      <c r="F55" s="67">
        <f t="shared" si="25"/>
        <v>0</v>
      </c>
      <c r="G55" s="67">
        <f t="shared" si="25"/>
        <v>0</v>
      </c>
      <c r="H55" s="70">
        <f t="shared" si="25"/>
        <v>6.0000000000000001E-3</v>
      </c>
      <c r="I55" s="70">
        <f t="shared" si="25"/>
        <v>1.6250000000000001E-2</v>
      </c>
      <c r="J55" s="70">
        <f t="shared" si="25"/>
        <v>3.4110000000000001E-2</v>
      </c>
      <c r="K55" s="70"/>
      <c r="L55" s="70">
        <f>MIN(L13:L48)</f>
        <v>1.6250000000000001E-2</v>
      </c>
      <c r="M55" s="70">
        <f>MIN(M13:M48)</f>
        <v>2.9360000000000001E-2</v>
      </c>
      <c r="N55" s="70">
        <f>MIN(N13:N48)</f>
        <v>9.7100000000000006E-2</v>
      </c>
      <c r="O55" s="70">
        <f>MIN(O13:O48)</f>
        <v>0.67901999999999996</v>
      </c>
      <c r="P55" s="70">
        <f>MIN(P13:P48)</f>
        <v>0.2</v>
      </c>
      <c r="Q55" s="112"/>
      <c r="R55" s="92">
        <f>MIN(R13:R48)</f>
        <v>-3.5811794662223759</v>
      </c>
      <c r="S55" s="92">
        <f>MIN(S13:S48)</f>
        <v>-2.6079598003754407</v>
      </c>
      <c r="T55" s="92">
        <f>MIN(T13:T48)</f>
        <v>0.36181997564897911</v>
      </c>
      <c r="U55" s="112"/>
      <c r="V55" s="92">
        <f>MIN(V13:V48)</f>
        <v>0.433665191993576</v>
      </c>
      <c r="W55" s="92">
        <f>MIN(W13:W48)</f>
        <v>0.36181997564897911</v>
      </c>
      <c r="X55" s="92">
        <f>MIN(X13:X48)</f>
        <v>0.3181356785998315</v>
      </c>
      <c r="Y55" s="92">
        <f>MIN(Y13:Y48)</f>
        <v>0.29529685014644724</v>
      </c>
      <c r="Z55" s="113">
        <f>MIN(Z13:Z48)</f>
        <v>0.26830288267142477</v>
      </c>
      <c r="AA55" s="46"/>
      <c r="AB55" s="46"/>
    </row>
    <row r="56" spans="2:28" ht="12.75" customHeight="1">
      <c r="C56" s="311"/>
      <c r="H56" s="311"/>
      <c r="I56" s="311"/>
      <c r="J56" s="311"/>
      <c r="K56" s="311"/>
      <c r="L56" s="311"/>
      <c r="M56" s="311"/>
      <c r="N56" s="311"/>
      <c r="O56" s="311"/>
      <c r="P56" s="311"/>
    </row>
    <row r="57" spans="2:28" ht="12.75" customHeight="1">
      <c r="B57" s="8" t="s">
        <v>46</v>
      </c>
    </row>
    <row r="58" spans="2:28" ht="12.75" customHeight="1">
      <c r="B58" s="8"/>
    </row>
  </sheetData>
  <conditionalFormatting sqref="C23 B13:C22 B24:C44">
    <cfRule type="cellIs" dxfId="176" priority="20" operator="equal">
      <formula>"(Invalid Identifier)"</formula>
    </cfRule>
  </conditionalFormatting>
  <conditionalFormatting sqref="B4:L4">
    <cfRule type="cellIs" dxfId="175" priority="17" stopIfTrue="1" operator="equal">
      <formula>"input"</formula>
    </cfRule>
  </conditionalFormatting>
  <conditionalFormatting sqref="M4">
    <cfRule type="cellIs" dxfId="174" priority="15" stopIfTrue="1" operator="equal">
      <formula>"input"</formula>
    </cfRule>
  </conditionalFormatting>
  <conditionalFormatting sqref="M4">
    <cfRule type="cellIs" dxfId="173" priority="16" stopIfTrue="1" operator="equal">
      <formula>"input"</formula>
    </cfRule>
  </conditionalFormatting>
  <conditionalFormatting sqref="N4:P4">
    <cfRule type="cellIs" dxfId="172" priority="13" stopIfTrue="1" operator="equal">
      <formula>"input"</formula>
    </cfRule>
  </conditionalFormatting>
  <conditionalFormatting sqref="N4:P4">
    <cfRule type="cellIs" dxfId="171" priority="14" stopIfTrue="1" operator="equal">
      <formula>"input"</formula>
    </cfRule>
  </conditionalFormatting>
  <conditionalFormatting sqref="Q4">
    <cfRule type="cellIs" dxfId="170" priority="11" stopIfTrue="1" operator="equal">
      <formula>"input"</formula>
    </cfRule>
  </conditionalFormatting>
  <conditionalFormatting sqref="Q4">
    <cfRule type="cellIs" dxfId="169" priority="12" stopIfTrue="1" operator="equal">
      <formula>"input"</formula>
    </cfRule>
  </conditionalFormatting>
  <conditionalFormatting sqref="R4:Y4">
    <cfRule type="cellIs" dxfId="168" priority="9" stopIfTrue="1" operator="equal">
      <formula>"input"</formula>
    </cfRule>
  </conditionalFormatting>
  <conditionalFormatting sqref="R4:Y4">
    <cfRule type="cellIs" dxfId="167" priority="10" stopIfTrue="1" operator="equal">
      <formula>"input"</formula>
    </cfRule>
  </conditionalFormatting>
  <conditionalFormatting sqref="Z4">
    <cfRule type="cellIs" dxfId="166" priority="2" stopIfTrue="1" operator="equal">
      <formula>"input"</formula>
    </cfRule>
  </conditionalFormatting>
  <conditionalFormatting sqref="Z4">
    <cfRule type="cellIs" dxfId="165" priority="3" stopIfTrue="1" operator="equal">
      <formula>"input"</formula>
    </cfRule>
  </conditionalFormatting>
  <conditionalFormatting sqref="B45:C48">
    <cfRule type="cellIs" dxfId="164" priority="1" operator="equal">
      <formula>"(Invalid Identifier)"</formula>
    </cfRule>
  </conditionalFormatting>
  <pageMargins left="0.5" right="0.5" top="0.5" bottom="0.5" header="0.5" footer="0.5"/>
  <pageSetup scale="85" fitToWidth="0" fitToHeight="0" orientation="landscape" r:id="rId1"/>
  <rowBreaks count="1" manualBreakCount="1">
    <brk id="44" max="26" man="1"/>
  </rowBreaks>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B1:AG70"/>
  <sheetViews>
    <sheetView showGridLines="0" view="pageBreakPreview" zoomScale="85" zoomScaleNormal="100" zoomScaleSheetLayoutView="85" workbookViewId="0">
      <selection activeCell="I9" sqref="I9"/>
    </sheetView>
  </sheetViews>
  <sheetFormatPr defaultRowHeight="12.75" outlineLevelCol="1"/>
  <cols>
    <col min="1" max="1" width="2.83203125" style="310" customWidth="1"/>
    <col min="2" max="2" width="42.33203125" style="310" customWidth="1"/>
    <col min="3" max="3" width="2.83203125" style="310" customWidth="1"/>
    <col min="4" max="4" width="12.6640625" style="310" customWidth="1"/>
    <col min="5" max="5" width="13.33203125" style="310" customWidth="1"/>
    <col min="6" max="9" width="11.83203125" style="310" hidden="1" customWidth="1" outlineLevel="1"/>
    <col min="10" max="10" width="12.5" style="310" hidden="1" customWidth="1" outlineLevel="1"/>
    <col min="11" max="11" width="11.83203125" style="310" hidden="1" customWidth="1" outlineLevel="1"/>
    <col min="12" max="12" width="14.1640625" style="310" customWidth="1" collapsed="1"/>
    <col min="13" max="13" width="2.83203125" style="310" customWidth="1"/>
    <col min="14" max="14" width="13.6640625" style="310" customWidth="1"/>
    <col min="15" max="15" width="13.33203125" style="310" customWidth="1"/>
    <col min="16" max="17" width="12.83203125" style="310" hidden="1" customWidth="1" outlineLevel="1"/>
    <col min="18" max="18" width="14" style="310" hidden="1" customWidth="1" outlineLevel="1"/>
    <col min="19" max="21" width="12.83203125" style="310" hidden="1" customWidth="1" outlineLevel="1"/>
    <col min="22" max="22" width="13.6640625" style="310" customWidth="1" collapsed="1"/>
    <col min="23" max="23" width="2.83203125" style="310" customWidth="1"/>
    <col min="24" max="24" width="12.5" style="310" customWidth="1"/>
    <col min="25" max="26" width="11.83203125" style="310" customWidth="1"/>
    <col min="27" max="27" width="2.83203125" style="310" customWidth="1"/>
    <col min="28" max="28" width="11.6640625" style="310" customWidth="1"/>
    <col min="29" max="29" width="18.83203125" style="310" bestFit="1" customWidth="1"/>
    <col min="30" max="30" width="19.83203125" style="310" customWidth="1"/>
    <col min="31" max="31" width="17.83203125" style="310" bestFit="1" customWidth="1"/>
    <col min="32" max="32" width="20.5" style="310" customWidth="1"/>
    <col min="33" max="33" width="17" style="310" customWidth="1"/>
    <col min="34" max="16384" width="9.33203125" style="310"/>
  </cols>
  <sheetData>
    <row r="1" spans="2:33" ht="10.7" customHeight="1" thickBot="1"/>
    <row r="2" spans="2:33" ht="16.5" customHeight="1" thickTop="1">
      <c r="B2" s="10" t="str">
        <f>'MASTER PubCo Inputs'!$C$5</f>
        <v>Hua Medicine</v>
      </c>
      <c r="C2" s="10"/>
      <c r="D2" s="10"/>
      <c r="E2" s="10"/>
      <c r="F2" s="10"/>
      <c r="G2" s="10"/>
      <c r="H2" s="10"/>
      <c r="I2" s="10"/>
      <c r="J2" s="10"/>
      <c r="K2" s="10"/>
      <c r="L2" s="10"/>
      <c r="M2" s="10"/>
      <c r="N2" s="10"/>
      <c r="O2" s="10"/>
      <c r="P2" s="10"/>
      <c r="Q2" s="10"/>
      <c r="R2" s="10"/>
      <c r="S2" s="10"/>
      <c r="T2" s="10"/>
      <c r="U2" s="10"/>
      <c r="V2" s="10"/>
      <c r="W2" s="10"/>
      <c r="X2" s="10"/>
      <c r="Y2" s="10"/>
      <c r="Z2" s="10"/>
      <c r="AC2" s="1530" t="s">
        <v>3313</v>
      </c>
      <c r="AD2" s="235">
        <f>'Capital IQ Sheet-GPC'!B8</f>
        <v>43190</v>
      </c>
      <c r="AF2" s="1530" t="s">
        <v>260</v>
      </c>
      <c r="AG2" s="235">
        <f>'Capital IQ Sheet-GPC'!L2</f>
        <v>43281</v>
      </c>
    </row>
    <row r="3" spans="2:33" ht="15.75" customHeight="1">
      <c r="B3" s="11" t="str">
        <f>VLOOKUP(B4,Outline!$E$8:$G$81,COLUMNS(Outline!$E$8:$G$8),FALSE)</f>
        <v>Exhibit E.3</v>
      </c>
      <c r="C3" s="11"/>
      <c r="D3" s="11"/>
      <c r="E3" s="11"/>
      <c r="F3" s="11"/>
      <c r="G3" s="11"/>
      <c r="H3" s="11"/>
      <c r="I3" s="11"/>
      <c r="J3" s="11"/>
      <c r="K3" s="11"/>
      <c r="L3" s="11"/>
      <c r="M3" s="11"/>
      <c r="N3" s="11"/>
      <c r="O3" s="11"/>
      <c r="P3" s="11"/>
      <c r="Q3" s="11"/>
      <c r="R3" s="11"/>
      <c r="S3" s="11"/>
      <c r="T3" s="11"/>
      <c r="U3" s="11"/>
      <c r="V3" s="11"/>
      <c r="W3" s="11"/>
      <c r="X3" s="11"/>
      <c r="Y3" s="11"/>
      <c r="Z3" s="11"/>
      <c r="AC3" s="275" t="s">
        <v>273</v>
      </c>
      <c r="AD3" s="236" t="str">
        <f>'Capital IQ Sheet-GPC'!L3</f>
        <v>F</v>
      </c>
      <c r="AF3" s="275" t="s">
        <v>273</v>
      </c>
      <c r="AG3" s="236" t="str">
        <f>AD3</f>
        <v>F</v>
      </c>
    </row>
    <row r="4" spans="2:33" ht="16.5" customHeight="1" thickBot="1">
      <c r="B4" s="12" t="s">
        <v>3257</v>
      </c>
      <c r="C4" s="12"/>
      <c r="D4" s="12"/>
      <c r="E4" s="13"/>
      <c r="F4" s="13"/>
      <c r="G4" s="13"/>
      <c r="H4" s="13"/>
      <c r="I4" s="13"/>
      <c r="J4" s="13"/>
      <c r="K4" s="13"/>
      <c r="L4" s="13"/>
      <c r="M4" s="13"/>
      <c r="N4" s="13"/>
      <c r="O4" s="13"/>
      <c r="P4" s="13"/>
      <c r="Q4" s="13"/>
      <c r="R4" s="13"/>
      <c r="S4" s="13"/>
      <c r="T4" s="13"/>
      <c r="U4" s="13"/>
      <c r="V4" s="13"/>
      <c r="W4" s="13"/>
      <c r="X4" s="13"/>
      <c r="Y4" s="13"/>
      <c r="Z4" s="13" t="str">
        <f>+'MASTER PubCo Inputs'!$C$25</f>
        <v>(in millions of USD, except stock price)</v>
      </c>
      <c r="AC4" s="275" t="s">
        <v>274</v>
      </c>
      <c r="AD4" s="236" t="str">
        <f>'Capital IQ Sheet-GPC'!L4</f>
        <v>LFR</v>
      </c>
      <c r="AF4" s="275" t="s">
        <v>274</v>
      </c>
      <c r="AG4" s="236" t="str">
        <f>AD4</f>
        <v>LFR</v>
      </c>
    </row>
    <row r="5" spans="2:33" ht="13.5" thickTop="1">
      <c r="B5" s="15"/>
      <c r="C5" s="15"/>
      <c r="D5" s="15"/>
      <c r="N5" s="15"/>
      <c r="AC5" s="1819" t="s">
        <v>19</v>
      </c>
      <c r="AD5" s="2457" t="str">
        <f>'Capital IQ Sheet-GPC'!L6</f>
        <v>H</v>
      </c>
      <c r="AF5" s="1819" t="s">
        <v>19</v>
      </c>
      <c r="AG5" s="2457" t="str">
        <f>AD5</f>
        <v>H</v>
      </c>
    </row>
    <row r="6" spans="2:33">
      <c r="D6" s="200" t="s">
        <v>3314</v>
      </c>
      <c r="E6" s="200"/>
      <c r="F6" s="200"/>
      <c r="G6" s="200"/>
      <c r="H6" s="200"/>
      <c r="I6" s="200"/>
      <c r="J6" s="200"/>
      <c r="K6" s="200"/>
      <c r="L6" s="200"/>
      <c r="N6" s="200" t="s">
        <v>3315</v>
      </c>
      <c r="O6" s="2458"/>
      <c r="P6" s="2458"/>
      <c r="Q6" s="2458"/>
      <c r="R6" s="2458"/>
      <c r="S6" s="2458"/>
      <c r="T6" s="2458"/>
      <c r="U6" s="2458"/>
      <c r="V6" s="2458"/>
    </row>
    <row r="7" spans="2:33">
      <c r="D7" s="2459" t="str">
        <f>"As of "&amp;TEXT($AD$2,"MM/DD/YY")</f>
        <v>As of 03/31/18</v>
      </c>
      <c r="E7" s="2460"/>
      <c r="F7" s="2460"/>
      <c r="G7" s="2460"/>
      <c r="H7" s="2460"/>
      <c r="I7" s="2460"/>
      <c r="J7" s="2460"/>
      <c r="K7" s="2460"/>
      <c r="L7" s="2461"/>
      <c r="N7" s="2459" t="str">
        <f>"As of "&amp;TEXT($AG$2,"MM/DD/YY")</f>
        <v>As of 06/30/18</v>
      </c>
      <c r="O7" s="2460"/>
      <c r="P7" s="2460"/>
      <c r="Q7" s="2460"/>
      <c r="R7" s="2460"/>
      <c r="S7" s="2460"/>
      <c r="T7" s="2460"/>
      <c r="U7" s="2460"/>
      <c r="V7" s="2461"/>
      <c r="W7" s="1597"/>
      <c r="X7" s="2462" t="s">
        <v>3316</v>
      </c>
      <c r="Y7" s="2460"/>
      <c r="Z7" s="2461"/>
      <c r="AC7" s="1193" t="s">
        <v>628</v>
      </c>
      <c r="AD7" s="2463">
        <v>1</v>
      </c>
      <c r="AE7" s="1193" t="s">
        <v>629</v>
      </c>
      <c r="AF7" s="2463">
        <v>-0.3</v>
      </c>
    </row>
    <row r="8" spans="2:33" s="6" customFormat="1" ht="25.5">
      <c r="B8" s="2464" t="s">
        <v>455</v>
      </c>
      <c r="C8" s="2465"/>
      <c r="D8" s="2466" t="s">
        <v>442</v>
      </c>
      <c r="E8" s="2467" t="s">
        <v>24</v>
      </c>
      <c r="F8" s="2467" t="s">
        <v>25</v>
      </c>
      <c r="G8" s="2467" t="s">
        <v>26</v>
      </c>
      <c r="H8" s="2467" t="s">
        <v>27</v>
      </c>
      <c r="I8" s="2467" t="s">
        <v>28</v>
      </c>
      <c r="J8" s="2467" t="s">
        <v>29</v>
      </c>
      <c r="K8" s="2467" t="s">
        <v>30</v>
      </c>
      <c r="L8" s="2468" t="s">
        <v>31</v>
      </c>
      <c r="M8" s="260"/>
      <c r="N8" s="2466" t="s">
        <v>442</v>
      </c>
      <c r="O8" s="2467" t="s">
        <v>24</v>
      </c>
      <c r="P8" s="2467" t="s">
        <v>25</v>
      </c>
      <c r="Q8" s="2467" t="s">
        <v>26</v>
      </c>
      <c r="R8" s="2467" t="s">
        <v>27</v>
      </c>
      <c r="S8" s="2467" t="s">
        <v>28</v>
      </c>
      <c r="T8" s="2467" t="s">
        <v>29</v>
      </c>
      <c r="U8" s="2467" t="s">
        <v>30</v>
      </c>
      <c r="V8" s="2468" t="s">
        <v>31</v>
      </c>
      <c r="W8" s="2469"/>
      <c r="X8" s="2466" t="s">
        <v>3317</v>
      </c>
      <c r="Y8" s="2467" t="s">
        <v>24</v>
      </c>
      <c r="Z8" s="2468" t="s">
        <v>31</v>
      </c>
      <c r="AA8" s="260"/>
      <c r="AB8" s="260"/>
      <c r="AC8" s="77" t="s">
        <v>38</v>
      </c>
    </row>
    <row r="9" spans="2:33" ht="12.75" customHeight="1">
      <c r="B9" s="240"/>
      <c r="C9" s="240"/>
      <c r="D9" s="240"/>
      <c r="N9" s="240"/>
      <c r="AC9" s="84"/>
    </row>
    <row r="10" spans="2:33" s="53" customFormat="1" ht="12.75" customHeight="1">
      <c r="B10" s="46" t="s">
        <v>1688</v>
      </c>
      <c r="C10" s="46"/>
      <c r="D10" s="46"/>
      <c r="E10" s="310"/>
      <c r="F10" s="310"/>
      <c r="G10" s="310"/>
      <c r="H10" s="310"/>
      <c r="I10" s="310"/>
      <c r="J10" s="310"/>
      <c r="K10" s="310"/>
      <c r="L10" s="310"/>
      <c r="N10" s="46"/>
      <c r="O10" s="310"/>
      <c r="P10" s="310"/>
      <c r="Q10" s="310"/>
      <c r="R10" s="310"/>
      <c r="S10" s="310"/>
      <c r="T10" s="310"/>
      <c r="U10" s="310"/>
      <c r="V10" s="310"/>
      <c r="Y10" s="1524"/>
    </row>
    <row r="11" spans="2:33" ht="12.75" customHeight="1">
      <c r="B11" s="378" t="str">
        <f>'Capital IQ Sheet-GPC'!C13</f>
        <v>Novo Nordisk A/S</v>
      </c>
      <c r="C11" s="2470"/>
      <c r="D11" s="2471">
        <f>'Capital IQ Sheet-GPC'!BE13</f>
        <v>49.17136</v>
      </c>
      <c r="E11" s="2471">
        <f>'Capital IQ Sheet-GPC'!BF13</f>
        <v>119579.29502999999</v>
      </c>
      <c r="F11" s="2471">
        <f>'Capital IQ Sheet-GPC'!BG13</f>
        <v>273.19805000000002</v>
      </c>
      <c r="G11" s="2471" t="str">
        <f>'Capital IQ Sheet-GPC'!BH13</f>
        <v>n/a</v>
      </c>
      <c r="H11" s="2471" t="str">
        <f>'Capital IQ Sheet-GPC'!BI13</f>
        <v>n/a</v>
      </c>
      <c r="I11" s="2471">
        <f>SUM(F11:H11)</f>
        <v>273.19805000000002</v>
      </c>
      <c r="J11" s="2471">
        <f>SUM(E11:H11)</f>
        <v>119852.49308</v>
      </c>
      <c r="K11" s="2471">
        <f>'Capital IQ Sheet-GPC'!BJ13</f>
        <v>3040.3362200000001</v>
      </c>
      <c r="L11" s="2471">
        <f>IF(ISERROR(J11-K11), "n/a", J11-K11)</f>
        <v>116812.15686</v>
      </c>
      <c r="M11" s="312"/>
      <c r="N11" s="2471">
        <f>'Capital IQ Sheet-GPC'!I13</f>
        <v>46.34769</v>
      </c>
      <c r="O11" s="2471">
        <f>'Capital IQ Sheet-GPC'!J13</f>
        <v>112194.50996</v>
      </c>
      <c r="P11" s="2471">
        <f>'Capital IQ Sheet-GPC'!K13</f>
        <v>37.684269999999998</v>
      </c>
      <c r="Q11" s="2471" t="str">
        <f>'Capital IQ Sheet-GPC'!L13</f>
        <v>n/a</v>
      </c>
      <c r="R11" s="2471" t="str">
        <f>'Capital IQ Sheet-GPC'!M13</f>
        <v>n/a</v>
      </c>
      <c r="S11" s="2471">
        <f>SUM(P11:R11)</f>
        <v>37.684269999999998</v>
      </c>
      <c r="T11" s="2471">
        <f>SUM(O11:R11)</f>
        <v>112232.19422999999</v>
      </c>
      <c r="U11" s="2471">
        <f>'Capital IQ Sheet-GPC'!N13</f>
        <v>1737.6084000000001</v>
      </c>
      <c r="V11" s="2471">
        <f>IF(ISERROR(T11-U11), "n/a", T11-U11)</f>
        <v>110494.58583</v>
      </c>
      <c r="X11" s="1524">
        <f>IFERROR(IF(OR(N11/D11-1&gt;$AD$7,N11/D11-1&lt;$AF$7),"NM",N11/D11-1),"n/a")</f>
        <v>-5.7425094607918115E-2</v>
      </c>
      <c r="Y11" s="1524">
        <f>IFERROR(IF(OR(O11/E11-1&gt;$AD$7,O11/E11-1&lt;$AF$7),"NM",O11/E11-1),"n/a")</f>
        <v>-6.1756385736739028E-2</v>
      </c>
      <c r="Z11" s="1524">
        <f>IFERROR(IF(OR(V11/L11-1&gt;$AD$7,V11/L11-1&lt;$AF$7),"NM",V11/L11-1),"n/a")</f>
        <v>-5.4083163943044466E-2</v>
      </c>
      <c r="AB11" s="310">
        <f>1</f>
        <v>1</v>
      </c>
      <c r="AC11" s="82" t="str">
        <f>IF('MASTER PubCo Inputs'!C28="","",'MASTER PubCo Inputs'!C28)</f>
        <v>IQ323452</v>
      </c>
      <c r="AD11" s="310" t="str">
        <f>'Capital IQ Sheet-GPC'!AP13</f>
        <v>Novo Nordisk A/S, a healthcare company, engages in the discovery, development, manufacture, and marketing of pharmaceutical products worldwide. It operates in two segments, Diabetes Care and Obesity, and Biopharmaceuticals. The Diabetes Care and Obesity segment provides insulins, GLP-1 and related delivery systems, and oral anti-diabetic drugs and obesity. The Biopharmaceuticals segment offers products in the areas of haemophilia care, growth hormone therapy, and hormone replacement therapy. Novo Nordisk A/S has a research and licensing agreement with DUKE National University Singapore Medical School to develop stem cell-based treatments for chronic heart failure and age-related macular degeneration, as well as a research collaboration with Kallyope Inc. The company markets and distributes its products through distributors and independent agents. Novo Nordisk A/S was founded in 1925 and is headquartered in Bagsvaerd, Denmark.</v>
      </c>
    </row>
    <row r="12" spans="2:33" ht="12.75" customHeight="1">
      <c r="B12" s="378" t="str">
        <f>'Capital IQ Sheet-GPC'!C14</f>
        <v>Tonghua Dongbao Pharmaceutical Co., Ltd.</v>
      </c>
      <c r="C12" s="2470"/>
      <c r="D12" s="2471">
        <f>'Capital IQ Sheet-GPC'!BE14</f>
        <v>3.5520900000000002</v>
      </c>
      <c r="E12" s="2471">
        <f>'Capital IQ Sheet-GPC'!BF14</f>
        <v>7294.4171100000003</v>
      </c>
      <c r="F12" s="2471">
        <f>'Capital IQ Sheet-GPC'!BG14</f>
        <v>34.270769999999999</v>
      </c>
      <c r="G12" s="2471" t="str">
        <f>'Capital IQ Sheet-GPC'!BH14</f>
        <v>n/a</v>
      </c>
      <c r="H12" s="2471">
        <f>'Capital IQ Sheet-GPC'!BI14</f>
        <v>0.90691999999999995</v>
      </c>
      <c r="I12" s="2471">
        <f t="shared" ref="I12:I49" si="0">SUM(F12:H12)</f>
        <v>35.177689999999998</v>
      </c>
      <c r="J12" s="2471">
        <f t="shared" ref="J12:J49" si="1">SUM(E12:H12)</f>
        <v>7329.5948000000008</v>
      </c>
      <c r="K12" s="2471">
        <f>'Capital IQ Sheet-GPC'!BJ14</f>
        <v>52.994079999999997</v>
      </c>
      <c r="L12" s="2471">
        <f t="shared" ref="L12:L49" si="2">IF(ISERROR(J12-K12), "n/a", J12-K12)</f>
        <v>7276.6007200000004</v>
      </c>
      <c r="M12" s="312"/>
      <c r="N12" s="2471">
        <f>'Capital IQ Sheet-GPC'!I14</f>
        <v>3.6211700000000002</v>
      </c>
      <c r="O12" s="2471">
        <f>'Capital IQ Sheet-GPC'!J14</f>
        <v>7436.2830000000004</v>
      </c>
      <c r="P12" s="2471">
        <f>'Capital IQ Sheet-GPC'!K14</f>
        <v>0</v>
      </c>
      <c r="Q12" s="2471" t="str">
        <f>'Capital IQ Sheet-GPC'!L14</f>
        <v>n/a</v>
      </c>
      <c r="R12" s="2471">
        <f>'Capital IQ Sheet-GPC'!M14</f>
        <v>1.49579</v>
      </c>
      <c r="S12" s="2471">
        <f t="shared" ref="S12:S49" si="3">SUM(P12:R12)</f>
        <v>1.49579</v>
      </c>
      <c r="T12" s="2471">
        <f t="shared" ref="T12:T49" si="4">SUM(O12:R12)</f>
        <v>7437.7787900000003</v>
      </c>
      <c r="U12" s="2471">
        <f>'Capital IQ Sheet-GPC'!N14</f>
        <v>75.958299999999994</v>
      </c>
      <c r="V12" s="2471">
        <f t="shared" ref="V12:V49" si="5">IF(ISERROR(T12-U12), "n/a", T12-U12)</f>
        <v>7361.8204900000001</v>
      </c>
      <c r="X12" s="1524">
        <f t="shared" ref="X12:Y49" si="6">IFERROR(IF(OR(N12/D12-1&gt;$AD$7,N12/D12-1&lt;$AF$7),"NM",N12/D12-1),"n/a")</f>
        <v>1.9447705435391649E-2</v>
      </c>
      <c r="Y12" s="1524">
        <f t="shared" si="6"/>
        <v>1.9448557418729751E-2</v>
      </c>
      <c r="Z12" s="1524">
        <f t="shared" ref="Z12:Z49" si="7">IFERROR(IF(OR(V12/L12-1&gt;$AD$7,V12/L12-1&lt;$AF$7),"NM",V12/L12-1),"n/a")</f>
        <v>1.171148085200957E-2</v>
      </c>
      <c r="AB12" s="310">
        <f>AB11</f>
        <v>1</v>
      </c>
      <c r="AC12" s="82" t="str">
        <f>IF('MASTER PubCo Inputs'!C29="","",'MASTER PubCo Inputs'!C29)</f>
        <v>IQ11419352</v>
      </c>
      <c r="AD12" s="310" t="str">
        <f>'Capital IQ Sheet-GPC'!AP14</f>
        <v>Tonghua Dongbao Pharmaceutical Co., Ltd. researches and develops, manufactures, and sells pharmaceutical products for the treatment of diabetes and cardiovascular-based diseases in China. The company operates through Pharmaceutical Industry and Building Materials Industry segments. It lead product portfolio includes insulin analogues, such as insulin glargine, Insulin aspart, insulin detemir, and insulin lispro; antidiabetic drug agonist products; oral hypoglycemic agents; and Zhen Nao Ning and Nao Xue Kang capsules, as well as Gan Shulin pens, blood glucose meters, and other medical devices. The company is also involved in developing Y-PEG of recombinant human interferon a 2b injection, which has been completed Phase III clinical stage to treat chronic hepatitis C (2,3 gene type) and chronic hepatitis B III; Y-PEG a recombinant human granulocyte colony-stimulating factor injection that is in Phase II clinical stage for the treatment of chemotherapy-induced neutropenia; Y-PEG injection of recombinant human growth hormone, which is in Phase II clinical stage to treat short stature and growth hormone deficiency; and Y-PEG of recombinant human interferon a 2a injection that is in Phase II clinical stage to treat chronic hepatitis B and hepatitis C. It offers building materials comprising plastic windows and sections; and other products. The company has a strategic alliance with Adocia. Tonghua Dongbao Pharmaceutical Co., Ltd. was founded in 1985 and is based in Tonghua, China.</v>
      </c>
    </row>
    <row r="13" spans="2:33" ht="12.75" customHeight="1">
      <c r="B13" s="378" t="str">
        <f>'Capital IQ Sheet-GPC'!C15</f>
        <v>3SBio Inc.</v>
      </c>
      <c r="C13" s="2470"/>
      <c r="D13" s="2471">
        <f>'Capital IQ Sheet-GPC'!BE15</f>
        <v>2.2525599999999999</v>
      </c>
      <c r="E13" s="2471">
        <f>'Capital IQ Sheet-GPC'!BF15</f>
        <v>5718.79781</v>
      </c>
      <c r="F13" s="2471">
        <f>'Capital IQ Sheet-GPC'!BG15</f>
        <v>365.55482000000001</v>
      </c>
      <c r="G13" s="2471" t="str">
        <f>'Capital IQ Sheet-GPC'!BH15</f>
        <v>n/a</v>
      </c>
      <c r="H13" s="2471">
        <f>'Capital IQ Sheet-GPC'!BI15</f>
        <v>35.492719999999998</v>
      </c>
      <c r="I13" s="2471">
        <f t="shared" si="0"/>
        <v>401.04754000000003</v>
      </c>
      <c r="J13" s="2471">
        <f t="shared" si="1"/>
        <v>6119.8453500000005</v>
      </c>
      <c r="K13" s="2471">
        <f>'Capital IQ Sheet-GPC'!BJ15</f>
        <v>77.25121</v>
      </c>
      <c r="L13" s="2471">
        <f t="shared" si="2"/>
        <v>6042.5941400000002</v>
      </c>
      <c r="M13" s="312"/>
      <c r="N13" s="2471">
        <f>'Capital IQ Sheet-GPC'!I15</f>
        <v>2.2711299999999999</v>
      </c>
      <c r="O13" s="2471">
        <f>'Capital IQ Sheet-GPC'!J15</f>
        <v>5765.9263099999998</v>
      </c>
      <c r="P13" s="2471">
        <f>'Capital IQ Sheet-GPC'!K15</f>
        <v>677.16830000000004</v>
      </c>
      <c r="Q13" s="2471" t="str">
        <f>'Capital IQ Sheet-GPC'!L15</f>
        <v>n/a</v>
      </c>
      <c r="R13" s="2471">
        <f>'Capital IQ Sheet-GPC'!M15</f>
        <v>35.787419999999997</v>
      </c>
      <c r="S13" s="2471">
        <f t="shared" si="3"/>
        <v>712.95572000000004</v>
      </c>
      <c r="T13" s="2471">
        <f t="shared" si="4"/>
        <v>6478.8820299999998</v>
      </c>
      <c r="U13" s="2471">
        <f>'Capital IQ Sheet-GPC'!N15</f>
        <v>476.92147999999997</v>
      </c>
      <c r="V13" s="2471">
        <f t="shared" si="5"/>
        <v>6001.9605499999998</v>
      </c>
      <c r="X13" s="1524">
        <f t="shared" si="6"/>
        <v>8.2439535461873437E-3</v>
      </c>
      <c r="Y13" s="1524">
        <f t="shared" si="6"/>
        <v>8.2409802839313873E-3</v>
      </c>
      <c r="Z13" s="1524">
        <f t="shared" si="7"/>
        <v>-6.7245274229190688E-3</v>
      </c>
      <c r="AB13" s="310">
        <f t="shared" ref="AB13:AB19" si="8">AB12</f>
        <v>1</v>
      </c>
      <c r="AC13" s="82" t="str">
        <f>IF('MASTER PubCo Inputs'!C30="","",'MASTER PubCo Inputs'!C30)</f>
        <v>IQ24164591</v>
      </c>
      <c r="AD13" s="310" t="str">
        <f>'Capital IQ Sheet-GPC'!AP15</f>
        <v>3SBio Inc. develops, manufactures, markets, and sells biopharmaceuticals. The company’s primary products include TPIAO, a recombinant human thrombopoietin for thrombocytopenia; Yisaipu, a tumour necrosis factor for treating rheumatoid arthritis, ankylosing spondylitis, and psoriasis; and EPIAO, a recombinant human erythropoietin for the treatment of anemia associated with chronic kidney disease (CKD), chemotherapy-induced anemia, and reduction of allogeneic blood transfusion in surgery patients. Its primary products also comprise SEPO, a recombinant human erythropoietin for anemia associated with CKD and chemotherapy; Byetta/Bydureon, an exenatide injection to improve glycemic control in adults with type-2 diabetes mellitus; and Qiming Keli for retinopathy caused by type-2 diabetes. In addition, the company offers Ruisiyi to treat advanced breast cancer; Wanwei for treating vomiting caused by cytotoxic chemotherapy; and Intefen to treat lymphatic or hematopoietic malignancies and viral infections. Further, it provides Inleusin for renal cell carcinoma, melanoma, thoracic fluid build-up caused by cancer, and tuberculosis; Etanercept for moderate to severe rheumatoid arthritis and plaque psoriasis, and active ankylosing spondylitis; and Sparin for prophylaxis and vein thrombosis, and to prevent clotting during hemodialysis. Additionally, the company offers Mandi for male-pattern alopecia and alopecia areata; Aiyishu for iron-deficiency anemia; Disu to prevent and treat chronic bronchitis, colds, and asthma; Jiannipai to prevent acute rejection after renal transplantation; and Humulin for diabetes, as well as contract development and manufacturing, trading, project management and consultation, and technology services. The company markets its products through in-house sales and marketing team, as well as distributors and third-party promoters. 3SBio Inc. was incorporated in 2006 and is headquartered in Shenyang, the People’s Republic of China.</v>
      </c>
    </row>
    <row r="14" spans="2:33" ht="12.75" customHeight="1">
      <c r="B14" s="378" t="str">
        <f>'Capital IQ Sheet-GPC'!C16</f>
        <v>Luye Pharma Group Ltd.</v>
      </c>
      <c r="C14" s="2470"/>
      <c r="D14" s="2471">
        <f>'Capital IQ Sheet-GPC'!BE16</f>
        <v>0.95682999999999996</v>
      </c>
      <c r="E14" s="2471">
        <f>'Capital IQ Sheet-GPC'!BF16</f>
        <v>3133.5827599999998</v>
      </c>
      <c r="F14" s="2471">
        <f>'Capital IQ Sheet-GPC'!BG16</f>
        <v>469.91534000000001</v>
      </c>
      <c r="G14" s="2471" t="str">
        <f>'Capital IQ Sheet-GPC'!BH16</f>
        <v>n/a</v>
      </c>
      <c r="H14" s="2471">
        <f>'Capital IQ Sheet-GPC'!BI16</f>
        <v>20.05059</v>
      </c>
      <c r="I14" s="2471">
        <f t="shared" si="0"/>
        <v>489.96593000000001</v>
      </c>
      <c r="J14" s="2471">
        <f t="shared" si="1"/>
        <v>3623.5486899999996</v>
      </c>
      <c r="K14" s="2471">
        <f>'Capital IQ Sheet-GPC'!BJ16</f>
        <v>341.53370000000001</v>
      </c>
      <c r="L14" s="2471">
        <f t="shared" si="2"/>
        <v>3282.0149899999997</v>
      </c>
      <c r="M14" s="312"/>
      <c r="N14" s="2471">
        <f>'Capital IQ Sheet-GPC'!I16</f>
        <v>1.02596</v>
      </c>
      <c r="O14" s="2471">
        <f>'Capital IQ Sheet-GPC'!J16</f>
        <v>3359.9747900000002</v>
      </c>
      <c r="P14" s="2471">
        <f>'Capital IQ Sheet-GPC'!K16</f>
        <v>439.75547999999998</v>
      </c>
      <c r="Q14" s="2471" t="str">
        <f>'Capital IQ Sheet-GPC'!L16</f>
        <v>n/a</v>
      </c>
      <c r="R14" s="2471">
        <f>'Capital IQ Sheet-GPC'!M16</f>
        <v>19.597180000000002</v>
      </c>
      <c r="S14" s="2471">
        <f t="shared" si="3"/>
        <v>459.35265999999996</v>
      </c>
      <c r="T14" s="2471">
        <f t="shared" si="4"/>
        <v>3819.3274500000002</v>
      </c>
      <c r="U14" s="2471">
        <f>'Capital IQ Sheet-GPC'!N16</f>
        <v>419.44011999999998</v>
      </c>
      <c r="V14" s="2471">
        <f t="shared" si="5"/>
        <v>3399.8873300000005</v>
      </c>
      <c r="X14" s="1524">
        <f t="shared" si="6"/>
        <v>7.2248988848593765E-2</v>
      </c>
      <c r="Y14" s="1524">
        <f t="shared" si="6"/>
        <v>7.2247024361341783E-2</v>
      </c>
      <c r="Z14" s="1524">
        <f t="shared" si="7"/>
        <v>3.5914625728141747E-2</v>
      </c>
      <c r="AB14" s="310">
        <f t="shared" si="8"/>
        <v>1</v>
      </c>
      <c r="AC14" s="82" t="str">
        <f>IF('MASTER PubCo Inputs'!C31="","",'MASTER PubCo Inputs'!C31)</f>
        <v>IQ9994690</v>
      </c>
      <c r="AD14" s="310" t="str">
        <f>'Capital IQ Sheet-GPC'!AP16</f>
        <v>Luye Pharma Group Ltd., an investment holding company, develops, produces, markets, and sells pharmaceutical products. The company offers Maitongna for cerebral edema and edema caused by trauma; Xuezhikang, a blood lipid regulator capsule; Tiandida for ovarian or non-small cell lung cancer; Yitaida for acute promyelocytic leukemia and liver cancer; CMNa for tumor radiotherapy; LIPUSU for ovarian, metastatic ovarian, breast, and non-small-cell lung cancer patient; Nuosen for acute upper digestive tract hemorrhage; Bei Tang Ning, a capsule to control blood glucose in patients with type 2 diabetes; Bei Xi, an acarbose capsule for diabetes; and LUTINGNUO, reduced glutathione injection for toxicity, and injuries caused by ionizing radiation, as well as for hypoxemia. It also provides Glucosamine Hydrochloride tablets for osteoarthritis; Xi Ming Ting largetrifoliolious bugbane rhizome total saponin tablets for invigorating splenic yang and relieving depression, and treating perimenopausal syndrome in females, as well as improving the symptoms of hot flashes, sweating, irritability, insomnia, hypochondriac pain, dizziness and tinnitus, aching pain of waist and knee, melancholy, unhappy, etc. In addition, the company provides Oukai sodium aescinate tablets for soft tissue swelling and venous edema; Oulai, a compound sodium aescinate gel for local swelling induced by inflammation, degenerative lesion, and trauma; Sidinuo for osteoporosis and relieving pain induced by osteoporosis; Outong, a capsaicin gel; and Jinsiping selegiline hydrochloride tablets for Parkinson’s disease. Further, it distributes, sells, and retails pharmaceutical drugs; manufactures and sells eggs; and provides business and investment consultation, as well as contract research, process development, and manufacturing services. The company has strategic collaboration with Excel BioPharm LLC. The company was founded in 1994 and is headquartered in Yantai, the People’s Republic of China.</v>
      </c>
    </row>
    <row r="15" spans="2:33" ht="12.75" customHeight="1">
      <c r="B15" s="378" t="str">
        <f>'Capital IQ Sheet-GPC'!C17</f>
        <v>Intercept Pharmaceuticals, Inc.</v>
      </c>
      <c r="C15" s="2470"/>
      <c r="D15" s="2471">
        <f>'Capital IQ Sheet-GPC'!BE17</f>
        <v>61.52</v>
      </c>
      <c r="E15" s="2471">
        <f>'Capital IQ Sheet-GPC'!BF17</f>
        <v>1548.6231499999999</v>
      </c>
      <c r="F15" s="2471">
        <f>'Capital IQ Sheet-GPC'!BG17</f>
        <v>355.67700000000002</v>
      </c>
      <c r="G15" s="2471" t="str">
        <f>'Capital IQ Sheet-GPC'!BH17</f>
        <v>n/a</v>
      </c>
      <c r="H15" s="2471" t="str">
        <f>'Capital IQ Sheet-GPC'!BI17</f>
        <v>n/a</v>
      </c>
      <c r="I15" s="2471">
        <f t="shared" si="0"/>
        <v>355.67700000000002</v>
      </c>
      <c r="J15" s="2471">
        <f t="shared" si="1"/>
        <v>1904.30015</v>
      </c>
      <c r="K15" s="2471">
        <f>'Capital IQ Sheet-GPC'!BJ17</f>
        <v>414.91699999999997</v>
      </c>
      <c r="L15" s="2471">
        <f t="shared" si="2"/>
        <v>1489.3831500000001</v>
      </c>
      <c r="M15" s="312"/>
      <c r="N15" s="2471">
        <f>'Capital IQ Sheet-GPC'!I17</f>
        <v>83.91</v>
      </c>
      <c r="O15" s="2471">
        <f>'Capital IQ Sheet-GPC'!J17</f>
        <v>2482.30575</v>
      </c>
      <c r="P15" s="2471">
        <f>'Capital IQ Sheet-GPC'!K17</f>
        <v>359.44900000000001</v>
      </c>
      <c r="Q15" s="2471" t="str">
        <f>'Capital IQ Sheet-GPC'!L17</f>
        <v>n/a</v>
      </c>
      <c r="R15" s="2471" t="str">
        <f>'Capital IQ Sheet-GPC'!M17</f>
        <v>n/a</v>
      </c>
      <c r="S15" s="2471">
        <f t="shared" si="3"/>
        <v>359.44900000000001</v>
      </c>
      <c r="T15" s="2471">
        <f t="shared" si="4"/>
        <v>2841.7547500000001</v>
      </c>
      <c r="U15" s="2471">
        <f>'Capital IQ Sheet-GPC'!N17</f>
        <v>326.09199999999998</v>
      </c>
      <c r="V15" s="2471">
        <f t="shared" si="5"/>
        <v>2515.66275</v>
      </c>
      <c r="X15" s="1524">
        <f t="shared" si="6"/>
        <v>0.36394668400520147</v>
      </c>
      <c r="Y15" s="1524">
        <f t="shared" si="6"/>
        <v>0.60291143135759029</v>
      </c>
      <c r="Z15" s="1524">
        <f t="shared" si="7"/>
        <v>0.68906352270737026</v>
      </c>
      <c r="AB15" s="310">
        <f t="shared" si="8"/>
        <v>1</v>
      </c>
      <c r="AC15" s="82" t="str">
        <f>IF('MASTER PubCo Inputs'!C32="","",'MASTER PubCo Inputs'!C32)</f>
        <v>IQ11382658</v>
      </c>
      <c r="AD15" s="310" t="str">
        <f>'Capital IQ Sheet-GPC'!AP17</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6" spans="2:33" ht="12.75" customHeight="1">
      <c r="B16" s="378" t="str">
        <f>'Capital IQ Sheet-GPC'!C18</f>
        <v>The United Laboratories International Holdings Limited</v>
      </c>
      <c r="C16" s="2470"/>
      <c r="D16" s="2471">
        <f>'Capital IQ Sheet-GPC'!BE18</f>
        <v>1.03582</v>
      </c>
      <c r="E16" s="2471">
        <f>'Capital IQ Sheet-GPC'!BF18</f>
        <v>1685.1526799999999</v>
      </c>
      <c r="F16" s="2471">
        <f>'Capital IQ Sheet-GPC'!BG18</f>
        <v>824.84756000000004</v>
      </c>
      <c r="G16" s="2471" t="str">
        <f>'Capital IQ Sheet-GPC'!BH18</f>
        <v>n/a</v>
      </c>
      <c r="H16" s="2471" t="str">
        <f>'Capital IQ Sheet-GPC'!BI18</f>
        <v>n/a</v>
      </c>
      <c r="I16" s="2471">
        <f t="shared" si="0"/>
        <v>824.84756000000004</v>
      </c>
      <c r="J16" s="2471">
        <f t="shared" si="1"/>
        <v>2510.0002399999998</v>
      </c>
      <c r="K16" s="2471">
        <f>'Capital IQ Sheet-GPC'!BJ18</f>
        <v>224.50315000000001</v>
      </c>
      <c r="L16" s="2471">
        <f t="shared" si="2"/>
        <v>2285.4970899999998</v>
      </c>
      <c r="M16" s="312"/>
      <c r="N16" s="2471">
        <f>'Capital IQ Sheet-GPC'!I18</f>
        <v>1.04125</v>
      </c>
      <c r="O16" s="2471">
        <f>'Capital IQ Sheet-GPC'!J18</f>
        <v>1705.28388</v>
      </c>
      <c r="P16" s="2471">
        <f>'Capital IQ Sheet-GPC'!K18</f>
        <v>746.46118999999999</v>
      </c>
      <c r="Q16" s="2471" t="str">
        <f>'Capital IQ Sheet-GPC'!L18</f>
        <v>n/a</v>
      </c>
      <c r="R16" s="2471" t="str">
        <f>'Capital IQ Sheet-GPC'!M18</f>
        <v>n/a</v>
      </c>
      <c r="S16" s="2471">
        <f t="shared" si="3"/>
        <v>746.46118999999999</v>
      </c>
      <c r="T16" s="2471">
        <f t="shared" si="4"/>
        <v>2451.7450699999999</v>
      </c>
      <c r="U16" s="2471">
        <f>'Capital IQ Sheet-GPC'!N18</f>
        <v>244.9426</v>
      </c>
      <c r="V16" s="2471">
        <f t="shared" si="5"/>
        <v>2206.8024700000001</v>
      </c>
      <c r="X16" s="1524">
        <f t="shared" si="6"/>
        <v>5.2422235523545968E-3</v>
      </c>
      <c r="Y16" s="1524">
        <f t="shared" si="6"/>
        <v>1.194621724127698E-2</v>
      </c>
      <c r="Z16" s="1524">
        <f t="shared" si="7"/>
        <v>-3.4432168102213501E-2</v>
      </c>
      <c r="AB16" s="310">
        <f t="shared" si="8"/>
        <v>1</v>
      </c>
      <c r="AC16" s="82" t="str">
        <f>IF('MASTER PubCo Inputs'!C33="","",'MASTER PubCo Inputs'!C33)</f>
        <v>IQ34724429</v>
      </c>
      <c r="AD16" s="310" t="str">
        <f>'Capital IQ Sheet-GPC'!AP18</f>
        <v>The United Laboratories International Holdings Limited, an investment holding company, manufactures and sells pharmaceutical products. It operates in three segments: Intermediate Products, Bulk Medicine, and Finished Products. The company offers oral antibiotics, antimicrobials for injection, anti-cold products, cough medicines, ophthalmic drugs, antiviral drugs, anti-hepatitis B drugs, diabetes drugs, skin drugs for external use, cardiovascular and cerebrovascular drugs, nervous system drugs, vitamins, and vacant gelatin capsules, as well as non-antibiotics finished products and soft capsule casings. It also provides chemical pharmaceuticals, including anti-cancer drugs and various antibiotics. In addition, the company manufactures and sells organic fertilizers; holds trademarks; trades in pharmaceutical products; and offers management services. It has operations in the People's Republic of China, Europe, India, Hong Kong, the Middle East, South America, other Asian regions, and other regions. The company was founded in 1990 and is headquartered in Yuen Long, Hong Kong. The United Laboratories International Holdings Limited is a subsidiary of Heren Far East Limited.</v>
      </c>
    </row>
    <row r="17" spans="2:30" ht="12.75" customHeight="1">
      <c r="B17" s="378" t="str">
        <f>'Capital IQ Sheet-GPC'!C19</f>
        <v>Corcept Therapeutics Incorporated</v>
      </c>
      <c r="C17" s="2470"/>
      <c r="D17" s="2471">
        <f>'Capital IQ Sheet-GPC'!BE19</f>
        <v>16.45</v>
      </c>
      <c r="E17" s="2471">
        <f>'Capital IQ Sheet-GPC'!BF19</f>
        <v>1888.9591800000001</v>
      </c>
      <c r="F17" s="2471">
        <f>'Capital IQ Sheet-GPC'!BG19</f>
        <v>0</v>
      </c>
      <c r="G17" s="2471" t="str">
        <f>'Capital IQ Sheet-GPC'!BH19</f>
        <v>n/a</v>
      </c>
      <c r="H17" s="2471" t="str">
        <f>'Capital IQ Sheet-GPC'!BI19</f>
        <v>n/a</v>
      </c>
      <c r="I17" s="2471">
        <f t="shared" si="0"/>
        <v>0</v>
      </c>
      <c r="J17" s="2471">
        <f t="shared" si="1"/>
        <v>1888.9591800000001</v>
      </c>
      <c r="K17" s="2471">
        <f>'Capital IQ Sheet-GPC'!BJ19</f>
        <v>88.744</v>
      </c>
      <c r="L17" s="2471">
        <f t="shared" si="2"/>
        <v>1800.2151800000001</v>
      </c>
      <c r="M17" s="312"/>
      <c r="N17" s="2471">
        <f>'Capital IQ Sheet-GPC'!I19</f>
        <v>15.72</v>
      </c>
      <c r="O17" s="2471">
        <f>'Capital IQ Sheet-GPC'!J19</f>
        <v>1811.4944</v>
      </c>
      <c r="P17" s="2471">
        <f>'Capital IQ Sheet-GPC'!K19</f>
        <v>0</v>
      </c>
      <c r="Q17" s="2471" t="str">
        <f>'Capital IQ Sheet-GPC'!L19</f>
        <v>n/a</v>
      </c>
      <c r="R17" s="2471" t="str">
        <f>'Capital IQ Sheet-GPC'!M19</f>
        <v>n/a</v>
      </c>
      <c r="S17" s="2471">
        <f t="shared" si="3"/>
        <v>0</v>
      </c>
      <c r="T17" s="2471">
        <f t="shared" si="4"/>
        <v>1811.4944</v>
      </c>
      <c r="U17" s="2471">
        <f>'Capital IQ Sheet-GPC'!N19</f>
        <v>125.36199999999999</v>
      </c>
      <c r="V17" s="2471">
        <f t="shared" si="5"/>
        <v>1686.1324</v>
      </c>
      <c r="X17" s="1524">
        <f t="shared" si="6"/>
        <v>-4.4376899696048522E-2</v>
      </c>
      <c r="Y17" s="1524">
        <f t="shared" si="6"/>
        <v>-4.1009239807924258E-2</v>
      </c>
      <c r="Z17" s="1524">
        <f t="shared" si="7"/>
        <v>-6.3371746481995617E-2</v>
      </c>
      <c r="AB17" s="310">
        <f t="shared" si="8"/>
        <v>1</v>
      </c>
      <c r="AC17" s="82" t="str">
        <f>IF('MASTER PubCo Inputs'!C34="","",'MASTER PubCo Inputs'!C34)</f>
        <v>IQ1423826</v>
      </c>
      <c r="AD17" s="310" t="str">
        <f>'Capital IQ Sheet-GPC'!AP19</f>
        <v>Corcept Therapeutics Incorporated, a pharmaceutical company, discovers, develops, and commercializes drugs for the treatment of severe metabolic, oncologic, and psychiatric disorders in the United States. The company offers Korlym (mifepristone) tablets as a once-daily oral medication for the treatment of hyperglycemia secondary to hypercortisolism in adult patients with endogenous Cushing’s syndrome, who have type 2 diabetes mellitus or glucose intolerance, and have failed surgery or are not candidates for surgery, as well as develops CLIA-validated assay to measure FKBP5 gene expression. It is developing relacorilant that is in a Phase II trial to treat patients with Cushing’s syndrome; abraxane in combination with relacorilant, which is in Phase I/II open label trial to treat solid tumors; and selective cortisol modulator CORT125281 combined with Xtandi that is in open label Phase I/II trial to treat patients with metastatic castration-resistant prostate cancer. The company is also developing CORT118335 selective cortisol modulator, which is in Phase I/II open label trial for the treatment of antipsychotic-induced weight gain and non-alcoholic steatotic hepatitis. Corcept Therapeutics Incorporated was founded in 1998 and is headquartered in Menlo Park, California.</v>
      </c>
    </row>
    <row r="18" spans="2:30" ht="12.75" customHeight="1">
      <c r="B18" s="378" t="str">
        <f>'Capital IQ Sheet-GPC'!C20</f>
        <v>MannKind Corporation</v>
      </c>
      <c r="C18" s="2470"/>
      <c r="D18" s="2471">
        <f>'Capital IQ Sheet-GPC'!BE20</f>
        <v>2.2799999999999998</v>
      </c>
      <c r="E18" s="2471">
        <f>'Capital IQ Sheet-GPC'!BF20</f>
        <v>280.46589</v>
      </c>
      <c r="F18" s="2471">
        <f>'Capital IQ Sheet-GPC'!BG20</f>
        <v>156.822</v>
      </c>
      <c r="G18" s="2471" t="str">
        <f>'Capital IQ Sheet-GPC'!BH20</f>
        <v>n/a</v>
      </c>
      <c r="H18" s="2471" t="str">
        <f>'Capital IQ Sheet-GPC'!BI20</f>
        <v>n/a</v>
      </c>
      <c r="I18" s="2471">
        <f t="shared" si="0"/>
        <v>156.822</v>
      </c>
      <c r="J18" s="2471">
        <f t="shared" si="1"/>
        <v>437.28789</v>
      </c>
      <c r="K18" s="2471">
        <f>'Capital IQ Sheet-GPC'!BJ20</f>
        <v>43.945999999999998</v>
      </c>
      <c r="L18" s="2471">
        <f t="shared" si="2"/>
        <v>393.34189000000003</v>
      </c>
      <c r="M18" s="312"/>
      <c r="N18" s="2471">
        <f>'Capital IQ Sheet-GPC'!I20</f>
        <v>1.9</v>
      </c>
      <c r="O18" s="2471">
        <f>'Capital IQ Sheet-GPC'!J20</f>
        <v>266.04825</v>
      </c>
      <c r="P18" s="2471">
        <f>'Capital IQ Sheet-GPC'!K20</f>
        <v>140.26900000000001</v>
      </c>
      <c r="Q18" s="2471" t="str">
        <f>'Capital IQ Sheet-GPC'!L20</f>
        <v>n/a</v>
      </c>
      <c r="R18" s="2471" t="str">
        <f>'Capital IQ Sheet-GPC'!M20</f>
        <v>n/a</v>
      </c>
      <c r="S18" s="2471">
        <f t="shared" si="3"/>
        <v>140.26900000000001</v>
      </c>
      <c r="T18" s="2471">
        <f t="shared" si="4"/>
        <v>406.31725</v>
      </c>
      <c r="U18" s="2471">
        <f>'Capital IQ Sheet-GPC'!N20</f>
        <v>26.706</v>
      </c>
      <c r="V18" s="2471">
        <f t="shared" si="5"/>
        <v>379.61124999999998</v>
      </c>
      <c r="X18" s="1524">
        <f t="shared" si="6"/>
        <v>-0.16666666666666663</v>
      </c>
      <c r="Y18" s="1524">
        <f t="shared" si="6"/>
        <v>-5.1406037290310125E-2</v>
      </c>
      <c r="Z18" s="1524">
        <f t="shared" si="7"/>
        <v>-3.490764739041663E-2</v>
      </c>
      <c r="AB18" s="310">
        <f t="shared" si="8"/>
        <v>1</v>
      </c>
      <c r="AC18" s="82" t="str">
        <f>IF('MASTER PubCo Inputs'!C35="","",'MASTER PubCo Inputs'!C35)</f>
        <v>IQ9282918</v>
      </c>
      <c r="AD18" s="310" t="str">
        <f>'Capital IQ Sheet-GPC'!AP20</f>
        <v>MannKind Corporation, a biopharmaceutical company, focuses on the development and commercialization of inhaled therapeutic products for diabetes and pulmonary arterial hypertension patients. It offers Afrezza, a dry powder formulation of human insulin that controls high blood sugar in adults with type 1 and type 2 diabetes in the United States. The company was founded in 1991 and is headquartered in Westlake Village, California.</v>
      </c>
    </row>
    <row r="19" spans="2:30" ht="12.75" customHeight="1">
      <c r="B19" s="378" t="str">
        <f>'Capital IQ Sheet-GPC'!C21</f>
        <v>Zealand Pharma A/S</v>
      </c>
      <c r="C19" s="2470"/>
      <c r="D19" s="2471">
        <f>'Capital IQ Sheet-GPC'!BE21</f>
        <v>15.387740000000001</v>
      </c>
      <c r="E19" s="2471">
        <f>'Capital IQ Sheet-GPC'!BF21</f>
        <v>472.20526999999998</v>
      </c>
      <c r="F19" s="2471">
        <f>'Capital IQ Sheet-GPC'!BG21</f>
        <v>21.890360000000001</v>
      </c>
      <c r="G19" s="2471" t="str">
        <f>'Capital IQ Sheet-GPC'!BH21</f>
        <v>n/a</v>
      </c>
      <c r="H19" s="2471" t="str">
        <f>'Capital IQ Sheet-GPC'!BI21</f>
        <v>n/a</v>
      </c>
      <c r="I19" s="2471">
        <f t="shared" si="0"/>
        <v>21.890360000000001</v>
      </c>
      <c r="J19" s="2471">
        <f t="shared" si="1"/>
        <v>494.09562999999997</v>
      </c>
      <c r="K19" s="2471">
        <f>'Capital IQ Sheet-GPC'!BJ21</f>
        <v>107.05831999999999</v>
      </c>
      <c r="L19" s="2471">
        <f t="shared" si="2"/>
        <v>387.03730999999999</v>
      </c>
      <c r="M19" s="312"/>
      <c r="N19" s="2471">
        <f>'Capital IQ Sheet-GPC'!I21</f>
        <v>13.15272</v>
      </c>
      <c r="O19" s="2471">
        <f>'Capital IQ Sheet-GPC'!J21</f>
        <v>403.61899</v>
      </c>
      <c r="P19" s="2471">
        <f>'Capital IQ Sheet-GPC'!K21</f>
        <v>22.171900000000001</v>
      </c>
      <c r="Q19" s="2471" t="str">
        <f>'Capital IQ Sheet-GPC'!L21</f>
        <v>n/a</v>
      </c>
      <c r="R19" s="2471" t="str">
        <f>'Capital IQ Sheet-GPC'!M21</f>
        <v>n/a</v>
      </c>
      <c r="S19" s="2471">
        <f t="shared" si="3"/>
        <v>22.171900000000001</v>
      </c>
      <c r="T19" s="2471">
        <f t="shared" si="4"/>
        <v>425.79088999999999</v>
      </c>
      <c r="U19" s="2471">
        <f>'Capital IQ Sheet-GPC'!N21</f>
        <v>92.739000000000004</v>
      </c>
      <c r="V19" s="2471">
        <f t="shared" si="5"/>
        <v>333.05188999999996</v>
      </c>
      <c r="X19" s="1524">
        <f t="shared" si="6"/>
        <v>-0.14524680037484394</v>
      </c>
      <c r="Y19" s="1524">
        <f t="shared" si="6"/>
        <v>-0.1452467483050327</v>
      </c>
      <c r="Z19" s="1524">
        <f t="shared" si="7"/>
        <v>-0.13948376191432299</v>
      </c>
      <c r="AB19" s="310">
        <f t="shared" si="8"/>
        <v>1</v>
      </c>
      <c r="AC19" s="82" t="str">
        <f>IF('MASTER PubCo Inputs'!C36="","",'MASTER PubCo Inputs'!C36)</f>
        <v>IQ1268514</v>
      </c>
      <c r="AD19" s="310" t="str">
        <f>'Capital IQ Sheet-GPC'!AP21</f>
        <v>Zealand Pharma A/S, a biotechnology company, engages in the discovery, design, and development of peptide therapeutics-based medicines in Denmark. It has a portfolio of proprietary medicines in late-stage clinical development focusing on gastrointestinal and metabolic diseases. The company markets lixisenatide for the treatment of type 2 diabetes under the brand names of Adlyxin and Lyxumia; and a combination of lixisenatide and insulin glargine for the treatment of type 2 diabetes under the brand names of Soliqua 100/33 and Suliqua. The company’s product pipeline includes glepaglutide, a long acting GLP-2 analog for the treatment of short bowel syndrome, which has completed Phase 2 clinical trials; and dasiglucagon, a proprietary glucagon analog for various indications comprising as a dual-hormone artificial pancreas for diabetes treatment, rescue treatment for severe hypoglycemia, and congenital hyperinsulinism. The company has collaboration agreements with Sanofi-Aventis Deutschland GmbH and Boehringer Ingelheim GmbH. The company was founded in 1997 and is headquartered in Copenhagen, Denmark.</v>
      </c>
    </row>
    <row r="20" spans="2:30" ht="12.75" customHeight="1">
      <c r="B20" s="378"/>
      <c r="C20" s="2470"/>
      <c r="D20" s="2471"/>
      <c r="E20" s="2471"/>
      <c r="F20" s="2471"/>
      <c r="G20" s="2471"/>
      <c r="H20" s="2471"/>
      <c r="I20" s="2471"/>
      <c r="J20" s="2471"/>
      <c r="K20" s="2471"/>
      <c r="L20" s="2471"/>
      <c r="M20" s="312"/>
      <c r="N20" s="2471"/>
      <c r="O20" s="2471"/>
      <c r="P20" s="2471"/>
      <c r="Q20" s="2471"/>
      <c r="R20" s="2471"/>
      <c r="S20" s="2471"/>
      <c r="T20" s="2471"/>
      <c r="U20" s="2471"/>
      <c r="V20" s="2471"/>
      <c r="X20" s="1524"/>
      <c r="Y20" s="1524"/>
      <c r="Z20" s="1524"/>
      <c r="AC20" s="82"/>
    </row>
    <row r="21" spans="2:30" ht="12.75" customHeight="1">
      <c r="B21" s="1574" t="s">
        <v>41</v>
      </c>
      <c r="C21" s="833"/>
      <c r="D21" s="1415">
        <f>MAX(D11:D19)</f>
        <v>61.52</v>
      </c>
      <c r="E21" s="1415">
        <f t="shared" ref="E21:Z21" si="9">MAX(E11:E19)</f>
        <v>119579.29502999999</v>
      </c>
      <c r="F21" s="1415">
        <f t="shared" si="9"/>
        <v>824.84756000000004</v>
      </c>
      <c r="G21" s="1415">
        <f t="shared" si="9"/>
        <v>0</v>
      </c>
      <c r="H21" s="1415">
        <f t="shared" si="9"/>
        <v>35.492719999999998</v>
      </c>
      <c r="I21" s="1415">
        <f t="shared" si="9"/>
        <v>824.84756000000004</v>
      </c>
      <c r="J21" s="1415">
        <f t="shared" si="9"/>
        <v>119852.49308</v>
      </c>
      <c r="K21" s="1415">
        <f t="shared" si="9"/>
        <v>3040.3362200000001</v>
      </c>
      <c r="L21" s="1415">
        <f t="shared" si="9"/>
        <v>116812.15686</v>
      </c>
      <c r="M21" s="833"/>
      <c r="N21" s="1415">
        <f t="shared" si="9"/>
        <v>83.91</v>
      </c>
      <c r="O21" s="1415">
        <f t="shared" si="9"/>
        <v>112194.50996</v>
      </c>
      <c r="P21" s="1415">
        <f t="shared" si="9"/>
        <v>746.46118999999999</v>
      </c>
      <c r="Q21" s="1415">
        <f t="shared" si="9"/>
        <v>0</v>
      </c>
      <c r="R21" s="1415">
        <f t="shared" si="9"/>
        <v>35.787419999999997</v>
      </c>
      <c r="S21" s="1415">
        <f t="shared" si="9"/>
        <v>746.46118999999999</v>
      </c>
      <c r="T21" s="1415">
        <f t="shared" si="9"/>
        <v>112232.19422999999</v>
      </c>
      <c r="U21" s="1415">
        <f t="shared" si="9"/>
        <v>1737.6084000000001</v>
      </c>
      <c r="V21" s="1415">
        <f t="shared" si="9"/>
        <v>110494.58583</v>
      </c>
      <c r="W21" s="1415"/>
      <c r="X21" s="2472">
        <f t="shared" si="9"/>
        <v>0.36394668400520147</v>
      </c>
      <c r="Y21" s="2472">
        <f t="shared" si="9"/>
        <v>0.60291143135759029</v>
      </c>
      <c r="Z21" s="2473">
        <f t="shared" si="9"/>
        <v>0.68906352270737026</v>
      </c>
      <c r="AC21" s="82"/>
    </row>
    <row r="22" spans="2:30" ht="12.75" customHeight="1">
      <c r="B22" s="278" t="s">
        <v>45</v>
      </c>
      <c r="C22" s="73"/>
      <c r="D22" s="89">
        <f>QUARTILE(D11:D19,3)</f>
        <v>16.45</v>
      </c>
      <c r="E22" s="89">
        <f t="shared" ref="E22:Z22" si="10">QUARTILE(E11:E19,3)</f>
        <v>5718.79781</v>
      </c>
      <c r="F22" s="89">
        <f t="shared" si="10"/>
        <v>365.55482000000001</v>
      </c>
      <c r="G22" s="89" t="e">
        <f t="shared" si="10"/>
        <v>#NUM!</v>
      </c>
      <c r="H22" s="89">
        <f t="shared" si="10"/>
        <v>27.771654999999999</v>
      </c>
      <c r="I22" s="89">
        <f t="shared" si="10"/>
        <v>401.04754000000003</v>
      </c>
      <c r="J22" s="89">
        <f t="shared" si="10"/>
        <v>6119.8453500000005</v>
      </c>
      <c r="K22" s="89">
        <f t="shared" si="10"/>
        <v>341.53370000000001</v>
      </c>
      <c r="L22" s="89">
        <f t="shared" si="10"/>
        <v>6042.5941400000002</v>
      </c>
      <c r="M22" s="89"/>
      <c r="N22" s="89">
        <f t="shared" si="10"/>
        <v>15.72</v>
      </c>
      <c r="O22" s="89">
        <f t="shared" si="10"/>
        <v>5765.9263099999998</v>
      </c>
      <c r="P22" s="89">
        <f t="shared" si="10"/>
        <v>439.75547999999998</v>
      </c>
      <c r="Q22" s="89" t="e">
        <f t="shared" si="10"/>
        <v>#NUM!</v>
      </c>
      <c r="R22" s="89">
        <f t="shared" si="10"/>
        <v>27.692299999999999</v>
      </c>
      <c r="S22" s="89">
        <f t="shared" si="10"/>
        <v>459.35265999999996</v>
      </c>
      <c r="T22" s="89">
        <f t="shared" si="10"/>
        <v>6478.8820299999998</v>
      </c>
      <c r="U22" s="89">
        <f t="shared" si="10"/>
        <v>419.44011999999998</v>
      </c>
      <c r="V22" s="89">
        <f t="shared" si="10"/>
        <v>6001.9605499999998</v>
      </c>
      <c r="W22" s="89"/>
      <c r="X22" s="116">
        <f t="shared" si="10"/>
        <v>1.9447705435391649E-2</v>
      </c>
      <c r="Y22" s="116">
        <f t="shared" si="10"/>
        <v>1.9448557418729751E-2</v>
      </c>
      <c r="Z22" s="117">
        <f t="shared" si="10"/>
        <v>1.171148085200957E-2</v>
      </c>
      <c r="AC22" s="82"/>
    </row>
    <row r="23" spans="2:30" ht="12.75" customHeight="1">
      <c r="B23" s="278" t="s">
        <v>43</v>
      </c>
      <c r="C23" s="73"/>
      <c r="D23" s="89">
        <f>AVERAGE(D11:D19)</f>
        <v>16.956266666666668</v>
      </c>
      <c r="E23" s="89">
        <f t="shared" ref="E23:Z23" si="11">AVERAGE(E11:E19)</f>
        <v>15733.499875555552</v>
      </c>
      <c r="F23" s="89">
        <f t="shared" si="11"/>
        <v>278.01954444444448</v>
      </c>
      <c r="G23" s="89" t="e">
        <f t="shared" si="11"/>
        <v>#DIV/0!</v>
      </c>
      <c r="H23" s="89">
        <f t="shared" si="11"/>
        <v>18.816743333333331</v>
      </c>
      <c r="I23" s="89">
        <f t="shared" si="11"/>
        <v>284.29179222222223</v>
      </c>
      <c r="J23" s="89">
        <f t="shared" si="11"/>
        <v>16017.791667777776</v>
      </c>
      <c r="K23" s="89">
        <f t="shared" si="11"/>
        <v>487.92040888888886</v>
      </c>
      <c r="L23" s="89">
        <f t="shared" si="11"/>
        <v>15529.871258888892</v>
      </c>
      <c r="M23" s="73"/>
      <c r="N23" s="89">
        <f t="shared" si="11"/>
        <v>18.776657777777775</v>
      </c>
      <c r="O23" s="89">
        <f t="shared" si="11"/>
        <v>15047.271703333328</v>
      </c>
      <c r="P23" s="89">
        <f t="shared" si="11"/>
        <v>269.21768222222227</v>
      </c>
      <c r="Q23" s="89" t="e">
        <f t="shared" si="11"/>
        <v>#DIV/0!</v>
      </c>
      <c r="R23" s="89">
        <f t="shared" si="11"/>
        <v>18.960129999999999</v>
      </c>
      <c r="S23" s="89">
        <f t="shared" si="11"/>
        <v>275.53772555555554</v>
      </c>
      <c r="T23" s="89">
        <f t="shared" si="11"/>
        <v>15322.809428888888</v>
      </c>
      <c r="U23" s="89">
        <f t="shared" si="11"/>
        <v>391.75221111111119</v>
      </c>
      <c r="V23" s="89">
        <f t="shared" si="11"/>
        <v>14931.057217777778</v>
      </c>
      <c r="W23" s="89"/>
      <c r="X23" s="1570">
        <f t="shared" si="11"/>
        <v>6.1571215602501794E-3</v>
      </c>
      <c r="Y23" s="1570">
        <f t="shared" si="11"/>
        <v>4.6152866613651561E-2</v>
      </c>
      <c r="Z23" s="2474">
        <f t="shared" si="11"/>
        <v>4.4854068225845478E-2</v>
      </c>
      <c r="AC23" s="82"/>
    </row>
    <row r="24" spans="2:30" ht="12.75" customHeight="1">
      <c r="B24" s="278" t="s">
        <v>3</v>
      </c>
      <c r="C24" s="73"/>
      <c r="D24" s="89">
        <f>MEDIAN(D11:D19)</f>
        <v>3.5520900000000002</v>
      </c>
      <c r="E24" s="89">
        <f t="shared" ref="E24:Z24" si="12">MEDIAN(E11:E19)</f>
        <v>1888.9591800000001</v>
      </c>
      <c r="F24" s="89">
        <f t="shared" si="12"/>
        <v>273.19805000000002</v>
      </c>
      <c r="G24" s="89" t="e">
        <f t="shared" si="12"/>
        <v>#NUM!</v>
      </c>
      <c r="H24" s="89">
        <f t="shared" si="12"/>
        <v>20.05059</v>
      </c>
      <c r="I24" s="89">
        <f t="shared" si="12"/>
        <v>273.19805000000002</v>
      </c>
      <c r="J24" s="89">
        <f t="shared" si="12"/>
        <v>2510.0002399999998</v>
      </c>
      <c r="K24" s="89">
        <f t="shared" si="12"/>
        <v>107.05831999999999</v>
      </c>
      <c r="L24" s="89">
        <f t="shared" si="12"/>
        <v>2285.4970899999998</v>
      </c>
      <c r="M24" s="73"/>
      <c r="N24" s="89">
        <f t="shared" si="12"/>
        <v>3.6211700000000002</v>
      </c>
      <c r="O24" s="89">
        <f t="shared" si="12"/>
        <v>2482.30575</v>
      </c>
      <c r="P24" s="89">
        <f t="shared" si="12"/>
        <v>140.26900000000001</v>
      </c>
      <c r="Q24" s="89" t="e">
        <f t="shared" si="12"/>
        <v>#NUM!</v>
      </c>
      <c r="R24" s="89">
        <f t="shared" si="12"/>
        <v>19.597180000000002</v>
      </c>
      <c r="S24" s="89">
        <f t="shared" si="12"/>
        <v>140.26900000000001</v>
      </c>
      <c r="T24" s="89">
        <f t="shared" si="12"/>
        <v>2841.7547500000001</v>
      </c>
      <c r="U24" s="89">
        <f t="shared" si="12"/>
        <v>244.9426</v>
      </c>
      <c r="V24" s="89">
        <f t="shared" si="12"/>
        <v>2515.66275</v>
      </c>
      <c r="W24" s="89"/>
      <c r="X24" s="1570">
        <f t="shared" si="12"/>
        <v>5.2422235523545968E-3</v>
      </c>
      <c r="Y24" s="1570">
        <f t="shared" si="12"/>
        <v>8.2409802839313873E-3</v>
      </c>
      <c r="Z24" s="2474">
        <f t="shared" si="12"/>
        <v>-3.4432168102213501E-2</v>
      </c>
      <c r="AC24" s="82"/>
    </row>
    <row r="25" spans="2:30" ht="12.75" customHeight="1">
      <c r="B25" s="278" t="s">
        <v>44</v>
      </c>
      <c r="C25" s="73"/>
      <c r="D25" s="89">
        <f>QUARTILE(D11:D19,1)</f>
        <v>2.2525599999999999</v>
      </c>
      <c r="E25" s="89">
        <f t="shared" ref="E25:Z25" si="13">QUARTILE(E11:E19,1)</f>
        <v>1548.6231499999999</v>
      </c>
      <c r="F25" s="89">
        <f t="shared" si="13"/>
        <v>34.270769999999999</v>
      </c>
      <c r="G25" s="89" t="e">
        <f t="shared" si="13"/>
        <v>#NUM!</v>
      </c>
      <c r="H25" s="89">
        <f t="shared" si="13"/>
        <v>10.478755</v>
      </c>
      <c r="I25" s="89">
        <f t="shared" si="13"/>
        <v>35.177689999999998</v>
      </c>
      <c r="J25" s="89">
        <f t="shared" si="13"/>
        <v>1888.9591800000001</v>
      </c>
      <c r="K25" s="89">
        <f t="shared" si="13"/>
        <v>77.25121</v>
      </c>
      <c r="L25" s="89">
        <f t="shared" si="13"/>
        <v>1489.3831500000001</v>
      </c>
      <c r="M25" s="73"/>
      <c r="N25" s="89">
        <f t="shared" si="13"/>
        <v>1.9</v>
      </c>
      <c r="O25" s="89">
        <f t="shared" si="13"/>
        <v>1705.28388</v>
      </c>
      <c r="P25" s="89">
        <f t="shared" si="13"/>
        <v>22.171900000000001</v>
      </c>
      <c r="Q25" s="89" t="e">
        <f t="shared" si="13"/>
        <v>#NUM!</v>
      </c>
      <c r="R25" s="89">
        <f t="shared" si="13"/>
        <v>10.546485000000001</v>
      </c>
      <c r="S25" s="89">
        <f t="shared" si="13"/>
        <v>22.171900000000001</v>
      </c>
      <c r="T25" s="89">
        <f t="shared" si="13"/>
        <v>1811.4944</v>
      </c>
      <c r="U25" s="89">
        <f t="shared" si="13"/>
        <v>92.739000000000004</v>
      </c>
      <c r="V25" s="89">
        <f t="shared" si="13"/>
        <v>1686.1324</v>
      </c>
      <c r="W25" s="89"/>
      <c r="X25" s="1570">
        <f t="shared" si="13"/>
        <v>-5.7425094607918115E-2</v>
      </c>
      <c r="Y25" s="1570">
        <f t="shared" si="13"/>
        <v>-5.1406037290310125E-2</v>
      </c>
      <c r="Z25" s="2474">
        <f t="shared" si="13"/>
        <v>-5.4083163943044466E-2</v>
      </c>
      <c r="AC25" s="82"/>
    </row>
    <row r="26" spans="2:30" ht="12.75" customHeight="1">
      <c r="B26" s="1204" t="s">
        <v>42</v>
      </c>
      <c r="C26" s="67"/>
      <c r="D26" s="70">
        <f>MIN(D11:D19)</f>
        <v>0.95682999999999996</v>
      </c>
      <c r="E26" s="70">
        <f t="shared" ref="E26:Z26" si="14">MIN(E11:E19)</f>
        <v>280.46589</v>
      </c>
      <c r="F26" s="70">
        <f t="shared" si="14"/>
        <v>0</v>
      </c>
      <c r="G26" s="70">
        <f t="shared" si="14"/>
        <v>0</v>
      </c>
      <c r="H26" s="70">
        <f t="shared" si="14"/>
        <v>0.90691999999999995</v>
      </c>
      <c r="I26" s="70">
        <f t="shared" si="14"/>
        <v>0</v>
      </c>
      <c r="J26" s="70">
        <f t="shared" si="14"/>
        <v>437.28789</v>
      </c>
      <c r="K26" s="70">
        <f t="shared" si="14"/>
        <v>43.945999999999998</v>
      </c>
      <c r="L26" s="70">
        <f t="shared" si="14"/>
        <v>387.03730999999999</v>
      </c>
      <c r="M26" s="130"/>
      <c r="N26" s="70">
        <f t="shared" si="14"/>
        <v>1.02596</v>
      </c>
      <c r="O26" s="70">
        <f t="shared" si="14"/>
        <v>266.04825</v>
      </c>
      <c r="P26" s="70">
        <f t="shared" si="14"/>
        <v>0</v>
      </c>
      <c r="Q26" s="70">
        <f t="shared" si="14"/>
        <v>0</v>
      </c>
      <c r="R26" s="70">
        <f t="shared" si="14"/>
        <v>1.49579</v>
      </c>
      <c r="S26" s="70">
        <f t="shared" si="14"/>
        <v>0</v>
      </c>
      <c r="T26" s="70">
        <f t="shared" si="14"/>
        <v>406.31725</v>
      </c>
      <c r="U26" s="70">
        <f t="shared" si="14"/>
        <v>26.706</v>
      </c>
      <c r="V26" s="70">
        <f t="shared" si="14"/>
        <v>333.05188999999996</v>
      </c>
      <c r="W26" s="130"/>
      <c r="X26" s="118">
        <f t="shared" si="14"/>
        <v>-0.16666666666666663</v>
      </c>
      <c r="Y26" s="118">
        <f t="shared" si="14"/>
        <v>-0.1452467483050327</v>
      </c>
      <c r="Z26" s="321">
        <f t="shared" si="14"/>
        <v>-0.13948376191432299</v>
      </c>
      <c r="AC26" s="82"/>
    </row>
    <row r="27" spans="2:30" ht="12.75" customHeight="1">
      <c r="B27" s="378"/>
      <c r="C27" s="2470"/>
      <c r="D27" s="2471"/>
      <c r="E27" s="2471"/>
      <c r="F27" s="2471"/>
      <c r="G27" s="2471"/>
      <c r="H27" s="2471"/>
      <c r="I27" s="2471"/>
      <c r="J27" s="2471"/>
      <c r="K27" s="2471"/>
      <c r="L27" s="2471"/>
      <c r="M27" s="312"/>
      <c r="N27" s="2471"/>
      <c r="O27" s="2471"/>
      <c r="P27" s="2471"/>
      <c r="Q27" s="2471"/>
      <c r="R27" s="2471"/>
      <c r="S27" s="2471"/>
      <c r="T27" s="2471"/>
      <c r="U27" s="2471"/>
      <c r="V27" s="2471"/>
      <c r="X27" s="1524"/>
      <c r="Y27" s="1524"/>
      <c r="Z27" s="1524"/>
      <c r="AC27" s="82"/>
    </row>
    <row r="28" spans="2:30" ht="12.75" customHeight="1">
      <c r="B28" s="1" t="s">
        <v>1689</v>
      </c>
      <c r="C28" s="2470"/>
      <c r="D28" s="2471"/>
      <c r="E28" s="2471"/>
      <c r="F28" s="2471"/>
      <c r="G28" s="2471"/>
      <c r="H28" s="2471"/>
      <c r="I28" s="2471"/>
      <c r="J28" s="2471"/>
      <c r="K28" s="2471"/>
      <c r="L28" s="2471"/>
      <c r="M28" s="312"/>
      <c r="N28" s="2471"/>
      <c r="O28" s="2471"/>
      <c r="P28" s="2471"/>
      <c r="Q28" s="2471"/>
      <c r="R28" s="2471"/>
      <c r="S28" s="2471"/>
      <c r="T28" s="2471"/>
      <c r="U28" s="2471"/>
      <c r="V28" s="2471"/>
      <c r="X28" s="1524"/>
      <c r="Y28" s="1524"/>
      <c r="Z28" s="1524"/>
      <c r="AC28" s="82"/>
    </row>
    <row r="29" spans="2:30" ht="12.75" customHeight="1">
      <c r="B29" s="378" t="str">
        <f>'Capital IQ Sheet-GPC'!C22</f>
        <v>Amicus Therapeutics, Inc.</v>
      </c>
      <c r="C29" s="2470"/>
      <c r="D29" s="2471">
        <f>'Capital IQ Sheet-GPC'!BE22</f>
        <v>15.04</v>
      </c>
      <c r="E29" s="2471">
        <f>'Capital IQ Sheet-GPC'!BF22</f>
        <v>2810.8469399999999</v>
      </c>
      <c r="F29" s="2471">
        <f>'Capital IQ Sheet-GPC'!BG22</f>
        <v>164.47399999999999</v>
      </c>
      <c r="G29" s="2471" t="str">
        <f>'Capital IQ Sheet-GPC'!BH22</f>
        <v>n/a</v>
      </c>
      <c r="H29" s="2471" t="str">
        <f>'Capital IQ Sheet-GPC'!BI22</f>
        <v>n/a</v>
      </c>
      <c r="I29" s="2471">
        <f t="shared" si="0"/>
        <v>164.47399999999999</v>
      </c>
      <c r="J29" s="2471">
        <f t="shared" si="1"/>
        <v>2975.3209400000001</v>
      </c>
      <c r="K29" s="2471">
        <f>'Capital IQ Sheet-GPC'!BJ22</f>
        <v>358.56200000000001</v>
      </c>
      <c r="L29" s="2471">
        <f t="shared" si="2"/>
        <v>2616.7589400000002</v>
      </c>
      <c r="M29" s="312"/>
      <c r="N29" s="2471">
        <f>'Capital IQ Sheet-GPC'!I22</f>
        <v>15.62</v>
      </c>
      <c r="O29" s="2471">
        <f>'Capital IQ Sheet-GPC'!J22</f>
        <v>2943.9233800000002</v>
      </c>
      <c r="P29" s="2471">
        <f>'Capital IQ Sheet-GPC'!K22</f>
        <v>166.768</v>
      </c>
      <c r="Q29" s="2471" t="str">
        <f>'Capital IQ Sheet-GPC'!L22</f>
        <v>n/a</v>
      </c>
      <c r="R29" s="2471" t="str">
        <f>'Capital IQ Sheet-GPC'!M22</f>
        <v>n/a</v>
      </c>
      <c r="S29" s="2471">
        <f t="shared" si="3"/>
        <v>166.768</v>
      </c>
      <c r="T29" s="2471">
        <f t="shared" si="4"/>
        <v>3110.6913800000002</v>
      </c>
      <c r="U29" s="2471">
        <f>'Capital IQ Sheet-GPC'!N22</f>
        <v>562.52</v>
      </c>
      <c r="V29" s="2471">
        <f t="shared" si="5"/>
        <v>2548.1713800000002</v>
      </c>
      <c r="X29" s="1524">
        <f t="shared" si="6"/>
        <v>3.8563829787233939E-2</v>
      </c>
      <c r="Y29" s="1524">
        <f t="shared" si="6"/>
        <v>4.7343894150280619E-2</v>
      </c>
      <c r="Z29" s="1524">
        <f t="shared" si="7"/>
        <v>-2.6210882076894704E-2</v>
      </c>
      <c r="AB29" s="310">
        <f>AB19</f>
        <v>1</v>
      </c>
      <c r="AC29" s="82" t="str">
        <f>IF('MASTER PubCo Inputs'!C37="","",'MASTER PubCo Inputs'!C37)</f>
        <v>IQ7009878</v>
      </c>
      <c r="AD29" s="310" t="str">
        <f>'Capital IQ Sheet-GPC'!AP22</f>
        <v>Amicus Therapeutics, Inc., a biotechnology company, engages in the discovery, development, and commercialization of medicines for various rare and orphan diseases. The company offers migalastat HCl, an orally administered small molecule pharmacological chaperone for the treatment of Fabry disease. It is also conducting a Phase 1/2 clinical study of ATB200-02 to investigate in patients with pompe disease. The company has strategic alliance with GlaxoSmithKline plc to develop and commercialize migalastat as a monotherapy and in combination with ERT for Fabry disease. Amicus Therapeutics, Inc. was founded in 2002 and is headquartered in Cranbury, New Jersey.</v>
      </c>
    </row>
    <row r="30" spans="2:30" ht="12.75" customHeight="1">
      <c r="B30" s="378" t="str">
        <f>'Capital IQ Sheet-GPC'!C23</f>
        <v>Myovant Sciences Ltd.</v>
      </c>
      <c r="C30" s="2470"/>
      <c r="D30" s="2471">
        <f>'Capital IQ Sheet-GPC'!BE23</f>
        <v>21.27</v>
      </c>
      <c r="E30" s="2471">
        <f>'Capital IQ Sheet-GPC'!BF23</f>
        <v>1297.24443</v>
      </c>
      <c r="F30" s="2471">
        <f>'Capital IQ Sheet-GPC'!BG23</f>
        <v>28.574999999999999</v>
      </c>
      <c r="G30" s="2471" t="str">
        <f>'Capital IQ Sheet-GPC'!BH23</f>
        <v>n/a</v>
      </c>
      <c r="H30" s="2471" t="str">
        <f>'Capital IQ Sheet-GPC'!BI23</f>
        <v>n/a</v>
      </c>
      <c r="I30" s="2471">
        <f t="shared" si="0"/>
        <v>28.574999999999999</v>
      </c>
      <c r="J30" s="2471">
        <f t="shared" si="1"/>
        <v>1325.81943</v>
      </c>
      <c r="K30" s="2471">
        <f>'Capital IQ Sheet-GPC'!BJ23</f>
        <v>128.87299999999999</v>
      </c>
      <c r="L30" s="2471">
        <f t="shared" si="2"/>
        <v>1196.94643</v>
      </c>
      <c r="M30" s="312"/>
      <c r="N30" s="2471">
        <f>'Capital IQ Sheet-GPC'!I23</f>
        <v>22.87</v>
      </c>
      <c r="O30" s="2471">
        <f>'Capital IQ Sheet-GPC'!J23</f>
        <v>1483.6912500000001</v>
      </c>
      <c r="P30" s="2471">
        <f>'Capital IQ Sheet-GPC'!K23</f>
        <v>43.624000000000002</v>
      </c>
      <c r="Q30" s="2471" t="str">
        <f>'Capital IQ Sheet-GPC'!L23</f>
        <v>n/a</v>
      </c>
      <c r="R30" s="2471" t="str">
        <f>'Capital IQ Sheet-GPC'!M23</f>
        <v>n/a</v>
      </c>
      <c r="S30" s="2471">
        <f t="shared" si="3"/>
        <v>43.624000000000002</v>
      </c>
      <c r="T30" s="2471">
        <f t="shared" si="4"/>
        <v>1527.3152500000001</v>
      </c>
      <c r="U30" s="2471">
        <f>'Capital IQ Sheet-GPC'!N23</f>
        <v>108.624</v>
      </c>
      <c r="V30" s="2471">
        <f t="shared" si="5"/>
        <v>1418.6912500000001</v>
      </c>
      <c r="X30" s="1524">
        <f t="shared" si="6"/>
        <v>7.5223319228961083E-2</v>
      </c>
      <c r="Y30" s="1524">
        <f t="shared" si="6"/>
        <v>0.1437252808246785</v>
      </c>
      <c r="Z30" s="1524">
        <f t="shared" si="7"/>
        <v>0.18525876717807677</v>
      </c>
      <c r="AB30" s="310">
        <f>AB29</f>
        <v>1</v>
      </c>
      <c r="AC30" s="82" t="str">
        <f>IF('MASTER PubCo Inputs'!C38="","",'MASTER PubCo Inputs'!C38)</f>
        <v>IQ403430039</v>
      </c>
      <c r="AD30" s="310" t="str">
        <f>'Capital IQ Sheet-GPC'!AP23</f>
        <v>Myovant Sciences Ltd., a clinical-stage biopharmaceutical company, focuses on developing and commercializing therapies for women’s health and endocrine diseases. The company’s lead product is relugolix, an oral, once-daily, small molecule that acts as a gonadotropin-releasing hormone receptor antagonist for the treatment of heavy menstrual bleeding related with uterine fibroids, endometriosis-associated pain, and advanced prostate cancer. It is also developing MVT-602, an oligopeptide kisspeptin agonist, for the treatment of female infertility as part of the hormonal preparation used in assisted reproduction. The company was formerly known as Roivant Endocrinology Ltd. and changed its name to Myovant Sciences Ltd. in May 2016. The company was founded in 2016 and is based in London, the United Kingdom. Myovant Sciences Ltd. is a subsidiary of Roivant Sciences Ltd.</v>
      </c>
    </row>
    <row r="31" spans="2:30" ht="12.75" customHeight="1">
      <c r="B31" s="378" t="str">
        <f>'Capital IQ Sheet-GPC'!C24</f>
        <v>Lexicon Pharmaceuticals, Inc.</v>
      </c>
      <c r="C31" s="2470"/>
      <c r="D31" s="2471">
        <f>'Capital IQ Sheet-GPC'!BE24</f>
        <v>8.57</v>
      </c>
      <c r="E31" s="2471">
        <f>'Capital IQ Sheet-GPC'!BF24</f>
        <v>904.92196999999999</v>
      </c>
      <c r="F31" s="2471">
        <f>'Capital IQ Sheet-GPC'!BG24</f>
        <v>245.67</v>
      </c>
      <c r="G31" s="2471" t="str">
        <f>'Capital IQ Sheet-GPC'!BH24</f>
        <v>n/a</v>
      </c>
      <c r="H31" s="2471" t="str">
        <f>'Capital IQ Sheet-GPC'!BI24</f>
        <v>n/a</v>
      </c>
      <c r="I31" s="2471">
        <f t="shared" si="0"/>
        <v>245.67</v>
      </c>
      <c r="J31" s="2471">
        <f t="shared" si="1"/>
        <v>1150.5919699999999</v>
      </c>
      <c r="K31" s="2471">
        <f>'Capital IQ Sheet-GPC'!BJ24</f>
        <v>310.78800000000001</v>
      </c>
      <c r="L31" s="2471">
        <f t="shared" si="2"/>
        <v>839.80396999999994</v>
      </c>
      <c r="M31" s="312"/>
      <c r="N31" s="2471">
        <f>'Capital IQ Sheet-GPC'!I24</f>
        <v>12</v>
      </c>
      <c r="O31" s="2471">
        <f>'Capital IQ Sheet-GPC'!J24</f>
        <v>1269.98242</v>
      </c>
      <c r="P31" s="2471">
        <f>'Capital IQ Sheet-GPC'!K24</f>
        <v>245.39599999999999</v>
      </c>
      <c r="Q31" s="2471" t="str">
        <f>'Capital IQ Sheet-GPC'!L24</f>
        <v>n/a</v>
      </c>
      <c r="R31" s="2471" t="str">
        <f>'Capital IQ Sheet-GPC'!M24</f>
        <v>n/a</v>
      </c>
      <c r="S31" s="2471">
        <f t="shared" si="3"/>
        <v>245.39599999999999</v>
      </c>
      <c r="T31" s="2471">
        <f t="shared" si="4"/>
        <v>1515.37842</v>
      </c>
      <c r="U31" s="2471">
        <f>'Capital IQ Sheet-GPC'!N24</f>
        <v>262.27199999999999</v>
      </c>
      <c r="V31" s="2471">
        <f t="shared" si="5"/>
        <v>1253.1064200000001</v>
      </c>
      <c r="X31" s="1524">
        <f t="shared" si="6"/>
        <v>0.40023337222870481</v>
      </c>
      <c r="Y31" s="1524">
        <f t="shared" si="6"/>
        <v>0.40341649567862747</v>
      </c>
      <c r="Z31" s="1524">
        <f t="shared" si="7"/>
        <v>0.49214157680154824</v>
      </c>
      <c r="AB31" s="310">
        <f t="shared" ref="AB31:AB53" si="15">AB30</f>
        <v>1</v>
      </c>
      <c r="AC31" s="82" t="str">
        <f>IF('MASTER PubCo Inputs'!C39="","",'MASTER PubCo Inputs'!C39)</f>
        <v>IQ30781</v>
      </c>
      <c r="AD31" s="310" t="str">
        <f>'Capital IQ Sheet-GPC'!AP24</f>
        <v>Lexicon Pharmaceuticals, Inc., a biopharmaceutical company, focuses on the development and commercialization of pharmaceutical products for the treatment of human diseases. The company offers XERMELO, an orally-delivered small molecule drug candidate for the treatment of carcinoid syndrome diarrhea in combination with somatostatin analog therapy in adults. Its orally-delivered small molecule drug candidates under development comprise Sotagliflozin that is in Phase 3 clinical trials for the treatment of type 1 and type 2 diabetes; LX2761, which is in Phase 1 clinical development for the treatment of diabetes; and LX9211 that is in Phase 1 clinical development for the treatment of neuropathic pain. The company has strategic collaboration and license agreements with Sanofi; Ipsen Pharma SAS; Bristol-Myers Squibb Company; and Genentech, Inc. Lexicon Pharmaceuticals, Inc. was founded in 1995 and is headquartered in The Woodlands, Texas.</v>
      </c>
    </row>
    <row r="32" spans="2:30" ht="12.75" customHeight="1">
      <c r="B32" s="378" t="str">
        <f>'Capital IQ Sheet-GPC'!C25</f>
        <v>Rhythm Pharmaceuticals, Inc.</v>
      </c>
      <c r="C32" s="2470"/>
      <c r="D32" s="2471">
        <f>'Capital IQ Sheet-GPC'!BE25</f>
        <v>19.899999999999999</v>
      </c>
      <c r="E32" s="2471">
        <f>'Capital IQ Sheet-GPC'!BF25</f>
        <v>542.95438999999999</v>
      </c>
      <c r="F32" s="2471">
        <f>'Capital IQ Sheet-GPC'!BG25</f>
        <v>0</v>
      </c>
      <c r="G32" s="2471" t="str">
        <f>'Capital IQ Sheet-GPC'!BH25</f>
        <v>n/a</v>
      </c>
      <c r="H32" s="2471" t="str">
        <f>'Capital IQ Sheet-GPC'!BI25</f>
        <v>n/a</v>
      </c>
      <c r="I32" s="2471">
        <f t="shared" si="0"/>
        <v>0</v>
      </c>
      <c r="J32" s="2471">
        <f t="shared" si="1"/>
        <v>542.95438999999999</v>
      </c>
      <c r="K32" s="2471">
        <f>'Capital IQ Sheet-GPC'!BJ25</f>
        <v>148.08199999999999</v>
      </c>
      <c r="L32" s="2471">
        <f t="shared" si="2"/>
        <v>394.87239</v>
      </c>
      <c r="M32" s="312"/>
      <c r="N32" s="2471">
        <f>'Capital IQ Sheet-GPC'!I25</f>
        <v>31.26</v>
      </c>
      <c r="O32" s="2471">
        <f>'Capital IQ Sheet-GPC'!J25</f>
        <v>1066.6532199999999</v>
      </c>
      <c r="P32" s="2471">
        <f>'Capital IQ Sheet-GPC'!K25</f>
        <v>0</v>
      </c>
      <c r="Q32" s="2471" t="str">
        <f>'Capital IQ Sheet-GPC'!L25</f>
        <v>n/a</v>
      </c>
      <c r="R32" s="2471" t="str">
        <f>'Capital IQ Sheet-GPC'!M25</f>
        <v>n/a</v>
      </c>
      <c r="S32" s="2471">
        <f t="shared" si="3"/>
        <v>0</v>
      </c>
      <c r="T32" s="2471">
        <f t="shared" si="4"/>
        <v>1066.6532199999999</v>
      </c>
      <c r="U32" s="2471">
        <f>'Capital IQ Sheet-GPC'!N25</f>
        <v>136.453</v>
      </c>
      <c r="V32" s="2471">
        <f t="shared" si="5"/>
        <v>930.20021999999994</v>
      </c>
      <c r="X32" s="1524">
        <f t="shared" si="6"/>
        <v>0.57085427135678413</v>
      </c>
      <c r="Y32" s="1524">
        <f t="shared" si="6"/>
        <v>0.96453558465564648</v>
      </c>
      <c r="Z32" s="1524" t="str">
        <f t="shared" si="7"/>
        <v>NM</v>
      </c>
      <c r="AB32" s="310">
        <f t="shared" si="15"/>
        <v>1</v>
      </c>
      <c r="AC32" s="82" t="str">
        <f>IF('MASTER PubCo Inputs'!C40="","",'MASTER PubCo Inputs'!C40)</f>
        <v>IQ309184792</v>
      </c>
      <c r="AD32" s="310" t="str">
        <f>'Capital IQ Sheet-GPC'!AP25</f>
        <v>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v>
      </c>
    </row>
    <row r="33" spans="2:30" ht="12.75" customHeight="1">
      <c r="B33" s="378" t="str">
        <f>'Capital IQ Sheet-GPC'!C26</f>
        <v>Aptinyx Inc.</v>
      </c>
      <c r="C33" s="2470"/>
      <c r="D33" s="2471" t="str">
        <f>'Capital IQ Sheet-GPC'!BE26</f>
        <v>n/a</v>
      </c>
      <c r="E33" s="2471" t="str">
        <f>'Capital IQ Sheet-GPC'!BF26</f>
        <v>n/a</v>
      </c>
      <c r="F33" s="2471" t="str">
        <f>'Capital IQ Sheet-GPC'!BG26</f>
        <v>n/a</v>
      </c>
      <c r="G33" s="2471" t="str">
        <f>'Capital IQ Sheet-GPC'!BH26</f>
        <v>n/a</v>
      </c>
      <c r="H33" s="2471" t="str">
        <f>'Capital IQ Sheet-GPC'!BI26</f>
        <v>n/a</v>
      </c>
      <c r="I33" s="2471">
        <f t="shared" si="0"/>
        <v>0</v>
      </c>
      <c r="J33" s="2471">
        <f t="shared" si="1"/>
        <v>0</v>
      </c>
      <c r="K33" s="2471" t="str">
        <f>'Capital IQ Sheet-GPC'!BJ26</f>
        <v>n/a</v>
      </c>
      <c r="L33" s="2471" t="str">
        <f t="shared" si="2"/>
        <v>n/a</v>
      </c>
      <c r="M33" s="312"/>
      <c r="N33" s="2471">
        <f>'Capital IQ Sheet-GPC'!I26</f>
        <v>24.17</v>
      </c>
      <c r="O33" s="2471">
        <f>'Capital IQ Sheet-GPC'!J26</f>
        <v>809.60373000000004</v>
      </c>
      <c r="P33" s="2471">
        <f>'Capital IQ Sheet-GPC'!K26</f>
        <v>0</v>
      </c>
      <c r="Q33" s="2471">
        <f>'Capital IQ Sheet-GPC'!L26</f>
        <v>132.386</v>
      </c>
      <c r="R33" s="2471" t="str">
        <f>'Capital IQ Sheet-GPC'!M26</f>
        <v>n/a</v>
      </c>
      <c r="S33" s="2471">
        <f t="shared" si="3"/>
        <v>132.386</v>
      </c>
      <c r="T33" s="2471">
        <f t="shared" si="4"/>
        <v>941.98973000000001</v>
      </c>
      <c r="U33" s="2471">
        <f>'Capital IQ Sheet-GPC'!N26</f>
        <v>82.35</v>
      </c>
      <c r="V33" s="2471">
        <f t="shared" si="5"/>
        <v>859.63972999999999</v>
      </c>
      <c r="X33" s="1524" t="str">
        <f t="shared" si="6"/>
        <v>n/a</v>
      </c>
      <c r="Y33" s="1524" t="str">
        <f t="shared" si="6"/>
        <v>n/a</v>
      </c>
      <c r="Z33" s="1524" t="str">
        <f t="shared" si="7"/>
        <v>n/a</v>
      </c>
      <c r="AB33" s="310">
        <f t="shared" si="15"/>
        <v>1</v>
      </c>
      <c r="AC33" s="82" t="str">
        <f>IF('MASTER PubCo Inputs'!C41="","",'MASTER PubCo Inputs'!C41)</f>
        <v>IQ336341295</v>
      </c>
      <c r="AD33" s="310" t="str">
        <f>'Capital IQ Sheet-GPC'!AP26</f>
        <v>Aptinyx Inc., a clinical-stage biopharmaceutical company, focuses on the discovery, development, and commercialization of novel, proprietary, and synthetic small molecules for the treatment of brain and nervous system disorders. It is developing NYX-2925 that is in Phase II clinical trial for the treatment of painful diabetic peripheral neuropathy, as well as in Phase II exploratory clinical trial for fibromyalgia; and NYX-783, an NMDAr receptor that is in Phase I clinical trial for the treatment of post-traumatic stress disorder. The company has a collaboration agreement with Allergan plc. Aptinyx Inc. was founded in 2015 and is headquartered in Evanston, Illinois.</v>
      </c>
    </row>
    <row r="34" spans="2:30" ht="12.75" customHeight="1">
      <c r="B34" s="378" t="str">
        <f>'Capital IQ Sheet-GPC'!C27</f>
        <v>BeyondSpring Inc.</v>
      </c>
      <c r="C34" s="2470"/>
      <c r="D34" s="2471">
        <f>'Capital IQ Sheet-GPC'!BE27</f>
        <v>25.62</v>
      </c>
      <c r="E34" s="2471">
        <f>'Capital IQ Sheet-GPC'!BF27</f>
        <v>585.28792999999996</v>
      </c>
      <c r="F34" s="2471">
        <f>'Capital IQ Sheet-GPC'!BG27</f>
        <v>0</v>
      </c>
      <c r="G34" s="2471" t="str">
        <f>'Capital IQ Sheet-GPC'!BH27</f>
        <v>n/a</v>
      </c>
      <c r="H34" s="2471">
        <f>'Capital IQ Sheet-GPC'!BI27</f>
        <v>1.3560000000000001</v>
      </c>
      <c r="I34" s="2471">
        <f t="shared" si="0"/>
        <v>1.3560000000000001</v>
      </c>
      <c r="J34" s="2471">
        <f t="shared" si="1"/>
        <v>586.64392999999995</v>
      </c>
      <c r="K34" s="2471">
        <f>'Capital IQ Sheet-GPC'!BJ27</f>
        <v>40.723999999999997</v>
      </c>
      <c r="L34" s="2471">
        <f t="shared" si="2"/>
        <v>545.91992999999991</v>
      </c>
      <c r="M34" s="312"/>
      <c r="N34" s="2471">
        <f>'Capital IQ Sheet-GPC'!I27</f>
        <v>26.51</v>
      </c>
      <c r="O34" s="2471">
        <f>'Capital IQ Sheet-GPC'!J27</f>
        <v>614.36387000000002</v>
      </c>
      <c r="P34" s="2471">
        <f>'Capital IQ Sheet-GPC'!K27</f>
        <v>0</v>
      </c>
      <c r="Q34" s="2471" t="str">
        <f>'Capital IQ Sheet-GPC'!L27</f>
        <v>n/a</v>
      </c>
      <c r="R34" s="2471">
        <f>'Capital IQ Sheet-GPC'!M27</f>
        <v>0.56799999999999995</v>
      </c>
      <c r="S34" s="2471">
        <f t="shared" si="3"/>
        <v>0.56799999999999995</v>
      </c>
      <c r="T34" s="2471">
        <f t="shared" si="4"/>
        <v>614.93187</v>
      </c>
      <c r="U34" s="2471">
        <f>'Capital IQ Sheet-GPC'!N27</f>
        <v>21.538</v>
      </c>
      <c r="V34" s="2471">
        <f t="shared" si="5"/>
        <v>593.39386999999999</v>
      </c>
      <c r="X34" s="1524">
        <f t="shared" si="6"/>
        <v>3.4738485558157617E-2</v>
      </c>
      <c r="Y34" s="1524">
        <f t="shared" si="6"/>
        <v>4.9678010616074131E-2</v>
      </c>
      <c r="Z34" s="1524">
        <f t="shared" si="7"/>
        <v>8.6961360798826437E-2</v>
      </c>
      <c r="AB34" s="310">
        <f t="shared" si="15"/>
        <v>1</v>
      </c>
      <c r="AC34" s="82" t="str">
        <f>IF('MASTER PubCo Inputs'!C42="","",'MASTER PubCo Inputs'!C42)</f>
        <v>IQ409784135</v>
      </c>
      <c r="AD34" s="310" t="str">
        <f>'Capital IQ Sheet-GPC'!AP27</f>
        <v>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 Phase 3 clinical trial as an anticancer agent in combination with docetaxel in advanced non-small cell lung cancer; and Phase 1/2 clinical trials with the immuno-oncology agent nivolumab. BeyondSpring Inc. was founded in 2010 and is headquartered in New York, New York.</v>
      </c>
    </row>
    <row r="35" spans="2:30" ht="12.75" customHeight="1">
      <c r="B35" s="378" t="str">
        <f>'Capital IQ Sheet-GPC'!C28</f>
        <v>CymaBay Therapeutics, Inc.</v>
      </c>
      <c r="C35" s="2470"/>
      <c r="D35" s="2471">
        <f>'Capital IQ Sheet-GPC'!BE28</f>
        <v>12.99</v>
      </c>
      <c r="E35" s="2471">
        <f>'Capital IQ Sheet-GPC'!BF28</f>
        <v>759.93830000000003</v>
      </c>
      <c r="F35" s="2471">
        <f>'Capital IQ Sheet-GPC'!BG28</f>
        <v>6.0979999999999999</v>
      </c>
      <c r="G35" s="2471" t="str">
        <f>'Capital IQ Sheet-GPC'!BH28</f>
        <v>n/a</v>
      </c>
      <c r="H35" s="2471" t="str">
        <f>'Capital IQ Sheet-GPC'!BI28</f>
        <v>n/a</v>
      </c>
      <c r="I35" s="2471">
        <f t="shared" si="0"/>
        <v>6.0979999999999999</v>
      </c>
      <c r="J35" s="2471">
        <f t="shared" si="1"/>
        <v>766.03629999999998</v>
      </c>
      <c r="K35" s="2471">
        <f>'Capital IQ Sheet-GPC'!BJ28</f>
        <v>97.21</v>
      </c>
      <c r="L35" s="2471">
        <f t="shared" si="2"/>
        <v>668.82629999999995</v>
      </c>
      <c r="M35" s="312"/>
      <c r="N35" s="2471">
        <f>'Capital IQ Sheet-GPC'!I28</f>
        <v>13.42</v>
      </c>
      <c r="O35" s="2471">
        <f>'Capital IQ Sheet-GPC'!J28</f>
        <v>788.67728</v>
      </c>
      <c r="P35" s="2471">
        <f>'Capital IQ Sheet-GPC'!K28</f>
        <v>5.3609999999999998</v>
      </c>
      <c r="Q35" s="2471" t="str">
        <f>'Capital IQ Sheet-GPC'!L28</f>
        <v>n/a</v>
      </c>
      <c r="R35" s="2471" t="str">
        <f>'Capital IQ Sheet-GPC'!M28</f>
        <v>n/a</v>
      </c>
      <c r="S35" s="2471">
        <f t="shared" si="3"/>
        <v>5.3609999999999998</v>
      </c>
      <c r="T35" s="2471">
        <f t="shared" si="4"/>
        <v>794.03827999999999</v>
      </c>
      <c r="U35" s="2471">
        <f>'Capital IQ Sheet-GPC'!N28</f>
        <v>229.536</v>
      </c>
      <c r="V35" s="2471">
        <f t="shared" si="5"/>
        <v>564.50227999999993</v>
      </c>
      <c r="X35" s="1524">
        <f t="shared" si="6"/>
        <v>3.3102386451116184E-2</v>
      </c>
      <c r="Y35" s="1524">
        <f t="shared" si="6"/>
        <v>3.7817517553727642E-2</v>
      </c>
      <c r="Z35" s="1524">
        <f t="shared" si="7"/>
        <v>-0.15598073819764569</v>
      </c>
      <c r="AB35" s="310">
        <f t="shared" si="15"/>
        <v>1</v>
      </c>
      <c r="AC35" s="82" t="str">
        <f>IF('MASTER PubCo Inputs'!C43="","",'MASTER PubCo Inputs'!C43)</f>
        <v>IQ31424</v>
      </c>
      <c r="AD35" s="310" t="str">
        <f>'Capital IQ Sheet-GPC'!AP28</f>
        <v>CymaBay Therapeutics, Inc., a clinical-stage biopharmaceutical company, focuses on developing and providing therapies to treat liver and other chronic diseases. Its lead product candidate is seladelpar, a selective agonist of peroxisome proliferator-activated receptor delta, which has completed Phase II clinical study for the treatment of primary biliary cholangitis, as well as patients with nonalcoholic steatohepatitis. The company also develops arhalofenate, which has completed five Phase II clinical trials for the treatment of patients with gout; and MBX-2982, an oral G-protein coupled receptor agonist that has completed one Phase II clinical trial for therapeutic indications. It has licensing agreement with Kowa Pharmaceuticals America, Inc. for the development and commercialization of arhalofenate in the United States; and Janssen Pharmaceuticals, Inc. to develop and discover undisclosed metabolic disease target agonists for the treatment of type II diabetes and other disorders, as well as a license and development agreement with DiaTex, Inc. to develop and commercialize therapeutic products comrprising halofenate and its enantiomers, derivatives, and analogs for the treatment of diseases. The company was formerly known as Metabolex, Inc. CymaBay Therapeutics, Inc. was incorporated in 1988 and is headquartered in Newark, California.</v>
      </c>
    </row>
    <row r="36" spans="2:30" ht="12.75" customHeight="1">
      <c r="B36" s="378" t="str">
        <f>'Capital IQ Sheet-GPC'!C29</f>
        <v>Intra-Cellular Therapies, Inc.</v>
      </c>
      <c r="C36" s="2470"/>
      <c r="D36" s="2471">
        <f>'Capital IQ Sheet-GPC'!BE29</f>
        <v>21.05</v>
      </c>
      <c r="E36" s="2471">
        <f>'Capital IQ Sheet-GPC'!BF29</f>
        <v>1151.02352</v>
      </c>
      <c r="F36" s="2471">
        <f>'Capital IQ Sheet-GPC'!BG29</f>
        <v>0</v>
      </c>
      <c r="G36" s="2471" t="str">
        <f>'Capital IQ Sheet-GPC'!BH29</f>
        <v>n/a</v>
      </c>
      <c r="H36" s="2471" t="str">
        <f>'Capital IQ Sheet-GPC'!BI29</f>
        <v>n/a</v>
      </c>
      <c r="I36" s="2471">
        <f t="shared" si="0"/>
        <v>0</v>
      </c>
      <c r="J36" s="2471">
        <f t="shared" si="1"/>
        <v>1151.02352</v>
      </c>
      <c r="K36" s="2471">
        <f>'Capital IQ Sheet-GPC'!BJ29</f>
        <v>464.33103999999997</v>
      </c>
      <c r="L36" s="2471">
        <f t="shared" si="2"/>
        <v>686.69247999999993</v>
      </c>
      <c r="M36" s="312"/>
      <c r="N36" s="2471">
        <f>'Capital IQ Sheet-GPC'!I29</f>
        <v>17.670000000000002</v>
      </c>
      <c r="O36" s="2471">
        <f>'Capital IQ Sheet-GPC'!J29</f>
        <v>966.48504000000003</v>
      </c>
      <c r="P36" s="2471">
        <f>'Capital IQ Sheet-GPC'!K29</f>
        <v>0</v>
      </c>
      <c r="Q36" s="2471" t="str">
        <f>'Capital IQ Sheet-GPC'!L29</f>
        <v>n/a</v>
      </c>
      <c r="R36" s="2471" t="str">
        <f>'Capital IQ Sheet-GPC'!M29</f>
        <v>n/a</v>
      </c>
      <c r="S36" s="2471">
        <f t="shared" si="3"/>
        <v>0</v>
      </c>
      <c r="T36" s="2471">
        <f t="shared" si="4"/>
        <v>966.48504000000003</v>
      </c>
      <c r="U36" s="2471">
        <f>'Capital IQ Sheet-GPC'!N29</f>
        <v>437.00551000000002</v>
      </c>
      <c r="V36" s="2471">
        <f t="shared" si="5"/>
        <v>529.47953000000007</v>
      </c>
      <c r="X36" s="1524">
        <f t="shared" si="6"/>
        <v>-0.16057007125890732</v>
      </c>
      <c r="Y36" s="1524">
        <f t="shared" si="6"/>
        <v>-0.16032555094964518</v>
      </c>
      <c r="Z36" s="1524">
        <f t="shared" si="7"/>
        <v>-0.22894229160628043</v>
      </c>
      <c r="AB36" s="310">
        <f t="shared" si="15"/>
        <v>1</v>
      </c>
      <c r="AC36" s="82" t="str">
        <f>IF('MASTER PubCo Inputs'!C44="","",'MASTER PubCo Inputs'!C44)</f>
        <v>IQ9425271</v>
      </c>
      <c r="AD36" s="310" t="str">
        <f>'Capital IQ Sheet-GPC'!AP29</f>
        <v>Intra-Cellular Therapies, Inc., a biopharmaceutical company, engages in developing novel drugs for the treatment of neuropsychiatric and neurodegenerative diseases. The company is developing its lead drug candidate, lumateperone, known as ITI-007, for the treatment of schizophrenia, bipolar disorder, behavioral disturbances in patients with dementia, and other neuropsychiatric and neurological disorders. Lumateperone, a molecule, is in Phase III clinical development for the treatment of schizophrenia, bipolar depression, and agitation associated with dementia, including Alzheimer's disease. It is also developing ITI-214 for Parkinson’s disease; and ITI-333, for substance use disorders, pain, and psychiatric comorbidities, including depression and anxiety. Intra-Cellular Therapies, Inc. is headquartered in New York, New York.</v>
      </c>
    </row>
    <row r="37" spans="2:30" ht="12.75" customHeight="1">
      <c r="B37" s="378" t="str">
        <f>'Capital IQ Sheet-GPC'!C30</f>
        <v>Viking Therapeutics, Inc.</v>
      </c>
      <c r="C37" s="2470"/>
      <c r="D37" s="2471">
        <f>'Capital IQ Sheet-GPC'!BE30</f>
        <v>4.37</v>
      </c>
      <c r="E37" s="2471">
        <f>'Capital IQ Sheet-GPC'!BF30</f>
        <v>222.42777000000001</v>
      </c>
      <c r="F37" s="2471">
        <f>'Capital IQ Sheet-GPC'!BG30</f>
        <v>3.4505400000000002</v>
      </c>
      <c r="G37" s="2471" t="str">
        <f>'Capital IQ Sheet-GPC'!BH30</f>
        <v>n/a</v>
      </c>
      <c r="H37" s="2471" t="str">
        <f>'Capital IQ Sheet-GPC'!BI30</f>
        <v>n/a</v>
      </c>
      <c r="I37" s="2471">
        <f t="shared" si="0"/>
        <v>3.4505400000000002</v>
      </c>
      <c r="J37" s="2471">
        <f t="shared" si="1"/>
        <v>225.87831</v>
      </c>
      <c r="K37" s="2471">
        <f>'Capital IQ Sheet-GPC'!BJ30</f>
        <v>20.575959999999998</v>
      </c>
      <c r="L37" s="2471">
        <f t="shared" si="2"/>
        <v>205.30234999999999</v>
      </c>
      <c r="M37" s="312"/>
      <c r="N37" s="2471">
        <f>'Capital IQ Sheet-GPC'!I30</f>
        <v>9.49</v>
      </c>
      <c r="O37" s="2471">
        <f>'Capital IQ Sheet-GPC'!J30</f>
        <v>565.20726999999999</v>
      </c>
      <c r="P37" s="2471">
        <f>'Capital IQ Sheet-GPC'!K30</f>
        <v>3.7210000000000001</v>
      </c>
      <c r="Q37" s="2471" t="str">
        <f>'Capital IQ Sheet-GPC'!L30</f>
        <v>n/a</v>
      </c>
      <c r="R37" s="2471" t="str">
        <f>'Capital IQ Sheet-GPC'!M30</f>
        <v>n/a</v>
      </c>
      <c r="S37" s="2471">
        <f t="shared" si="3"/>
        <v>3.7210000000000001</v>
      </c>
      <c r="T37" s="2471">
        <f t="shared" si="4"/>
        <v>568.92827</v>
      </c>
      <c r="U37" s="2471">
        <f>'Capital IQ Sheet-GPC'!N30</f>
        <v>77.468000000000004</v>
      </c>
      <c r="V37" s="2471">
        <f t="shared" si="5"/>
        <v>491.46026999999998</v>
      </c>
      <c r="X37" s="1524" t="str">
        <f t="shared" si="6"/>
        <v>NM</v>
      </c>
      <c r="Y37" s="1524" t="str">
        <f t="shared" si="6"/>
        <v>NM</v>
      </c>
      <c r="Z37" s="1524" t="str">
        <f t="shared" si="7"/>
        <v>NM</v>
      </c>
      <c r="AB37" s="310">
        <f t="shared" si="15"/>
        <v>1</v>
      </c>
      <c r="AC37" s="82" t="str">
        <f>IF('MASTER PubCo Inputs'!C45="","",'MASTER PubCo Inputs'!C45)</f>
        <v>IQ246791410</v>
      </c>
      <c r="AD37" s="310" t="str">
        <f>'Capital IQ Sheet-GPC'!AP30</f>
        <v>Viking Therapeutics, Inc., a clinical-stage biopharmaceutical company, focuses on the development of novel therapies for metabolic and endocrine disorders. Its lead clinical program, VK5211, is an orally available, non-steroidal selective androgen receptor modulator in Phase II development for the treatment of patients recovering from non-elective hip fracture surgery; in Phase I clinical trials for improving lean body mass; and in pre-clinical trial for improving bone mineral density, bone mineral content, bone strength, and other measures. The company is also developing VK2809, an orally available, tissue and receptor-subtype selective agonist of the thyroid hormone receptor beta, which is in a Phase II clinical trial for the treatment of patients with hypercholesterolemia and fatty liver disease; and in a Phase I clinical trial to treat patients who suffer from glycogen storage disease type Ia. In addition, it is developing VK0214 for X-linked adrenoleukodystrophy, which is in pre-clinical stage. Viking Therapeutics, Inc. was founded in 2012 and is headquartered in San Diego, California.</v>
      </c>
    </row>
    <row r="38" spans="2:30" ht="12.75" customHeight="1">
      <c r="B38" s="378" t="str">
        <f>'Capital IQ Sheet-GPC'!C31</f>
        <v>Xeris Pharmaceuticals, Inc.</v>
      </c>
      <c r="C38" s="2470"/>
      <c r="D38" s="2471" t="str">
        <f>'Capital IQ Sheet-GPC'!BE31</f>
        <v>n/a</v>
      </c>
      <c r="E38" s="2471" t="str">
        <f>'Capital IQ Sheet-GPC'!BF31</f>
        <v>n/a</v>
      </c>
      <c r="F38" s="2471">
        <f>'Capital IQ Sheet-GPC'!BG31</f>
        <v>0</v>
      </c>
      <c r="G38" s="2471">
        <f>'Capital IQ Sheet-GPC'!BH31</f>
        <v>97.878</v>
      </c>
      <c r="H38" s="2471" t="str">
        <f>'Capital IQ Sheet-GPC'!BI31</f>
        <v>n/a</v>
      </c>
      <c r="I38" s="2471">
        <f t="shared" si="0"/>
        <v>97.878</v>
      </c>
      <c r="J38" s="2471">
        <f t="shared" si="1"/>
        <v>97.878</v>
      </c>
      <c r="K38" s="2471">
        <f>'Capital IQ Sheet-GPC'!BJ31</f>
        <v>42.045000000000002</v>
      </c>
      <c r="L38" s="2471">
        <f t="shared" si="2"/>
        <v>55.832999999999998</v>
      </c>
      <c r="M38" s="312"/>
      <c r="N38" s="2471">
        <f>'Capital IQ Sheet-GPC'!I31</f>
        <v>18.98</v>
      </c>
      <c r="O38" s="2471">
        <f>'Capital IQ Sheet-GPC'!J31</f>
        <v>374.58265999999998</v>
      </c>
      <c r="P38" s="2471">
        <f>'Capital IQ Sheet-GPC'!K31</f>
        <v>18.050999999999998</v>
      </c>
      <c r="Q38" s="2471">
        <f>'Capital IQ Sheet-GPC'!L31</f>
        <v>102.292</v>
      </c>
      <c r="R38" s="2471" t="str">
        <f>'Capital IQ Sheet-GPC'!M31</f>
        <v>n/a</v>
      </c>
      <c r="S38" s="2471">
        <f t="shared" si="3"/>
        <v>120.343</v>
      </c>
      <c r="T38" s="2471">
        <f t="shared" si="4"/>
        <v>494.92565999999999</v>
      </c>
      <c r="U38" s="2471">
        <f>'Capital IQ Sheet-GPC'!N31</f>
        <v>58.11</v>
      </c>
      <c r="V38" s="2471">
        <f t="shared" si="5"/>
        <v>436.81565999999998</v>
      </c>
      <c r="X38" s="1524" t="str">
        <f t="shared" si="6"/>
        <v>n/a</v>
      </c>
      <c r="Y38" s="1524" t="str">
        <f t="shared" si="6"/>
        <v>n/a</v>
      </c>
      <c r="Z38" s="1524" t="str">
        <f t="shared" si="7"/>
        <v>NM</v>
      </c>
      <c r="AB38" s="310">
        <f t="shared" si="15"/>
        <v>1</v>
      </c>
      <c r="AC38" s="82" t="str">
        <f>IF('MASTER PubCo Inputs'!C46="","",'MASTER PubCo Inputs'!C46)</f>
        <v>IQ105901792</v>
      </c>
      <c r="AD38" s="310" t="str">
        <f>'Capital IQ Sheet-GPC'!AP31</f>
        <v>Xeris Pharmaceuticals, Inc., a specialty pharmaceutical company, develops and commercializes ready-to-use injectable and infusible drug formulations. Its proprietary XeriSol and XeriJect formulation technologies allow for the subcutaneous and intramuscular delivery of highly-concentrated, ready-to-use formulations of peptides, proteins, antibodies, and small molecules using commercially available syringes, auto-injectors, multi-dose pens, and infusion pumps. The company’s lead product candidate is glucagon rescue pen, which has completed Phase III clinical trials for the treatment of severe hypoglycemia, a potentially life-threatening condition in people with diabetes. Its product candidates also comprise self-administered glucagon that is in Phase IIa clinical trials for the treatment of post-bariatric hypoglycemia; continuous glucagon, which is in Phase II clinical trials for the treatment of congenital hyperinsulinism; continuous glucagon that is in Phase IIa clinical trials for the treatment of hypoglycemia-associated autonomic failure; self-administered glucagon, which is in Phase IIa clinical trials for the treatment of exercise-induced hypoglycemia; and ready-to-use glucagon that is in Phase II clinical trials for use in a bi-hormonal artificial pancreas closed-loop systems. The company’s preclinical programs include ready-to-use diazepam, a ready-to-use diazepam formulation for the treatment of ARS in patients with epilepsy; and pram-insulin, a ready-to-use fixed dose combination of insulin and pramlintide. It serves patients, caregivers, and health practitioners. The company was founded in 2005 and is based in Chicago, Illinois.</v>
      </c>
    </row>
    <row r="39" spans="2:30" ht="12.75" customHeight="1">
      <c r="B39" s="378" t="str">
        <f>'Capital IQ Sheet-GPC'!C32</f>
        <v>Odonate Therapeutics, Inc.</v>
      </c>
      <c r="C39" s="2470"/>
      <c r="D39" s="2471">
        <f>'Capital IQ Sheet-GPC'!BE32</f>
        <v>21.18</v>
      </c>
      <c r="E39" s="2471">
        <f>'Capital IQ Sheet-GPC'!BF32</f>
        <v>578.87967000000003</v>
      </c>
      <c r="F39" s="2471">
        <f>'Capital IQ Sheet-GPC'!BG32</f>
        <v>0</v>
      </c>
      <c r="G39" s="2471" t="str">
        <f>'Capital IQ Sheet-GPC'!BH32</f>
        <v>n/a</v>
      </c>
      <c r="H39" s="2471" t="str">
        <f>'Capital IQ Sheet-GPC'!BI32</f>
        <v>n/a</v>
      </c>
      <c r="I39" s="2471">
        <f t="shared" si="0"/>
        <v>0</v>
      </c>
      <c r="J39" s="2471">
        <f t="shared" si="1"/>
        <v>578.87967000000003</v>
      </c>
      <c r="K39" s="2471">
        <f>'Capital IQ Sheet-GPC'!BJ32</f>
        <v>198.10499999999999</v>
      </c>
      <c r="L39" s="2471">
        <f t="shared" si="2"/>
        <v>380.77467000000001</v>
      </c>
      <c r="M39" s="312"/>
      <c r="N39" s="2471">
        <f>'Capital IQ Sheet-GPC'!I32</f>
        <v>22.08</v>
      </c>
      <c r="O39" s="2471">
        <f>'Capital IQ Sheet-GPC'!J32</f>
        <v>593.68480999999997</v>
      </c>
      <c r="P39" s="2471">
        <f>'Capital IQ Sheet-GPC'!K32</f>
        <v>0</v>
      </c>
      <c r="Q39" s="2471" t="str">
        <f>'Capital IQ Sheet-GPC'!L32</f>
        <v>n/a</v>
      </c>
      <c r="R39" s="2471" t="str">
        <f>'Capital IQ Sheet-GPC'!M32</f>
        <v>n/a</v>
      </c>
      <c r="S39" s="2471">
        <f t="shared" si="3"/>
        <v>0</v>
      </c>
      <c r="T39" s="2471">
        <f t="shared" si="4"/>
        <v>593.68480999999997</v>
      </c>
      <c r="U39" s="2471">
        <f>'Capital IQ Sheet-GPC'!N32</f>
        <v>195.24600000000001</v>
      </c>
      <c r="V39" s="2471">
        <f t="shared" si="5"/>
        <v>398.43880999999999</v>
      </c>
      <c r="X39" s="1524">
        <f t="shared" si="6"/>
        <v>4.2492917847025469E-2</v>
      </c>
      <c r="Y39" s="1524">
        <f t="shared" si="6"/>
        <v>2.5575505182277247E-2</v>
      </c>
      <c r="Z39" s="1524">
        <f t="shared" si="7"/>
        <v>4.6390008032834773E-2</v>
      </c>
      <c r="AB39" s="310">
        <f t="shared" si="15"/>
        <v>1</v>
      </c>
      <c r="AC39" s="82" t="str">
        <f>IF('MASTER PubCo Inputs'!C47="","",'MASTER PubCo Inputs'!C47)</f>
        <v>IQ541399578</v>
      </c>
      <c r="AD39" s="310" t="str">
        <f>'Capital IQ Sheet-GPC'!AP32</f>
        <v>Odonate Therapeutics, Inc., a pharmaceutical company, develops therapeutics for the treatment of cancer. It focuses on the development of tesetaxel, an orally administered chemotherapy agent for patients with advanced or metastatic breast cancer (MBC). Odonate Therapeutics, Inc. also conducting a Phase III study in MBC, which is known as CONTESSA. The company was founded in 2013 and is based in San Diego, California.</v>
      </c>
    </row>
    <row r="40" spans="2:30" ht="12.75" customHeight="1">
      <c r="B40" s="378" t="str">
        <f>'Capital IQ Sheet-GPC'!C33</f>
        <v>Nightstar Therapeutics plc</v>
      </c>
      <c r="C40" s="2470"/>
      <c r="D40" s="2471">
        <f>'Capital IQ Sheet-GPC'!BE33</f>
        <v>14.31</v>
      </c>
      <c r="E40" s="2471">
        <f>'Capital IQ Sheet-GPC'!BF33</f>
        <v>413.62646000000001</v>
      </c>
      <c r="F40" s="2471">
        <f>'Capital IQ Sheet-GPC'!BG33</f>
        <v>0</v>
      </c>
      <c r="G40" s="2471" t="str">
        <f>'Capital IQ Sheet-GPC'!BH33</f>
        <v>n/a</v>
      </c>
      <c r="H40" s="2471" t="str">
        <f>'Capital IQ Sheet-GPC'!BI33</f>
        <v>n/a</v>
      </c>
      <c r="I40" s="2471">
        <f t="shared" si="0"/>
        <v>0</v>
      </c>
      <c r="J40" s="2471">
        <f t="shared" si="1"/>
        <v>413.62646000000001</v>
      </c>
      <c r="K40" s="2471">
        <f>'Capital IQ Sheet-GPC'!BJ33</f>
        <v>69.584000000000003</v>
      </c>
      <c r="L40" s="2471">
        <f t="shared" si="2"/>
        <v>344.04246000000001</v>
      </c>
      <c r="M40" s="312"/>
      <c r="N40" s="2471">
        <f>'Capital IQ Sheet-GPC'!I33</f>
        <v>16</v>
      </c>
      <c r="O40" s="2471">
        <f>'Capital IQ Sheet-GPC'!J33</f>
        <v>462.47541999999999</v>
      </c>
      <c r="P40" s="2471">
        <f>'Capital IQ Sheet-GPC'!K33</f>
        <v>0</v>
      </c>
      <c r="Q40" s="2471" t="str">
        <f>'Capital IQ Sheet-GPC'!L33</f>
        <v>n/a</v>
      </c>
      <c r="R40" s="2471" t="str">
        <f>'Capital IQ Sheet-GPC'!M33</f>
        <v>n/a</v>
      </c>
      <c r="S40" s="2471">
        <f t="shared" si="3"/>
        <v>0</v>
      </c>
      <c r="T40" s="2471">
        <f t="shared" si="4"/>
        <v>462.47541999999999</v>
      </c>
      <c r="U40" s="2471">
        <f>'Capital IQ Sheet-GPC'!N33</f>
        <v>122.277</v>
      </c>
      <c r="V40" s="2471">
        <f t="shared" si="5"/>
        <v>340.19842</v>
      </c>
      <c r="X40" s="1524">
        <f t="shared" si="6"/>
        <v>0.11809923130677835</v>
      </c>
      <c r="Y40" s="1524">
        <f t="shared" si="6"/>
        <v>0.11809921444580684</v>
      </c>
      <c r="Z40" s="1524">
        <f t="shared" si="7"/>
        <v>-1.1173155778504751E-2</v>
      </c>
      <c r="AB40" s="310">
        <f t="shared" si="15"/>
        <v>1</v>
      </c>
      <c r="AC40" s="82" t="str">
        <f>IF('MASTER PubCo Inputs'!C48="","",'MASTER PubCo Inputs'!C48)</f>
        <v>IQ270062348</v>
      </c>
      <c r="AD40" s="310" t="str">
        <f>'Capital IQ Sheet-GPC'!AP33</f>
        <v>Nightstar Therapeutics plc, a clinical-stage gene therapy company, focuses on developing and commercializing novel one-time treatments for patients suffering from rare inherited retinal diseases in the United Kingdom. The company’s lead product candidate is NSR-REP1, a candidate that is in phase 3 clinical development for the treatment of patients with choroideremia. It is also developing NSR-RPGR, a candidate that is in Phase 1/2 clinical trials for the treatment of patients with X-linked retinitis pigmentosa, an inherited X-linked recessive retinal disease; and NSR-BEST1, a candidate that is in preclinical development stage for the treatment of best vitelliform macular dystrophy. In addition, the company is developing NSR-ABCA4, a candidate that is in preclinical development stage for the treatment of Stargardt disease. The company was founded in 2013 and is headquartered in London, the United Kingdom.</v>
      </c>
    </row>
    <row r="41" spans="2:30" ht="12.75" customHeight="1">
      <c r="B41" s="378" t="str">
        <f>'Capital IQ Sheet-GPC'!C34</f>
        <v>Zafgen, Inc.</v>
      </c>
      <c r="C41" s="2470"/>
      <c r="D41" s="2471">
        <f>'Capital IQ Sheet-GPC'!BE34</f>
        <v>7.45</v>
      </c>
      <c r="E41" s="2471">
        <f>'Capital IQ Sheet-GPC'!BF34</f>
        <v>205.31368000000001</v>
      </c>
      <c r="F41" s="2471">
        <f>'Capital IQ Sheet-GPC'!BG34</f>
        <v>20</v>
      </c>
      <c r="G41" s="2471" t="str">
        <f>'Capital IQ Sheet-GPC'!BH34</f>
        <v>n/a</v>
      </c>
      <c r="H41" s="2471" t="str">
        <f>'Capital IQ Sheet-GPC'!BI34</f>
        <v>n/a</v>
      </c>
      <c r="I41" s="2471">
        <f t="shared" si="0"/>
        <v>20</v>
      </c>
      <c r="J41" s="2471">
        <f t="shared" si="1"/>
        <v>225.31368000000001</v>
      </c>
      <c r="K41" s="2471">
        <f>'Capital IQ Sheet-GPC'!BJ34</f>
        <v>102.05200000000001</v>
      </c>
      <c r="L41" s="2471">
        <f t="shared" si="2"/>
        <v>123.26168</v>
      </c>
      <c r="M41" s="312"/>
      <c r="N41" s="2471">
        <f>'Capital IQ Sheet-GPC'!I34</f>
        <v>10.23</v>
      </c>
      <c r="O41" s="2471">
        <f>'Capital IQ Sheet-GPC'!J34</f>
        <v>363.76737000000003</v>
      </c>
      <c r="P41" s="2471">
        <f>'Capital IQ Sheet-GPC'!K34</f>
        <v>20.16</v>
      </c>
      <c r="Q41" s="2471" t="str">
        <f>'Capital IQ Sheet-GPC'!L34</f>
        <v>n/a</v>
      </c>
      <c r="R41" s="2471" t="str">
        <f>'Capital IQ Sheet-GPC'!M34</f>
        <v>n/a</v>
      </c>
      <c r="S41" s="2471">
        <f t="shared" si="3"/>
        <v>20.16</v>
      </c>
      <c r="T41" s="2471">
        <f t="shared" si="4"/>
        <v>383.92737000000005</v>
      </c>
      <c r="U41" s="2471">
        <f>'Capital IQ Sheet-GPC'!N34</f>
        <v>89.07</v>
      </c>
      <c r="V41" s="2471">
        <f t="shared" si="5"/>
        <v>294.85737000000006</v>
      </c>
      <c r="X41" s="1524">
        <f t="shared" si="6"/>
        <v>0.37315436241610733</v>
      </c>
      <c r="Y41" s="1524">
        <f t="shared" si="6"/>
        <v>0.77176391753340545</v>
      </c>
      <c r="Z41" s="1524" t="str">
        <f t="shared" si="7"/>
        <v>NM</v>
      </c>
      <c r="AB41" s="310">
        <f t="shared" si="15"/>
        <v>1</v>
      </c>
      <c r="AC41" s="82" t="str">
        <f>IF('MASTER PubCo Inputs'!C49="","",'MASTER PubCo Inputs'!C49)</f>
        <v>IQ29016215</v>
      </c>
      <c r="AD41" s="310" t="str">
        <f>'Capital IQ Sheet-GPC'!AP34</f>
        <v>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v>
      </c>
    </row>
    <row r="42" spans="2:30" ht="12.75" customHeight="1">
      <c r="B42" s="378" t="str">
        <f>'Capital IQ Sheet-GPC'!C35</f>
        <v>MediciNova, Inc.</v>
      </c>
      <c r="C42" s="2470"/>
      <c r="D42" s="2471">
        <f>'Capital IQ Sheet-GPC'!BE35</f>
        <v>10.220000000000001</v>
      </c>
      <c r="E42" s="2471">
        <f>'Capital IQ Sheet-GPC'!BF35</f>
        <v>418.28973999999999</v>
      </c>
      <c r="F42" s="2471">
        <f>'Capital IQ Sheet-GPC'!BG35</f>
        <v>0</v>
      </c>
      <c r="G42" s="2471" t="str">
        <f>'Capital IQ Sheet-GPC'!BH35</f>
        <v>n/a</v>
      </c>
      <c r="H42" s="2471" t="str">
        <f>'Capital IQ Sheet-GPC'!BI35</f>
        <v>n/a</v>
      </c>
      <c r="I42" s="2471">
        <f t="shared" si="0"/>
        <v>0</v>
      </c>
      <c r="J42" s="2471">
        <f t="shared" si="1"/>
        <v>418.28973999999999</v>
      </c>
      <c r="K42" s="2471">
        <f>'Capital IQ Sheet-GPC'!BJ35</f>
        <v>27.99174</v>
      </c>
      <c r="L42" s="2471">
        <f t="shared" si="2"/>
        <v>390.298</v>
      </c>
      <c r="M42" s="312"/>
      <c r="N42" s="2471">
        <f>'Capital IQ Sheet-GPC'!I35</f>
        <v>7.96</v>
      </c>
      <c r="O42" s="2471">
        <f>'Capital IQ Sheet-GPC'!J35</f>
        <v>327.38742000000002</v>
      </c>
      <c r="P42" s="2471">
        <f>'Capital IQ Sheet-GPC'!K35</f>
        <v>0</v>
      </c>
      <c r="Q42" s="2471" t="str">
        <f>'Capital IQ Sheet-GPC'!L35</f>
        <v>n/a</v>
      </c>
      <c r="R42" s="2471" t="str">
        <f>'Capital IQ Sheet-GPC'!M35</f>
        <v>n/a</v>
      </c>
      <c r="S42" s="2471">
        <f t="shared" si="3"/>
        <v>0</v>
      </c>
      <c r="T42" s="2471">
        <f t="shared" si="4"/>
        <v>327.38742000000002</v>
      </c>
      <c r="U42" s="2471">
        <f>'Capital IQ Sheet-GPC'!N35</f>
        <v>62.9392</v>
      </c>
      <c r="V42" s="2471">
        <f t="shared" si="5"/>
        <v>264.44821999999999</v>
      </c>
      <c r="X42" s="1524">
        <f t="shared" si="6"/>
        <v>-0.22113502935420748</v>
      </c>
      <c r="Y42" s="1524">
        <f t="shared" si="6"/>
        <v>-0.21731902867137021</v>
      </c>
      <c r="Z42" s="1524" t="str">
        <f t="shared" si="7"/>
        <v>NM</v>
      </c>
      <c r="AB42" s="310">
        <f t="shared" si="15"/>
        <v>1</v>
      </c>
      <c r="AC42" s="82" t="str">
        <f>IF('MASTER PubCo Inputs'!C50="","",'MASTER PubCo Inputs'!C50)</f>
        <v>IQ9262264</v>
      </c>
      <c r="AD42" s="310" t="str">
        <f>'Capital IQ Sheet-GPC'!AP35</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43" spans="2:30" ht="12.75" customHeight="1">
      <c r="B43" s="378" t="str">
        <f>'Capital IQ Sheet-GPC'!C36</f>
        <v>AVEO Pharmaceuticals, Inc.</v>
      </c>
      <c r="C43" s="2470"/>
      <c r="D43" s="2471">
        <f>'Capital IQ Sheet-GPC'!BE36</f>
        <v>2.9</v>
      </c>
      <c r="E43" s="2471">
        <f>'Capital IQ Sheet-GPC'!BF36</f>
        <v>344.71566999999999</v>
      </c>
      <c r="F43" s="2471">
        <f>'Capital IQ Sheet-GPC'!BG36</f>
        <v>18.477</v>
      </c>
      <c r="G43" s="2471" t="str">
        <f>'Capital IQ Sheet-GPC'!BH36</f>
        <v>n/a</v>
      </c>
      <c r="H43" s="2471" t="str">
        <f>'Capital IQ Sheet-GPC'!BI36</f>
        <v>n/a</v>
      </c>
      <c r="I43" s="2471">
        <f t="shared" si="0"/>
        <v>18.477</v>
      </c>
      <c r="J43" s="2471">
        <f t="shared" si="1"/>
        <v>363.19266999999996</v>
      </c>
      <c r="K43" s="2471">
        <f>'Capital IQ Sheet-GPC'!BJ36</f>
        <v>33.524999999999999</v>
      </c>
      <c r="L43" s="2471">
        <f t="shared" si="2"/>
        <v>329.66766999999999</v>
      </c>
      <c r="M43" s="312"/>
      <c r="N43" s="2471">
        <f>'Capital IQ Sheet-GPC'!I36</f>
        <v>2.2599999999999998</v>
      </c>
      <c r="O43" s="2471">
        <f>'Capital IQ Sheet-GPC'!J36</f>
        <v>268.64048000000003</v>
      </c>
      <c r="P43" s="2471">
        <f>'Capital IQ Sheet-GPC'!K36</f>
        <v>18.588000000000001</v>
      </c>
      <c r="Q43" s="2471" t="str">
        <f>'Capital IQ Sheet-GPC'!L36</f>
        <v>n/a</v>
      </c>
      <c r="R43" s="2471" t="str">
        <f>'Capital IQ Sheet-GPC'!M36</f>
        <v>n/a</v>
      </c>
      <c r="S43" s="2471">
        <f t="shared" si="3"/>
        <v>18.588000000000001</v>
      </c>
      <c r="T43" s="2471">
        <f t="shared" si="4"/>
        <v>287.22848000000005</v>
      </c>
      <c r="U43" s="2471">
        <f>'Capital IQ Sheet-GPC'!N36</f>
        <v>26.995000000000001</v>
      </c>
      <c r="V43" s="2471">
        <f t="shared" si="5"/>
        <v>260.23348000000004</v>
      </c>
      <c r="X43" s="1524">
        <f t="shared" si="6"/>
        <v>-0.22068965517241379</v>
      </c>
      <c r="Y43" s="1524">
        <f t="shared" si="6"/>
        <v>-0.2206896773796212</v>
      </c>
      <c r="Z43" s="1524">
        <f t="shared" si="7"/>
        <v>-0.21061874220180565</v>
      </c>
      <c r="AB43" s="310">
        <f t="shared" si="15"/>
        <v>1</v>
      </c>
      <c r="AC43" s="82" t="str">
        <f>IF('MASTER PubCo Inputs'!C51="","",'MASTER PubCo Inputs'!C51)</f>
        <v>IQ1906420</v>
      </c>
      <c r="AD43" s="310" t="str">
        <f>'Capital IQ Sheet-GPC'!AP36</f>
        <v>AVEO Pharmaceuticals, Inc., a biopharmaceutical company, develops and commercializes a portfolio of targeted medicines for oncology and other areas of unmet medical need. It markets its lead candidate, tivozanib, an oral, once-daily, vascular endothelial growth factor receptor tyrosine kinase inhibitor, which is used for the treatment of renal cell carcinoma (RCC). The company has also completed a Phase 3 TIVO-3 trial of tivozanib for the treatment of advanced RCC; and initiated enrollment in a phase Ib/II clinical trial of tivozanib in combination with Opdivo (nivolumab), an immune checkpoint (PD-1) inhibitor, for the treatment of advanced RCC. In addition, it is developing Ficlatuzumab, a potent hepatocyte growth factor inhibitory antibody, in Phase I and Phase II clinical trials in squamous cell carcinoma of the head and neck, metastatic pancreatic ductal cancer, and acute myeloid leukemia; and AV-203, a potent anti-ErbB3 specific monoclonal antibody, which has completed Phase I clinical trial for treating esophageal cancer. The company’s preclinical stage products include AV-380, a potent humanized IgG1 inhibitory monoclonal antibody for the treatment or prevention of cachexia; and AV-353 for the treatment of pulmonary arterial hypertension. It has strategic partnerships with CANbridge Life Sciences Ltd.; EUSA Pharma (UK) Limited; Novartis International Pharmaceutical Ltd.; Biodesix, Inc.; St. Vincent’s Hospital Sydney Limited; Biogen Idec; and Kyowa Hakko Kirin Co., Ltd. The company was formerly known as GenPath Pharmaceuticals, Inc. and changed its name to AVEO Pharmaceuticals, Inc. in March 2005. AVEO Pharmaceuticals, Inc. was incorporated in 2001 and is based in Cambridge, Massachusetts.</v>
      </c>
    </row>
    <row r="44" spans="2:30" ht="12.75" customHeight="1">
      <c r="B44" s="378" t="str">
        <f>'Capital IQ Sheet-GPC'!C37</f>
        <v>BioTime, Inc.</v>
      </c>
      <c r="C44" s="2470"/>
      <c r="D44" s="2471">
        <f>'Capital IQ Sheet-GPC'!BE37</f>
        <v>2.69</v>
      </c>
      <c r="E44" s="2471">
        <f>'Capital IQ Sheet-GPC'!BF37</f>
        <v>341.27802000000003</v>
      </c>
      <c r="F44" s="2471">
        <f>'Capital IQ Sheet-GPC'!BG37</f>
        <v>1.5329999999999999</v>
      </c>
      <c r="G44" s="2471" t="str">
        <f>'Capital IQ Sheet-GPC'!BH37</f>
        <v>n/a</v>
      </c>
      <c r="H44" s="2471">
        <f>'Capital IQ Sheet-GPC'!BI37</f>
        <v>1.6220000000000001</v>
      </c>
      <c r="I44" s="2471">
        <f t="shared" si="0"/>
        <v>3.1550000000000002</v>
      </c>
      <c r="J44" s="2471">
        <f t="shared" si="1"/>
        <v>344.43302000000006</v>
      </c>
      <c r="K44" s="2471">
        <f>'Capital IQ Sheet-GPC'!BJ37</f>
        <v>38.174999999999997</v>
      </c>
      <c r="L44" s="2471">
        <f t="shared" si="2"/>
        <v>306.25802000000004</v>
      </c>
      <c r="M44" s="312"/>
      <c r="N44" s="2471">
        <f>'Capital IQ Sheet-GPC'!I37</f>
        <v>2.06</v>
      </c>
      <c r="O44" s="2471">
        <f>'Capital IQ Sheet-GPC'!J37</f>
        <v>261.35887000000002</v>
      </c>
      <c r="P44" s="2471">
        <f>'Capital IQ Sheet-GPC'!K37</f>
        <v>1.4319999999999999</v>
      </c>
      <c r="Q44" s="2471" t="str">
        <f>'Capital IQ Sheet-GPC'!L37</f>
        <v>n/a</v>
      </c>
      <c r="R44" s="2471">
        <f>'Capital IQ Sheet-GPC'!M37</f>
        <v>2.4870000000000001</v>
      </c>
      <c r="S44" s="2471">
        <f t="shared" si="3"/>
        <v>3.919</v>
      </c>
      <c r="T44" s="2471">
        <f t="shared" si="4"/>
        <v>265.27787000000006</v>
      </c>
      <c r="U44" s="2471">
        <f>'Capital IQ Sheet-GPC'!N37</f>
        <v>31.379000000000001</v>
      </c>
      <c r="V44" s="2471">
        <f t="shared" si="5"/>
        <v>233.89887000000007</v>
      </c>
      <c r="X44" s="1524">
        <f t="shared" si="6"/>
        <v>-0.23420074349442377</v>
      </c>
      <c r="Y44" s="1524">
        <f t="shared" si="6"/>
        <v>-0.23417608318285488</v>
      </c>
      <c r="Z44" s="1524">
        <f t="shared" si="7"/>
        <v>-0.23626858816627871</v>
      </c>
      <c r="AB44" s="310">
        <f t="shared" si="15"/>
        <v>1</v>
      </c>
      <c r="AC44" s="82" t="str">
        <f>IF('MASTER PubCo Inputs'!C52="","",'MASTER PubCo Inputs'!C52)</f>
        <v>IQ25622</v>
      </c>
      <c r="AD44" s="310" t="str">
        <f>'Capital IQ Sheet-GPC'!AP37</f>
        <v>BioTime, Inc., a clinical-stage biotechnology company, focuses on developing and commercializing products addressing degenerative diseases based on pluripotent stem cells and HyStem cell/drug delivery platform technologies primarily in the United States and Israel. The company’s lead product candidates include OpRegen, a retinal pigment epithelium cell replacement therapy, which is in Phase I/IIa multicenter trial for the treatment of the dry age-related macular degeneration; and Renevia, a facial aesthetics product that is in pivotal clinical trial for the treatment of HIV-associated facial lipoatrophy. It also develops Premvia, a HyStem hydrogel formulation for use in the treatment of age-related facial lipoatrophy, as well as for the management of wounds, including partial and full-thickness wounds, ulcers, tunneled/undermined wounds, surgical wounds, and burns; and ReGlyde, a HyStem product in preclinical development as a device for viscosupplementation, and as a platform for intraarticular drug delivery in osteoarthritis. In addition, the company through its subsidiary, AgeX Therapeutics, Inc., develops AGEX-BAT1 that consists of pluripotent stem cell-derived brown adipocytes for the treatment of type 2 diabetes; AGEX-VASC1, which consists of vascular progenitors targeting cardiac ischemia; and induced tissue regeneration, a systemic therapy for inducing the scar less regeneration of tissues. Further, it markets GeneCards, a human gene database; MalaCards, a human disease database; and Hextend, a plasma volume expander used to treat or prevent hypovolemia, including albumin, generic 6% hetastarch solutions, and crystalloid solutions. BioTime, Inc. was founded in 1990 and is based in Alameda, California.</v>
      </c>
    </row>
    <row r="45" spans="2:30" ht="12.75" customHeight="1">
      <c r="B45" s="378" t="str">
        <f>'Capital IQ Sheet-GPC'!C38</f>
        <v>Cytokinetics, Incorporated</v>
      </c>
      <c r="C45" s="2470"/>
      <c r="D45" s="2471">
        <f>'Capital IQ Sheet-GPC'!BE38</f>
        <v>7.2</v>
      </c>
      <c r="E45" s="2471">
        <f>'Capital IQ Sheet-GPC'!BF38</f>
        <v>388.85840999999999</v>
      </c>
      <c r="F45" s="2471">
        <f>'Capital IQ Sheet-GPC'!BG38</f>
        <v>31.777000000000001</v>
      </c>
      <c r="G45" s="2471" t="str">
        <f>'Capital IQ Sheet-GPC'!BH38</f>
        <v>n/a</v>
      </c>
      <c r="H45" s="2471" t="str">
        <f>'Capital IQ Sheet-GPC'!BI38</f>
        <v>n/a</v>
      </c>
      <c r="I45" s="2471">
        <f t="shared" si="0"/>
        <v>31.777000000000001</v>
      </c>
      <c r="J45" s="2471">
        <f t="shared" si="1"/>
        <v>420.63540999999998</v>
      </c>
      <c r="K45" s="2471">
        <f>'Capital IQ Sheet-GPC'!BJ38</f>
        <v>268.89100000000002</v>
      </c>
      <c r="L45" s="2471">
        <f t="shared" si="2"/>
        <v>151.74440999999996</v>
      </c>
      <c r="M45" s="312"/>
      <c r="N45" s="2471">
        <f>'Capital IQ Sheet-GPC'!I38</f>
        <v>8.3000000000000007</v>
      </c>
      <c r="O45" s="2471">
        <f>'Capital IQ Sheet-GPC'!J38</f>
        <v>449.83963</v>
      </c>
      <c r="P45" s="2471">
        <f>'Capital IQ Sheet-GPC'!K38</f>
        <v>31.954000000000001</v>
      </c>
      <c r="Q45" s="2471" t="str">
        <f>'Capital IQ Sheet-GPC'!L38</f>
        <v>n/a</v>
      </c>
      <c r="R45" s="2471" t="str">
        <f>'Capital IQ Sheet-GPC'!M38</f>
        <v>n/a</v>
      </c>
      <c r="S45" s="2471">
        <f t="shared" si="3"/>
        <v>31.954000000000001</v>
      </c>
      <c r="T45" s="2471">
        <f t="shared" si="4"/>
        <v>481.79363000000001</v>
      </c>
      <c r="U45" s="2471">
        <f>'Capital IQ Sheet-GPC'!N38</f>
        <v>251.45400000000001</v>
      </c>
      <c r="V45" s="2471">
        <f t="shared" si="5"/>
        <v>230.33963</v>
      </c>
      <c r="X45" s="1524">
        <f t="shared" si="6"/>
        <v>0.1527777777777779</v>
      </c>
      <c r="Y45" s="1524">
        <f t="shared" si="6"/>
        <v>0.15682114217357412</v>
      </c>
      <c r="Z45" s="1524">
        <f t="shared" si="7"/>
        <v>0.51794474669610602</v>
      </c>
      <c r="AB45" s="310">
        <f t="shared" si="15"/>
        <v>1</v>
      </c>
      <c r="AC45" s="82" t="str">
        <f>IF('MASTER PubCo Inputs'!C53="","",'MASTER PubCo Inputs'!C53)</f>
        <v>IQ27315</v>
      </c>
      <c r="AD45" s="310" t="str">
        <f>'Capital IQ Sheet-GPC'!AP38</f>
        <v>Cytokinetics, Incorporated, a late-stage biopharmaceutical company, focuses on discovering, developing, and commercializing muscle activators as potential treatments for debilitating diseases in which muscle performance is compromised and/or declining. It is developing small molecule drug candidates primarily engineered to increase muscle function and contractility. The company’s drug candidates include omecamtiv mecarbil, a novel cardiac myosin activator that is in phase III clinical trials in patients with heart failure; and reldesemtiv, a fast skeletal muscle activator, which is in two phase II clinical trials in patients with spinal muscular atrophy and amyotrophic lateral sclerosis. It also develops reldesemtiv that is in phase II clinical trials in patients with chronic obstructive pulmonary disease, as well as in phase Ib clinical trials in elderly subjects with limited mobility. The company has strategic alliances with Astellas Pharma Inc. and Amgen Inc. The company was founded in 1997 and is headquartered in South San Francisco, California.</v>
      </c>
    </row>
    <row r="46" spans="2:30" ht="12.75" customHeight="1">
      <c r="B46" s="378" t="str">
        <f>'Capital IQ Sheet-GPC'!C39</f>
        <v>Emisphere Technologies, Inc.</v>
      </c>
      <c r="C46" s="2470"/>
      <c r="D46" s="2471">
        <f>'Capital IQ Sheet-GPC'!BE39</f>
        <v>0.38990000000000002</v>
      </c>
      <c r="E46" s="2471">
        <f>'Capital IQ Sheet-GPC'!BF39</f>
        <v>23.726379999999999</v>
      </c>
      <c r="F46" s="2471">
        <f>'Capital IQ Sheet-GPC'!BG39</f>
        <v>68.088999999999999</v>
      </c>
      <c r="G46" s="2471" t="str">
        <f>'Capital IQ Sheet-GPC'!BH39</f>
        <v>n/a</v>
      </c>
      <c r="H46" s="2471" t="str">
        <f>'Capital IQ Sheet-GPC'!BI39</f>
        <v>n/a</v>
      </c>
      <c r="I46" s="2471">
        <f t="shared" si="0"/>
        <v>68.088999999999999</v>
      </c>
      <c r="J46" s="2471">
        <f t="shared" si="1"/>
        <v>91.815380000000005</v>
      </c>
      <c r="K46" s="2471">
        <f>'Capital IQ Sheet-GPC'!BJ39</f>
        <v>4.6390000000000002</v>
      </c>
      <c r="L46" s="2471">
        <f t="shared" si="2"/>
        <v>87.176380000000009</v>
      </c>
      <c r="M46" s="312"/>
      <c r="N46" s="2471">
        <f>'Capital IQ Sheet-GPC'!I39</f>
        <v>2.4</v>
      </c>
      <c r="O46" s="2471">
        <f>'Capital IQ Sheet-GPC'!J39</f>
        <v>146.04595</v>
      </c>
      <c r="P46" s="2471">
        <f>'Capital IQ Sheet-GPC'!K39</f>
        <v>68.088999999999999</v>
      </c>
      <c r="Q46" s="2471" t="str">
        <f>'Capital IQ Sheet-GPC'!L39</f>
        <v>n/a</v>
      </c>
      <c r="R46" s="2471" t="str">
        <f>'Capital IQ Sheet-GPC'!M39</f>
        <v>n/a</v>
      </c>
      <c r="S46" s="2471">
        <f t="shared" si="3"/>
        <v>68.088999999999999</v>
      </c>
      <c r="T46" s="2471">
        <f t="shared" si="4"/>
        <v>214.13495</v>
      </c>
      <c r="U46" s="2471">
        <f>'Capital IQ Sheet-GPC'!N39</f>
        <v>4.6390000000000002</v>
      </c>
      <c r="V46" s="2471">
        <f t="shared" si="5"/>
        <v>209.49594999999999</v>
      </c>
      <c r="X46" s="1524" t="str">
        <f t="shared" si="6"/>
        <v>NM</v>
      </c>
      <c r="Y46" s="1524" t="str">
        <f t="shared" si="6"/>
        <v>NM</v>
      </c>
      <c r="Z46" s="1524" t="str">
        <f t="shared" si="7"/>
        <v>NM</v>
      </c>
      <c r="AB46" s="310">
        <f t="shared" si="15"/>
        <v>1</v>
      </c>
      <c r="AC46" s="82" t="str">
        <f>IF('MASTER PubCo Inputs'!C54="","",'MASTER PubCo Inputs'!C54)</f>
        <v>IQ261438</v>
      </c>
      <c r="AD46" s="310" t="str">
        <f>'Capital IQ Sheet-GPC'!AP39</f>
        <v>Emisphere Technologies, Inc. operates as a commercial stage pharmaceutical and drug delivery company in the United States. The company offers oral Eligen B12 Rx, an oral formulation prescription medical food for use by B12 deficient individuals. It is also developing GLP-1, which is in Phase III clinical trial for the treatment of type 2 diabetes and related conditions. The company’s preclinical programs focus on the development of oral formulations for the treatment of diabetes; and products in the areas of cardiovascular, appetite suppression, and pain, as well as in the development and expansion of nutritional supplement products. It has license agreements with Novo Nordisk A/S to develop and commercialize oral formulations of GLP-1 receptor agonists in combination with Emisphere carriers, as well as to develop and commercialize oral formulations of Novo Nordisk’s insulin using the company’s Eligen Technology. The company was formerly known as Clinical Technologies Associates, Inc. and changed its name to Emisphere Technologies, Inc. in 1991. Emisphere Technologies, Inc. was founded in 1986 and is based in Roseland, New Jersey.</v>
      </c>
    </row>
    <row r="47" spans="2:30" ht="12.75" customHeight="1">
      <c r="B47" s="378" t="str">
        <f>'Capital IQ Sheet-GPC'!C40</f>
        <v>CohBar, Inc.</v>
      </c>
      <c r="C47" s="2470"/>
      <c r="D47" s="2471">
        <f>'Capital IQ Sheet-GPC'!BE40</f>
        <v>5.35</v>
      </c>
      <c r="E47" s="2471">
        <f>'Capital IQ Sheet-GPC'!BF40</f>
        <v>213.23039</v>
      </c>
      <c r="F47" s="2471">
        <f>'Capital IQ Sheet-GPC'!BG40</f>
        <v>0</v>
      </c>
      <c r="G47" s="2471" t="str">
        <f>'Capital IQ Sheet-GPC'!BH40</f>
        <v>n/a</v>
      </c>
      <c r="H47" s="2471" t="str">
        <f>'Capital IQ Sheet-GPC'!BI40</f>
        <v>n/a</v>
      </c>
      <c r="I47" s="2471">
        <f t="shared" si="0"/>
        <v>0</v>
      </c>
      <c r="J47" s="2471">
        <f t="shared" si="1"/>
        <v>213.23039</v>
      </c>
      <c r="K47" s="2471">
        <f>'Capital IQ Sheet-GPC'!BJ40</f>
        <v>10.34224</v>
      </c>
      <c r="L47" s="2471">
        <f t="shared" si="2"/>
        <v>202.88815</v>
      </c>
      <c r="M47" s="312"/>
      <c r="N47" s="2471">
        <f>'Capital IQ Sheet-GPC'!I40</f>
        <v>5</v>
      </c>
      <c r="O47" s="2471">
        <f>'Capital IQ Sheet-GPC'!J40</f>
        <v>199.81565000000001</v>
      </c>
      <c r="P47" s="2471">
        <f>'Capital IQ Sheet-GPC'!K40</f>
        <v>1.40126</v>
      </c>
      <c r="Q47" s="2471" t="str">
        <f>'Capital IQ Sheet-GPC'!L40</f>
        <v>n/a</v>
      </c>
      <c r="R47" s="2471" t="str">
        <f>'Capital IQ Sheet-GPC'!M40</f>
        <v>n/a</v>
      </c>
      <c r="S47" s="2471">
        <f t="shared" si="3"/>
        <v>1.40126</v>
      </c>
      <c r="T47" s="2471">
        <f t="shared" si="4"/>
        <v>201.21691000000001</v>
      </c>
      <c r="U47" s="2471">
        <f>'Capital IQ Sheet-GPC'!N40</f>
        <v>8.4566599999999994</v>
      </c>
      <c r="V47" s="2471">
        <f t="shared" si="5"/>
        <v>192.76025000000001</v>
      </c>
      <c r="X47" s="1524">
        <f t="shared" si="6"/>
        <v>-6.5420560747663448E-2</v>
      </c>
      <c r="Y47" s="1524">
        <f t="shared" si="6"/>
        <v>-6.291195171570052E-2</v>
      </c>
      <c r="Z47" s="1524">
        <f t="shared" si="7"/>
        <v>-4.991863743643965E-2</v>
      </c>
      <c r="AB47" s="310">
        <f t="shared" si="15"/>
        <v>1</v>
      </c>
      <c r="AC47" s="82" t="str">
        <f>IF('MASTER PubCo Inputs'!C55="","",'MASTER PubCo Inputs'!C55)</f>
        <v>IQ134282175</v>
      </c>
      <c r="AD47" s="310" t="str">
        <f>'Capital IQ Sheet-GPC'!AP40</f>
        <v>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v>
      </c>
    </row>
    <row r="48" spans="2:30" ht="12.75" customHeight="1">
      <c r="B48" s="378" t="str">
        <f>'Capital IQ Sheet-GPC'!C41</f>
        <v>vTv Therapeutics Inc.</v>
      </c>
      <c r="C48" s="2470"/>
      <c r="D48" s="2471">
        <f>'Capital IQ Sheet-GPC'!BE41</f>
        <v>4.07</v>
      </c>
      <c r="E48" s="2471">
        <f>'Capital IQ Sheet-GPC'!BF41</f>
        <v>39.451540000000001</v>
      </c>
      <c r="F48" s="2471">
        <f>'Capital IQ Sheet-GPC'!BG41</f>
        <v>19.587</v>
      </c>
      <c r="G48" s="2471" t="str">
        <f>'Capital IQ Sheet-GPC'!BH41</f>
        <v>n/a</v>
      </c>
      <c r="H48" s="2471">
        <f>'Capital IQ Sheet-GPC'!BI41</f>
        <v>131.44</v>
      </c>
      <c r="I48" s="2471">
        <f t="shared" si="0"/>
        <v>151.02699999999999</v>
      </c>
      <c r="J48" s="2471">
        <f t="shared" si="1"/>
        <v>190.47854000000001</v>
      </c>
      <c r="K48" s="2471">
        <f>'Capital IQ Sheet-GPC'!BJ41</f>
        <v>11.757999999999999</v>
      </c>
      <c r="L48" s="2471">
        <f t="shared" si="2"/>
        <v>178.72054</v>
      </c>
      <c r="M48" s="312"/>
      <c r="N48" s="2471">
        <f>'Capital IQ Sheet-GPC'!I41</f>
        <v>1.54</v>
      </c>
      <c r="O48" s="2471">
        <f>'Capital IQ Sheet-GPC'!J41</f>
        <v>16.74211</v>
      </c>
      <c r="P48" s="2471">
        <f>'Capital IQ Sheet-GPC'!K41</f>
        <v>19.861999999999998</v>
      </c>
      <c r="Q48" s="2471" t="str">
        <f>'Capital IQ Sheet-GPC'!L41</f>
        <v>n/a</v>
      </c>
      <c r="R48" s="2471">
        <f>'Capital IQ Sheet-GPC'!M41</f>
        <v>120.39700000000001</v>
      </c>
      <c r="S48" s="2471">
        <f t="shared" si="3"/>
        <v>140.25900000000001</v>
      </c>
      <c r="T48" s="2471">
        <f t="shared" si="4"/>
        <v>157.00111000000001</v>
      </c>
      <c r="U48" s="2471">
        <f>'Capital IQ Sheet-GPC'!N41</f>
        <v>6.5350000000000001</v>
      </c>
      <c r="V48" s="2471">
        <f t="shared" si="5"/>
        <v>150.46611000000001</v>
      </c>
      <c r="X48" s="1524" t="str">
        <f t="shared" si="6"/>
        <v>NM</v>
      </c>
      <c r="Y48" s="1524" t="str">
        <f t="shared" si="6"/>
        <v>NM</v>
      </c>
      <c r="Z48" s="1524">
        <f t="shared" si="7"/>
        <v>-0.15809279672051113</v>
      </c>
      <c r="AB48" s="310">
        <f t="shared" si="15"/>
        <v>1</v>
      </c>
      <c r="AC48" s="82" t="str">
        <f>IF('MASTER PubCo Inputs'!C56="","",'MASTER PubCo Inputs'!C56)</f>
        <v>IQ304063261</v>
      </c>
      <c r="AD48" s="310" t="str">
        <f>'Capital IQ Sheet-GPC'!AP41</f>
        <v>vTv Therapeutics Inc., a clinical-stage biopharmaceutical company, discovers, develops, and sells orally administered small molecule drug candidates worldwide. The company’s drug candidates comprise azeliragon (TTP488), an orally administered, small molecule antagonist targeting the receptor for advanced glycation endproducts, which is in Phase III clinical trials for the treatment of Alzheimer’s disease. Its drug candidates also include TTP399, an orally administered, liver-selective glucokinase activator that has completed Phase 2b clinical trials for the treatment of type 2 diabetes, as well as initiated Phase 1b/2 clinical trials for the treatment of type 1 diabetes; and TTP273, an orally administered, non-peptide agonist that targets the glucagon-like peptide-1 receptor, which has completed Phase II clinical trials for the treatment of type 2 diabetes. vTv Therapeutics Inc. has a license and research agreement with Calithera Biosciences, Inc. to develop and commercialize its hexokinase II inhibitors for therapeutic, prophylactic, preventative, or diagnostic use. The company was founded in 2015 and is headquartered in High Point, North Carolina. vTv Therapeutics Inc. is a subsidiary of vTv Therapeutics Holdings LLC.</v>
      </c>
    </row>
    <row r="49" spans="2:30" ht="12.75" customHeight="1">
      <c r="B49" s="378" t="str">
        <f>'Capital IQ Sheet-GPC'!C42</f>
        <v>Rezolute, Inc.</v>
      </c>
      <c r="C49" s="2470"/>
      <c r="D49" s="2471">
        <f>'Capital IQ Sheet-GPC'!BE42</f>
        <v>0.45200000000000001</v>
      </c>
      <c r="E49" s="2471">
        <f>'Capital IQ Sheet-GPC'!BF42</f>
        <v>24.441140000000001</v>
      </c>
      <c r="F49" s="2471">
        <f>'Capital IQ Sheet-GPC'!BG42</f>
        <v>0.01</v>
      </c>
      <c r="G49" s="2471" t="str">
        <f>'Capital IQ Sheet-GPC'!BH42</f>
        <v>n/a</v>
      </c>
      <c r="H49" s="2471" t="str">
        <f>'Capital IQ Sheet-GPC'!BI42</f>
        <v>n/a</v>
      </c>
      <c r="I49" s="2471">
        <f t="shared" si="0"/>
        <v>0.01</v>
      </c>
      <c r="J49" s="2471">
        <f t="shared" si="1"/>
        <v>24.451140000000002</v>
      </c>
      <c r="K49" s="2471">
        <f>'Capital IQ Sheet-GPC'!BJ42</f>
        <v>0.86807000000000001</v>
      </c>
      <c r="L49" s="2471">
        <f t="shared" si="2"/>
        <v>23.583070000000003</v>
      </c>
      <c r="M49" s="312"/>
      <c r="N49" s="2471">
        <f>'Capital IQ Sheet-GPC'!I42</f>
        <v>0.45</v>
      </c>
      <c r="O49" s="2471">
        <f>'Capital IQ Sheet-GPC'!J42</f>
        <v>29.46659</v>
      </c>
      <c r="P49" s="2471">
        <f>'Capital IQ Sheet-GPC'!K42</f>
        <v>0.92469999999999997</v>
      </c>
      <c r="Q49" s="2471" t="str">
        <f>'Capital IQ Sheet-GPC'!L42</f>
        <v>n/a</v>
      </c>
      <c r="R49" s="2471" t="str">
        <f>'Capital IQ Sheet-GPC'!M42</f>
        <v>n/a</v>
      </c>
      <c r="S49" s="2471">
        <f t="shared" si="3"/>
        <v>0.92469999999999997</v>
      </c>
      <c r="T49" s="2471">
        <f t="shared" si="4"/>
        <v>30.391290000000001</v>
      </c>
      <c r="U49" s="2471">
        <f>'Capital IQ Sheet-GPC'!N42</f>
        <v>7.8119999999999995E-2</v>
      </c>
      <c r="V49" s="2471">
        <f t="shared" si="5"/>
        <v>30.313170000000003</v>
      </c>
      <c r="X49" s="1524">
        <f t="shared" si="6"/>
        <v>-4.4247787610619538E-3</v>
      </c>
      <c r="Y49" s="1524">
        <f t="shared" si="6"/>
        <v>0.20561438623566652</v>
      </c>
      <c r="Z49" s="1524">
        <f t="shared" si="7"/>
        <v>0.28537845157564301</v>
      </c>
      <c r="AB49" s="310">
        <f t="shared" si="15"/>
        <v>1</v>
      </c>
      <c r="AC49" s="82" t="str">
        <f>IF('MASTER PubCo Inputs'!C57="","",'MASTER PubCo Inputs'!C57)</f>
        <v>IQ177932577</v>
      </c>
      <c r="AD49" s="310" t="str">
        <f>'Capital IQ Sheet-GPC'!AP42</f>
        <v>Rezolute, Inc., a clinical stage biopharmaceutical company, specializes in the development of drug therapies for treating diabetes and metabolic diseases in the United States. Its lead product candidate is AB101, which is a human recombinant insulin that is used alone and in combination with bolus prandial insulin or oral glucose lowering therapies to enhance glycemic control in patients with type 1 and type 2 diabetes mellitus has completed phase I clinical trial. The company also develops AB301, a human glucagon-like peptide-1 agonist for the treatment of patients with type 2 diabetes; AB402 for vision-threatening eye complications of diabetes, including Diabetic Retinopathy and Diabetic Macular Edema; and AB602 to treat Hereditary Angioedema, which are in preclinical studies. It has a licensing agreement with ActiveSite Pharmaceuticals, Inc. The company was formerly known as AntriaBio, Inc. and changed its name to Rezolute, Inc. in December 2017. Rezolute, Inc. is headquartered in Louisville, Colorado.</v>
      </c>
    </row>
    <row r="50" spans="2:30" ht="12.75" customHeight="1">
      <c r="B50" s="378" t="str">
        <f>'Capital IQ Sheet-GPC'!C44</f>
        <v>Boston Therapeutics, Inc.</v>
      </c>
      <c r="C50" s="2470"/>
      <c r="D50" s="2471">
        <f>'Capital IQ Sheet-GPC'!BE44</f>
        <v>7.8E-2</v>
      </c>
      <c r="E50" s="2471">
        <f>'Capital IQ Sheet-GPC'!BF44</f>
        <v>8.1694999999999993</v>
      </c>
      <c r="F50" s="2471">
        <f>'Capital IQ Sheet-GPC'!BG44</f>
        <v>2.5022500000000001</v>
      </c>
      <c r="G50" s="2471">
        <f>'Capital IQ Sheet-GPC'!BH44</f>
        <v>6.0000000000000002E-5</v>
      </c>
      <c r="H50" s="2471" t="str">
        <f>'Capital IQ Sheet-GPC'!BI44</f>
        <v>n/a</v>
      </c>
      <c r="I50" s="2471">
        <f>SUM(F50:H50)</f>
        <v>2.50231</v>
      </c>
      <c r="J50" s="2471">
        <f>SUM(E50:H50)</f>
        <v>10.671809999999999</v>
      </c>
      <c r="K50" s="2471">
        <f>'Capital IQ Sheet-GPC'!BJ44</f>
        <v>0.13728000000000001</v>
      </c>
      <c r="L50" s="2471">
        <f>IF(ISERROR(J50-K50), "n/a", J50-K50)</f>
        <v>10.534529999999998</v>
      </c>
      <c r="M50" s="312"/>
      <c r="N50" s="2471">
        <f>'Capital IQ Sheet-GPC'!I44</f>
        <v>7.4999999999999997E-2</v>
      </c>
      <c r="O50" s="2471">
        <f>'Capital IQ Sheet-GPC'!J44</f>
        <v>8.1007300000000004</v>
      </c>
      <c r="P50" s="2471">
        <f>'Capital IQ Sheet-GPC'!K43</f>
        <v>0</v>
      </c>
      <c r="Q50" s="2471">
        <f>'Capital IQ Sheet-GPC'!L43</f>
        <v>0</v>
      </c>
      <c r="R50" s="2471">
        <f>'Capital IQ Sheet-GPC'!M43</f>
        <v>0</v>
      </c>
      <c r="S50" s="2471">
        <f>SUM(P50:R50)</f>
        <v>0</v>
      </c>
      <c r="T50" s="2471">
        <f>SUM(O50:R50)</f>
        <v>8.1007300000000004</v>
      </c>
      <c r="U50" s="2471">
        <f>'Capital IQ Sheet-GPC'!N43</f>
        <v>0</v>
      </c>
      <c r="V50" s="2471">
        <f>IF(ISERROR(T50-U50), "n/a", T50-U50)</f>
        <v>8.1007300000000004</v>
      </c>
      <c r="X50" s="1524">
        <f t="shared" ref="X50:Y53" si="16">IFERROR(IF(OR(N50/D50-1&gt;$AD$7,N50/D50-1&lt;$AF$7),"NM",N50/D50-1),"n/a")</f>
        <v>-3.8461538461538547E-2</v>
      </c>
      <c r="Y50" s="1524">
        <f t="shared" si="16"/>
        <v>-8.4178958320580977E-3</v>
      </c>
      <c r="Z50" s="1524">
        <f>IFERROR(IF(OR(V50/L50-1&gt;$AD$7,V50/L50-1&lt;$AF$7),"NM",V50/L50-1),"n/a")</f>
        <v>-0.23103071518140805</v>
      </c>
      <c r="AB50" s="310">
        <f t="shared" si="15"/>
        <v>1</v>
      </c>
      <c r="AC50" s="82" t="str">
        <f>IF('MASTER PubCo Inputs'!C58="","",'MASTER PubCo Inputs'!C58)</f>
        <v>IQ96050543</v>
      </c>
      <c r="AD50" s="310" t="str">
        <f>'Capital IQ Sheet-GPC'!AP44</f>
        <v>Boston Therapeutics, Inc., a pre-clinical and clinical-stage pharmaceutical company, focuses on the development, manufacture, and commercialization of carbohydrate-based therapeutic drugs and dietary supplements in the United States. Its lead pharmaceutical drug candidates include BTI-320, a non-systemic, carbohydrate-based compound that is in Phase IIb clinical trial to reduce post-meal elevation of blood glucose levels in Type 2 diabetic and pre diabetic patients; BTI-410, a peptide injectable compound that has completed Phase Ib clinical trials for type 1 immunosuppression therapy after kidney transplant surgery and type 2 diabetes patients; and IPOXYN, a carbohydrate-based, injectable drug to prevent necrosis, or cell death, as well as to treat hypoxic conditions, such as diabetic foot ulcers and other vascular/neurological complications. The company also develops OxyFex, an oxygen delivery agent for ischemia and trauma for blood loss during surgery in veterinary medicine applications. In addition, it produces and sells SUGARDOWN, a non-systemic complex carbohydrate-based dietary food supplement to support healthy post-meal blood glucose. The company was formerly known as Avanyx Therapeutics, Inc. and changed its name to Boston Therapeutics, Inc. in November 2010. Boston Therapeutics, Inc. was founded in 2009 and is headquartered in Lawrence, Massachusetts.</v>
      </c>
    </row>
    <row r="51" spans="2:30" ht="12.75" customHeight="1">
      <c r="B51" s="378" t="str">
        <f>'Capital IQ Sheet-GPC'!C45</f>
        <v>Neuralstem, Inc.</v>
      </c>
      <c r="C51" s="2470"/>
      <c r="D51" s="2471">
        <f>'Capital IQ Sheet-GPC'!BE45</f>
        <v>1.65</v>
      </c>
      <c r="E51" s="2471">
        <f>'Capital IQ Sheet-GPC'!BF45</f>
        <v>24.990950000000002</v>
      </c>
      <c r="F51" s="2471">
        <f>'Capital IQ Sheet-GPC'!BG45</f>
        <v>0</v>
      </c>
      <c r="G51" s="2471">
        <f>'Capital IQ Sheet-GPC'!BH45</f>
        <v>0.01</v>
      </c>
      <c r="H51" s="2471" t="str">
        <f>'Capital IQ Sheet-GPC'!BI45</f>
        <v>n/a</v>
      </c>
      <c r="I51" s="2471">
        <f>SUM(F51:H51)</f>
        <v>0.01</v>
      </c>
      <c r="J51" s="2471">
        <f>SUM(E51:H51)</f>
        <v>25.000950000000003</v>
      </c>
      <c r="K51" s="2471">
        <f>'Capital IQ Sheet-GPC'!BJ45</f>
        <v>14.06371</v>
      </c>
      <c r="L51" s="2471">
        <f>IF(ISERROR(J51-K51), "n/a", J51-K51)</f>
        <v>10.937240000000003</v>
      </c>
      <c r="M51" s="312"/>
      <c r="N51" s="2471">
        <f>'Capital IQ Sheet-GPC'!I45</f>
        <v>1.1100000000000001</v>
      </c>
      <c r="O51" s="2471">
        <f>'Capital IQ Sheet-GPC'!J45</f>
        <v>16.82762</v>
      </c>
      <c r="P51" s="2471">
        <f>'Capital IQ Sheet-GPC'!K44</f>
        <v>1.99634</v>
      </c>
      <c r="Q51" s="2471">
        <f>'Capital IQ Sheet-GPC'!L44</f>
        <v>8.0000000000000007E-5</v>
      </c>
      <c r="R51" s="2471" t="str">
        <f>'Capital IQ Sheet-GPC'!M44</f>
        <v>n/a</v>
      </c>
      <c r="S51" s="2471">
        <f>SUM(P51:R51)</f>
        <v>1.9964200000000001</v>
      </c>
      <c r="T51" s="2471">
        <f>SUM(O51:R51)</f>
        <v>18.82404</v>
      </c>
      <c r="U51" s="2471">
        <f>'Capital IQ Sheet-GPC'!N44</f>
        <v>0.20532</v>
      </c>
      <c r="V51" s="2471">
        <f>IF(ISERROR(T51-U51), "n/a", T51-U51)</f>
        <v>18.61872</v>
      </c>
      <c r="X51" s="1524" t="str">
        <f t="shared" si="16"/>
        <v>NM</v>
      </c>
      <c r="Y51" s="1524" t="str">
        <f t="shared" si="16"/>
        <v>NM</v>
      </c>
      <c r="Z51" s="1524">
        <f>IFERROR(IF(OR(V51/L51-1&gt;$AD$7,V51/L51-1&lt;$AF$7),"NM",V51/L51-1),"n/a")</f>
        <v>0.70232343808858499</v>
      </c>
      <c r="AB51" s="310">
        <f t="shared" si="15"/>
        <v>1</v>
      </c>
      <c r="AC51" s="82" t="str">
        <f>IF('MASTER PubCo Inputs'!C59="","",'MASTER PubCo Inputs'!C59)</f>
        <v>IQ7728881</v>
      </c>
      <c r="AD51" s="310" t="str">
        <f>'Capital IQ Sheet-GPC'!AP45</f>
        <v>Neuralstem, Inc., a clinical stage biopharmaceutical company, focuses on the research and development of nervous system therapies based on its proprietary human neuronal stem cells and small molecule compounds. The company’s stem cell based technology enables the isolation and expansion of human neural stem cells from various areas of the developing human brain and spinal cord enabling the generation of physiologically relevant human neurons of various types. Its lead product candidate is NSI-189, a chemical entity, which has been completed Phase II clinical trial for the treatment of major depressive disorder, as well as is in preclinical study for the MCAO stroke, type 1 and 2 diabetes related neuropathy, irradiation-induced cognition, long-term potentiation enhancement, and angelman syndrome. The company also develops NSI-566, which has completed Phase II clinical trial for treating amyotrophic lateral sclerosis disease, as well as is in Phase I clinical trials for the treatment of chronic spinal cord injury and motor deficits due to ischemic stroke. Neuralstem, Inc. was founded in 1996 and is headquartered in Germantown, Maryland.</v>
      </c>
    </row>
    <row r="52" spans="2:30" ht="12.75" customHeight="1">
      <c r="B52" s="378" t="str">
        <f>'Capital IQ Sheet-GPC'!C46</f>
        <v>Nexus BioPharma, Inc.</v>
      </c>
      <c r="C52" s="2470"/>
      <c r="D52" s="2471">
        <f>'Capital IQ Sheet-GPC'!BE46</f>
        <v>6.6000000000000003E-2</v>
      </c>
      <c r="E52" s="2471">
        <f>'Capital IQ Sheet-GPC'!BF46</f>
        <v>4.2438000000000002</v>
      </c>
      <c r="F52" s="2471">
        <f>'Capital IQ Sheet-GPC'!BG46</f>
        <v>0.36752000000000001</v>
      </c>
      <c r="G52" s="2471" t="str">
        <f>'Capital IQ Sheet-GPC'!BH46</f>
        <v>n/a</v>
      </c>
      <c r="H52" s="2471" t="str">
        <f>'Capital IQ Sheet-GPC'!BI46</f>
        <v>n/a</v>
      </c>
      <c r="I52" s="2471">
        <f>SUM(F52:H52)</f>
        <v>0.36752000000000001</v>
      </c>
      <c r="J52" s="2471">
        <f>SUM(E52:H52)</f>
        <v>4.6113200000000001</v>
      </c>
      <c r="K52" s="2471">
        <f>'Capital IQ Sheet-GPC'!BJ46</f>
        <v>8.43E-3</v>
      </c>
      <c r="L52" s="2471">
        <f>IF(ISERROR(J52-K52), "n/a", J52-K52)</f>
        <v>4.6028900000000004</v>
      </c>
      <c r="M52" s="312"/>
      <c r="N52" s="2471">
        <f>'Capital IQ Sheet-GPC'!I46</f>
        <v>5.9900000000000002E-2</v>
      </c>
      <c r="O52" s="2471">
        <f>'Capital IQ Sheet-GPC'!J46</f>
        <v>3.8515700000000002</v>
      </c>
      <c r="P52" s="2471">
        <f>'Capital IQ Sheet-GPC'!K45</f>
        <v>0</v>
      </c>
      <c r="Q52" s="2471">
        <f>'Capital IQ Sheet-GPC'!L45</f>
        <v>0.01</v>
      </c>
      <c r="R52" s="2471" t="str">
        <f>'Capital IQ Sheet-GPC'!M45</f>
        <v>n/a</v>
      </c>
      <c r="S52" s="2471">
        <f>SUM(P52:R52)</f>
        <v>0.01</v>
      </c>
      <c r="T52" s="2471">
        <f>SUM(O52:R52)</f>
        <v>3.8615699999999999</v>
      </c>
      <c r="U52" s="2471">
        <f>'Capital IQ Sheet-GPC'!N45</f>
        <v>9.7242499999999996</v>
      </c>
      <c r="V52" s="2471">
        <f>IF(ISERROR(T52-U52), "n/a", T52-U52)</f>
        <v>-5.8626799999999992</v>
      </c>
      <c r="X52" s="1524">
        <f t="shared" si="16"/>
        <v>-9.2424242424242409E-2</v>
      </c>
      <c r="Y52" s="1524">
        <f t="shared" si="16"/>
        <v>-9.2424242424242409E-2</v>
      </c>
      <c r="Z52" s="1524" t="str">
        <f>IFERROR(IF(OR(V52/L52-1&gt;$AD$7,V52/L52-1&lt;$AF$7),"NM",V52/L52-1),"n/a")</f>
        <v>NM</v>
      </c>
      <c r="AB52" s="310">
        <f t="shared" si="15"/>
        <v>1</v>
      </c>
      <c r="AC52" s="82" t="str">
        <f>IF('MASTER PubCo Inputs'!C60="","",'MASTER PubCo Inputs'!C60)</f>
        <v>IQ340704541</v>
      </c>
      <c r="AD52" s="310" t="str">
        <f>'Capital IQ Sheet-GPC'!AP46</f>
        <v>Nexus BioPharma, Inc., a life science company, focuses on the development and commercialization of a pharmaceutical preparation to treat obesity and the symptoms of type 2 diabetes. The company is headquartered in Houston, Texas.</v>
      </c>
    </row>
    <row r="53" spans="2:30" ht="12.75" customHeight="1">
      <c r="B53" s="378" t="str">
        <f>'Capital IQ Sheet-GPC'!C47</f>
        <v>ERYTECH Pharma S.A.</v>
      </c>
      <c r="C53" s="2470"/>
      <c r="D53" s="2471">
        <f>'Capital IQ Sheet-GPC'!BE47</f>
        <v>20.9437</v>
      </c>
      <c r="E53" s="2471">
        <f>'Capital IQ Sheet-GPC'!BF47</f>
        <v>375.67831999999999</v>
      </c>
      <c r="F53" s="2471">
        <f>'Capital IQ Sheet-GPC'!BG47</f>
        <v>3.6999399999999998</v>
      </c>
      <c r="G53" s="2471" t="str">
        <f>'Capital IQ Sheet-GPC'!BH47</f>
        <v>n/a</v>
      </c>
      <c r="H53" s="2471" t="str">
        <f>'Capital IQ Sheet-GPC'!BI47</f>
        <v>n/a</v>
      </c>
      <c r="I53" s="2471">
        <f>SUM(F53:H53)</f>
        <v>3.6999399999999998</v>
      </c>
      <c r="J53" s="2471">
        <f>SUM(E53:H53)</f>
        <v>379.37826000000001</v>
      </c>
      <c r="K53" s="2471">
        <f>'Capital IQ Sheet-GPC'!BJ47</f>
        <v>101.02795</v>
      </c>
      <c r="L53" s="2471">
        <f>IF(ISERROR(J53-K53), "n/a", J53-K53)</f>
        <v>278.35031000000004</v>
      </c>
      <c r="M53" s="312"/>
      <c r="N53" s="2471">
        <f>'Capital IQ Sheet-GPC'!I47</f>
        <v>11.24723</v>
      </c>
      <c r="O53" s="2471">
        <f>'Capital IQ Sheet-GPC'!J47</f>
        <v>201.74755999999999</v>
      </c>
      <c r="P53" s="2471">
        <f>'Capital IQ Sheet-GPC'!K46</f>
        <v>0.36752000000000001</v>
      </c>
      <c r="Q53" s="2471" t="str">
        <f>'Capital IQ Sheet-GPC'!L46</f>
        <v>n/a</v>
      </c>
      <c r="R53" s="2471" t="str">
        <f>'Capital IQ Sheet-GPC'!M46</f>
        <v>n/a</v>
      </c>
      <c r="S53" s="2471">
        <f>SUM(P53:R53)</f>
        <v>0.36752000000000001</v>
      </c>
      <c r="T53" s="2471">
        <f>SUM(O53:R53)</f>
        <v>202.11508000000001</v>
      </c>
      <c r="U53" s="2471">
        <f>'Capital IQ Sheet-GPC'!N46</f>
        <v>8.43E-3</v>
      </c>
      <c r="V53" s="2471">
        <f>IF(ISERROR(T53-U53), "n/a", T53-U53)</f>
        <v>202.10665</v>
      </c>
      <c r="X53" s="1524" t="str">
        <f t="shared" si="16"/>
        <v>NM</v>
      </c>
      <c r="Y53" s="1524" t="str">
        <f t="shared" si="16"/>
        <v>NM</v>
      </c>
      <c r="Z53" s="1524">
        <f>IFERROR(IF(OR(V53/L53-1&gt;$AD$7,V53/L53-1&lt;$AF$7),"NM",V53/L53-1),"n/a")</f>
        <v>-0.27391261033623426</v>
      </c>
      <c r="AB53" s="310">
        <f t="shared" si="15"/>
        <v>1</v>
      </c>
      <c r="AC53" s="82" t="str">
        <f>IF('MASTER PubCo Inputs'!C61="","",'MASTER PubCo Inputs'!C61)</f>
        <v>IQ24677080</v>
      </c>
      <c r="AD53" s="310" t="str">
        <f>'Capital IQ Sheet-GPC'!AP47</f>
        <v>ERYTECH Pharma S.A., a biopharmaceutical company, develops therapies for severe forms of cancer and orphan diseases. It is developing a pipeline of product candidates targeting solid and liquid tumors for patients with high unmet medical needs. The company’s lead product candidate is eryaspase, which is used for the treatment of severe solid tumors, including pancreatic cancer and in acute lymphoblastic leukemia. It is preparing for the launch of a pivotal Phase III clinical trial of eryaspase in the United States and Europe. ERYTECH Pharma S.A. has research collaborations with the Fox Chase Cancer Center to advance the preclinical development of erymethionase for the treatment of homocystinuria and with Queen’s University of Canada to advance the preclinical development of eryminase for the treatment of arginase-1-deficiency. ERYTECH Pharma S.A. was founded in 2004 and is based in Lyon, France.</v>
      </c>
    </row>
    <row r="54" spans="2:30" ht="12.75" customHeight="1"/>
    <row r="55" spans="2:30" ht="12.75" customHeight="1">
      <c r="B55" s="1574" t="s">
        <v>41</v>
      </c>
      <c r="C55" s="833"/>
      <c r="D55" s="1415">
        <f t="shared" ref="D55:L55" si="17">MAX(D29:D53)</f>
        <v>25.62</v>
      </c>
      <c r="E55" s="1415">
        <f t="shared" si="17"/>
        <v>2810.8469399999999</v>
      </c>
      <c r="F55" s="1415">
        <f t="shared" si="17"/>
        <v>245.67</v>
      </c>
      <c r="G55" s="1415">
        <f t="shared" si="17"/>
        <v>97.878</v>
      </c>
      <c r="H55" s="1415">
        <f t="shared" si="17"/>
        <v>131.44</v>
      </c>
      <c r="I55" s="1415">
        <f t="shared" si="17"/>
        <v>245.67</v>
      </c>
      <c r="J55" s="1415">
        <f t="shared" si="17"/>
        <v>2975.3209400000001</v>
      </c>
      <c r="K55" s="1415">
        <f t="shared" si="17"/>
        <v>464.33103999999997</v>
      </c>
      <c r="L55" s="1415">
        <f t="shared" si="17"/>
        <v>2616.7589400000002</v>
      </c>
      <c r="M55" s="833"/>
      <c r="N55" s="1415">
        <f t="shared" ref="N55:V55" si="18">MAX(N29:N53)</f>
        <v>31.26</v>
      </c>
      <c r="O55" s="1415">
        <f t="shared" si="18"/>
        <v>2943.9233800000002</v>
      </c>
      <c r="P55" s="1415">
        <f t="shared" si="18"/>
        <v>245.39599999999999</v>
      </c>
      <c r="Q55" s="1415">
        <f t="shared" si="18"/>
        <v>132.386</v>
      </c>
      <c r="R55" s="1415">
        <f t="shared" si="18"/>
        <v>120.39700000000001</v>
      </c>
      <c r="S55" s="1415">
        <f t="shared" si="18"/>
        <v>245.39599999999999</v>
      </c>
      <c r="T55" s="1415">
        <f t="shared" si="18"/>
        <v>3110.6913800000002</v>
      </c>
      <c r="U55" s="1415">
        <f t="shared" si="18"/>
        <v>562.52</v>
      </c>
      <c r="V55" s="1415">
        <f t="shared" si="18"/>
        <v>2548.1713800000002</v>
      </c>
      <c r="W55" s="1415"/>
      <c r="X55" s="2472">
        <f>MAX(X29:X53)</f>
        <v>0.57085427135678413</v>
      </c>
      <c r="Y55" s="2472">
        <f>MAX(Y29:Y53)</f>
        <v>0.96453558465564648</v>
      </c>
      <c r="Z55" s="2473">
        <f>MAX(Z29:Z53)</f>
        <v>0.70232343808858499</v>
      </c>
    </row>
    <row r="56" spans="2:30" ht="12.75" customHeight="1">
      <c r="B56" s="278" t="s">
        <v>45</v>
      </c>
      <c r="C56" s="73"/>
      <c r="D56" s="89">
        <f t="shared" ref="D56:L56" si="19">QUARTILE(D29:D53,3)</f>
        <v>17.47</v>
      </c>
      <c r="E56" s="89">
        <f t="shared" si="19"/>
        <v>582.0838</v>
      </c>
      <c r="F56" s="89">
        <f t="shared" si="19"/>
        <v>19.690249999999999</v>
      </c>
      <c r="G56" s="89">
        <f t="shared" si="19"/>
        <v>48.943999999999996</v>
      </c>
      <c r="H56" s="89">
        <f t="shared" si="19"/>
        <v>66.530999999999992</v>
      </c>
      <c r="I56" s="89">
        <f t="shared" si="19"/>
        <v>28.574999999999999</v>
      </c>
      <c r="J56" s="89">
        <f t="shared" si="19"/>
        <v>578.87967000000003</v>
      </c>
      <c r="K56" s="89">
        <f t="shared" si="19"/>
        <v>133.67525000000001</v>
      </c>
      <c r="L56" s="89">
        <f t="shared" si="19"/>
        <v>432.634275</v>
      </c>
      <c r="M56" s="89"/>
      <c r="N56" s="89">
        <f t="shared" ref="N56:V56" si="20">QUARTILE(N29:N53,3)</f>
        <v>17.670000000000002</v>
      </c>
      <c r="O56" s="89">
        <f t="shared" si="20"/>
        <v>788.67728</v>
      </c>
      <c r="P56" s="89">
        <f t="shared" si="20"/>
        <v>19.861999999999998</v>
      </c>
      <c r="Q56" s="89">
        <f t="shared" si="20"/>
        <v>102.292</v>
      </c>
      <c r="R56" s="89">
        <f t="shared" si="20"/>
        <v>31.964500000000001</v>
      </c>
      <c r="S56" s="89">
        <f t="shared" si="20"/>
        <v>43.624000000000002</v>
      </c>
      <c r="T56" s="89">
        <f t="shared" si="20"/>
        <v>794.03827999999999</v>
      </c>
      <c r="U56" s="89">
        <f t="shared" si="20"/>
        <v>136.453</v>
      </c>
      <c r="V56" s="89">
        <f t="shared" si="20"/>
        <v>564.50227999999993</v>
      </c>
      <c r="W56" s="89"/>
      <c r="X56" s="116">
        <f>QUARTILE(X29:X53,3)</f>
        <v>0.10738025328732403</v>
      </c>
      <c r="Y56" s="116">
        <f>QUARTILE(Y29:Y53,3)</f>
        <v>0.15354717683635022</v>
      </c>
      <c r="Z56" s="117">
        <f>QUARTILE(Z29:Z53,3)</f>
        <v>0.18525876717807677</v>
      </c>
    </row>
    <row r="57" spans="2:30" ht="12.75" customHeight="1">
      <c r="B57" s="278" t="s">
        <v>43</v>
      </c>
      <c r="C57" s="73"/>
      <c r="D57" s="89">
        <f t="shared" ref="D57:L57" si="21">AVERAGE(D29:D53)</f>
        <v>9.9025913043478262</v>
      </c>
      <c r="E57" s="89">
        <f t="shared" si="21"/>
        <v>507.80603999999994</v>
      </c>
      <c r="F57" s="89">
        <f t="shared" si="21"/>
        <v>25.596260416666667</v>
      </c>
      <c r="G57" s="89">
        <f t="shared" si="21"/>
        <v>32.629353333333334</v>
      </c>
      <c r="H57" s="89">
        <f t="shared" si="21"/>
        <v>44.806000000000004</v>
      </c>
      <c r="I57" s="89">
        <f t="shared" si="21"/>
        <v>33.864652399999997</v>
      </c>
      <c r="J57" s="89">
        <f t="shared" si="21"/>
        <v>501.04620920000002</v>
      </c>
      <c r="K57" s="89">
        <f t="shared" si="21"/>
        <v>103.84830916666665</v>
      </c>
      <c r="L57" s="89">
        <f t="shared" si="21"/>
        <v>418.07482541666673</v>
      </c>
      <c r="M57" s="73"/>
      <c r="N57" s="89">
        <f t="shared" ref="N57:V57" si="22">AVERAGE(N29:N53)</f>
        <v>11.3104852</v>
      </c>
      <c r="O57" s="89">
        <f t="shared" si="22"/>
        <v>569.31687600000009</v>
      </c>
      <c r="P57" s="89">
        <f t="shared" si="22"/>
        <v>25.907832800000001</v>
      </c>
      <c r="Q57" s="89">
        <f t="shared" si="22"/>
        <v>46.937615999999998</v>
      </c>
      <c r="R57" s="89">
        <f t="shared" si="22"/>
        <v>30.863000000000003</v>
      </c>
      <c r="S57" s="89">
        <f t="shared" si="22"/>
        <v>40.23343599999999</v>
      </c>
      <c r="T57" s="89">
        <f t="shared" si="22"/>
        <v>609.55031199999985</v>
      </c>
      <c r="U57" s="89">
        <f t="shared" si="22"/>
        <v>111.39533959999999</v>
      </c>
      <c r="V57" s="89">
        <f t="shared" si="22"/>
        <v>498.15497240000002</v>
      </c>
      <c r="W57" s="89"/>
      <c r="X57" s="1570">
        <f>AVERAGE(X29:X53)</f>
        <v>4.455074079356601E-2</v>
      </c>
      <c r="Y57" s="1570">
        <f>AVERAGE(Y29:Y53)</f>
        <v>0.10711813993857071</v>
      </c>
      <c r="Z57" s="2474">
        <f>AVERAGE(Z29:Z53)</f>
        <v>4.3191128909977478E-2</v>
      </c>
    </row>
    <row r="58" spans="2:30" ht="12.75" customHeight="1">
      <c r="B58" s="278" t="s">
        <v>3</v>
      </c>
      <c r="C58" s="73"/>
      <c r="D58" s="89">
        <f t="shared" ref="D58:L58" si="23">MEDIAN(D29:D53)</f>
        <v>7.45</v>
      </c>
      <c r="E58" s="89">
        <f t="shared" si="23"/>
        <v>375.67831999999999</v>
      </c>
      <c r="F58" s="89">
        <f t="shared" si="23"/>
        <v>2.0176249999999998</v>
      </c>
      <c r="G58" s="89">
        <f t="shared" si="23"/>
        <v>0.01</v>
      </c>
      <c r="H58" s="89">
        <f t="shared" si="23"/>
        <v>1.6220000000000001</v>
      </c>
      <c r="I58" s="89">
        <f t="shared" si="23"/>
        <v>3.1550000000000002</v>
      </c>
      <c r="J58" s="89">
        <f t="shared" si="23"/>
        <v>363.19266999999996</v>
      </c>
      <c r="K58" s="89">
        <f t="shared" si="23"/>
        <v>41.384500000000003</v>
      </c>
      <c r="L58" s="89">
        <f t="shared" si="23"/>
        <v>292.30416500000001</v>
      </c>
      <c r="M58" s="73"/>
      <c r="N58" s="89">
        <f t="shared" ref="N58:V58" si="24">MEDIAN(N29:N53)</f>
        <v>10.23</v>
      </c>
      <c r="O58" s="89">
        <f t="shared" si="24"/>
        <v>374.58265999999998</v>
      </c>
      <c r="P58" s="89">
        <f t="shared" si="24"/>
        <v>1.4319999999999999</v>
      </c>
      <c r="Q58" s="89">
        <f t="shared" si="24"/>
        <v>0.01</v>
      </c>
      <c r="R58" s="89">
        <f t="shared" si="24"/>
        <v>1.5274999999999999</v>
      </c>
      <c r="S58" s="89">
        <f t="shared" si="24"/>
        <v>3.7210000000000001</v>
      </c>
      <c r="T58" s="89">
        <f t="shared" si="24"/>
        <v>462.47541999999999</v>
      </c>
      <c r="U58" s="89">
        <f t="shared" si="24"/>
        <v>62.9392</v>
      </c>
      <c r="V58" s="89">
        <f t="shared" si="24"/>
        <v>294.85737000000006</v>
      </c>
      <c r="W58" s="89"/>
      <c r="X58" s="1570">
        <f>MEDIAN(X29:X53)</f>
        <v>3.39204360046369E-2</v>
      </c>
      <c r="Y58" s="1570">
        <f>MEDIAN(Y29:Y53)</f>
        <v>4.258070585200413E-2</v>
      </c>
      <c r="Z58" s="2474">
        <f>MEDIAN(Z29:Z53)</f>
        <v>-2.6210882076894704E-2</v>
      </c>
    </row>
    <row r="59" spans="2:30" ht="12.75" customHeight="1">
      <c r="B59" s="278" t="s">
        <v>44</v>
      </c>
      <c r="C59" s="73"/>
      <c r="D59" s="89">
        <f t="shared" ref="D59:L59" si="25">QUARTILE(D29:D53,1)</f>
        <v>2.7949999999999999</v>
      </c>
      <c r="E59" s="89">
        <f t="shared" si="25"/>
        <v>122.38261</v>
      </c>
      <c r="F59" s="89">
        <f t="shared" si="25"/>
        <v>0</v>
      </c>
      <c r="G59" s="89">
        <f t="shared" si="25"/>
        <v>5.0300000000000006E-3</v>
      </c>
      <c r="H59" s="89">
        <f t="shared" si="25"/>
        <v>1.4890000000000001</v>
      </c>
      <c r="I59" s="89">
        <f t="shared" si="25"/>
        <v>0</v>
      </c>
      <c r="J59" s="89">
        <f t="shared" si="25"/>
        <v>97.878</v>
      </c>
      <c r="K59" s="89">
        <f t="shared" si="25"/>
        <v>13.487282499999999</v>
      </c>
      <c r="L59" s="89">
        <f t="shared" si="25"/>
        <v>114.24035499999999</v>
      </c>
      <c r="M59" s="73"/>
      <c r="N59" s="89">
        <f t="shared" ref="N59:V59" si="26">QUARTILE(N29:N53,1)</f>
        <v>2.2599999999999998</v>
      </c>
      <c r="O59" s="89">
        <f t="shared" si="26"/>
        <v>199.81565000000001</v>
      </c>
      <c r="P59" s="89">
        <f t="shared" si="26"/>
        <v>0</v>
      </c>
      <c r="Q59" s="89">
        <f t="shared" si="26"/>
        <v>8.0000000000000007E-5</v>
      </c>
      <c r="R59" s="89">
        <f t="shared" si="26"/>
        <v>0.42599999999999993</v>
      </c>
      <c r="S59" s="89">
        <f t="shared" si="26"/>
        <v>0.01</v>
      </c>
      <c r="T59" s="89">
        <f t="shared" si="26"/>
        <v>202.11508000000001</v>
      </c>
      <c r="U59" s="89">
        <f t="shared" si="26"/>
        <v>8.4566599999999994</v>
      </c>
      <c r="V59" s="89">
        <f t="shared" si="26"/>
        <v>202.10665</v>
      </c>
      <c r="W59" s="89"/>
      <c r="X59" s="1570">
        <f>QUARTILE(X29:X53,1)</f>
        <v>-8.5673322005097668E-2</v>
      </c>
      <c r="Y59" s="1570">
        <f>QUARTILE(Y29:Y53,1)</f>
        <v>-8.5046169747106937E-2</v>
      </c>
      <c r="Z59" s="2474">
        <f>QUARTILE(Z29:Z53,1)</f>
        <v>-0.21061874220180565</v>
      </c>
    </row>
    <row r="60" spans="2:30" ht="12.75" customHeight="1">
      <c r="B60" s="1204" t="s">
        <v>42</v>
      </c>
      <c r="C60" s="67"/>
      <c r="D60" s="70">
        <f t="shared" ref="D60:L60" si="27">MIN(D29:D53)</f>
        <v>6.6000000000000003E-2</v>
      </c>
      <c r="E60" s="70">
        <f t="shared" si="27"/>
        <v>4.2438000000000002</v>
      </c>
      <c r="F60" s="70">
        <f t="shared" si="27"/>
        <v>0</v>
      </c>
      <c r="G60" s="70">
        <f t="shared" si="27"/>
        <v>6.0000000000000002E-5</v>
      </c>
      <c r="H60" s="70">
        <f t="shared" si="27"/>
        <v>1.3560000000000001</v>
      </c>
      <c r="I60" s="70">
        <f t="shared" si="27"/>
        <v>0</v>
      </c>
      <c r="J60" s="70">
        <f t="shared" si="27"/>
        <v>0</v>
      </c>
      <c r="K60" s="70">
        <f t="shared" si="27"/>
        <v>8.43E-3</v>
      </c>
      <c r="L60" s="70">
        <f t="shared" si="27"/>
        <v>4.6028900000000004</v>
      </c>
      <c r="M60" s="130"/>
      <c r="N60" s="70">
        <f t="shared" ref="N60:V60" si="28">MIN(N29:N53)</f>
        <v>5.9900000000000002E-2</v>
      </c>
      <c r="O60" s="70">
        <f t="shared" si="28"/>
        <v>3.8515700000000002</v>
      </c>
      <c r="P60" s="70">
        <f t="shared" si="28"/>
        <v>0</v>
      </c>
      <c r="Q60" s="70">
        <f t="shared" si="28"/>
        <v>0</v>
      </c>
      <c r="R60" s="70">
        <f t="shared" si="28"/>
        <v>0</v>
      </c>
      <c r="S60" s="70">
        <f t="shared" si="28"/>
        <v>0</v>
      </c>
      <c r="T60" s="70">
        <f t="shared" si="28"/>
        <v>3.8615699999999999</v>
      </c>
      <c r="U60" s="70">
        <f t="shared" si="28"/>
        <v>0</v>
      </c>
      <c r="V60" s="70">
        <f t="shared" si="28"/>
        <v>-5.8626799999999992</v>
      </c>
      <c r="W60" s="130"/>
      <c r="X60" s="118">
        <f>MIN(X29:X53)</f>
        <v>-0.23420074349442377</v>
      </c>
      <c r="Y60" s="118">
        <f>MIN(Y29:Y53)</f>
        <v>-0.23417608318285488</v>
      </c>
      <c r="Z60" s="321">
        <f>MIN(Z29:Z53)</f>
        <v>-0.27391261033623426</v>
      </c>
    </row>
    <row r="61" spans="2:30" ht="12.75" customHeight="1"/>
    <row r="62" spans="2:30" ht="12.75" customHeight="1">
      <c r="B62" s="1" t="s">
        <v>1696</v>
      </c>
    </row>
    <row r="63" spans="2:30" ht="12.75" customHeight="1">
      <c r="B63" s="1574" t="s">
        <v>41</v>
      </c>
      <c r="C63" s="833"/>
      <c r="D63" s="1415">
        <f t="array" ref="D63">MAX(IF($AB$11:$AB$53=1,D$11:D$53,""))</f>
        <v>61.52</v>
      </c>
      <c r="E63" s="1415">
        <f t="array" ref="E63">MAX(IF($AB$11:$AB$53=1,E$11:E$53,""))</f>
        <v>119579.29502999999</v>
      </c>
      <c r="F63" s="1415">
        <f t="array" ref="F63">MAX(IF($AB$11:$AB$53=1,F$11:F$53,""))</f>
        <v>824.84756000000004</v>
      </c>
      <c r="G63" s="1415">
        <f t="array" ref="G63">MAX(IF($AB$11:$AB$53=1,G$11:G$53,""))</f>
        <v>97.878</v>
      </c>
      <c r="H63" s="1415">
        <f t="array" ref="H63">MAX(IF($AB$11:$AB$53=1,H$11:H$53,""))</f>
        <v>131.44</v>
      </c>
      <c r="I63" s="1415">
        <f t="array" ref="I63">MAX(IF($AB$11:$AB$53=1,I$11:I$53,""))</f>
        <v>824.84756000000004</v>
      </c>
      <c r="J63" s="1415">
        <f t="array" ref="J63">MAX(IF($AB$11:$AB$53=1,J$11:J$53,""))</f>
        <v>119852.49308</v>
      </c>
      <c r="K63" s="1415">
        <f t="array" ref="K63">MAX(IF($AB$11:$AB$53=1,K$11:K$53,""))</f>
        <v>3040.3362200000001</v>
      </c>
      <c r="L63" s="1415">
        <f t="array" ref="L63">MAX(IF($AB$11:$AB$53=1,L$11:L$53,""))</f>
        <v>116812.15686</v>
      </c>
      <c r="M63" s="833"/>
      <c r="N63" s="1415">
        <f t="array" ref="N63">MAX(IF($AB$11:$AB$53=1,N$11:N$53,""))</f>
        <v>83.91</v>
      </c>
      <c r="O63" s="1415">
        <f t="array" ref="O63">MAX(IF($AB$11:$AB$53=1,O$11:O$53,""))</f>
        <v>112194.50996</v>
      </c>
      <c r="P63" s="1415">
        <f t="array" ref="P63">MAX(IF($AB$11:$AB$53=1,P$11:P$53,""))</f>
        <v>746.46118999999999</v>
      </c>
      <c r="Q63" s="1415">
        <f t="array" ref="Q63">MAX(IF($AB$11:$AB$53=1,Q$11:Q$53,""))</f>
        <v>132.386</v>
      </c>
      <c r="R63" s="1415">
        <f t="array" ref="R63">MAX(IF($AB$11:$AB$53=1,R$11:R$53,""))</f>
        <v>120.39700000000001</v>
      </c>
      <c r="S63" s="1415">
        <f t="array" ref="S63">MAX(IF($AB$11:$AB$53=1,S$11:S$53,""))</f>
        <v>746.46118999999999</v>
      </c>
      <c r="T63" s="1415">
        <f t="array" ref="T63">MAX(IF($AB$11:$AB$53=1,T$11:T$53,""))</f>
        <v>112232.19422999999</v>
      </c>
      <c r="U63" s="1415">
        <f t="array" ref="U63">MAX(IF($AB$11:$AB$53=1,U$11:U$53,""))</f>
        <v>1737.6084000000001</v>
      </c>
      <c r="V63" s="1415">
        <f t="array" ref="V63">MAX(IF($AB$11:$AB$53=1,V$11:V$53,""))</f>
        <v>110494.58583</v>
      </c>
      <c r="W63" s="1415"/>
      <c r="X63" s="2472">
        <f t="array" ref="X63">MAX(IF($AB$11:$AB$53=1,X$11:X$53,""))</f>
        <v>0.57085427135678413</v>
      </c>
      <c r="Y63" s="2472">
        <f t="array" ref="Y63">MAX(IF($AB$11:$AB$53=1,Y$11:Y$53,""))</f>
        <v>0.96453558465564648</v>
      </c>
      <c r="Z63" s="2473">
        <f t="array" ref="Z63">MAX(IF($AB$11:$AB$53=1,Z$11:Z$53,""))</f>
        <v>0.70232343808858499</v>
      </c>
    </row>
    <row r="64" spans="2:30" ht="12.75" customHeight="1">
      <c r="B64" s="278" t="s">
        <v>45</v>
      </c>
      <c r="C64" s="73"/>
      <c r="D64" s="89">
        <f t="array" ref="D64">QUARTILE(IF($AB$11:$AB$53=1,D$11:D$53,""),3)</f>
        <v>17.3125</v>
      </c>
      <c r="E64" s="89">
        <f t="array" ref="E64">QUARTILE(IF($AB$11:$AB$53=1,E$11:E$53,""),3)</f>
        <v>1360.0891099999999</v>
      </c>
      <c r="F64" s="89">
        <f t="array" ref="F64">QUARTILE(IF($AB$11:$AB$53=1,F$11:F$53,""),3)</f>
        <v>68.088999999999999</v>
      </c>
      <c r="G64" s="89">
        <f t="array" ref="G64">QUARTILE(IF($AB$11:$AB$53=1,G$11:G$53,""),3)</f>
        <v>48.943999999999996</v>
      </c>
      <c r="H64" s="89">
        <f t="array" ref="H64">QUARTILE(IF($AB$11:$AB$53=1,H$11:H$53,""),3)</f>
        <v>31.632187500000001</v>
      </c>
      <c r="I64" s="89">
        <f t="array" ref="I64">QUARTILE(IF($AB$11:$AB$53=1,I$11:I$53,""),3)</f>
        <v>137.73974999999999</v>
      </c>
      <c r="J64" s="89">
        <f t="array" ref="J64">QUARTILE(IF($AB$11:$AB$53=1,J$11:J$53,""),3)</f>
        <v>1282.1204525000001</v>
      </c>
      <c r="K64" s="89">
        <f t="array" ref="K64">QUARTILE(IF($AB$11:$AB$53=1,K$11:K$53,""),3)</f>
        <v>198.10499999999999</v>
      </c>
      <c r="L64" s="89">
        <f t="array" ref="L64">QUARTILE(IF($AB$11:$AB$53=1,L$11:L$53,""),3)</f>
        <v>1196.94643</v>
      </c>
      <c r="M64" s="89"/>
      <c r="N64" s="89">
        <f t="array" ref="N64">QUARTILE(IF($AB$11:$AB$53=1,N$11:N$53,""),3)</f>
        <v>17.252500000000001</v>
      </c>
      <c r="O64" s="89">
        <f t="array" ref="O64">QUARTILE(IF($AB$11:$AB$53=1,O$11:O$53,""),3)</f>
        <v>1430.2640425</v>
      </c>
      <c r="P64" s="89">
        <f t="array" ref="P64">QUARTILE(IF($AB$11:$AB$53=1,P$11:P$53,""),3)</f>
        <v>42.139067500000003</v>
      </c>
      <c r="Q64" s="89">
        <f t="array" ref="Q64">QUARTILE(IF($AB$11:$AB$53=1,Q$11:Q$53,""),3)</f>
        <v>102.292</v>
      </c>
      <c r="R64" s="89">
        <f t="array" ref="R64">QUARTILE(IF($AB$11:$AB$53=1,R$11:R$53,""),3)</f>
        <v>27.692299999999999</v>
      </c>
      <c r="S64" s="89">
        <f t="array" ref="S64">QUARTILE(IF($AB$11:$AB$53=1,S$11:S$53,""),3)</f>
        <v>129.37524999999999</v>
      </c>
      <c r="T64" s="89">
        <f t="array" ref="T64">QUARTILE(IF($AB$11:$AB$53=1,T$11:T$53,""),3)</f>
        <v>1524.3310425</v>
      </c>
      <c r="U64" s="89">
        <f t="array" ref="U64">QUARTILE(IF($AB$11:$AB$53=1,U$11:U$53,""),3)</f>
        <v>241.09094999999999</v>
      </c>
      <c r="V64" s="89">
        <f t="array" ref="V64">QUARTILE(IF($AB$11:$AB$53=1,V$11:V$53,""),3)</f>
        <v>1377.2950425000001</v>
      </c>
      <c r="W64" s="89"/>
      <c r="X64" s="116">
        <f t="array" ref="X64">QUARTILE(IF($AB$11:$AB$53=1,X$11:X$53,""),3)</f>
        <v>7.3736154038777424E-2</v>
      </c>
      <c r="Y64" s="116">
        <f t="array" ref="Y64">QUARTILE(IF($AB$11:$AB$53=1,Y$11:Y$53,""),3)</f>
        <v>0.13091224763524267</v>
      </c>
      <c r="Z64" s="117">
        <f t="array" ref="Z64">QUARTILE(IF($AB$11:$AB$53=1,Z$11:Z$53,""),3)</f>
        <v>7.6818522607328521E-2</v>
      </c>
    </row>
    <row r="65" spans="2:26" ht="12.75" customHeight="1">
      <c r="B65" s="278" t="s">
        <v>43</v>
      </c>
      <c r="C65" s="73"/>
      <c r="D65" s="89">
        <f t="array" ref="D65">AVERAGE(IF($AB$11:$AB$53=1,D$11:D$53,""))</f>
        <v>11.886437499999998</v>
      </c>
      <c r="E65" s="89">
        <f t="array" ref="E65">AVERAGE(IF($AB$11:$AB$53=1,E$11:E$53,""))</f>
        <v>4790.0324312499988</v>
      </c>
      <c r="F65" s="89">
        <f t="array" ref="F65">AVERAGE(IF($AB$11:$AB$53=1,F$11:F$53,""))</f>
        <v>94.438974242424237</v>
      </c>
      <c r="G65" s="89">
        <f t="array" ref="G65">AVERAGE(IF($AB$11:$AB$53=1,G$11:G$53,""))</f>
        <v>32.629353333333334</v>
      </c>
      <c r="H65" s="89">
        <f t="array" ref="H65">AVERAGE(IF($AB$11:$AB$53=1,H$11:H$53,""))</f>
        <v>31.811371666666663</v>
      </c>
      <c r="I65" s="89">
        <f t="array" ref="I65">AVERAGE(IF($AB$11:$AB$53=1,I$11:I$53,""))</f>
        <v>100.15418941176472</v>
      </c>
      <c r="J65" s="89">
        <f t="array" ref="J65">AVERAGE(IF($AB$11:$AB$53=1,J$11:J$53,""))</f>
        <v>4608.4200070588222</v>
      </c>
      <c r="K65" s="89">
        <f t="array" ref="K65">AVERAGE(IF($AB$11:$AB$53=1,K$11:K$53,""))</f>
        <v>208.59524545454542</v>
      </c>
      <c r="L65" s="89">
        <f t="array" ref="L65">AVERAGE(IF($AB$11:$AB$53=1,L$11:L$53,""))</f>
        <v>4539.4738527272766</v>
      </c>
      <c r="M65" s="73"/>
      <c r="N65" s="89">
        <f t="array" ref="N65">AVERAGE(IF($AB$11:$AB$53=1,N$11:N$53,""))</f>
        <v>13.286825000000002</v>
      </c>
      <c r="O65" s="89">
        <f t="array" ref="O65">AVERAGE(IF($AB$11:$AB$53=1,O$11:O$53,""))</f>
        <v>4401.7166832352923</v>
      </c>
      <c r="P65" s="89">
        <f t="array" ref="P65">AVERAGE(IF($AB$11:$AB$53=1,P$11:P$53,""))</f>
        <v>90.3133811764706</v>
      </c>
      <c r="Q65" s="89">
        <f t="array" ref="Q65">AVERAGE(IF($AB$11:$AB$53=1,Q$11:Q$53,""))</f>
        <v>46.937615999999998</v>
      </c>
      <c r="R65" s="89">
        <f t="array" ref="R65">AVERAGE(IF($AB$11:$AB$53=1,R$11:R$53,""))</f>
        <v>25.761770000000002</v>
      </c>
      <c r="S65" s="89">
        <f t="array" ref="S65">AVERAGE(IF($AB$11:$AB$53=1,S$11:S$53,""))</f>
        <v>102.51986558823529</v>
      </c>
      <c r="T65" s="89">
        <f t="array" ref="T65">AVERAGE(IF($AB$11:$AB$53=1,T$11:T$53,""))</f>
        <v>4504.23654882353</v>
      </c>
      <c r="U65" s="89">
        <f t="array" ref="U65">AVERAGE(IF($AB$11:$AB$53=1,U$11:U$53,""))</f>
        <v>185.60745264705881</v>
      </c>
      <c r="V65" s="89">
        <f t="array" ref="V65">AVERAGE(IF($AB$11:$AB$53=1,V$11:V$53,""))</f>
        <v>4318.6290961764716</v>
      </c>
      <c r="W65" s="89"/>
      <c r="X65" s="1570">
        <f t="array" ref="X65">AVERAGE(IF($AB$11:$AB$53=1,X$11:X$53,""))</f>
        <v>3.1752867715794067E-2</v>
      </c>
      <c r="Y65" s="1570">
        <f t="array" ref="Y65">AVERAGE(IF($AB$11:$AB$53=1,Y$11:Y$53,""))</f>
        <v>8.6796382163597655E-2</v>
      </c>
      <c r="Z65" s="2474">
        <f t="array" ref="Z65">AVERAGE(IF($AB$11:$AB$53=1,Z$11:Z$53,""))</f>
        <v>4.3766761750085634E-2</v>
      </c>
    </row>
    <row r="66" spans="2:26" ht="12.75" customHeight="1">
      <c r="B66" s="278" t="s">
        <v>3</v>
      </c>
      <c r="C66" s="73"/>
      <c r="D66" s="89">
        <f t="array" ref="D66">MEDIAN(IF($AB$11:$AB$53=1,D$11:D$53,""))</f>
        <v>7.3250000000000002</v>
      </c>
      <c r="E66" s="89">
        <f t="array" ref="E66">MEDIAN(IF($AB$11:$AB$53=1,E$11:E$53,""))</f>
        <v>445.24750499999999</v>
      </c>
      <c r="F66" s="89">
        <f t="array" ref="F66">MEDIAN(IF($AB$11:$AB$53=1,F$11:F$53,""))</f>
        <v>6.0979999999999999</v>
      </c>
      <c r="G66" s="89">
        <f t="array" ref="G66">MEDIAN(IF($AB$11:$AB$53=1,G$11:G$53,""))</f>
        <v>0.01</v>
      </c>
      <c r="H66" s="89">
        <f t="array" ref="H66">MEDIAN(IF($AB$11:$AB$53=1,H$11:H$53,""))</f>
        <v>10.836295</v>
      </c>
      <c r="I66" s="89">
        <f t="array" ref="I66">MEDIAN(IF($AB$11:$AB$53=1,I$11:I$53,""))</f>
        <v>12.287500000000001</v>
      </c>
      <c r="J66" s="89">
        <f t="array" ref="J66">MEDIAN(IF($AB$11:$AB$53=1,J$11:J$53,""))</f>
        <v>428.96164999999996</v>
      </c>
      <c r="K66" s="89">
        <f t="array" ref="K66">MEDIAN(IF($AB$11:$AB$53=1,K$11:K$53,""))</f>
        <v>77.25121</v>
      </c>
      <c r="L66" s="89">
        <f t="array" ref="L66">MEDIAN(IF($AB$11:$AB$53=1,L$11:L$53,""))</f>
        <v>387.03730999999999</v>
      </c>
      <c r="M66" s="73"/>
      <c r="N66" s="89">
        <f t="array" ref="N66">MEDIAN(IF($AB$11:$AB$53=1,N$11:N$53,""))</f>
        <v>9.86</v>
      </c>
      <c r="O66" s="89">
        <f t="array" ref="O66">MEDIAN(IF($AB$11:$AB$53=1,O$11:O$53,""))</f>
        <v>513.84134500000005</v>
      </c>
      <c r="P66" s="89">
        <f t="array" ref="P66">MEDIAN(IF($AB$11:$AB$53=1,P$11:P$53,""))</f>
        <v>4.5410000000000004</v>
      </c>
      <c r="Q66" s="89">
        <f t="array" ref="Q66">MEDIAN(IF($AB$11:$AB$53=1,Q$11:Q$53,""))</f>
        <v>0.01</v>
      </c>
      <c r="R66" s="89">
        <f t="array" ref="R66">MEDIAN(IF($AB$11:$AB$53=1,R$11:R$53,""))</f>
        <v>2.4870000000000001</v>
      </c>
      <c r="S66" s="89">
        <f t="array" ref="S66">MEDIAN(IF($AB$11:$AB$53=1,S$11:S$53,""))</f>
        <v>11.974499999999999</v>
      </c>
      <c r="T66" s="89">
        <f t="array" ref="T66">MEDIAN(IF($AB$11:$AB$53=1,T$11:T$53,""))</f>
        <v>531.926965</v>
      </c>
      <c r="U66" s="89">
        <f t="array" ref="U66">MEDIAN(IF($AB$11:$AB$53=1,U$11:U$53,""))</f>
        <v>85.71</v>
      </c>
      <c r="V66" s="89">
        <f t="array" ref="V66">MEDIAN(IF($AB$11:$AB$53=1,V$11:V$53,""))</f>
        <v>417.62723499999998</v>
      </c>
      <c r="W66" s="89"/>
      <c r="X66" s="1570">
        <f t="array" ref="X66">MEDIAN(IF($AB$11:$AB$53=1,X$11:X$53,""))</f>
        <v>8.2439535461873437E-3</v>
      </c>
      <c r="Y66" s="1570">
        <f t="array" ref="Y66">MEDIAN(IF($AB$11:$AB$53=1,Y$11:Y$53,""))</f>
        <v>1.9448557418729751E-2</v>
      </c>
      <c r="Z66" s="2474">
        <f t="array" ref="Z66">MEDIAN(IF($AB$11:$AB$53=1,Z$11:Z$53,""))</f>
        <v>-3.0321525089554102E-2</v>
      </c>
    </row>
    <row r="67" spans="2:26" ht="12.75" customHeight="1">
      <c r="B67" s="278" t="s">
        <v>44</v>
      </c>
      <c r="C67" s="73"/>
      <c r="D67" s="89">
        <f t="array" ref="D67">QUARTILE(IF($AB$11:$AB$53=1,D$11:D$53,""),1)</f>
        <v>2.2731399999999997</v>
      </c>
      <c r="E67" s="89">
        <f t="array" ref="E67">QUARTILE(IF($AB$11:$AB$53=1,E$11:E$53,""),1)</f>
        <v>220.12842499999999</v>
      </c>
      <c r="F67" s="89">
        <f t="array" ref="F67">QUARTILE(IF($AB$11:$AB$53=1,F$11:F$53,""),1)</f>
        <v>0</v>
      </c>
      <c r="G67" s="89">
        <f t="array" ref="G67">QUARTILE(IF($AB$11:$AB$53=1,G$11:G$53,""),1)</f>
        <v>5.0300000000000006E-3</v>
      </c>
      <c r="H67" s="89">
        <f t="array" ref="H67">QUARTILE(IF($AB$11:$AB$53=1,H$11:H$53,""),1)</f>
        <v>1.4225000000000001</v>
      </c>
      <c r="I67" s="89">
        <f t="array" ref="I67">QUARTILE(IF($AB$11:$AB$53=1,I$11:I$53,""),1)</f>
        <v>0.01</v>
      </c>
      <c r="J67" s="89">
        <f t="array" ref="J67">QUARTILE(IF($AB$11:$AB$53=1,J$11:J$53,""),1)</f>
        <v>216.25121250000001</v>
      </c>
      <c r="K67" s="89">
        <f t="array" ref="K67">QUARTILE(IF($AB$11:$AB$53=1,K$11:K$53,""),1)</f>
        <v>27.99174</v>
      </c>
      <c r="L67" s="89">
        <f t="array" ref="L67">QUARTILE(IF($AB$11:$AB$53=1,L$11:L$53,""),1)</f>
        <v>178.72054</v>
      </c>
      <c r="M67" s="73"/>
      <c r="N67" s="89">
        <f t="array" ref="N67">QUARTILE(IF($AB$11:$AB$53=1,N$11:N$53,""),1)</f>
        <v>2.11</v>
      </c>
      <c r="O67" s="89">
        <f t="array" ref="O67">QUARTILE(IF($AB$11:$AB$53=1,O$11:O$53,""),1)</f>
        <v>262.53121500000003</v>
      </c>
      <c r="P67" s="89">
        <f t="array" ref="P67">QUARTILE(IF($AB$11:$AB$53=1,P$11:P$53,""),1)</f>
        <v>0</v>
      </c>
      <c r="Q67" s="89">
        <f t="array" ref="Q67">QUARTILE(IF($AB$11:$AB$53=1,Q$11:Q$53,""),1)</f>
        <v>8.0000000000000007E-5</v>
      </c>
      <c r="R67" s="89">
        <f t="array" ref="R67">QUARTILE(IF($AB$11:$AB$53=1,R$11:R$53,""),1)</f>
        <v>1.031895</v>
      </c>
      <c r="S67" s="89">
        <f t="array" ref="S67">QUARTILE(IF($AB$11:$AB$53=1,S$11:S$53,""),1)</f>
        <v>0.41764000000000001</v>
      </c>
      <c r="T67" s="89">
        <f t="array" ref="T67">QUARTILE(IF($AB$11:$AB$53=1,T$11:T$53,""),1)</f>
        <v>270.76552250000009</v>
      </c>
      <c r="U67" s="89">
        <f t="array" ref="U67">QUARTILE(IF($AB$11:$AB$53=1,U$11:U$53,""),1)</f>
        <v>22.83</v>
      </c>
      <c r="V67" s="89">
        <f t="array" ref="V67">QUARTILE(IF($AB$11:$AB$53=1,V$11:V$53,""),1)</f>
        <v>231.22944000000001</v>
      </c>
      <c r="W67" s="89"/>
      <c r="X67" s="1570">
        <f t="array" ref="X67">QUARTILE(IF($AB$11:$AB$53=1,X$11:X$53,""),1)</f>
        <v>-7.8922401585952928E-2</v>
      </c>
      <c r="Y67" s="1570">
        <f t="array" ref="Y67">QUARTILE(IF($AB$11:$AB$53=1,Y$11:Y$53,""),1)</f>
        <v>-6.2334168726219774E-2</v>
      </c>
      <c r="Z67" s="2474">
        <f t="array" ref="Z67">QUARTILE(IF($AB$11:$AB$53=1,Z$11:Z$53,""),1)</f>
        <v>-0.15185649412681501</v>
      </c>
    </row>
    <row r="68" spans="2:26" ht="12.75" customHeight="1">
      <c r="B68" s="1204" t="s">
        <v>42</v>
      </c>
      <c r="C68" s="67"/>
      <c r="D68" s="70">
        <f t="array" ref="D68">MIN(IF($AB$11:$AB$53=1,D$11:D$53,""))</f>
        <v>6.6000000000000003E-2</v>
      </c>
      <c r="E68" s="70">
        <f t="array" ref="E68">MIN(IF($AB$11:$AB$53=1,E$11:E$53,""))</f>
        <v>4.2438000000000002</v>
      </c>
      <c r="F68" s="70">
        <f t="array" ref="F68">MIN(IF($AB$11:$AB$53=1,F$11:F$53,""))</f>
        <v>0</v>
      </c>
      <c r="G68" s="70">
        <f t="array" ref="G68">MIN(IF($AB$11:$AB$53=1,G$11:G$53,""))</f>
        <v>6.0000000000000002E-5</v>
      </c>
      <c r="H68" s="70">
        <f t="array" ref="H68">MIN(IF($AB$11:$AB$53=1,H$11:H$53,""))</f>
        <v>0.90691999999999995</v>
      </c>
      <c r="I68" s="70">
        <f t="array" ref="I68">MIN(IF($AB$11:$AB$53=1,I$11:I$53,""))</f>
        <v>0</v>
      </c>
      <c r="J68" s="70">
        <f t="array" ref="J68">MIN(IF($AB$11:$AB$53=1,J$11:J$53,""))</f>
        <v>0</v>
      </c>
      <c r="K68" s="70">
        <f t="array" ref="K68">MIN(IF($AB$11:$AB$53=1,K$11:K$53,""))</f>
        <v>8.43E-3</v>
      </c>
      <c r="L68" s="70">
        <f t="array" ref="L68">MIN(IF($AB$11:$AB$53=1,L$11:L$53,""))</f>
        <v>4.6028900000000004</v>
      </c>
      <c r="M68" s="130"/>
      <c r="N68" s="70">
        <f t="array" ref="N68">MIN(IF($AB$11:$AB$53=1,N$11:N$53,""))</f>
        <v>5.9900000000000002E-2</v>
      </c>
      <c r="O68" s="70">
        <f t="array" ref="O68">MIN(IF($AB$11:$AB$53=1,O$11:O$53,""))</f>
        <v>3.8515700000000002</v>
      </c>
      <c r="P68" s="70">
        <f t="array" ref="P68">MIN(IF($AB$11:$AB$53=1,P$11:P$53,""))</f>
        <v>0</v>
      </c>
      <c r="Q68" s="70">
        <f t="array" ref="Q68">MIN(IF($AB$11:$AB$53=1,Q$11:Q$53,""))</f>
        <v>0</v>
      </c>
      <c r="R68" s="70">
        <f t="array" ref="R68">MIN(IF($AB$11:$AB$53=1,R$11:R$53,""))</f>
        <v>0</v>
      </c>
      <c r="S68" s="70">
        <f t="array" ref="S68">MIN(IF($AB$11:$AB$53=1,S$11:S$53,""))</f>
        <v>0</v>
      </c>
      <c r="T68" s="70">
        <f t="array" ref="T68">MIN(IF($AB$11:$AB$53=1,T$11:T$53,""))</f>
        <v>3.8615699999999999</v>
      </c>
      <c r="U68" s="70">
        <f t="array" ref="U68">MIN(IF($AB$11:$AB$53=1,U$11:U$53,""))</f>
        <v>0</v>
      </c>
      <c r="V68" s="70">
        <f t="array" ref="V68">MIN(IF($AB$11:$AB$53=1,V$11:V$53,""))</f>
        <v>-5.8626799999999992</v>
      </c>
      <c r="W68" s="130"/>
      <c r="X68" s="118">
        <f t="array" ref="X68">MIN(IF($AB$11:$AB$53=1,X$11:X$53,""))</f>
        <v>-0.23420074349442377</v>
      </c>
      <c r="Y68" s="118">
        <f t="array" ref="Y68">MIN(IF($AB$11:$AB$53=1,Y$11:Y$53,""))</f>
        <v>-0.23417608318285488</v>
      </c>
      <c r="Z68" s="321">
        <f t="array" ref="Z68">MIN(IF($AB$11:$AB$53=1,Z$11:Z$53,""))</f>
        <v>-0.27391261033623426</v>
      </c>
    </row>
    <row r="69" spans="2:26" s="72" customFormat="1" ht="12.75" customHeight="1">
      <c r="B69" s="1602"/>
      <c r="C69" s="1602"/>
      <c r="D69" s="1604"/>
      <c r="E69" s="1604"/>
      <c r="F69" s="1604"/>
      <c r="G69" s="1604"/>
      <c r="H69" s="1604"/>
      <c r="I69" s="1604"/>
      <c r="J69" s="1604"/>
      <c r="K69" s="1604"/>
      <c r="L69" s="1604"/>
      <c r="M69" s="167"/>
      <c r="N69" s="1604"/>
      <c r="O69" s="1604"/>
      <c r="P69" s="1604"/>
      <c r="Q69" s="1604"/>
      <c r="R69" s="1604"/>
      <c r="S69" s="1604"/>
      <c r="T69" s="1604"/>
      <c r="U69" s="1604"/>
      <c r="V69" s="1604"/>
      <c r="W69" s="167"/>
      <c r="X69" s="1830"/>
      <c r="Y69" s="1830"/>
      <c r="Z69" s="1830"/>
    </row>
    <row r="70" spans="2:26" ht="12.75" customHeight="1">
      <c r="B70" s="8" t="s">
        <v>46</v>
      </c>
      <c r="C70" s="8"/>
      <c r="D70" s="8"/>
      <c r="N70" s="8"/>
    </row>
  </sheetData>
  <conditionalFormatting sqref="B4:Y4">
    <cfRule type="cellIs" dxfId="163" priority="16" stopIfTrue="1" operator="equal">
      <formula>"input"</formula>
    </cfRule>
  </conditionalFormatting>
  <conditionalFormatting sqref="B11:H20 N11:R20 K11:K20 U11:U20 C28:H28 B27:H27 B29:H53 U27:U53 K27:K53 N27:R53">
    <cfRule type="cellIs" dxfId="162" priority="15" operator="equal">
      <formula>"(Invalid Identifier)"</formula>
    </cfRule>
  </conditionalFormatting>
  <conditionalFormatting sqref="Z4">
    <cfRule type="cellIs" dxfId="161" priority="13" stopIfTrue="1" operator="equal">
      <formula>"input"</formula>
    </cfRule>
  </conditionalFormatting>
  <conditionalFormatting sqref="Z4">
    <cfRule type="cellIs" dxfId="160" priority="14" stopIfTrue="1" operator="equal">
      <formula>"input"</formula>
    </cfRule>
  </conditionalFormatting>
  <conditionalFormatting sqref="B28">
    <cfRule type="cellIs" dxfId="159" priority="1" operator="equal">
      <formula>"(Invalid Identifier)"</formula>
    </cfRule>
  </conditionalFormatting>
  <pageMargins left="0.5" right="0.5" top="0.5" bottom="0.5" header="0.5" footer="0.5"/>
  <pageSetup scale="88" fitToWidth="0" fitToHeight="0" orientation="landscape" r:id="rId1"/>
  <rowBreaks count="1" manualBreakCount="1">
    <brk id="45" max="26" man="1"/>
  </rowBreaks>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B1:T48"/>
  <sheetViews>
    <sheetView showGridLines="0" view="pageBreakPreview" zoomScale="85" zoomScaleNormal="100" zoomScaleSheetLayoutView="85" workbookViewId="0">
      <selection activeCell="I9" sqref="I9"/>
    </sheetView>
  </sheetViews>
  <sheetFormatPr defaultColWidth="9.33203125" defaultRowHeight="12.75"/>
  <cols>
    <col min="1" max="1" width="4.5" style="310" customWidth="1"/>
    <col min="2" max="2" width="44.83203125" style="310" customWidth="1"/>
    <col min="3" max="3" width="2.83203125" style="310" customWidth="1"/>
    <col min="4" max="4" width="104.83203125" style="310" customWidth="1"/>
    <col min="5" max="5" width="4.5" style="310" customWidth="1"/>
    <col min="6" max="16384" width="9.33203125" style="310"/>
  </cols>
  <sheetData>
    <row r="1" spans="2:20" ht="10.7" customHeight="1" thickBot="1"/>
    <row r="2" spans="2:20" ht="16.5" customHeight="1" thickTop="1">
      <c r="B2" s="10" t="str">
        <f>'MASTER PubCo Inputs'!$C$5</f>
        <v>Hua Medicine</v>
      </c>
      <c r="C2" s="10"/>
      <c r="D2" s="10"/>
    </row>
    <row r="3" spans="2:20" ht="15.75" customHeight="1">
      <c r="B3" s="11" t="str">
        <f>VLOOKUP(B4,Outline!$E$8:$G$81,COLUMNS(Outline!$E$8:$G$8),FALSE)</f>
        <v>Exhibit E.2</v>
      </c>
      <c r="C3" s="11"/>
      <c r="D3" s="11"/>
    </row>
    <row r="4" spans="2:20" ht="16.5" customHeight="1" thickBot="1">
      <c r="B4" s="12" t="s">
        <v>457</v>
      </c>
      <c r="C4" s="12"/>
      <c r="D4" s="12"/>
    </row>
    <row r="5" spans="2:20" s="16" customFormat="1" ht="13.5" thickTop="1">
      <c r="D5" s="310"/>
      <c r="E5" s="310"/>
      <c r="F5" s="310"/>
      <c r="G5" s="310"/>
      <c r="H5" s="310"/>
      <c r="I5" s="310"/>
      <c r="J5" s="310"/>
      <c r="K5" s="310"/>
      <c r="L5" s="310"/>
      <c r="M5" s="310"/>
      <c r="N5" s="310"/>
      <c r="O5" s="310"/>
      <c r="P5" s="310"/>
      <c r="Q5" s="310"/>
      <c r="R5" s="310"/>
      <c r="S5" s="310"/>
      <c r="T5" s="310"/>
    </row>
    <row r="7" spans="2:20" ht="12.75" customHeight="1">
      <c r="B7" s="578" t="s">
        <v>272</v>
      </c>
      <c r="D7" s="579" t="s">
        <v>51</v>
      </c>
    </row>
    <row r="8" spans="2:20" ht="12.75" customHeight="1"/>
    <row r="9" spans="2:20" ht="12.75" customHeight="1">
      <c r="B9" s="1" t="str">
        <f>Comp.1!$B12</f>
        <v>Tier 1</v>
      </c>
    </row>
    <row r="10" spans="2:20" ht="123.75" customHeight="1">
      <c r="B10" s="1187" t="str">
        <f>Comp.1!$B13</f>
        <v>Novo Nordisk A/S</v>
      </c>
      <c r="C10" s="1188"/>
      <c r="D10" s="1187" t="str">
        <f>'Capital IQ Sheet-GPC'!AP13</f>
        <v>Novo Nordisk A/S, a healthcare company, engages in the discovery, development, manufacture, and marketing of pharmaceutical products worldwide. It operates in two segments, Diabetes Care and Obesity, and Biopharmaceuticals. The Diabetes Care and Obesity segment provides insulins, GLP-1 and related delivery systems, and oral anti-diabetic drugs and obesity. The Biopharmaceuticals segment offers products in the areas of haemophilia care, growth hormone therapy, and hormone replacement therapy. Novo Nordisk A/S has a research and licensing agreement with DUKE National University Singapore Medical School to develop stem cell-based treatments for chronic heart failure and age-related macular degeneration, as well as a research collaboration with Kallyope Inc. The company markets and distributes its products through distributors and independent agents. Novo Nordisk A/S was founded in 1925 and is headquartered in Bagsvaerd, Denmark.</v>
      </c>
    </row>
    <row r="11" spans="2:20" ht="178.5">
      <c r="B11" s="1187" t="str">
        <f>Comp.1!$B14</f>
        <v>Tonghua Dongbao Pharmaceutical Co., Ltd.</v>
      </c>
      <c r="C11" s="1188"/>
      <c r="D11" s="1187" t="str">
        <f>'Capital IQ Sheet-GPC'!AP14</f>
        <v>Tonghua Dongbao Pharmaceutical Co., Ltd. researches and develops, manufactures, and sells pharmaceutical products for the treatment of diabetes and cardiovascular-based diseases in China. The company operates through Pharmaceutical Industry and Building Materials Industry segments. It lead product portfolio includes insulin analogues, such as insulin glargine, Insulin aspart, insulin detemir, and insulin lispro; antidiabetic drug agonist products; oral hypoglycemic agents; and Zhen Nao Ning and Nao Xue Kang capsules, as well as Gan Shulin pens, blood glucose meters, and other medical devices. The company is also involved in developing Y-PEG of recombinant human interferon a 2b injection, which has been completed Phase III clinical stage to treat chronic hepatitis C (2,3 gene type) and chronic hepatitis B III; Y-PEG a recombinant human granulocyte colony-stimulating factor injection that is in Phase II clinical stage for the treatment of chemotherapy-induced neutropenia; Y-PEG injection of recombinant human growth hormone, which is in Phase II clinical stage to treat short stature and growth hormone deficiency; and Y-PEG of recombinant human interferon a 2a injection that is in Phase II clinical stage to treat chronic hepatitis B and hepatitis C. It offers building materials comprising plastic windows and sections; and other products. The company has a strategic alliance with Adocia. Tonghua Dongbao Pharmaceutical Co., Ltd. was founded in 1985 and is based in Tonghua, China.</v>
      </c>
    </row>
    <row r="12" spans="2:20" ht="242.25">
      <c r="B12" s="1187" t="str">
        <f>Comp.1!$B15</f>
        <v>3SBio Inc.</v>
      </c>
      <c r="C12" s="1188"/>
      <c r="D12" s="1187" t="str">
        <f>'Capital IQ Sheet-GPC'!AP15</f>
        <v>3SBio Inc. develops, manufactures, markets, and sells biopharmaceuticals. The company’s primary products include TPIAO, a recombinant human thrombopoietin for thrombocytopenia; Yisaipu, a tumour necrosis factor for treating rheumatoid arthritis, ankylosing spondylitis, and psoriasis; and EPIAO, a recombinant human erythropoietin for the treatment of anemia associated with chronic kidney disease (CKD), chemotherapy-induced anemia, and reduction of allogeneic blood transfusion in surgery patients. Its primary products also comprise SEPO, a recombinant human erythropoietin for anemia associated with CKD and chemotherapy; Byetta/Bydureon, an exenatide injection to improve glycemic control in adults with type-2 diabetes mellitus; and Qiming Keli for retinopathy caused by type-2 diabetes. In addition, the company offers Ruisiyi to treat advanced breast cancer; Wanwei for treating vomiting caused by cytotoxic chemotherapy; and Intefen to treat lymphatic or hematopoietic malignancies and viral infections. Further, it provides Inleusin for renal cell carcinoma, melanoma, thoracic fluid build-up caused by cancer, and tuberculosis; Etanercept for moderate to severe rheumatoid arthritis and plaque psoriasis, and active ankylosing spondylitis; and Sparin for prophylaxis and vein thrombosis, and to prevent clotting during hemodialysis. Additionally, the company offers Mandi for male-pattern alopecia and alopecia areata; Aiyishu for iron-deficiency anemia; Disu to prevent and treat chronic bronchitis, colds, and asthma; Jiannipai to prevent acute rejection after renal transplantation; and Humulin for diabetes, as well as contract development and manufacturing, trading, project management and consultation, and technology services. The company markets its products through in-house sales and marketing team, as well as distributors and third-party promoters. 3SBio Inc. was incorporated in 2006 and is headquartered in Shenyang, the People’s Republic of China.</v>
      </c>
    </row>
    <row r="13" spans="2:20" ht="242.25">
      <c r="B13" s="1187" t="str">
        <f>Comp.1!$B16</f>
        <v>Luye Pharma Group Ltd.</v>
      </c>
      <c r="C13" s="1188"/>
      <c r="D13" s="1187" t="str">
        <f>'Capital IQ Sheet-GPC'!AP16</f>
        <v>Luye Pharma Group Ltd., an investment holding company, develops, produces, markets, and sells pharmaceutical products. The company offers Maitongna for cerebral edema and edema caused by trauma; Xuezhikang, a blood lipid regulator capsule; Tiandida for ovarian or non-small cell lung cancer; Yitaida for acute promyelocytic leukemia and liver cancer; CMNa for tumor radiotherapy; LIPUSU for ovarian, metastatic ovarian, breast, and non-small-cell lung cancer patient; Nuosen for acute upper digestive tract hemorrhage; Bei Tang Ning, a capsule to control blood glucose in patients with type 2 diabetes; Bei Xi, an acarbose capsule for diabetes; and LUTINGNUO, reduced glutathione injection for toxicity, and injuries caused by ionizing radiation, as well as for hypoxemia. It also provides Glucosamine Hydrochloride tablets for osteoarthritis; Xi Ming Ting largetrifoliolious bugbane rhizome total saponin tablets for invigorating splenic yang and relieving depression, and treating perimenopausal syndrome in females, as well as improving the symptoms of hot flashes, sweating, irritability, insomnia, hypochondriac pain, dizziness and tinnitus, aching pain of waist and knee, melancholy, unhappy, etc. In addition, the company provides Oukai sodium aescinate tablets for soft tissue swelling and venous edema; Oulai, a compound sodium aescinate gel for local swelling induced by inflammation, degenerative lesion, and trauma; Sidinuo for osteoporosis and relieving pain induced by osteoporosis; Outong, a capsaicin gel; and Jinsiping selegiline hydrochloride tablets for Parkinson’s disease. Further, it distributes, sells, and retails pharmaceutical drugs; manufactures and sells eggs; and provides business and investment consultation, as well as contract research, process development, and manufacturing services. The company has strategic collaboration with Excel BioPharm LLC. The company was founded in 1994 and is headquartered in Yantai, the People’s Republic of China.</v>
      </c>
    </row>
    <row r="14" spans="2:20" ht="165.75">
      <c r="B14" s="1187" t="str">
        <f>Comp.1!$B17</f>
        <v>Intercept Pharmaceuticals, Inc.</v>
      </c>
      <c r="C14" s="1188"/>
      <c r="D14" s="1187" t="str">
        <f>'Capital IQ Sheet-GPC'!AP17</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5" spans="2:20" ht="145.5" customHeight="1">
      <c r="B15" s="1187" t="str">
        <f>Comp.1!$B18</f>
        <v>The United Laboratories International Holdings Limited</v>
      </c>
      <c r="C15" s="1188"/>
      <c r="D15" s="1187" t="str">
        <f>'Capital IQ Sheet-GPC'!AP18</f>
        <v>The United Laboratories International Holdings Limited, an investment holding company, manufactures and sells pharmaceutical products. It operates in three segments: Intermediate Products, Bulk Medicine, and Finished Products. The company offers oral antibiotics, antimicrobials for injection, anti-cold products, cough medicines, ophthalmic drugs, antiviral drugs, anti-hepatitis B drugs, diabetes drugs, skin drugs for external use, cardiovascular and cerebrovascular drugs, nervous system drugs, vitamins, and vacant gelatin capsules, as well as non-antibiotics finished products and soft capsule casings. It also provides chemical pharmaceuticals, including anti-cancer drugs and various antibiotics. In addition, the company manufactures and sells organic fertilizers; holds trademarks; trades in pharmaceutical products; and offers management services. It has operations in the People's Republic of China, Europe, India, Hong Kong, the Middle East, South America, other Asian regions, and other regions. The company was founded in 1990 and is headquartered in Yuen Long, Hong Kong. The United Laboratories International Holdings Limited is a subsidiary of Heren Far East Limited.</v>
      </c>
    </row>
    <row r="16" spans="2:20" ht="153">
      <c r="B16" s="1187" t="str">
        <f>Comp.1!$B19</f>
        <v>Corcept Therapeutics Incorporated</v>
      </c>
      <c r="C16" s="1188"/>
      <c r="D16" s="1187" t="str">
        <f>'Capital IQ Sheet-GPC'!AP19</f>
        <v>Corcept Therapeutics Incorporated, a pharmaceutical company, discovers, develops, and commercializes drugs for the treatment of severe metabolic, oncologic, and psychiatric disorders in the United States. The company offers Korlym (mifepristone) tablets as a once-daily oral medication for the treatment of hyperglycemia secondary to hypercortisolism in adult patients with endogenous Cushing’s syndrome, who have type 2 diabetes mellitus or glucose intolerance, and have failed surgery or are not candidates for surgery, as well as develops CLIA-validated assay to measure FKBP5 gene expression. It is developing relacorilant that is in a Phase II trial to treat patients with Cushing’s syndrome; abraxane in combination with relacorilant, which is in Phase I/II open label trial to treat solid tumors; and selective cortisol modulator CORT125281 combined with Xtandi that is in open label Phase I/II trial to treat patients with metastatic castration-resistant prostate cancer. The company is also developing CORT118335 selective cortisol modulator, which is in Phase I/II open label trial for the treatment of antipsychotic-induced weight gain and non-alcoholic steatotic hepatitis. Corcept Therapeutics Incorporated was founded in 1998 and is headquartered in Menlo Park, California.</v>
      </c>
    </row>
    <row r="17" spans="2:4" ht="59.25" customHeight="1">
      <c r="B17" s="1187" t="str">
        <f>Comp.1!$B20</f>
        <v>MannKind Corporation</v>
      </c>
      <c r="C17" s="1188"/>
      <c r="D17" s="1187" t="str">
        <f>'Capital IQ Sheet-GPC'!AP20</f>
        <v>MannKind Corporation, a biopharmaceutical company, focuses on the development and commercialization of inhaled therapeutic products for diabetes and pulmonary arterial hypertension patients. It offers Afrezza, a dry powder formulation of human insulin that controls high blood sugar in adults with type 1 and type 2 diabetes in the United States. The company was founded in 1991 and is headquartered in Westlake Village, California.</v>
      </c>
    </row>
    <row r="18" spans="2:4" ht="140.25">
      <c r="B18" s="1187" t="str">
        <f>Comp.1!$B21</f>
        <v>Zealand Pharma A/S</v>
      </c>
      <c r="C18" s="1188"/>
      <c r="D18" s="1187" t="str">
        <f>'Capital IQ Sheet-GPC'!AP21</f>
        <v>Zealand Pharma A/S, a biotechnology company, engages in the discovery, design, and development of peptide therapeutics-based medicines in Denmark. It has a portfolio of proprietary medicines in late-stage clinical development focusing on gastrointestinal and metabolic diseases. The company markets lixisenatide for the treatment of type 2 diabetes under the brand names of Adlyxin and Lyxumia; and a combination of lixisenatide and insulin glargine for the treatment of type 2 diabetes under the brand names of Soliqua 100/33 and Suliqua. The company’s product pipeline includes glepaglutide, a long acting GLP-2 analog for the treatment of short bowel syndrome, which has completed Phase 2 clinical trials; and dasiglucagon, a proprietary glucagon analog for various indications comprising as a dual-hormone artificial pancreas for diabetes treatment, rescue treatment for severe hypoglycemia, and congenital hyperinsulinism. The company has collaboration agreements with Sanofi-Aventis Deutschland GmbH and Boehringer Ingelheim GmbH. The company was founded in 1997 and is headquartered in Copenhagen, Denmark.</v>
      </c>
    </row>
    <row r="19" spans="2:4">
      <c r="B19" s="1189"/>
      <c r="C19" s="16"/>
      <c r="D19" s="1189"/>
    </row>
    <row r="20" spans="2:4">
      <c r="B20" s="1190" t="str">
        <f>Comp.1!$B23</f>
        <v>Tier 2</v>
      </c>
      <c r="C20" s="16"/>
      <c r="D20" s="1189"/>
    </row>
    <row r="21" spans="2:4" ht="89.25">
      <c r="B21" s="1187" t="str">
        <f>Comp.1!$B24</f>
        <v>Amicus Therapeutics, Inc.</v>
      </c>
      <c r="C21" s="1188"/>
      <c r="D21" s="1187" t="str">
        <f>'Capital IQ Sheet-GPC'!AP22</f>
        <v>Amicus Therapeutics, Inc., a biotechnology company, engages in the discovery, development, and commercialization of medicines for various rare and orphan diseases. The company offers migalastat HCl, an orally administered small molecule pharmacological chaperone for the treatment of Fabry disease. It is also conducting a Phase 1/2 clinical study of ATB200-02 to investigate in patients with pompe disease. The company has strategic alliance with GlaxoSmithKline plc to develop and commercialize migalastat as a monotherapy and in combination with ERT for Fabry disease. Amicus Therapeutics, Inc. was founded in 2002 and is headquartered in Cranbury, New Jersey.</v>
      </c>
    </row>
    <row r="22" spans="2:4" ht="114.75">
      <c r="B22" s="1187" t="str">
        <f>Comp.1!$B25</f>
        <v>Myovant Sciences Ltd.</v>
      </c>
      <c r="C22" s="1188"/>
      <c r="D22" s="1187" t="str">
        <f>'Capital IQ Sheet-GPC'!AP23</f>
        <v>Myovant Sciences Ltd., a clinical-stage biopharmaceutical company, focuses on developing and commercializing therapies for women’s health and endocrine diseases. The company’s lead product is relugolix, an oral, once-daily, small molecule that acts as a gonadotropin-releasing hormone receptor antagonist for the treatment of heavy menstrual bleeding related with uterine fibroids, endometriosis-associated pain, and advanced prostate cancer. It is also developing MVT-602, an oligopeptide kisspeptin agonist, for the treatment of female infertility as part of the hormonal preparation used in assisted reproduction. The company was formerly known as Roivant Endocrinology Ltd. and changed its name to Myovant Sciences Ltd. in May 2016. The company was founded in 2016 and is based in London, the United Kingdom. Myovant Sciences Ltd. is a subsidiary of Roivant Sciences Ltd.</v>
      </c>
    </row>
    <row r="23" spans="2:4" ht="120.75" customHeight="1">
      <c r="B23" s="1187" t="str">
        <f>Comp.1!$B26</f>
        <v>Lexicon Pharmaceuticals, Inc.</v>
      </c>
      <c r="C23" s="1188"/>
      <c r="D23" s="1187" t="str">
        <f>'Capital IQ Sheet-GPC'!AP24</f>
        <v>Lexicon Pharmaceuticals, Inc., a biopharmaceutical company, focuses on the development and commercialization of pharmaceutical products for the treatment of human diseases. The company offers XERMELO, an orally-delivered small molecule drug candidate for the treatment of carcinoid syndrome diarrhea in combination with somatostatin analog therapy in adults. Its orally-delivered small molecule drug candidates under development comprise Sotagliflozin that is in Phase 3 clinical trials for the treatment of type 1 and type 2 diabetes; LX2761, which is in Phase 1 clinical development for the treatment of diabetes; and LX9211 that is in Phase 1 clinical development for the treatment of neuropathic pain. The company has strategic collaboration and license agreements with Sanofi; Ipsen Pharma SAS; Bristol-Myers Squibb Company; and Genentech, Inc. Lexicon Pharmaceuticals, Inc. was founded in 1995 and is headquartered in The Woodlands, Texas.</v>
      </c>
    </row>
    <row r="24" spans="2:4" ht="102">
      <c r="B24" s="1187" t="str">
        <f>Comp.1!$B27</f>
        <v>Rhythm Pharmaceuticals, Inc.</v>
      </c>
      <c r="C24" s="1188"/>
      <c r="D24" s="1187" t="str">
        <f>'Capital IQ Sheet-GPC'!AP25</f>
        <v>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v>
      </c>
    </row>
    <row r="25" spans="2:4" ht="89.25">
      <c r="B25" s="1187" t="str">
        <f>Comp.1!$B28</f>
        <v>Aptinyx Inc.</v>
      </c>
      <c r="C25" s="1188"/>
      <c r="D25" s="1187" t="str">
        <f>'Capital IQ Sheet-GPC'!AP26</f>
        <v>Aptinyx Inc., a clinical-stage biopharmaceutical company, focuses on the discovery, development, and commercialization of novel, proprietary, and synthetic small molecules for the treatment of brain and nervous system disorders. It is developing NYX-2925 that is in Phase II clinical trial for the treatment of painful diabetic peripheral neuropathy, as well as in Phase II exploratory clinical trial for fibromyalgia; and NYX-783, an NMDAr receptor that is in Phase I clinical trial for the treatment of post-traumatic stress disorder. The company has a collaboration agreement with Allergan plc. Aptinyx Inc. was founded in 2015 and is headquartered in Evanston, Illinois.</v>
      </c>
    </row>
    <row r="26" spans="2:4" ht="89.25">
      <c r="B26" s="1187" t="str">
        <f>Comp.1!$B29</f>
        <v>BeyondSpring Inc.</v>
      </c>
      <c r="C26" s="1188"/>
      <c r="D26" s="1187" t="str">
        <f>'Capital IQ Sheet-GPC'!AP27</f>
        <v>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 Phase 3 clinical trial as an anticancer agent in combination with docetaxel in advanced non-small cell lung cancer; and Phase 1/2 clinical trials with the immuno-oncology agent nivolumab. BeyondSpring Inc. was founded in 2010 and is headquartered in New York, New York.</v>
      </c>
    </row>
    <row r="27" spans="2:4" ht="165.75">
      <c r="B27" s="1187" t="str">
        <f>Comp.1!$B30</f>
        <v>CymaBay Therapeutics, Inc.</v>
      </c>
      <c r="C27" s="1188"/>
      <c r="D27" s="1187" t="str">
        <f>'Capital IQ Sheet-GPC'!AP28</f>
        <v>CymaBay Therapeutics, Inc., a clinical-stage biopharmaceutical company, focuses on developing and providing therapies to treat liver and other chronic diseases. Its lead product candidate is seladelpar, a selective agonist of peroxisome proliferator-activated receptor delta, which has completed Phase II clinical study for the treatment of primary biliary cholangitis, as well as patients with nonalcoholic steatohepatitis. The company also develops arhalofenate, which has completed five Phase II clinical trials for the treatment of patients with gout; and MBX-2982, an oral G-protein coupled receptor agonist that has completed one Phase II clinical trial for therapeutic indications. It has licensing agreement with Kowa Pharmaceuticals America, Inc. for the development and commercialization of arhalofenate in the United States; and Janssen Pharmaceuticals, Inc. to develop and discover undisclosed metabolic disease target agonists for the treatment of type II diabetes and other disorders, as well as a license and development agreement with DiaTex, Inc. to develop and commercialize therapeutic products comrprising halofenate and its enantiomers, derivatives, and analogs for the treatment of diseases. The company was formerly known as Metabolex, Inc. CymaBay Therapeutics, Inc. was incorporated in 1988 and is headquartered in Newark, California.</v>
      </c>
    </row>
    <row r="28" spans="2:4" ht="104.25" customHeight="1">
      <c r="B28" s="1187" t="str">
        <f>Comp.1!$B31</f>
        <v>Intra-Cellular Therapies, Inc.</v>
      </c>
      <c r="C28" s="1188"/>
      <c r="D28" s="1187" t="str">
        <f>'Capital IQ Sheet-GPC'!AP29</f>
        <v>Intra-Cellular Therapies, Inc., a biopharmaceutical company, engages in developing novel drugs for the treatment of neuropsychiatric and neurodegenerative diseases. The company is developing its lead drug candidate, lumateperone, known as ITI-007, for the treatment of schizophrenia, bipolar disorder, behavioral disturbances in patients with dementia, and other neuropsychiatric and neurological disorders. Lumateperone, a molecule, is in Phase III clinical development for the treatment of schizophrenia, bipolar depression, and agitation associated with dementia, including Alzheimer's disease. It is also developing ITI-214 for Parkinson’s disease; and ITI-333, for substance use disorders, pain, and psychiatric comorbidities, including depression and anxiety. Intra-Cellular Therapies, Inc. is headquartered in New York, New York.</v>
      </c>
    </row>
    <row r="29" spans="2:4" ht="138" customHeight="1">
      <c r="B29" s="1187" t="str">
        <f>Comp.1!$B32</f>
        <v>Viking Therapeutics, Inc.</v>
      </c>
      <c r="C29" s="1188"/>
      <c r="D29" s="1187" t="str">
        <f>'Capital IQ Sheet-GPC'!AP30</f>
        <v>Viking Therapeutics, Inc., a clinical-stage biopharmaceutical company, focuses on the development of novel therapies for metabolic and endocrine disorders. Its lead clinical program, VK5211, is an orally available, non-steroidal selective androgen receptor modulator in Phase II development for the treatment of patients recovering from non-elective hip fracture surgery; in Phase I clinical trials for improving lean body mass; and in pre-clinical trial for improving bone mineral density, bone mineral content, bone strength, and other measures. The company is also developing VK2809, an orally available, tissue and receptor-subtype selective agonist of the thyroid hormone receptor beta, which is in a Phase II clinical trial for the treatment of patients with hypercholesterolemia and fatty liver disease; and in a Phase I clinical trial to treat patients who suffer from glycogen storage disease type Ia. In addition, it is developing VK0214 for X-linked adrenoleukodystrophy, which is in pre-clinical stage. Viking Therapeutics, Inc. was founded in 2012 and is headquartered in San Diego, California.</v>
      </c>
    </row>
    <row r="30" spans="2:4" ht="204">
      <c r="B30" s="1187" t="str">
        <f>Comp.1!$B33</f>
        <v>Xeris Pharmaceuticals, Inc.</v>
      </c>
      <c r="C30" s="1188"/>
      <c r="D30" s="1187" t="str">
        <f>'Capital IQ Sheet-GPC'!AP31</f>
        <v>Xeris Pharmaceuticals, Inc., a specialty pharmaceutical company, develops and commercializes ready-to-use injectable and infusible drug formulations. Its proprietary XeriSol and XeriJect formulation technologies allow for the subcutaneous and intramuscular delivery of highly-concentrated, ready-to-use formulations of peptides, proteins, antibodies, and small molecules using commercially available syringes, auto-injectors, multi-dose pens, and infusion pumps. The company’s lead product candidate is glucagon rescue pen, which has completed Phase III clinical trials for the treatment of severe hypoglycemia, a potentially life-threatening condition in people with diabetes. Its product candidates also comprise self-administered glucagon that is in Phase IIa clinical trials for the treatment of post-bariatric hypoglycemia; continuous glucagon, which is in Phase II clinical trials for the treatment of congenital hyperinsulinism; continuous glucagon that is in Phase IIa clinical trials for the treatment of hypoglycemia-associated autonomic failure; self-administered glucagon, which is in Phase IIa clinical trials for the treatment of exercise-induced hypoglycemia; and ready-to-use glucagon that is in Phase II clinical trials for use in a bi-hormonal artificial pancreas closed-loop systems. The company’s preclinical programs include ready-to-use diazepam, a ready-to-use diazepam formulation for the treatment of ARS in patients with epilepsy; and pram-insulin, a ready-to-use fixed dose combination of insulin and pramlintide. It serves patients, caregivers, and health practitioners. The company was founded in 2005 and is based in Chicago, Illinois.</v>
      </c>
    </row>
    <row r="31" spans="2:4" ht="55.5" customHeight="1">
      <c r="B31" s="1187" t="str">
        <f>Comp.1!$B34</f>
        <v>Odonate Therapeutics, Inc.</v>
      </c>
      <c r="C31" s="1188"/>
      <c r="D31" s="1187" t="str">
        <f>'Capital IQ Sheet-GPC'!AP32</f>
        <v>Odonate Therapeutics, Inc., a pharmaceutical company, develops therapeutics for the treatment of cancer. It focuses on the development of tesetaxel, an orally administered chemotherapy agent for patients with advanced or metastatic breast cancer (MBC). Odonate Therapeutics, Inc. also conducting a Phase III study in MBC, which is known as CONTESSA. The company was founded in 2013 and is based in San Diego, California.</v>
      </c>
    </row>
    <row r="32" spans="2:4" ht="114.75">
      <c r="B32" s="1187" t="str">
        <f>Comp.1!$B35</f>
        <v>Nightstar Therapeutics plc</v>
      </c>
      <c r="C32" s="1188"/>
      <c r="D32" s="1187" t="str">
        <f>'Capital IQ Sheet-GPC'!AP33</f>
        <v>Nightstar Therapeutics plc, a clinical-stage gene therapy company, focuses on developing and commercializing novel one-time treatments for patients suffering from rare inherited retinal diseases in the United Kingdom. The company’s lead product candidate is NSR-REP1, a candidate that is in phase 3 clinical development for the treatment of patients with choroideremia. It is also developing NSR-RPGR, a candidate that is in Phase 1/2 clinical trials for the treatment of patients with X-linked retinitis pigmentosa, an inherited X-linked recessive retinal disease; and NSR-BEST1, a candidate that is in preclinical development stage for the treatment of best vitelliform macular dystrophy. In addition, the company is developing NSR-ABCA4, a candidate that is in preclinical development stage for the treatment of Stargardt disease. The company was founded in 2013 and is headquartered in London, the United Kingdom.</v>
      </c>
    </row>
    <row r="33" spans="2:4" ht="89.25">
      <c r="B33" s="1187" t="str">
        <f>Comp.1!$B36</f>
        <v>Zafgen, Inc.</v>
      </c>
      <c r="C33" s="1188"/>
      <c r="D33" s="1187" t="str">
        <f>'Capital IQ Sheet-GPC'!AP34</f>
        <v>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v>
      </c>
    </row>
    <row r="34" spans="2:4" ht="127.5">
      <c r="B34" s="1187" t="str">
        <f>Comp.1!$B37</f>
        <v>MediciNova, Inc.</v>
      </c>
      <c r="C34" s="1188"/>
      <c r="D34" s="1187" t="str">
        <f>'Capital IQ Sheet-GPC'!AP35</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35" spans="2:4" ht="204">
      <c r="B35" s="1187" t="str">
        <f>Comp.1!$B38</f>
        <v>AVEO Pharmaceuticals, Inc.</v>
      </c>
      <c r="C35" s="1188"/>
      <c r="D35" s="1187" t="str">
        <f>'Capital IQ Sheet-GPC'!AP36</f>
        <v>AVEO Pharmaceuticals, Inc., a biopharmaceutical company, develops and commercializes a portfolio of targeted medicines for oncology and other areas of unmet medical need. It markets its lead candidate, tivozanib, an oral, once-daily, vascular endothelial growth factor receptor tyrosine kinase inhibitor, which is used for the treatment of renal cell carcinoma (RCC). The company has also completed a Phase 3 TIVO-3 trial of tivozanib for the treatment of advanced RCC; and initiated enrollment in a phase Ib/II clinical trial of tivozanib in combination with Opdivo (nivolumab), an immune checkpoint (PD-1) inhibitor, for the treatment of advanced RCC. In addition, it is developing Ficlatuzumab, a potent hepatocyte growth factor inhibitory antibody, in Phase I and Phase II clinical trials in squamous cell carcinoma of the head and neck, metastatic pancreatic ductal cancer, and acute myeloid leukemia; and AV-203, a potent anti-ErbB3 specific monoclonal antibody, which has completed Phase I clinical trial for treating esophageal cancer. The company’s preclinical stage products include AV-380, a potent humanized IgG1 inhibitory monoclonal antibody for the treatment or prevention of cachexia; and AV-353 for the treatment of pulmonary arterial hypertension. It has strategic partnerships with CANbridge Life Sciences Ltd.; EUSA Pharma (UK) Limited; Novartis International Pharmaceutical Ltd.; Biodesix, Inc.; St. Vincent’s Hospital Sydney Limited; Biogen Idec; and Kyowa Hakko Kirin Co., Ltd. The company was formerly known as GenPath Pharmaceuticals, Inc. and changed its name to AVEO Pharmaceuticals, Inc. in March 2005. AVEO Pharmaceuticals, Inc. was incorporated in 2001 and is based in Cambridge, Massachusetts.</v>
      </c>
    </row>
    <row r="36" spans="2:4" ht="204">
      <c r="B36" s="1187" t="str">
        <f>Comp.1!$B39</f>
        <v>BioTime, Inc.</v>
      </c>
      <c r="C36" s="1188"/>
      <c r="D36" s="1187" t="str">
        <f>'Capital IQ Sheet-GPC'!AP37</f>
        <v>BioTime, Inc., a clinical-stage biotechnology company, focuses on developing and commercializing products addressing degenerative diseases based on pluripotent stem cells and HyStem cell/drug delivery platform technologies primarily in the United States and Israel. The company’s lead product candidates include OpRegen, a retinal pigment epithelium cell replacement therapy, which is in Phase I/IIa multicenter trial for the treatment of the dry age-related macular degeneration; and Renevia, a facial aesthetics product that is in pivotal clinical trial for the treatment of HIV-associated facial lipoatrophy. It also develops Premvia, a HyStem hydrogel formulation for use in the treatment of age-related facial lipoatrophy, as well as for the management of wounds, including partial and full-thickness wounds, ulcers, tunneled/undermined wounds, surgical wounds, and burns; and ReGlyde, a HyStem product in preclinical development as a device for viscosupplementation, and as a platform for intraarticular drug delivery in osteoarthritis. In addition, the company through its subsidiary, AgeX Therapeutics, Inc., develops AGEX-BAT1 that consists of pluripotent stem cell-derived brown adipocytes for the treatment of type 2 diabetes; AGEX-VASC1, which consists of vascular progenitors targeting cardiac ischemia; and induced tissue regeneration, a systemic therapy for inducing the scar less regeneration of tissues. Further, it markets GeneCards, a human gene database; MalaCards, a human disease database; and Hextend, a plasma volume expander used to treat or prevent hypovolemia, including albumin, generic 6% hetastarch solutions, and crystalloid solutions. BioTime, Inc. was founded in 1990 and is based in Alameda, California.</v>
      </c>
    </row>
    <row r="37" spans="2:4" ht="127.5">
      <c r="B37" s="1187" t="str">
        <f>Comp.1!$B40</f>
        <v>Cytokinetics, Incorporated</v>
      </c>
      <c r="C37" s="1188"/>
      <c r="D37" s="1187" t="str">
        <f>'Capital IQ Sheet-GPC'!AP38</f>
        <v>Cytokinetics, Incorporated, a late-stage biopharmaceutical company, focuses on discovering, developing, and commercializing muscle activators as potential treatments for debilitating diseases in which muscle performance is compromised and/or declining. It is developing small molecule drug candidates primarily engineered to increase muscle function and contractility. The company’s drug candidates include omecamtiv mecarbil, a novel cardiac myosin activator that is in phase III clinical trials in patients with heart failure; and reldesemtiv, a fast skeletal muscle activator, which is in two phase II clinical trials in patients with spinal muscular atrophy and amyotrophic lateral sclerosis. It also develops reldesemtiv that is in phase II clinical trials in patients with chronic obstructive pulmonary disease, as well as in phase Ib clinical trials in elderly subjects with limited mobility. The company has strategic alliances with Astellas Pharma Inc. and Amgen Inc. The company was founded in 1997 and is headquartered in South San Francisco, California.</v>
      </c>
    </row>
    <row r="38" spans="2:4" ht="140.25">
      <c r="B38" s="1187" t="str">
        <f>Comp.1!$B41</f>
        <v>Emisphere Technologies, Inc.</v>
      </c>
      <c r="C38" s="1188"/>
      <c r="D38" s="1187" t="str">
        <f>'Capital IQ Sheet-GPC'!AP39</f>
        <v>Emisphere Technologies, Inc. operates as a commercial stage pharmaceutical and drug delivery company in the United States. The company offers oral Eligen B12 Rx, an oral formulation prescription medical food for use by B12 deficient individuals. It is also developing GLP-1, which is in Phase III clinical trial for the treatment of type 2 diabetes and related conditions. The company’s preclinical programs focus on the development of oral formulations for the treatment of diabetes; and products in the areas of cardiovascular, appetite suppression, and pain, as well as in the development and expansion of nutritional supplement products. It has license agreements with Novo Nordisk A/S to develop and commercialize oral formulations of GLP-1 receptor agonists in combination with Emisphere carriers, as well as to develop and commercialize oral formulations of Novo Nordisk’s insulin using the company’s Eligen Technology. The company was formerly known as Clinical Technologies Associates, Inc. and changed its name to Emisphere Technologies, Inc. in 1991. Emisphere Technologies, Inc. was founded in 1986 and is based in Roseland, New Jersey.</v>
      </c>
    </row>
    <row r="39" spans="2:4" ht="102">
      <c r="B39" s="1187" t="str">
        <f>Comp.1!$B42</f>
        <v>CohBar, Inc.</v>
      </c>
      <c r="C39" s="1188"/>
      <c r="D39" s="1187" t="str">
        <f>'Capital IQ Sheet-GPC'!AP40</f>
        <v>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v>
      </c>
    </row>
    <row r="40" spans="2:4" ht="153">
      <c r="B40" s="1187" t="str">
        <f>Comp.1!$B43</f>
        <v>vTv Therapeutics Inc.</v>
      </c>
      <c r="C40" s="1188"/>
      <c r="D40" s="1187" t="str">
        <f>'Capital IQ Sheet-GPC'!AP41</f>
        <v>vTv Therapeutics Inc., a clinical-stage biopharmaceutical company, discovers, develops, and sells orally administered small molecule drug candidates worldwide. The company’s drug candidates comprise azeliragon (TTP488), an orally administered, small molecule antagonist targeting the receptor for advanced glycation endproducts, which is in Phase III clinical trials for the treatment of Alzheimer’s disease. Its drug candidates also include TTP399, an orally administered, liver-selective glucokinase activator that has completed Phase 2b clinical trials for the treatment of type 2 diabetes, as well as initiated Phase 1b/2 clinical trials for the treatment of type 1 diabetes; and TTP273, an orally administered, non-peptide agonist that targets the glucagon-like peptide-1 receptor, which has completed Phase II clinical trials for the treatment of type 2 diabetes. vTv Therapeutics Inc. has a license and research agreement with Calithera Biosciences, Inc. to develop and commercialize its hexokinase II inhibitors for therapeutic, prophylactic, preventative, or diagnostic use. The company was founded in 2015 and is headquartered in High Point, North Carolina. vTv Therapeutics Inc. is a subsidiary of vTv Therapeutics Holdings LLC.</v>
      </c>
    </row>
    <row r="41" spans="2:4" ht="127.5">
      <c r="B41" s="1187" t="str">
        <f>Comp.1!$B44</f>
        <v>Rezolute, Inc.</v>
      </c>
      <c r="C41" s="1188"/>
      <c r="D41" s="1187" t="str">
        <f>'Capital IQ Sheet-GPC'!AP42</f>
        <v>Rezolute, Inc., a clinical stage biopharmaceutical company, specializes in the development of drug therapies for treating diabetes and metabolic diseases in the United States. Its lead product candidate is AB101, which is a human recombinant insulin that is used alone and in combination with bolus prandial insulin or oral glucose lowering therapies to enhance glycemic control in patients with type 1 and type 2 diabetes mellitus has completed phase I clinical trial. The company also develops AB301, a human glucagon-like peptide-1 agonist for the treatment of patients with type 2 diabetes; AB402 for vision-threatening eye complications of diabetes, including Diabetic Retinopathy and Diabetic Macular Edema; and AB602 to treat Hereditary Angioedema, which are in preclinical studies. It has a licensing agreement with ActiveSite Pharmaceuticals, Inc. The company was formerly known as AntriaBio, Inc. and changed its name to Rezolute, Inc. in December 2017. Rezolute, Inc. is headquartered in Louisville, Colorado.</v>
      </c>
    </row>
    <row r="42" spans="2:4" ht="178.5">
      <c r="B42" s="1187" t="str">
        <f>Comp.1!$B45</f>
        <v>Boston Therapeutics, Inc.</v>
      </c>
      <c r="C42" s="1188"/>
      <c r="D42" s="1187" t="str">
        <f>'Capital IQ Sheet-GPC'!AP44</f>
        <v>Boston Therapeutics, Inc., a pre-clinical and clinical-stage pharmaceutical company, focuses on the development, manufacture, and commercialization of carbohydrate-based therapeutic drugs and dietary supplements in the United States. Its lead pharmaceutical drug candidates include BTI-320, a non-systemic, carbohydrate-based compound that is in Phase IIb clinical trial to reduce post-meal elevation of blood glucose levels in Type 2 diabetic and pre diabetic patients; BTI-410, a peptide injectable compound that has completed Phase Ib clinical trials for type 1 immunosuppression therapy after kidney transplant surgery and type 2 diabetes patients; and IPOXYN, a carbohydrate-based, injectable drug to prevent necrosis, or cell death, as well as to treat hypoxic conditions, such as diabetic foot ulcers and other vascular/neurological complications. The company also develops OxyFex, an oxygen delivery agent for ischemia and trauma for blood loss during surgery in veterinary medicine applications. In addition, it produces and sells SUGARDOWN, a non-systemic complex carbohydrate-based dietary food supplement to support healthy post-meal blood glucose. The company was formerly known as Avanyx Therapeutics, Inc. and changed its name to Boston Therapeutics, Inc. in November 2010. Boston Therapeutics, Inc. was founded in 2009 and is headquartered in Lawrence, Massachusetts.</v>
      </c>
    </row>
    <row r="43" spans="2:4" ht="140.25">
      <c r="B43" s="1187" t="str">
        <f>Comp.1!$B46</f>
        <v>Neuralstem, Inc.</v>
      </c>
      <c r="C43" s="1188"/>
      <c r="D43" s="1187" t="str">
        <f>'Capital IQ Sheet-GPC'!AP45</f>
        <v>Neuralstem, Inc., a clinical stage biopharmaceutical company, focuses on the research and development of nervous system therapies based on its proprietary human neuronal stem cells and small molecule compounds. The company’s stem cell based technology enables the isolation and expansion of human neural stem cells from various areas of the developing human brain and spinal cord enabling the generation of physiologically relevant human neurons of various types. Its lead product candidate is NSI-189, a chemical entity, which has been completed Phase II clinical trial for the treatment of major depressive disorder, as well as is in preclinical study for the MCAO stroke, type 1 and 2 diabetes related neuropathy, irradiation-induced cognition, long-term potentiation enhancement, and angelman syndrome. The company also develops NSI-566, which has completed Phase II clinical trial for treating amyotrophic lateral sclerosis disease, as well as is in Phase I clinical trials for the treatment of chronic spinal cord injury and motor deficits due to ischemic stroke. Neuralstem, Inc. was founded in 1996 and is headquartered in Germantown, Maryland.</v>
      </c>
    </row>
    <row r="44" spans="2:4" ht="38.25">
      <c r="B44" s="1187" t="str">
        <f>Comp.1!$B47</f>
        <v>Nexus BioPharma, Inc.</v>
      </c>
      <c r="C44" s="1188"/>
      <c r="D44" s="1187" t="str">
        <f>'Capital IQ Sheet-GPC'!AP46</f>
        <v>Nexus BioPharma, Inc., a life science company, focuses on the development and commercialization of a pharmaceutical preparation to treat obesity and the symptoms of type 2 diabetes. The company is headquartered in Houston, Texas.</v>
      </c>
    </row>
    <row r="45" spans="2:4" ht="114.75">
      <c r="B45" s="1187" t="str">
        <f>Comp.1!$B48</f>
        <v>ERYTECH Pharma S.A.</v>
      </c>
      <c r="C45" s="1188"/>
      <c r="D45" s="1187" t="str">
        <f>'Capital IQ Sheet-GPC'!AP47</f>
        <v>ERYTECH Pharma S.A., a biopharmaceutical company, develops therapies for severe forms of cancer and orphan diseases. It is developing a pipeline of product candidates targeting solid and liquid tumors for patients with high unmet medical needs. The company’s lead product candidate is eryaspase, which is used for the treatment of severe solid tumors, including pancreatic cancer and in acute lymphoblastic leukemia. It is preparing for the launch of a pivotal Phase III clinical trial of eryaspase in the United States and Europe. ERYTECH Pharma S.A. has research collaborations with the Fox Chase Cancer Center to advance the preclinical development of erymethionase for the treatment of homocystinuria and with Queen’s University of Canada to advance the preclinical development of eryminase for the treatment of arginase-1-deficiency. ERYTECH Pharma S.A. was founded in 2004 and is based in Lyon, France.</v>
      </c>
    </row>
    <row r="46" spans="2:4" ht="12.75" customHeight="1">
      <c r="D46" s="120"/>
    </row>
    <row r="47" spans="2:4">
      <c r="B47" s="8" t="s">
        <v>46</v>
      </c>
      <c r="D47" s="120"/>
    </row>
    <row r="48" spans="2:4">
      <c r="D48" s="120"/>
    </row>
  </sheetData>
  <conditionalFormatting sqref="C4:D4">
    <cfRule type="cellIs" dxfId="158" priority="2" stopIfTrue="1" operator="equal">
      <formula>"input"</formula>
    </cfRule>
  </conditionalFormatting>
  <conditionalFormatting sqref="B4">
    <cfRule type="cellIs" dxfId="157" priority="1" stopIfTrue="1" operator="equal">
      <formula>"input"</formula>
    </cfRule>
  </conditionalFormatting>
  <pageMargins left="0.5" right="0.5" top="0.5" bottom="0.5" header="0.5" footer="0.5"/>
  <pageSetup scale="94" fitToWidth="0" fitToHeight="0" orientation="landscape" r:id="rId1"/>
  <rowBreaks count="3" manualBreakCount="3">
    <brk id="11" max="4" man="1"/>
    <brk id="16" max="4" man="1"/>
    <brk id="21" max="4" man="1"/>
  </rowBreaks>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3" tint="-0.499984740745262"/>
    <pageSetUpPr fitToPage="1"/>
  </sheetPr>
  <dimension ref="B6:F30"/>
  <sheetViews>
    <sheetView showGridLines="0" view="pageBreakPreview" topLeftCell="A7" zoomScale="85" zoomScaleNormal="100" zoomScaleSheetLayoutView="85" workbookViewId="0">
      <selection activeCell="I9" sqref="I9"/>
    </sheetView>
  </sheetViews>
  <sheetFormatPr defaultColWidth="9.33203125" defaultRowHeight="15"/>
  <cols>
    <col min="1" max="1" width="4.5" style="222" customWidth="1"/>
    <col min="2" max="2" width="3.83203125" style="222" customWidth="1"/>
    <col min="3" max="3" width="15.83203125" style="222" customWidth="1"/>
    <col min="4" max="4" width="106" style="223" customWidth="1"/>
    <col min="5" max="5" width="15.83203125" style="222" customWidth="1"/>
    <col min="6" max="6" width="3.83203125" style="222" customWidth="1"/>
    <col min="7" max="7" width="4.5" style="222" customWidth="1"/>
    <col min="8" max="8" width="9.33203125" style="222"/>
    <col min="9" max="9" width="16.33203125" style="222" bestFit="1" customWidth="1"/>
    <col min="10" max="10" width="19" style="222" bestFit="1" customWidth="1"/>
    <col min="11" max="16384" width="9.33203125" style="222"/>
  </cols>
  <sheetData>
    <row r="6" spans="2:6">
      <c r="B6" s="224"/>
      <c r="C6" s="213"/>
      <c r="D6" s="214"/>
      <c r="E6" s="213"/>
      <c r="F6" s="213"/>
    </row>
    <row r="7" spans="2:6" ht="15.75" thickBot="1">
      <c r="B7" s="224"/>
      <c r="C7" s="213"/>
      <c r="D7" s="214"/>
      <c r="E7" s="213"/>
      <c r="F7" s="213"/>
    </row>
    <row r="8" spans="2:6" ht="15.75" thickTop="1">
      <c r="B8" s="14"/>
      <c r="C8" s="225"/>
      <c r="D8" s="226"/>
      <c r="E8" s="225"/>
      <c r="F8" s="225"/>
    </row>
    <row r="9" spans="2:6" s="227" customFormat="1" ht="40.5">
      <c r="B9" s="228"/>
      <c r="C9" s="229"/>
      <c r="D9" s="230" t="s">
        <v>70</v>
      </c>
      <c r="E9" s="229"/>
      <c r="F9" s="229"/>
    </row>
    <row r="10" spans="2:6" ht="15.75" thickBot="1">
      <c r="B10" s="217"/>
      <c r="C10" s="232"/>
      <c r="D10" s="233"/>
      <c r="E10" s="232"/>
      <c r="F10" s="232"/>
    </row>
    <row r="11" spans="2:6" ht="15.75" thickTop="1"/>
    <row r="13" spans="2:6" ht="18.75">
      <c r="D13" s="218"/>
    </row>
    <row r="14" spans="2:6" ht="18.75">
      <c r="D14" s="219"/>
    </row>
    <row r="27" spans="4:4" ht="23.25">
      <c r="D27" s="687" t="s">
        <v>576</v>
      </c>
    </row>
    <row r="29" spans="4:4" ht="18.75">
      <c r="D29" s="220" t="s">
        <v>414</v>
      </c>
    </row>
    <row r="30" spans="4:4" ht="37.5">
      <c r="D30" s="221" t="s">
        <v>269</v>
      </c>
    </row>
  </sheetData>
  <pageMargins left="0.5" right="0.5" top="0.5" bottom="0.5" header="0.5" footer="0.5"/>
  <pageSetup scale="98"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B1:AX31"/>
  <sheetViews>
    <sheetView showGridLines="0" view="pageBreakPreview" zoomScale="85" zoomScaleNormal="100" zoomScaleSheetLayoutView="85" workbookViewId="0">
      <selection activeCell="I9" sqref="I9"/>
    </sheetView>
  </sheetViews>
  <sheetFormatPr defaultColWidth="9.33203125" defaultRowHeight="12.75" outlineLevelCol="1"/>
  <cols>
    <col min="1" max="1" width="4.5" style="310" customWidth="1"/>
    <col min="2" max="2" width="14" style="310" customWidth="1"/>
    <col min="3" max="3" width="32.5" style="310" customWidth="1"/>
    <col min="4" max="4" width="32.83203125" style="310" customWidth="1"/>
    <col min="5" max="5" width="26.33203125" style="310" hidden="1" customWidth="1" outlineLevel="1"/>
    <col min="6" max="6" width="10.83203125" style="310" customWidth="1" collapsed="1"/>
    <col min="7" max="7" width="10" style="310" hidden="1" customWidth="1" outlineLevel="1"/>
    <col min="8" max="8" width="2.83203125" style="310" customWidth="1" collapsed="1"/>
    <col min="9" max="9" width="11.83203125" style="310" customWidth="1"/>
    <col min="10" max="10" width="11" style="310" customWidth="1"/>
    <col min="11" max="11" width="13.33203125" style="310" bestFit="1" customWidth="1"/>
    <col min="12" max="12" width="11" style="310" customWidth="1"/>
    <col min="13" max="13" width="2.83203125" style="310" customWidth="1"/>
    <col min="14" max="14" width="25.83203125" style="310" customWidth="1"/>
    <col min="15" max="15" width="16.83203125" style="310" customWidth="1"/>
    <col min="16" max="16" width="2.83203125" style="310" customWidth="1"/>
    <col min="17" max="17" width="23.83203125" style="310" customWidth="1"/>
    <col min="18" max="18" width="13.83203125" style="310" customWidth="1"/>
    <col min="19" max="19" width="2.83203125" style="310" customWidth="1"/>
    <col min="20" max="20" width="10.83203125" style="310" customWidth="1"/>
    <col min="21" max="21" width="11.83203125" style="310" customWidth="1"/>
    <col min="22" max="22" width="2.83203125" style="310" customWidth="1"/>
    <col min="23" max="23" width="13" style="310" customWidth="1"/>
    <col min="24" max="25" width="8.83203125" style="310" hidden="1" customWidth="1" outlineLevel="1"/>
    <col min="26" max="26" width="2.83203125" style="310" customWidth="1" collapsed="1"/>
    <col min="27" max="27" width="11" style="310" customWidth="1"/>
    <col min="28" max="29" width="8.83203125" style="310" hidden="1" customWidth="1" outlineLevel="1"/>
    <col min="30" max="31" width="11.33203125" style="310" hidden="1" customWidth="1" outlineLevel="1"/>
    <col min="32" max="32" width="2.83203125" style="310" hidden="1" customWidth="1" outlineLevel="1"/>
    <col min="33" max="35" width="11.33203125" style="310" hidden="1" customWidth="1" outlineLevel="1"/>
    <col min="36" max="36" width="2.83203125" style="310" hidden="1" customWidth="1" outlineLevel="1"/>
    <col min="37" max="39" width="11.33203125" style="310" hidden="1" customWidth="1" outlineLevel="1"/>
    <col min="40" max="40" width="2.83203125" style="72" hidden="1" customWidth="1" outlineLevel="1"/>
    <col min="41" max="41" width="9.5" style="310" hidden="1" customWidth="1" outlineLevel="1"/>
    <col min="42" max="42" width="9.1640625" style="310" hidden="1" customWidth="1" outlineLevel="1"/>
    <col min="43" max="43" width="4.5" style="310" customWidth="1" collapsed="1"/>
    <col min="44" max="44" width="14.33203125" style="310" bestFit="1" customWidth="1"/>
    <col min="45" max="45" width="10.33203125" style="310" customWidth="1"/>
    <col min="46" max="46" width="9.33203125" style="310"/>
    <col min="47" max="47" width="9.5" style="310" bestFit="1" customWidth="1"/>
    <col min="48" max="48" width="9.6640625" style="310" bestFit="1" customWidth="1"/>
    <col min="49" max="49" width="9.5" style="310" bestFit="1" customWidth="1"/>
    <col min="50" max="50" width="9.6640625" style="310" bestFit="1" customWidth="1"/>
    <col min="51" max="16384" width="9.33203125" style="310"/>
  </cols>
  <sheetData>
    <row r="1" spans="2:50" ht="13.5" thickBot="1"/>
    <row r="2" spans="2:50" ht="16.5" thickTop="1">
      <c r="B2" s="10" t="str">
        <f>'MASTER PubCo Inputs'!$C$5</f>
        <v>Hua Medicine</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389"/>
      <c r="AO2" s="10"/>
      <c r="AP2" s="10"/>
      <c r="AR2" s="234" t="s">
        <v>17</v>
      </c>
      <c r="AS2" s="235">
        <f>+Comp.1!$AL$2</f>
        <v>43281</v>
      </c>
      <c r="AU2" s="448"/>
      <c r="AV2" s="515" t="s">
        <v>565</v>
      </c>
      <c r="AW2" s="515" t="s">
        <v>566</v>
      </c>
      <c r="AX2" s="516" t="s">
        <v>40</v>
      </c>
    </row>
    <row r="3" spans="2:50" ht="15.75">
      <c r="B3" s="11" t="str">
        <f>VLOOKUP(B4,Outline!$E$8:$G$81,COLUMNS(Outline!$E$8:$G$8),FALSE)</f>
        <v>Exhibit F.1</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210"/>
      <c r="AO3" s="11"/>
      <c r="AP3" s="11"/>
      <c r="AR3" s="164" t="s">
        <v>273</v>
      </c>
      <c r="AS3" s="239" t="str">
        <f>+Comp.1!$AL$3</f>
        <v>F</v>
      </c>
      <c r="AU3" s="517" t="str">
        <f>+I7</f>
        <v>Enterprise Value</v>
      </c>
      <c r="AV3" s="518">
        <f>SUM(STM!I10:I29)</f>
        <v>17751.746139999999</v>
      </c>
      <c r="AW3" s="518">
        <f>+SUM('Capital IQ Sheet-STM'!I10:I28)</f>
        <v>17751.746139999999</v>
      </c>
      <c r="AX3" s="168" t="b">
        <f>AV3=AW3</f>
        <v>1</v>
      </c>
    </row>
    <row r="4" spans="2:50" ht="16.5" thickBot="1">
      <c r="B4" s="12" t="s">
        <v>458</v>
      </c>
      <c r="C4" s="12"/>
      <c r="D4" s="12"/>
      <c r="E4" s="12"/>
      <c r="F4" s="12"/>
      <c r="G4" s="12"/>
      <c r="H4" s="12"/>
      <c r="I4" s="12"/>
      <c r="J4" s="12"/>
      <c r="K4" s="12"/>
      <c r="L4" s="12"/>
      <c r="M4" s="12"/>
      <c r="N4" s="12"/>
      <c r="O4" s="13" t="str">
        <f>AA4</f>
        <v>(in millions of USD)</v>
      </c>
      <c r="P4" s="12"/>
      <c r="Q4" s="12"/>
      <c r="R4" s="12"/>
      <c r="S4" s="12"/>
      <c r="T4" s="12"/>
      <c r="U4" s="12"/>
      <c r="V4" s="12"/>
      <c r="W4" s="13"/>
      <c r="X4" s="13"/>
      <c r="Y4" s="13"/>
      <c r="Z4" s="13"/>
      <c r="AA4" s="13" t="str">
        <f>+'MASTER PubCo Inputs'!$C$24</f>
        <v>(in millions of USD)</v>
      </c>
      <c r="AB4" s="13"/>
      <c r="AC4" s="13"/>
      <c r="AD4" s="13"/>
      <c r="AE4" s="13"/>
      <c r="AF4" s="13"/>
      <c r="AG4" s="13"/>
      <c r="AH4" s="13"/>
      <c r="AI4" s="13"/>
      <c r="AJ4" s="13"/>
      <c r="AK4" s="13"/>
      <c r="AL4" s="13"/>
      <c r="AM4" s="13"/>
      <c r="AN4" s="390"/>
      <c r="AO4" s="13"/>
      <c r="AP4" s="13"/>
      <c r="AR4" s="164" t="s">
        <v>274</v>
      </c>
      <c r="AS4" s="239" t="str">
        <f>+Comp.1!$AL$4</f>
        <v>USD</v>
      </c>
      <c r="AU4" s="517" t="str">
        <f>+W7</f>
        <v>Revenue</v>
      </c>
      <c r="AV4" s="518">
        <f>+SUM(STM!N10:N29)</f>
        <v>1275.00981</v>
      </c>
      <c r="AW4" s="518">
        <f>+SUM('Capital IQ Sheet-STM'!N10:N28)</f>
        <v>1275.00981</v>
      </c>
      <c r="AX4" s="168" t="b">
        <f>AV4=AW4</f>
        <v>1</v>
      </c>
    </row>
    <row r="5" spans="2:50" s="16" customFormat="1" ht="13.5" thickTop="1">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c r="AB5" s="310"/>
      <c r="AC5" s="310"/>
      <c r="AD5" s="310"/>
      <c r="AE5" s="310"/>
      <c r="AF5" s="310"/>
      <c r="AG5" s="310"/>
      <c r="AH5" s="310"/>
      <c r="AI5" s="310"/>
      <c r="AJ5" s="310"/>
      <c r="AK5" s="310"/>
      <c r="AL5" s="310"/>
      <c r="AM5" s="310"/>
      <c r="AN5" s="72"/>
      <c r="AO5" s="310"/>
      <c r="AP5" s="310"/>
      <c r="AQ5" s="310"/>
      <c r="AR5" s="76" t="s">
        <v>19</v>
      </c>
      <c r="AS5" s="238" t="str">
        <f>+Comp.1!$AL$5</f>
        <v>H</v>
      </c>
      <c r="AU5" s="519" t="str">
        <f>+X7</f>
        <v>EBITDA</v>
      </c>
      <c r="AV5" s="520">
        <f>+SUM(STM!O10:O29)</f>
        <v>-562.17240000000004</v>
      </c>
      <c r="AW5" s="520">
        <f>+SUM('Capital IQ Sheet-STM'!O10:O28)</f>
        <v>-562.17240000000004</v>
      </c>
      <c r="AX5" s="336" t="b">
        <f>AV5=AW5</f>
        <v>1</v>
      </c>
    </row>
    <row r="6" spans="2:50" ht="32.65" customHeight="1">
      <c r="I6" s="33" t="s">
        <v>286</v>
      </c>
      <c r="J6" s="778"/>
      <c r="K6" s="778"/>
      <c r="L6" s="35"/>
      <c r="W6" s="1412" t="s">
        <v>176</v>
      </c>
      <c r="X6" s="34"/>
      <c r="Y6" s="35"/>
      <c r="AA6" s="1412" t="s">
        <v>175</v>
      </c>
      <c r="AB6" s="276"/>
      <c r="AC6" s="319"/>
      <c r="AD6" s="276"/>
      <c r="AE6" s="277"/>
      <c r="AG6" s="33" t="s">
        <v>177</v>
      </c>
      <c r="AH6" s="34"/>
      <c r="AI6" s="35"/>
      <c r="AK6" s="33" t="s">
        <v>178</v>
      </c>
      <c r="AL6" s="34"/>
      <c r="AM6" s="35"/>
      <c r="AO6" s="680" t="s">
        <v>181</v>
      </c>
      <c r="AP6" s="681"/>
    </row>
    <row r="7" spans="2:50" s="6" customFormat="1" ht="38.25">
      <c r="B7" s="106" t="s">
        <v>170</v>
      </c>
      <c r="C7" s="104" t="s">
        <v>558</v>
      </c>
      <c r="D7" s="104" t="s">
        <v>171</v>
      </c>
      <c r="E7" s="104" t="s">
        <v>290</v>
      </c>
      <c r="F7" s="320" t="s">
        <v>172</v>
      </c>
      <c r="G7" s="105" t="s">
        <v>174</v>
      </c>
      <c r="I7" s="463" t="str">
        <f>'Capital IQ Sheet-STM'!I8</f>
        <v>Enterprise Value</v>
      </c>
      <c r="J7" s="806" t="str">
        <f>'Capital IQ Sheet-STM'!J8</f>
        <v>Upfront Value</v>
      </c>
      <c r="K7" s="806" t="str">
        <f>'Capital IQ Sheet-STM'!K8</f>
        <v>Contingent Payments</v>
      </c>
      <c r="L7" s="465" t="str">
        <f>'Capital IQ Sheet-STM'!L8</f>
        <v>Total Trans. Value</v>
      </c>
      <c r="M7" s="469"/>
      <c r="N7" s="835" t="s">
        <v>1913</v>
      </c>
      <c r="O7" s="834" t="s">
        <v>1244</v>
      </c>
      <c r="Q7" s="835" t="s">
        <v>2185</v>
      </c>
      <c r="R7" s="834" t="s">
        <v>2186</v>
      </c>
      <c r="T7" s="835" t="s">
        <v>1933</v>
      </c>
      <c r="U7" s="834" t="s">
        <v>1934</v>
      </c>
      <c r="V7" s="469"/>
      <c r="W7" s="1413" t="s">
        <v>80</v>
      </c>
      <c r="X7" s="464" t="s">
        <v>85</v>
      </c>
      <c r="Y7" s="465" t="s">
        <v>86</v>
      </c>
      <c r="Z7" s="260"/>
      <c r="AA7" s="1413" t="s">
        <v>80</v>
      </c>
      <c r="AB7" s="464" t="s">
        <v>85</v>
      </c>
      <c r="AC7" s="475" t="s">
        <v>86</v>
      </c>
      <c r="AD7" s="464" t="s">
        <v>288</v>
      </c>
      <c r="AE7" s="465" t="s">
        <v>289</v>
      </c>
      <c r="AF7" s="260"/>
      <c r="AG7" s="463" t="s">
        <v>80</v>
      </c>
      <c r="AH7" s="464" t="s">
        <v>85</v>
      </c>
      <c r="AI7" s="465" t="s">
        <v>86</v>
      </c>
      <c r="AJ7" s="260"/>
      <c r="AK7" s="463" t="s">
        <v>80</v>
      </c>
      <c r="AL7" s="464" t="s">
        <v>85</v>
      </c>
      <c r="AM7" s="465" t="s">
        <v>86</v>
      </c>
      <c r="AN7" s="476"/>
      <c r="AO7" s="682" t="s">
        <v>179</v>
      </c>
      <c r="AP7" s="683" t="s">
        <v>180</v>
      </c>
      <c r="AR7" s="625" t="s">
        <v>628</v>
      </c>
      <c r="AS7" s="626">
        <v>50</v>
      </c>
      <c r="AT7" s="625" t="s">
        <v>629</v>
      </c>
      <c r="AU7" s="626">
        <v>0</v>
      </c>
    </row>
    <row r="8" spans="2:50">
      <c r="I8" s="260"/>
      <c r="J8" s="260"/>
      <c r="K8" s="260"/>
      <c r="L8" s="260"/>
      <c r="M8" s="260"/>
      <c r="T8" s="260"/>
      <c r="U8" s="260"/>
      <c r="V8" s="260"/>
      <c r="W8" s="260"/>
      <c r="X8" s="260"/>
      <c r="Y8" s="260"/>
      <c r="Z8" s="260"/>
      <c r="AA8" s="260"/>
      <c r="AB8" s="260"/>
      <c r="AC8" s="260"/>
      <c r="AD8" s="260"/>
      <c r="AE8" s="260"/>
      <c r="AF8" s="260"/>
      <c r="AG8" s="260"/>
      <c r="AH8" s="260"/>
      <c r="AI8" s="260"/>
      <c r="AJ8" s="260"/>
      <c r="AK8" s="260"/>
      <c r="AL8" s="260"/>
      <c r="AM8" s="260"/>
      <c r="AN8" s="476"/>
      <c r="AO8" s="260"/>
      <c r="AP8" s="260"/>
    </row>
    <row r="9" spans="2:50" s="391" customFormat="1" ht="25.5">
      <c r="B9" s="393">
        <f>IFERROR('Capital IQ Sheet-STM'!B10,"n/a")</f>
        <v>43143</v>
      </c>
      <c r="C9" s="393" t="str">
        <f>'Capital IQ Sheet-STM'!C10</f>
        <v>Boston Therapeutics, Inc.</v>
      </c>
      <c r="D9" s="393" t="str">
        <f>'Capital IQ Sheet-STM'!D10</f>
        <v>CureDM Group Holdings, LLC</v>
      </c>
      <c r="E9" s="393" t="str">
        <f>'Capital IQ Sheet-STM'!E10</f>
        <v>Biotechnology</v>
      </c>
      <c r="F9" s="397">
        <f>IFERROR('Capital IQ Sheet-STM'!F10,"n/a")</f>
        <v>1</v>
      </c>
      <c r="G9" s="393" t="str">
        <f>'Capital IQ Sheet-STM'!G10</f>
        <v>Majority</v>
      </c>
      <c r="I9" s="125">
        <f>'Capital IQ Sheet-STM'!I10</f>
        <v>1.9538</v>
      </c>
      <c r="J9" s="125">
        <f>'Capital IQ Sheet-STM'!J10</f>
        <v>1.0249999999999999</v>
      </c>
      <c r="K9" s="125">
        <f>'Capital IQ Sheet-STM'!K10</f>
        <v>0.93239000000000005</v>
      </c>
      <c r="L9" s="125">
        <f>'Capital IQ Sheet-STM'!L10</f>
        <v>1.95739</v>
      </c>
      <c r="M9" s="394"/>
      <c r="N9" s="1437" t="s">
        <v>2908</v>
      </c>
      <c r="O9" s="1437" t="s">
        <v>382</v>
      </c>
      <c r="Q9" s="1437" t="s">
        <v>2909</v>
      </c>
      <c r="R9" s="1437" t="s">
        <v>382</v>
      </c>
      <c r="T9" s="1500">
        <v>1</v>
      </c>
      <c r="U9" s="1439">
        <f>IFERROR(L9/T9,"n/a")</f>
        <v>1.95739</v>
      </c>
      <c r="V9" s="394"/>
      <c r="W9" s="125">
        <f>'Capital IQ Sheet-STM'!N10</f>
        <v>1.91E-3</v>
      </c>
      <c r="X9" s="125">
        <f>'Capital IQ Sheet-STM'!O10</f>
        <v>-0.37941999999999998</v>
      </c>
      <c r="Y9" s="125">
        <f>'Capital IQ Sheet-STM'!P10</f>
        <v>-0.49764000000000003</v>
      </c>
      <c r="Z9" s="394"/>
      <c r="AA9" s="395" t="str">
        <f t="shared" ref="AA9:AA22" si="0">IFERROR(IF(($I9/W9)&gt;$AS$7, "NM", IF(($I9/W9)&lt;$AU$7, "NM", $I9/W9)),"n/a")</f>
        <v>NM</v>
      </c>
      <c r="AB9" s="395" t="str">
        <f t="shared" ref="AB9:AB21" si="1">IFERROR(IF(($I9/X9)&gt;$AS$7, "NM", IF(($I9/X9)&lt;$AU$7, "NM", $I9/X9)),"n/a")</f>
        <v>NM</v>
      </c>
      <c r="AC9" s="395" t="str">
        <f t="shared" ref="AC9:AC21" si="2">IFERROR(IF(($I9/Y9)&gt;$AS$7, "NM", IF(($I9/Y9)&lt;$AU$7, "NM", $I9/Y9)),"n/a")</f>
        <v>NM</v>
      </c>
      <c r="AD9" s="395">
        <f>'Capital IQ Sheet-STM'!U10</f>
        <v>13.89265</v>
      </c>
      <c r="AE9" s="395" t="str">
        <f>'Capital IQ Sheet-STM'!V10</f>
        <v>NM</v>
      </c>
      <c r="AF9" s="394"/>
      <c r="AG9" s="81" t="str">
        <f>'Capital IQ Sheet-STM'!Z10</f>
        <v>n/a</v>
      </c>
      <c r="AH9" s="81" t="str">
        <f>'Capital IQ Sheet-STM'!AA10</f>
        <v>n/a</v>
      </c>
      <c r="AI9" s="81" t="str">
        <f>'Capital IQ Sheet-STM'!AB10</f>
        <v>n/a</v>
      </c>
      <c r="AJ9" s="394"/>
      <c r="AK9" s="395" t="str">
        <f>IF(ISERROR($I9/AG9), "n/a", $I9/AG9)</f>
        <v>n/a</v>
      </c>
      <c r="AL9" s="395" t="str">
        <f>IF(ISERROR($I9/AH9), "n/a", $I9/AH9)</f>
        <v>n/a</v>
      </c>
      <c r="AM9" s="393" t="str">
        <f>'Capital IQ Sheet-STM'!AF10</f>
        <v>n/a</v>
      </c>
      <c r="AO9" s="397" t="str">
        <f>IFERROR('Capital IQ Sheet-STM'!AH10,"n/a")</f>
        <v>NM</v>
      </c>
      <c r="AP9" s="397" t="str">
        <f>IFERROR('Capital IQ Sheet-STM'!AI10,"n/a")</f>
        <v>NM</v>
      </c>
      <c r="AR9" s="1438" t="s">
        <v>2870</v>
      </c>
      <c r="AT9" s="305"/>
    </row>
    <row r="10" spans="2:50" s="391" customFormat="1" ht="25.5">
      <c r="B10" s="393">
        <f>IFERROR('Capital IQ Sheet-STM'!B11,"n/a")</f>
        <v>42667</v>
      </c>
      <c r="C10" s="393" t="str">
        <f>'Capital IQ Sheet-STM'!C11</f>
        <v>Allergan plc</v>
      </c>
      <c r="D10" s="393" t="str">
        <f>'Capital IQ Sheet-STM'!D11</f>
        <v>Vitae Pharmaceuticals, Inc.</v>
      </c>
      <c r="E10" s="393" t="str">
        <f>'Capital IQ Sheet-STM'!E11</f>
        <v>Biotechnology</v>
      </c>
      <c r="F10" s="397">
        <f>IFERROR('Capital IQ Sheet-STM'!F11,"n/a")</f>
        <v>0.90961969999999992</v>
      </c>
      <c r="G10" s="393" t="str">
        <f>'Capital IQ Sheet-STM'!G11</f>
        <v>Majority</v>
      </c>
      <c r="I10" s="125">
        <f>'Capital IQ Sheet-STM'!I11</f>
        <v>528.23937000000001</v>
      </c>
      <c r="J10" s="125">
        <f>'Capital IQ Sheet-STM'!J11</f>
        <v>550.93940999999995</v>
      </c>
      <c r="K10" s="125" t="str">
        <f>'Capital IQ Sheet-STM'!K11</f>
        <v>n/a</v>
      </c>
      <c r="L10" s="125">
        <f>'Capital IQ Sheet-STM'!L11</f>
        <v>550.93940999999995</v>
      </c>
      <c r="M10" s="394"/>
      <c r="N10" s="1437" t="s">
        <v>1914</v>
      </c>
      <c r="O10" s="1437" t="s">
        <v>377</v>
      </c>
      <c r="Q10" s="1437" t="s">
        <v>1935</v>
      </c>
      <c r="R10" s="1437" t="s">
        <v>377</v>
      </c>
      <c r="T10" s="1500">
        <v>3</v>
      </c>
      <c r="U10" s="1439">
        <f t="shared" ref="U10:U22" si="3">IFERROR(L10/T10,"n/a")</f>
        <v>183.64646999999999</v>
      </c>
      <c r="V10" s="394"/>
      <c r="W10" s="125">
        <f>'Capital IQ Sheet-STM'!N11</f>
        <v>0.32246999999999998</v>
      </c>
      <c r="X10" s="125">
        <f>'Capital IQ Sheet-STM'!O11</f>
        <v>-45.344230000000003</v>
      </c>
      <c r="Y10" s="125">
        <f>'Capital IQ Sheet-STM'!P11</f>
        <v>-45.57047</v>
      </c>
      <c r="Z10" s="394"/>
      <c r="AA10" s="395" t="str">
        <f t="shared" si="0"/>
        <v>NM</v>
      </c>
      <c r="AB10" s="395" t="str">
        <f t="shared" si="1"/>
        <v>NM</v>
      </c>
      <c r="AC10" s="395" t="str">
        <f t="shared" si="2"/>
        <v>NM</v>
      </c>
      <c r="AD10" s="395">
        <f>'Capital IQ Sheet-STM'!U11</f>
        <v>8.2933599999999998</v>
      </c>
      <c r="AE10" s="395" t="str">
        <f>'Capital IQ Sheet-STM'!V11</f>
        <v>NM</v>
      </c>
      <c r="AF10" s="394"/>
      <c r="AG10" s="81">
        <f>'Capital IQ Sheet-STM'!Z11</f>
        <v>0.13450000000000001</v>
      </c>
      <c r="AH10" s="81" t="str">
        <f>'Capital IQ Sheet-STM'!AA11</f>
        <v>n/a</v>
      </c>
      <c r="AI10" s="81" t="str">
        <f>'Capital IQ Sheet-STM'!AB11</f>
        <v>NM</v>
      </c>
      <c r="AJ10" s="394"/>
      <c r="AK10" s="395">
        <f t="shared" ref="AK10:AK21" si="4">IF(ISERROR($I10/AG10), "n/a", $I10/AG10)</f>
        <v>3927.4302602230482</v>
      </c>
      <c r="AL10" s="395" t="str">
        <f t="shared" ref="AL10:AL21" si="5">IF(ISERROR($I10/AH10), "n/a", $I10/AH10)</f>
        <v>n/a</v>
      </c>
      <c r="AM10" s="393" t="str">
        <f>'Capital IQ Sheet-STM'!AF11</f>
        <v>n/a</v>
      </c>
      <c r="AO10" s="397">
        <f>IFERROR('Capital IQ Sheet-STM'!AH11,"n/a")</f>
        <v>1.634881</v>
      </c>
      <c r="AP10" s="397">
        <f>IFERROR('Capital IQ Sheet-STM'!AI11,"n/a")</f>
        <v>1.3918000000000001</v>
      </c>
      <c r="AR10" s="1438" t="s">
        <v>1923</v>
      </c>
      <c r="AT10" s="305" t="s">
        <v>1936</v>
      </c>
      <c r="AU10" s="305" t="s">
        <v>2195</v>
      </c>
    </row>
    <row r="11" spans="2:50" s="391" customFormat="1" ht="25.5">
      <c r="B11" s="393">
        <f>IFERROR('Capital IQ Sheet-STM'!B12,"n/a")</f>
        <v>42613</v>
      </c>
      <c r="C11" s="393" t="str">
        <f>'Capital IQ Sheet-STM'!C12</f>
        <v>OPKO Health, Inc.</v>
      </c>
      <c r="D11" s="393" t="str">
        <f>'Capital IQ Sheet-STM'!D12</f>
        <v>Transition Therapeutics Inc.</v>
      </c>
      <c r="E11" s="393" t="str">
        <f>'Capital IQ Sheet-STM'!E12</f>
        <v>Biotechnology</v>
      </c>
      <c r="F11" s="397">
        <f>IFERROR('Capital IQ Sheet-STM'!F12,"n/a")</f>
        <v>1</v>
      </c>
      <c r="G11" s="393" t="str">
        <f>'Capital IQ Sheet-STM'!G12</f>
        <v>Majority</v>
      </c>
      <c r="I11" s="125">
        <f>'Capital IQ Sheet-STM'!I12</f>
        <v>41.130989999999997</v>
      </c>
      <c r="J11" s="125">
        <f>'Capital IQ Sheet-STM'!J12</f>
        <v>59.806919999999998</v>
      </c>
      <c r="K11" s="125" t="str">
        <f>'Capital IQ Sheet-STM'!K12</f>
        <v>n/a</v>
      </c>
      <c r="L11" s="125">
        <f>'Capital IQ Sheet-STM'!L12</f>
        <v>59.806919999999998</v>
      </c>
      <c r="M11" s="394"/>
      <c r="N11" s="1437" t="s">
        <v>1915</v>
      </c>
      <c r="O11" s="1437" t="s">
        <v>377</v>
      </c>
      <c r="Q11" s="1437" t="s">
        <v>2187</v>
      </c>
      <c r="R11" s="1437" t="s">
        <v>1022</v>
      </c>
      <c r="T11" s="1500">
        <v>3</v>
      </c>
      <c r="U11" s="1439">
        <f t="shared" si="3"/>
        <v>19.935639999999999</v>
      </c>
      <c r="V11" s="394"/>
      <c r="W11" s="125" t="str">
        <f>'Capital IQ Sheet-STM'!N12</f>
        <v>n/a</v>
      </c>
      <c r="X11" s="125">
        <f>'Capital IQ Sheet-STM'!O12</f>
        <v>-19.4024</v>
      </c>
      <c r="Y11" s="125">
        <f>'Capital IQ Sheet-STM'!P12</f>
        <v>-19.957249999999998</v>
      </c>
      <c r="Z11" s="394"/>
      <c r="AA11" s="395" t="str">
        <f t="shared" si="0"/>
        <v>n/a</v>
      </c>
      <c r="AB11" s="395" t="str">
        <f t="shared" si="1"/>
        <v>NM</v>
      </c>
      <c r="AC11" s="395" t="str">
        <f t="shared" si="2"/>
        <v>NM</v>
      </c>
      <c r="AD11" s="395">
        <f>'Capital IQ Sheet-STM'!U12</f>
        <v>2.87737</v>
      </c>
      <c r="AE11" s="395" t="str">
        <f>'Capital IQ Sheet-STM'!V12</f>
        <v>NM</v>
      </c>
      <c r="AF11" s="394"/>
      <c r="AG11" s="81" t="str">
        <f>'Capital IQ Sheet-STM'!Z12</f>
        <v>n/a</v>
      </c>
      <c r="AH11" s="81">
        <f>'Capital IQ Sheet-STM'!AA12</f>
        <v>-11.43661</v>
      </c>
      <c r="AI11" s="81" t="str">
        <f>'Capital IQ Sheet-STM'!AB12</f>
        <v>NM</v>
      </c>
      <c r="AJ11" s="394"/>
      <c r="AK11" s="395" t="str">
        <f t="shared" si="4"/>
        <v>n/a</v>
      </c>
      <c r="AL11" s="395">
        <f t="shared" si="5"/>
        <v>-3.5964319846527948</v>
      </c>
      <c r="AM11" s="393" t="str">
        <f>'Capital IQ Sheet-STM'!AF12</f>
        <v>n/a</v>
      </c>
      <c r="AO11" s="397">
        <f>IFERROR('Capital IQ Sheet-STM'!AH12,"n/a")</f>
        <v>1.041612</v>
      </c>
      <c r="AP11" s="397">
        <f>IFERROR('Capital IQ Sheet-STM'!AI12,"n/a")</f>
        <v>0.92382599999999993</v>
      </c>
      <c r="AR11" s="1438" t="s">
        <v>1924</v>
      </c>
      <c r="AT11" s="305" t="s">
        <v>2194</v>
      </c>
    </row>
    <row r="12" spans="2:50" s="391" customFormat="1" ht="38.25">
      <c r="B12" s="393">
        <f>IFERROR('Capital IQ Sheet-STM'!B13,"n/a")</f>
        <v>42530</v>
      </c>
      <c r="C12" s="393" t="str">
        <f>'Capital IQ Sheet-STM'!C13</f>
        <v>Nexus BioPharma Corporation (nka:Nexus BioPharma, Inc.)</v>
      </c>
      <c r="D12" s="393" t="str">
        <f>'Capital IQ Sheet-STM'!D13</f>
        <v>Nexus BioPharma, Inc. Prior to Reverse merger with Nexus BioPharma Corporation</v>
      </c>
      <c r="E12" s="393" t="str">
        <f>'Capital IQ Sheet-STM'!E13</f>
        <v>Pharmaceuticals</v>
      </c>
      <c r="F12" s="397">
        <f>IFERROR('Capital IQ Sheet-STM'!F13,"n/a")</f>
        <v>1</v>
      </c>
      <c r="G12" s="393" t="str">
        <f>'Capital IQ Sheet-STM'!G13</f>
        <v>Majority</v>
      </c>
      <c r="I12" s="125" t="str">
        <f>'Capital IQ Sheet-STM'!I13</f>
        <v>n/a</v>
      </c>
      <c r="J12" s="125">
        <f>'Capital IQ Sheet-STM'!J13</f>
        <v>0</v>
      </c>
      <c r="K12" s="125" t="str">
        <f>'Capital IQ Sheet-STM'!K13</f>
        <v>n/a</v>
      </c>
      <c r="L12" s="125" t="str">
        <f>'Capital IQ Sheet-STM'!L13</f>
        <v>n/a</v>
      </c>
      <c r="M12" s="394"/>
      <c r="N12" s="1437" t="s">
        <v>1916</v>
      </c>
      <c r="O12" s="1437" t="s">
        <v>1917</v>
      </c>
      <c r="Q12" s="1437" t="s">
        <v>1916</v>
      </c>
      <c r="R12" s="1437" t="s">
        <v>1917</v>
      </c>
      <c r="T12" s="1500" t="s">
        <v>1</v>
      </c>
      <c r="U12" s="1439" t="str">
        <f t="shared" si="3"/>
        <v>n/a</v>
      </c>
      <c r="V12" s="394"/>
      <c r="W12" s="125" t="str">
        <f>'Capital IQ Sheet-STM'!N13</f>
        <v>n/a</v>
      </c>
      <c r="X12" s="125" t="str">
        <f>'Capital IQ Sheet-STM'!O13</f>
        <v>n/a</v>
      </c>
      <c r="Y12" s="125">
        <f>'Capital IQ Sheet-STM'!P13</f>
        <v>-2.8979999999999999E-2</v>
      </c>
      <c r="Z12" s="394"/>
      <c r="AA12" s="395" t="str">
        <f t="shared" si="0"/>
        <v>n/a</v>
      </c>
      <c r="AB12" s="395" t="str">
        <f t="shared" si="1"/>
        <v>n/a</v>
      </c>
      <c r="AC12" s="395" t="str">
        <f t="shared" si="2"/>
        <v>n/a</v>
      </c>
      <c r="AD12" s="395" t="str">
        <f>'Capital IQ Sheet-STM'!U13</f>
        <v>n/a</v>
      </c>
      <c r="AE12" s="395" t="str">
        <f>'Capital IQ Sheet-STM'!V13</f>
        <v>n/a</v>
      </c>
      <c r="AF12" s="394"/>
      <c r="AG12" s="81" t="str">
        <f>'Capital IQ Sheet-STM'!Z13</f>
        <v>n/a</v>
      </c>
      <c r="AH12" s="81" t="str">
        <f>'Capital IQ Sheet-STM'!AA13</f>
        <v>n/a</v>
      </c>
      <c r="AI12" s="81" t="str">
        <f>'Capital IQ Sheet-STM'!AB13</f>
        <v>n/a</v>
      </c>
      <c r="AJ12" s="394"/>
      <c r="AK12" s="395" t="str">
        <f t="shared" si="4"/>
        <v>n/a</v>
      </c>
      <c r="AL12" s="395" t="str">
        <f t="shared" si="5"/>
        <v>n/a</v>
      </c>
      <c r="AM12" s="393" t="str">
        <f>'Capital IQ Sheet-STM'!AF13</f>
        <v>n/a</v>
      </c>
      <c r="AO12" s="397" t="str">
        <f>IFERROR('Capital IQ Sheet-STM'!AH13,"n/a")</f>
        <v>NM</v>
      </c>
      <c r="AP12" s="397" t="str">
        <f>IFERROR('Capital IQ Sheet-STM'!AI13,"n/a")</f>
        <v>NM</v>
      </c>
      <c r="AR12" s="1438" t="s">
        <v>1925</v>
      </c>
    </row>
    <row r="13" spans="2:50" s="391" customFormat="1" ht="51">
      <c r="B13" s="393">
        <f>IFERROR('Capital IQ Sheet-STM'!B14,"n/a")</f>
        <v>42493</v>
      </c>
      <c r="C13" s="393" t="str">
        <f>'Capital IQ Sheet-STM'!C14</f>
        <v>Valeritas Holdings, Inc.</v>
      </c>
      <c r="D13" s="393" t="str">
        <f>'Capital IQ Sheet-STM'!D14</f>
        <v>Valeritas Holdings, Inc. (nka:Valeritas Holdings, Inc., Prior to Reverse Merger with Valeritas, Inc.)</v>
      </c>
      <c r="E13" s="393" t="str">
        <f>'Capital IQ Sheet-STM'!E14</f>
        <v>Pharmaceuticals</v>
      </c>
      <c r="F13" s="397">
        <f>IFERROR('Capital IQ Sheet-STM'!F14,"n/a")</f>
        <v>1</v>
      </c>
      <c r="G13" s="393" t="str">
        <f>'Capital IQ Sheet-STM'!G14</f>
        <v>Majority</v>
      </c>
      <c r="I13" s="125" t="str">
        <f>'Capital IQ Sheet-STM'!I14</f>
        <v>n/a</v>
      </c>
      <c r="J13" s="125">
        <f>'Capital IQ Sheet-STM'!J14</f>
        <v>0</v>
      </c>
      <c r="K13" s="125" t="str">
        <f>'Capital IQ Sheet-STM'!K14</f>
        <v>n/a</v>
      </c>
      <c r="L13" s="125" t="str">
        <f>'Capital IQ Sheet-STM'!L14</f>
        <v>n/a</v>
      </c>
      <c r="M13" s="394"/>
      <c r="N13" s="1437" t="s">
        <v>2188</v>
      </c>
      <c r="O13" s="1437" t="s">
        <v>638</v>
      </c>
      <c r="Q13" s="1437" t="s">
        <v>2188</v>
      </c>
      <c r="R13" s="1437" t="s">
        <v>638</v>
      </c>
      <c r="T13" s="1500">
        <v>1</v>
      </c>
      <c r="U13" s="1439" t="str">
        <f t="shared" si="3"/>
        <v>n/a</v>
      </c>
      <c r="V13" s="394"/>
      <c r="W13" s="125">
        <f>'Capital IQ Sheet-STM'!N14</f>
        <v>1.99E-3</v>
      </c>
      <c r="X13" s="125" t="str">
        <f>'Capital IQ Sheet-STM'!O14</f>
        <v>n/a</v>
      </c>
      <c r="Y13" s="125">
        <f>'Capital IQ Sheet-STM'!P14</f>
        <v>-9.6860000000000002E-2</v>
      </c>
      <c r="Z13" s="394"/>
      <c r="AA13" s="395" t="str">
        <f t="shared" si="0"/>
        <v>n/a</v>
      </c>
      <c r="AB13" s="395" t="str">
        <f t="shared" si="1"/>
        <v>n/a</v>
      </c>
      <c r="AC13" s="395" t="str">
        <f t="shared" si="2"/>
        <v>n/a</v>
      </c>
      <c r="AD13" s="395" t="str">
        <f>'Capital IQ Sheet-STM'!U14</f>
        <v>n/a</v>
      </c>
      <c r="AE13" s="395" t="str">
        <f>'Capital IQ Sheet-STM'!V14</f>
        <v>n/a</v>
      </c>
      <c r="AF13" s="394"/>
      <c r="AG13" s="81" t="str">
        <f>'Capital IQ Sheet-STM'!Z14</f>
        <v>n/a</v>
      </c>
      <c r="AH13" s="81" t="str">
        <f>'Capital IQ Sheet-STM'!AA14</f>
        <v>n/a</v>
      </c>
      <c r="AI13" s="81" t="str">
        <f>'Capital IQ Sheet-STM'!AB14</f>
        <v>n/a</v>
      </c>
      <c r="AJ13" s="394"/>
      <c r="AK13" s="395" t="str">
        <f t="shared" si="4"/>
        <v>n/a</v>
      </c>
      <c r="AL13" s="395" t="str">
        <f t="shared" si="5"/>
        <v>n/a</v>
      </c>
      <c r="AM13" s="393" t="str">
        <f>'Capital IQ Sheet-STM'!AF14</f>
        <v>n/a</v>
      </c>
      <c r="AO13" s="397" t="str">
        <f>IFERROR('Capital IQ Sheet-STM'!AH14,"n/a")</f>
        <v>NM</v>
      </c>
      <c r="AP13" s="397" t="str">
        <f>IFERROR('Capital IQ Sheet-STM'!AI14,"n/a")</f>
        <v>NM</v>
      </c>
      <c r="AR13" s="1438" t="s">
        <v>1926</v>
      </c>
    </row>
    <row r="14" spans="2:50" s="391" customFormat="1" ht="25.5">
      <c r="B14" s="393">
        <f>IFERROR('Capital IQ Sheet-STM'!B15,"n/a")</f>
        <v>42307</v>
      </c>
      <c r="C14" s="393" t="str">
        <f>'Capital IQ Sheet-STM'!C15</f>
        <v>Novo Nordisk A/S</v>
      </c>
      <c r="D14" s="393" t="str">
        <f>'Capital IQ Sheet-STM'!D15</f>
        <v>Calibrium LLC and MB2 LLC</v>
      </c>
      <c r="E14" s="393" t="str">
        <f>'Capital IQ Sheet-STM'!E15</f>
        <v>Biotechnology</v>
      </c>
      <c r="F14" s="397">
        <f>IFERROR('Capital IQ Sheet-STM'!F15,"n/a")</f>
        <v>1</v>
      </c>
      <c r="G14" s="393" t="str">
        <f>'Capital IQ Sheet-STM'!G15</f>
        <v>Majority</v>
      </c>
      <c r="I14" s="125" t="str">
        <f>'Capital IQ Sheet-STM'!I15</f>
        <v>n/a</v>
      </c>
      <c r="J14" s="125">
        <f>'Capital IQ Sheet-STM'!J15</f>
        <v>0</v>
      </c>
      <c r="K14" s="125" t="str">
        <f>'Capital IQ Sheet-STM'!K15</f>
        <v>n/a</v>
      </c>
      <c r="L14" s="125" t="str">
        <f>'Capital IQ Sheet-STM'!L15</f>
        <v>n/a</v>
      </c>
      <c r="M14" s="394"/>
      <c r="N14" s="1437" t="s">
        <v>1918</v>
      </c>
      <c r="O14" s="1437" t="s">
        <v>1937</v>
      </c>
      <c r="Q14" s="1437" t="s">
        <v>1918</v>
      </c>
      <c r="R14" s="1437" t="s">
        <v>1937</v>
      </c>
      <c r="T14" s="1500" t="s">
        <v>1</v>
      </c>
      <c r="U14" s="1439" t="str">
        <f t="shared" si="3"/>
        <v>n/a</v>
      </c>
      <c r="V14" s="394"/>
      <c r="W14" s="125" t="str">
        <f>'Capital IQ Sheet-STM'!N15</f>
        <v>n/a</v>
      </c>
      <c r="X14" s="125" t="str">
        <f>'Capital IQ Sheet-STM'!O15</f>
        <v>n/a</v>
      </c>
      <c r="Y14" s="125" t="str">
        <f>'Capital IQ Sheet-STM'!P15</f>
        <v>n/a</v>
      </c>
      <c r="Z14" s="394"/>
      <c r="AA14" s="395" t="str">
        <f t="shared" si="0"/>
        <v>n/a</v>
      </c>
      <c r="AB14" s="395" t="str">
        <f t="shared" si="1"/>
        <v>n/a</v>
      </c>
      <c r="AC14" s="395" t="str">
        <f t="shared" si="2"/>
        <v>n/a</v>
      </c>
      <c r="AD14" s="395" t="str">
        <f>'Capital IQ Sheet-STM'!U15</f>
        <v>n/a</v>
      </c>
      <c r="AE14" s="395" t="str">
        <f>'Capital IQ Sheet-STM'!V15</f>
        <v>n/a</v>
      </c>
      <c r="AF14" s="394"/>
      <c r="AG14" s="81" t="str">
        <f>'Capital IQ Sheet-STM'!Z15</f>
        <v>n/a</v>
      </c>
      <c r="AH14" s="81" t="str">
        <f>'Capital IQ Sheet-STM'!AA15</f>
        <v>n/a</v>
      </c>
      <c r="AI14" s="81" t="str">
        <f>'Capital IQ Sheet-STM'!AB15</f>
        <v>n/a</v>
      </c>
      <c r="AJ14" s="394"/>
      <c r="AK14" s="395" t="str">
        <f t="shared" si="4"/>
        <v>n/a</v>
      </c>
      <c r="AL14" s="395" t="str">
        <f t="shared" si="5"/>
        <v>n/a</v>
      </c>
      <c r="AM14" s="393" t="str">
        <f>'Capital IQ Sheet-STM'!AF15</f>
        <v>n/a</v>
      </c>
      <c r="AO14" s="397" t="str">
        <f>IFERROR('Capital IQ Sheet-STM'!AH15,"n/a")</f>
        <v>NM</v>
      </c>
      <c r="AP14" s="397" t="str">
        <f>IFERROR('Capital IQ Sheet-STM'!AI15,"n/a")</f>
        <v>NM</v>
      </c>
      <c r="AR14" s="1438" t="s">
        <v>2189</v>
      </c>
    </row>
    <row r="15" spans="2:50" s="391" customFormat="1" ht="38.25">
      <c r="B15" s="393">
        <f>IFERROR('Capital IQ Sheet-STM'!B16,"n/a")</f>
        <v>42243</v>
      </c>
      <c r="C15" s="393" t="str">
        <f>'Capital IQ Sheet-STM'!C16</f>
        <v>Celgene Corporation</v>
      </c>
      <c r="D15" s="393" t="str">
        <f>'Capital IQ Sheet-STM'!D16</f>
        <v>Receptos, Inc.</v>
      </c>
      <c r="E15" s="393" t="str">
        <f>'Capital IQ Sheet-STM'!E16</f>
        <v>Biotechnology</v>
      </c>
      <c r="F15" s="397">
        <f>IFERROR('Capital IQ Sheet-STM'!F16,"n/a")</f>
        <v>1</v>
      </c>
      <c r="G15" s="393" t="str">
        <f>'Capital IQ Sheet-STM'!G16</f>
        <v>Majority</v>
      </c>
      <c r="I15" s="125">
        <f>'Capital IQ Sheet-STM'!I16</f>
        <v>7151.8984899999996</v>
      </c>
      <c r="J15" s="125">
        <f>'Capital IQ Sheet-STM'!J16</f>
        <v>7332.6776099999997</v>
      </c>
      <c r="K15" s="125" t="str">
        <f>'Capital IQ Sheet-STM'!K16</f>
        <v>n/a</v>
      </c>
      <c r="L15" s="125">
        <f>'Capital IQ Sheet-STM'!L16</f>
        <v>7731.01649</v>
      </c>
      <c r="M15" s="394"/>
      <c r="N15" s="1437" t="s">
        <v>1916</v>
      </c>
      <c r="O15" s="1437" t="s">
        <v>577</v>
      </c>
      <c r="Q15" s="1437" t="s">
        <v>2190</v>
      </c>
      <c r="R15" s="1437" t="s">
        <v>383</v>
      </c>
      <c r="T15" s="1500">
        <v>3</v>
      </c>
      <c r="U15" s="1439">
        <f t="shared" si="3"/>
        <v>2577.0054966666667</v>
      </c>
      <c r="V15" s="394"/>
      <c r="W15" s="125">
        <f>'Capital IQ Sheet-STM'!N16</f>
        <v>3.45</v>
      </c>
      <c r="X15" s="125">
        <f>'Capital IQ Sheet-STM'!O16</f>
        <v>-175.62700000000001</v>
      </c>
      <c r="Y15" s="125">
        <f>'Capital IQ Sheet-STM'!P16</f>
        <v>-175.84299999999999</v>
      </c>
      <c r="Z15" s="394"/>
      <c r="AA15" s="395" t="str">
        <f t="shared" si="0"/>
        <v>NM</v>
      </c>
      <c r="AB15" s="395" t="str">
        <f t="shared" si="1"/>
        <v>NM</v>
      </c>
      <c r="AC15" s="395" t="str">
        <f t="shared" si="2"/>
        <v>NM</v>
      </c>
      <c r="AD15" s="395">
        <f>'Capital IQ Sheet-STM'!U16</f>
        <v>13.13902</v>
      </c>
      <c r="AE15" s="395" t="str">
        <f>'Capital IQ Sheet-STM'!V16</f>
        <v>NM</v>
      </c>
      <c r="AF15" s="394"/>
      <c r="AG15" s="81">
        <f>'Capital IQ Sheet-STM'!Z16</f>
        <v>2.7776999999999998</v>
      </c>
      <c r="AH15" s="81">
        <f>'Capital IQ Sheet-STM'!AA16</f>
        <v>-145.20189999999999</v>
      </c>
      <c r="AI15" s="81" t="str">
        <f>'Capital IQ Sheet-STM'!AB16</f>
        <v>NM</v>
      </c>
      <c r="AJ15" s="394"/>
      <c r="AK15" s="395">
        <f t="shared" si="4"/>
        <v>2574.7555495553875</v>
      </c>
      <c r="AL15" s="395">
        <f t="shared" si="5"/>
        <v>-49.254854722975388</v>
      </c>
      <c r="AM15" s="393" t="str">
        <f>'Capital IQ Sheet-STM'!AF16</f>
        <v>n/a</v>
      </c>
      <c r="AO15" s="397">
        <f>IFERROR('Capital IQ Sheet-STM'!AH16,"n/a")</f>
        <v>0.17331700000000003</v>
      </c>
      <c r="AP15" s="397">
        <f>IFERROR('Capital IQ Sheet-STM'!AI16,"n/a")</f>
        <v>0.30110499999999996</v>
      </c>
      <c r="AR15" s="1438" t="s">
        <v>1927</v>
      </c>
    </row>
    <row r="16" spans="2:50" s="391" customFormat="1" ht="25.5">
      <c r="B16" s="393">
        <f>IFERROR('Capital IQ Sheet-STM'!B17,"n/a")</f>
        <v>41905</v>
      </c>
      <c r="C16" s="393" t="str">
        <f>'Capital IQ Sheet-STM'!C17</f>
        <v>Sanofi-Aventis Deutschland GmbH</v>
      </c>
      <c r="D16" s="393" t="str">
        <f>'Capital IQ Sheet-STM'!D17</f>
        <v>MannKind Corp., Global Rights of Afrezza</v>
      </c>
      <c r="E16" s="393" t="str">
        <f>'Capital IQ Sheet-STM'!E17</f>
        <v>Pharmaceuticals</v>
      </c>
      <c r="F16" s="397">
        <f>IFERROR('Capital IQ Sheet-STM'!F17,"n/a")</f>
        <v>1</v>
      </c>
      <c r="G16" s="393" t="str">
        <f>'Capital IQ Sheet-STM'!G17</f>
        <v>Majority</v>
      </c>
      <c r="I16" s="125">
        <f>'Capital IQ Sheet-STM'!I17</f>
        <v>925</v>
      </c>
      <c r="J16" s="125">
        <f>'Capital IQ Sheet-STM'!J17</f>
        <v>150</v>
      </c>
      <c r="K16" s="125">
        <f>'Capital IQ Sheet-STM'!K17</f>
        <v>775</v>
      </c>
      <c r="L16" s="125">
        <f>'Capital IQ Sheet-STM'!L17</f>
        <v>925</v>
      </c>
      <c r="M16" s="394"/>
      <c r="N16" s="1437" t="s">
        <v>1919</v>
      </c>
      <c r="O16" s="1437" t="s">
        <v>638</v>
      </c>
      <c r="Q16" s="1437" t="s">
        <v>1919</v>
      </c>
      <c r="R16" s="1437" t="s">
        <v>638</v>
      </c>
      <c r="T16" s="1500">
        <v>1</v>
      </c>
      <c r="U16" s="1439">
        <f t="shared" si="3"/>
        <v>925</v>
      </c>
      <c r="V16" s="394"/>
      <c r="W16" s="125" t="str">
        <f>'Capital IQ Sheet-STM'!N17</f>
        <v>n/a</v>
      </c>
      <c r="X16" s="125" t="str">
        <f>'Capital IQ Sheet-STM'!O17</f>
        <v>n/a</v>
      </c>
      <c r="Y16" s="125" t="str">
        <f>'Capital IQ Sheet-STM'!P17</f>
        <v>n/a</v>
      </c>
      <c r="Z16" s="394"/>
      <c r="AA16" s="395" t="str">
        <f t="shared" si="0"/>
        <v>n/a</v>
      </c>
      <c r="AB16" s="395" t="str">
        <f t="shared" si="1"/>
        <v>n/a</v>
      </c>
      <c r="AC16" s="395" t="str">
        <f t="shared" si="2"/>
        <v>n/a</v>
      </c>
      <c r="AD16" s="395" t="str">
        <f>'Capital IQ Sheet-STM'!U17</f>
        <v>n/a</v>
      </c>
      <c r="AE16" s="395" t="str">
        <f>'Capital IQ Sheet-STM'!V17</f>
        <v>n/a</v>
      </c>
      <c r="AF16" s="394"/>
      <c r="AG16" s="81" t="str">
        <f>'Capital IQ Sheet-STM'!Z17</f>
        <v>n/a</v>
      </c>
      <c r="AH16" s="81" t="str">
        <f>'Capital IQ Sheet-STM'!AA17</f>
        <v>n/a</v>
      </c>
      <c r="AI16" s="81" t="str">
        <f>'Capital IQ Sheet-STM'!AB17</f>
        <v>n/a</v>
      </c>
      <c r="AJ16" s="394"/>
      <c r="AK16" s="395" t="str">
        <f t="shared" si="4"/>
        <v>n/a</v>
      </c>
      <c r="AL16" s="395" t="str">
        <f t="shared" si="5"/>
        <v>n/a</v>
      </c>
      <c r="AM16" s="393" t="str">
        <f>'Capital IQ Sheet-STM'!AF17</f>
        <v>n/a</v>
      </c>
      <c r="AO16" s="397" t="str">
        <f>IFERROR('Capital IQ Sheet-STM'!AH17,"n/a")</f>
        <v>NM</v>
      </c>
      <c r="AP16" s="397" t="str">
        <f>IFERROR('Capital IQ Sheet-STM'!AI17,"n/a")</f>
        <v>NM</v>
      </c>
      <c r="AR16" s="1438" t="s">
        <v>1928</v>
      </c>
    </row>
    <row r="17" spans="2:45" s="391" customFormat="1">
      <c r="B17" s="393">
        <f>IFERROR('Capital IQ Sheet-STM'!B18,"n/a")</f>
        <v>41639</v>
      </c>
      <c r="C17" s="393" t="str">
        <f>'Capital IQ Sheet-STM'!C18</f>
        <v>Salix Pharmaceuticals, Inc</v>
      </c>
      <c r="D17" s="393" t="str">
        <f>'Capital IQ Sheet-STM'!D18</f>
        <v>Santarus, Inc.</v>
      </c>
      <c r="E17" s="393" t="str">
        <f>'Capital IQ Sheet-STM'!E18</f>
        <v>Pharmaceuticals</v>
      </c>
      <c r="F17" s="397">
        <f>IFERROR('Capital IQ Sheet-STM'!F18,"n/a")</f>
        <v>1</v>
      </c>
      <c r="G17" s="393" t="str">
        <f>'Capital IQ Sheet-STM'!G18</f>
        <v>Majority</v>
      </c>
      <c r="I17" s="125">
        <f>'Capital IQ Sheet-STM'!I18</f>
        <v>1946.42967</v>
      </c>
      <c r="J17" s="125">
        <f>'Capital IQ Sheet-STM'!J18</f>
        <v>2154.4326700000001</v>
      </c>
      <c r="K17" s="125" t="str">
        <f>'Capital IQ Sheet-STM'!K18</f>
        <v>n/a</v>
      </c>
      <c r="L17" s="125">
        <f>'Capital IQ Sheet-STM'!L18</f>
        <v>2154.4326700000001</v>
      </c>
      <c r="M17" s="394"/>
      <c r="N17" s="1437" t="s">
        <v>1920</v>
      </c>
      <c r="O17" s="1437" t="s">
        <v>638</v>
      </c>
      <c r="Q17" s="1437" t="s">
        <v>2191</v>
      </c>
      <c r="R17" s="1437" t="s">
        <v>638</v>
      </c>
      <c r="T17" s="1500">
        <v>8</v>
      </c>
      <c r="U17" s="1439">
        <f t="shared" si="3"/>
        <v>269.30408375000002</v>
      </c>
      <c r="V17" s="394"/>
      <c r="W17" s="125">
        <f>'Capital IQ Sheet-STM'!N18</f>
        <v>337.80900000000003</v>
      </c>
      <c r="X17" s="125">
        <f>'Capital IQ Sheet-STM'!O18</f>
        <v>81.528000000000006</v>
      </c>
      <c r="Y17" s="125">
        <f>'Capital IQ Sheet-STM'!P18</f>
        <v>74.905000000000001</v>
      </c>
      <c r="Z17" s="394"/>
      <c r="AA17" s="395">
        <f t="shared" si="0"/>
        <v>5.7619236610037028</v>
      </c>
      <c r="AB17" s="395">
        <f t="shared" si="1"/>
        <v>23.87437040035325</v>
      </c>
      <c r="AC17" s="395">
        <f t="shared" si="2"/>
        <v>25.985310326413458</v>
      </c>
      <c r="AD17" s="395">
        <f>'Capital IQ Sheet-STM'!U18</f>
        <v>9.4087399999999999</v>
      </c>
      <c r="AE17" s="395">
        <f>'Capital IQ Sheet-STM'!V18</f>
        <v>16.823090000000001</v>
      </c>
      <c r="AF17" s="394"/>
      <c r="AG17" s="81">
        <f>'Capital IQ Sheet-STM'!Z18</f>
        <v>440.74299999999999</v>
      </c>
      <c r="AH17" s="81">
        <f>'Capital IQ Sheet-STM'!AA18</f>
        <v>120.5</v>
      </c>
      <c r="AI17" s="81">
        <f>'Capital IQ Sheet-STM'!AB18</f>
        <v>14.202999999999999</v>
      </c>
      <c r="AJ17" s="394"/>
      <c r="AK17" s="395">
        <f t="shared" si="4"/>
        <v>4.416246361258148</v>
      </c>
      <c r="AL17" s="395">
        <f t="shared" si="5"/>
        <v>16.152943319502075</v>
      </c>
      <c r="AM17" s="393">
        <f>'Capital IQ Sheet-STM'!AF18</f>
        <v>137.04355910723086</v>
      </c>
      <c r="AO17" s="397">
        <f>IFERROR('Capital IQ Sheet-STM'!AH18,"n/a")</f>
        <v>0.37162500000000004</v>
      </c>
      <c r="AP17" s="397">
        <f>IFERROR('Capital IQ Sheet-STM'!AI18,"n/a")</f>
        <v>0.52018999999999993</v>
      </c>
      <c r="AR17" s="1438" t="s">
        <v>1929</v>
      </c>
    </row>
    <row r="18" spans="2:45" s="391" customFormat="1" ht="25.5">
      <c r="B18" s="393">
        <f>IFERROR('Capital IQ Sheet-STM'!B19,"n/a")</f>
        <v>41128</v>
      </c>
      <c r="C18" s="393" t="str">
        <f>'Capital IQ Sheet-STM'!C19</f>
        <v>Bristol-Myers Squibb Company</v>
      </c>
      <c r="D18" s="393" t="str">
        <f>'Capital IQ Sheet-STM'!D19</f>
        <v>Amylin Pharmaceuticals, LLC</v>
      </c>
      <c r="E18" s="393" t="str">
        <f>'Capital IQ Sheet-STM'!E19</f>
        <v>Biotechnology</v>
      </c>
      <c r="F18" s="397">
        <f>IFERROR('Capital IQ Sheet-STM'!F19,"n/a")</f>
        <v>1</v>
      </c>
      <c r="G18" s="393" t="str">
        <f>'Capital IQ Sheet-STM'!G19</f>
        <v>Majority</v>
      </c>
      <c r="I18" s="125">
        <f>'Capital IQ Sheet-STM'!I19</f>
        <v>6657.0938200000001</v>
      </c>
      <c r="J18" s="125">
        <f>'Capital IQ Sheet-STM'!J19</f>
        <v>5124.9534199999998</v>
      </c>
      <c r="K18" s="125" t="str">
        <f>'Capital IQ Sheet-STM'!K19</f>
        <v>n/a</v>
      </c>
      <c r="L18" s="125">
        <f>'Capital IQ Sheet-STM'!L19</f>
        <v>6942.3518199999999</v>
      </c>
      <c r="M18" s="394"/>
      <c r="N18" s="1437" t="s">
        <v>1921</v>
      </c>
      <c r="O18" s="1437" t="s">
        <v>638</v>
      </c>
      <c r="Q18" s="1437" t="s">
        <v>1921</v>
      </c>
      <c r="R18" s="1437" t="s">
        <v>638</v>
      </c>
      <c r="T18" s="1500">
        <v>3</v>
      </c>
      <c r="U18" s="1439">
        <f t="shared" si="3"/>
        <v>2314.1172733333333</v>
      </c>
      <c r="V18" s="394"/>
      <c r="W18" s="125">
        <f>'Capital IQ Sheet-STM'!N19</f>
        <v>651.65</v>
      </c>
      <c r="X18" s="125">
        <f>'Capital IQ Sheet-STM'!O19</f>
        <v>-449.55599999999998</v>
      </c>
      <c r="Y18" s="125">
        <f>'Capital IQ Sheet-STM'!P19</f>
        <v>-508.28300000000002</v>
      </c>
      <c r="Z18" s="394"/>
      <c r="AA18" s="395">
        <f t="shared" si="0"/>
        <v>10.215750510243229</v>
      </c>
      <c r="AB18" s="395" t="str">
        <f t="shared" si="1"/>
        <v>NM</v>
      </c>
      <c r="AC18" s="395" t="str">
        <f t="shared" si="2"/>
        <v>NM</v>
      </c>
      <c r="AD18" s="395" t="str">
        <f>'Capital IQ Sheet-STM'!U19</f>
        <v>NM</v>
      </c>
      <c r="AE18" s="395" t="str">
        <f>'Capital IQ Sheet-STM'!V19</f>
        <v>NM</v>
      </c>
      <c r="AF18" s="394"/>
      <c r="AG18" s="81">
        <f>'Capital IQ Sheet-STM'!Z19</f>
        <v>718.67830000000004</v>
      </c>
      <c r="AH18" s="81">
        <f>'Capital IQ Sheet-STM'!AA19</f>
        <v>-21</v>
      </c>
      <c r="AI18" s="81" t="str">
        <f>'Capital IQ Sheet-STM'!AB19</f>
        <v>NM</v>
      </c>
      <c r="AJ18" s="394"/>
      <c r="AK18" s="395">
        <f t="shared" si="4"/>
        <v>9.2629676170826354</v>
      </c>
      <c r="AL18" s="395">
        <f t="shared" si="5"/>
        <v>-317.0044676190476</v>
      </c>
      <c r="AM18" s="393" t="str">
        <f>'Capital IQ Sheet-STM'!AF19</f>
        <v>n/a</v>
      </c>
      <c r="AO18" s="397">
        <f>IFERROR('Capital IQ Sheet-STM'!AH19,"n/a")</f>
        <v>0.110315</v>
      </c>
      <c r="AP18" s="397">
        <f>IFERROR('Capital IQ Sheet-STM'!AI19,"n/a")</f>
        <v>0.12973800000000002</v>
      </c>
      <c r="AR18" s="1438" t="s">
        <v>1930</v>
      </c>
    </row>
    <row r="19" spans="2:45" s="391" customFormat="1">
      <c r="B19" s="393">
        <f>IFERROR('Capital IQ Sheet-STM'!B20,"n/a")</f>
        <v>40982</v>
      </c>
      <c r="C19" s="393" t="str">
        <f>'Capital IQ Sheet-STM'!C20</f>
        <v>Islet Sciences, Inc.</v>
      </c>
      <c r="D19" s="393" t="str">
        <f>'Capital IQ Sheet-STM'!D20</f>
        <v>DiaKine Therapeutics, Inc.</v>
      </c>
      <c r="E19" s="393" t="str">
        <f>'Capital IQ Sheet-STM'!E20</f>
        <v>Pharmaceuticals</v>
      </c>
      <c r="F19" s="397">
        <f>IFERROR('Capital IQ Sheet-STM'!F20,"n/a")</f>
        <v>1</v>
      </c>
      <c r="G19" s="393" t="str">
        <f>'Capital IQ Sheet-STM'!G20</f>
        <v>Majority</v>
      </c>
      <c r="I19" s="125" t="str">
        <f>'Capital IQ Sheet-STM'!I20</f>
        <v>n/a</v>
      </c>
      <c r="J19" s="125">
        <f>'Capital IQ Sheet-STM'!J20</f>
        <v>0</v>
      </c>
      <c r="K19" s="125" t="str">
        <f>'Capital IQ Sheet-STM'!K20</f>
        <v>n/a</v>
      </c>
      <c r="L19" s="125" t="str">
        <f>'Capital IQ Sheet-STM'!L20</f>
        <v>n/a</v>
      </c>
      <c r="M19" s="394"/>
      <c r="N19" s="1437" t="s">
        <v>1916</v>
      </c>
      <c r="O19" s="1437" t="s">
        <v>377</v>
      </c>
      <c r="Q19" s="1437" t="s">
        <v>1916</v>
      </c>
      <c r="R19" s="1437" t="s">
        <v>377</v>
      </c>
      <c r="T19" s="1500">
        <v>1</v>
      </c>
      <c r="U19" s="1439" t="str">
        <f t="shared" si="3"/>
        <v>n/a</v>
      </c>
      <c r="V19" s="394"/>
      <c r="W19" s="125" t="str">
        <f>'Capital IQ Sheet-STM'!N20</f>
        <v>n/a</v>
      </c>
      <c r="X19" s="125" t="str">
        <f>'Capital IQ Sheet-STM'!O20</f>
        <v>n/a</v>
      </c>
      <c r="Y19" s="125" t="str">
        <f>'Capital IQ Sheet-STM'!P20</f>
        <v>n/a</v>
      </c>
      <c r="Z19" s="394"/>
      <c r="AA19" s="395" t="str">
        <f t="shared" si="0"/>
        <v>n/a</v>
      </c>
      <c r="AB19" s="395" t="str">
        <f t="shared" si="1"/>
        <v>n/a</v>
      </c>
      <c r="AC19" s="395" t="str">
        <f t="shared" si="2"/>
        <v>n/a</v>
      </c>
      <c r="AD19" s="395" t="str">
        <f>'Capital IQ Sheet-STM'!U20</f>
        <v>n/a</v>
      </c>
      <c r="AE19" s="395" t="str">
        <f>'Capital IQ Sheet-STM'!V20</f>
        <v>n/a</v>
      </c>
      <c r="AF19" s="394"/>
      <c r="AG19" s="81" t="str">
        <f>'Capital IQ Sheet-STM'!Z20</f>
        <v>n/a</v>
      </c>
      <c r="AH19" s="81" t="str">
        <f>'Capital IQ Sheet-STM'!AA20</f>
        <v>n/a</v>
      </c>
      <c r="AI19" s="81" t="str">
        <f>'Capital IQ Sheet-STM'!AB20</f>
        <v>n/a</v>
      </c>
      <c r="AJ19" s="394"/>
      <c r="AK19" s="395" t="str">
        <f t="shared" si="4"/>
        <v>n/a</v>
      </c>
      <c r="AL19" s="395" t="str">
        <f t="shared" si="5"/>
        <v>n/a</v>
      </c>
      <c r="AM19" s="393" t="str">
        <f>'Capital IQ Sheet-STM'!AF20</f>
        <v>n/a</v>
      </c>
      <c r="AO19" s="397" t="str">
        <f>IFERROR('Capital IQ Sheet-STM'!AH20,"n/a")</f>
        <v>NM</v>
      </c>
      <c r="AP19" s="397" t="str">
        <f>IFERROR('Capital IQ Sheet-STM'!AI20,"n/a")</f>
        <v>NM</v>
      </c>
      <c r="AR19" s="1438" t="s">
        <v>1931</v>
      </c>
    </row>
    <row r="20" spans="2:45" s="391" customFormat="1" ht="38.25">
      <c r="B20" s="393">
        <f>IFERROR('Capital IQ Sheet-STM'!B21,"n/a")</f>
        <v>40967</v>
      </c>
      <c r="C20" s="393" t="str">
        <f>'Capital IQ Sheet-STM'!C21</f>
        <v>CDH Investments; New Horizon Capital; CITIC Private Equity Funds Management Co., Ltd.</v>
      </c>
      <c r="D20" s="393" t="str">
        <f>'Capital IQ Sheet-STM'!D21</f>
        <v>Luye Pharma Group Ltd.</v>
      </c>
      <c r="E20" s="393" t="str">
        <f>'Capital IQ Sheet-STM'!E21</f>
        <v>Pharmaceuticals</v>
      </c>
      <c r="F20" s="397">
        <f>IFERROR('Capital IQ Sheet-STM'!F21,"n/a")</f>
        <v>0.77410000000000001</v>
      </c>
      <c r="G20" s="393" t="str">
        <f>'Capital IQ Sheet-STM'!G21</f>
        <v>Majority</v>
      </c>
      <c r="I20" s="125" t="str">
        <f>'Capital IQ Sheet-STM'!I21</f>
        <v>n/a</v>
      </c>
      <c r="J20" s="125">
        <f>'Capital IQ Sheet-STM'!J21</f>
        <v>0</v>
      </c>
      <c r="K20" s="125" t="str">
        <f>'Capital IQ Sheet-STM'!K21</f>
        <v>n/a</v>
      </c>
      <c r="L20" s="125" t="str">
        <f>'Capital IQ Sheet-STM'!L21</f>
        <v>n/a</v>
      </c>
      <c r="M20" s="394"/>
      <c r="N20" s="1437" t="s">
        <v>1916</v>
      </c>
      <c r="O20" s="1437" t="s">
        <v>1</v>
      </c>
      <c r="Q20" s="1437" t="s">
        <v>938</v>
      </c>
      <c r="R20" s="1437" t="s">
        <v>638</v>
      </c>
      <c r="T20" s="1500">
        <v>17</v>
      </c>
      <c r="U20" s="1439" t="str">
        <f t="shared" si="3"/>
        <v>n/a</v>
      </c>
      <c r="V20" s="394"/>
      <c r="W20" s="125">
        <f>'Capital IQ Sheet-STM'!N21</f>
        <v>281.77444000000003</v>
      </c>
      <c r="X20" s="125">
        <f>'Capital IQ Sheet-STM'!O21</f>
        <v>46.608649999999997</v>
      </c>
      <c r="Y20" s="125">
        <f>'Capital IQ Sheet-STM'!P21</f>
        <v>34.834530000000001</v>
      </c>
      <c r="Z20" s="394"/>
      <c r="AA20" s="395" t="str">
        <f t="shared" si="0"/>
        <v>n/a</v>
      </c>
      <c r="AB20" s="395" t="str">
        <f t="shared" si="1"/>
        <v>n/a</v>
      </c>
      <c r="AC20" s="395" t="str">
        <f t="shared" si="2"/>
        <v>n/a</v>
      </c>
      <c r="AD20" s="395" t="str">
        <f>'Capital IQ Sheet-STM'!U21</f>
        <v>n/a</v>
      </c>
      <c r="AE20" s="395" t="str">
        <f>'Capital IQ Sheet-STM'!V21</f>
        <v>n/a</v>
      </c>
      <c r="AF20" s="394"/>
      <c r="AG20" s="81" t="str">
        <f>'Capital IQ Sheet-STM'!Z21</f>
        <v>n/a</v>
      </c>
      <c r="AH20" s="81" t="str">
        <f>'Capital IQ Sheet-STM'!AA21</f>
        <v>n/a</v>
      </c>
      <c r="AI20" s="81" t="str">
        <f>'Capital IQ Sheet-STM'!AB21</f>
        <v>n/a</v>
      </c>
      <c r="AJ20" s="394"/>
      <c r="AK20" s="395" t="str">
        <f t="shared" si="4"/>
        <v>n/a</v>
      </c>
      <c r="AL20" s="395" t="str">
        <f t="shared" si="5"/>
        <v>n/a</v>
      </c>
      <c r="AM20" s="393" t="str">
        <f>'Capital IQ Sheet-STM'!AF21</f>
        <v>n/a</v>
      </c>
      <c r="AO20" s="397" t="str">
        <f>IFERROR('Capital IQ Sheet-STM'!AH21,"n/a")</f>
        <v>NM</v>
      </c>
      <c r="AP20" s="397" t="str">
        <f>IFERROR('Capital IQ Sheet-STM'!AI21,"n/a")</f>
        <v>NM</v>
      </c>
      <c r="AR20" s="1438" t="s">
        <v>2192</v>
      </c>
      <c r="AS20" s="305"/>
    </row>
    <row r="21" spans="2:45" s="391" customFormat="1" ht="25.5">
      <c r="B21" s="393">
        <f>IFERROR('Capital IQ Sheet-STM'!B22,"n/a")</f>
        <v>40542</v>
      </c>
      <c r="C21" s="393" t="str">
        <f>'Capital IQ Sheet-STM'!C22</f>
        <v>Roche Holding AG</v>
      </c>
      <c r="D21" s="393" t="str">
        <f>'Capital IQ Sheet-STM'!D22</f>
        <v>Marcadia Biotech, Inc.</v>
      </c>
      <c r="E21" s="393" t="str">
        <f>'Capital IQ Sheet-STM'!E22</f>
        <v>Biotechnology</v>
      </c>
      <c r="F21" s="397">
        <f>IFERROR('Capital IQ Sheet-STM'!F22,"n/a")</f>
        <v>1</v>
      </c>
      <c r="G21" s="393" t="str">
        <f>'Capital IQ Sheet-STM'!G22</f>
        <v>Majority</v>
      </c>
      <c r="I21" s="125">
        <f>'Capital IQ Sheet-STM'!I22</f>
        <v>500</v>
      </c>
      <c r="J21" s="125">
        <f>'Capital IQ Sheet-STM'!J22</f>
        <v>500</v>
      </c>
      <c r="K21" s="125" t="str">
        <f>'Capital IQ Sheet-STM'!K22</f>
        <v>n/a</v>
      </c>
      <c r="L21" s="125">
        <f>'Capital IQ Sheet-STM'!L22</f>
        <v>500</v>
      </c>
      <c r="M21" s="394"/>
      <c r="N21" s="1437" t="s">
        <v>1938</v>
      </c>
      <c r="O21" s="1437" t="s">
        <v>382</v>
      </c>
      <c r="Q21" s="1437" t="s">
        <v>1938</v>
      </c>
      <c r="R21" s="1437" t="s">
        <v>382</v>
      </c>
      <c r="T21" s="1500">
        <v>1</v>
      </c>
      <c r="U21" s="1439">
        <f t="shared" si="3"/>
        <v>500</v>
      </c>
      <c r="V21" s="394"/>
      <c r="W21" s="125" t="str">
        <f>'Capital IQ Sheet-STM'!N22</f>
        <v>n/a</v>
      </c>
      <c r="X21" s="125" t="str">
        <f>'Capital IQ Sheet-STM'!O22</f>
        <v>n/a</v>
      </c>
      <c r="Y21" s="125" t="str">
        <f>'Capital IQ Sheet-STM'!P22</f>
        <v>n/a</v>
      </c>
      <c r="Z21" s="394"/>
      <c r="AA21" s="395" t="str">
        <f t="shared" si="0"/>
        <v>n/a</v>
      </c>
      <c r="AB21" s="395" t="str">
        <f t="shared" si="1"/>
        <v>n/a</v>
      </c>
      <c r="AC21" s="395" t="str">
        <f t="shared" si="2"/>
        <v>n/a</v>
      </c>
      <c r="AD21" s="395" t="str">
        <f>'Capital IQ Sheet-STM'!U22</f>
        <v>n/a</v>
      </c>
      <c r="AE21" s="395" t="str">
        <f>'Capital IQ Sheet-STM'!V22</f>
        <v>n/a</v>
      </c>
      <c r="AF21" s="394"/>
      <c r="AG21" s="81" t="str">
        <f>'Capital IQ Sheet-STM'!Z22</f>
        <v>n/a</v>
      </c>
      <c r="AH21" s="81" t="str">
        <f>'Capital IQ Sheet-STM'!AA22</f>
        <v>n/a</v>
      </c>
      <c r="AI21" s="81" t="str">
        <f>'Capital IQ Sheet-STM'!AB22</f>
        <v>n/a</v>
      </c>
      <c r="AJ21" s="394"/>
      <c r="AK21" s="395" t="str">
        <f t="shared" si="4"/>
        <v>n/a</v>
      </c>
      <c r="AL21" s="395" t="str">
        <f t="shared" si="5"/>
        <v>n/a</v>
      </c>
      <c r="AM21" s="393" t="str">
        <f>'Capital IQ Sheet-STM'!AF22</f>
        <v>n/a</v>
      </c>
      <c r="AO21" s="397" t="str">
        <f>IFERROR('Capital IQ Sheet-STM'!AH22,"n/a")</f>
        <v>NM</v>
      </c>
      <c r="AP21" s="397" t="str">
        <f>IFERROR('Capital IQ Sheet-STM'!AI22,"n/a")</f>
        <v>NM</v>
      </c>
      <c r="AR21" s="1438" t="s">
        <v>1939</v>
      </c>
    </row>
    <row r="22" spans="2:45" s="391" customFormat="1" ht="38.25">
      <c r="B22" s="393" t="str">
        <f>IFERROR('Capital IQ Sheet-STM'!B23,"n/a")</f>
        <v>n/a</v>
      </c>
      <c r="C22" s="393" t="str">
        <f>'Capital IQ Sheet-STM'!C23</f>
        <v>Sanofi-Aventis (nka:Sanofi)</v>
      </c>
      <c r="D22" s="393" t="str">
        <f>'Capital IQ Sheet-STM'!D23</f>
        <v>Metabolex, Inc., MBX-2982 Novel Type 2 Diabetes Treatment Product Line</v>
      </c>
      <c r="E22" s="393" t="str">
        <f>'Capital IQ Sheet-STM'!E23</f>
        <v>Pharmaceuticals</v>
      </c>
      <c r="F22" s="397">
        <f>IFERROR('Capital IQ Sheet-STM'!F23,"n/a")</f>
        <v>1</v>
      </c>
      <c r="G22" s="393" t="str">
        <f>'Capital IQ Sheet-STM'!G23</f>
        <v>Majority</v>
      </c>
      <c r="I22" s="125" t="str">
        <f>'Capital IQ Sheet-STM'!I23</f>
        <v>n/a</v>
      </c>
      <c r="J22" s="125">
        <f>'Capital IQ Sheet-STM'!J23</f>
        <v>0</v>
      </c>
      <c r="K22" s="125" t="str">
        <f>'Capital IQ Sheet-STM'!K23</f>
        <v>n/a</v>
      </c>
      <c r="L22" s="125">
        <f>'Capital IQ Sheet-STM'!L23</f>
        <v>375</v>
      </c>
      <c r="M22" s="394"/>
      <c r="N22" s="1437" t="s">
        <v>1922</v>
      </c>
      <c r="O22" s="1437" t="s">
        <v>377</v>
      </c>
      <c r="Q22" s="1437" t="s">
        <v>1922</v>
      </c>
      <c r="R22" s="1437" t="s">
        <v>377</v>
      </c>
      <c r="T22" s="1500">
        <v>1</v>
      </c>
      <c r="U22" s="1439">
        <f t="shared" si="3"/>
        <v>375</v>
      </c>
      <c r="V22" s="394"/>
      <c r="W22" s="125" t="str">
        <f>'Capital IQ Sheet-STM'!N23</f>
        <v>n/a</v>
      </c>
      <c r="X22" s="125" t="str">
        <f>'Capital IQ Sheet-STM'!O23</f>
        <v>n/a</v>
      </c>
      <c r="Y22" s="125" t="str">
        <f>'Capital IQ Sheet-STM'!P23</f>
        <v>n/a</v>
      </c>
      <c r="Z22" s="394"/>
      <c r="AA22" s="395" t="str">
        <f t="shared" si="0"/>
        <v>n/a</v>
      </c>
      <c r="AB22" s="395" t="str">
        <f>IFERROR(IF(($I22/X22)&gt;$AS$7, "NM", IF(($I22/X22)&lt;$AU$7, "NM", $I22/X22)),"n/a")</f>
        <v>n/a</v>
      </c>
      <c r="AC22" s="395" t="str">
        <f>IFERROR(IF(($I22/Y22)&gt;$AS$7, "NM", IF(($I22/Y22)&lt;$AU$7, "NM", $I22/Y22)),"n/a")</f>
        <v>n/a</v>
      </c>
      <c r="AD22" s="395" t="str">
        <f>'Capital IQ Sheet-STM'!U23</f>
        <v>n/a</v>
      </c>
      <c r="AE22" s="395" t="str">
        <f>'Capital IQ Sheet-STM'!V23</f>
        <v>n/a</v>
      </c>
      <c r="AF22" s="394"/>
      <c r="AG22" s="81" t="str">
        <f>'Capital IQ Sheet-STM'!Z23</f>
        <v>n/a</v>
      </c>
      <c r="AH22" s="81" t="str">
        <f>'Capital IQ Sheet-STM'!AA23</f>
        <v>n/a</v>
      </c>
      <c r="AI22" s="81" t="str">
        <f>'Capital IQ Sheet-STM'!AB23</f>
        <v>n/a</v>
      </c>
      <c r="AJ22" s="394"/>
      <c r="AK22" s="395" t="str">
        <f>IF(ISERROR($I22/AG22), "n/a", $I22/AG22)</f>
        <v>n/a</v>
      </c>
      <c r="AL22" s="395" t="str">
        <f>IF(ISERROR($I22/AH22), "n/a", $I22/AH22)</f>
        <v>n/a</v>
      </c>
      <c r="AM22" s="393" t="str">
        <f>'Capital IQ Sheet-STM'!AF23</f>
        <v>n/a</v>
      </c>
      <c r="AO22" s="397" t="str">
        <f>IFERROR('Capital IQ Sheet-STM'!AH23,"n/a")</f>
        <v>NM</v>
      </c>
      <c r="AP22" s="397" t="str">
        <f>IFERROR('Capital IQ Sheet-STM'!AI23,"n/a")</f>
        <v>NM</v>
      </c>
      <c r="AR22" s="1438" t="s">
        <v>1932</v>
      </c>
    </row>
    <row r="23" spans="2:45" s="391" customFormat="1">
      <c r="B23" s="393"/>
      <c r="C23" s="393"/>
      <c r="D23" s="393"/>
      <c r="E23" s="393"/>
      <c r="F23" s="397"/>
      <c r="G23" s="393"/>
      <c r="I23" s="125"/>
      <c r="J23" s="125"/>
      <c r="K23" s="125"/>
      <c r="L23" s="125"/>
      <c r="M23" s="394"/>
      <c r="N23" s="1437"/>
      <c r="O23" s="1437"/>
      <c r="Q23" s="1437"/>
      <c r="R23" s="1437"/>
      <c r="T23" s="1500"/>
      <c r="U23" s="1439"/>
      <c r="V23" s="394"/>
      <c r="W23" s="125"/>
      <c r="X23" s="125"/>
      <c r="Y23" s="125"/>
      <c r="Z23" s="394"/>
      <c r="AA23" s="395"/>
      <c r="AB23" s="395"/>
      <c r="AC23" s="395"/>
      <c r="AD23" s="395"/>
      <c r="AE23" s="395"/>
      <c r="AF23" s="394"/>
      <c r="AG23" s="81"/>
      <c r="AH23" s="81"/>
      <c r="AI23" s="81"/>
      <c r="AJ23" s="394"/>
      <c r="AK23" s="395"/>
      <c r="AL23" s="395"/>
      <c r="AM23" s="393"/>
      <c r="AO23" s="397"/>
      <c r="AP23" s="397"/>
      <c r="AR23" s="1438"/>
    </row>
    <row r="24" spans="2:45">
      <c r="B24" s="1201" t="s">
        <v>41</v>
      </c>
      <c r="C24" s="836"/>
      <c r="D24" s="836"/>
      <c r="E24" s="836"/>
      <c r="F24" s="1414"/>
      <c r="G24" s="836"/>
      <c r="H24" s="836"/>
      <c r="I24" s="1415">
        <f>MAX(I9:I22)</f>
        <v>7151.8984899999996</v>
      </c>
      <c r="J24" s="1415">
        <f>MAX(J9:J22)</f>
        <v>7332.6776099999997</v>
      </c>
      <c r="K24" s="1415">
        <f>MAX(K9:K22)</f>
        <v>775</v>
      </c>
      <c r="L24" s="1415">
        <f>MAX(L9:L22)</f>
        <v>7731.01649</v>
      </c>
      <c r="M24" s="836"/>
      <c r="N24" s="836"/>
      <c r="O24" s="1499"/>
      <c r="P24" s="836"/>
      <c r="Q24" s="836"/>
      <c r="R24" s="836"/>
      <c r="S24" s="836"/>
      <c r="T24" s="836"/>
      <c r="U24" s="1415">
        <f>MAX(U9:U22)</f>
        <v>2577.0054966666667</v>
      </c>
      <c r="V24" s="836"/>
      <c r="W24" s="1415">
        <f>MAX(W9:W22)</f>
        <v>651.65</v>
      </c>
      <c r="X24" s="1415">
        <f>MAX(X9:X22)</f>
        <v>81.528000000000006</v>
      </c>
      <c r="Y24" s="1415">
        <f>MAX(Y9:Y22)</f>
        <v>74.905000000000001</v>
      </c>
      <c r="Z24" s="836"/>
      <c r="AA24" s="1435">
        <f>MAX(AA9:AA22)</f>
        <v>10.215750510243229</v>
      </c>
      <c r="AB24" s="1416">
        <f>MAX(AB9:AB22)</f>
        <v>23.87437040035325</v>
      </c>
      <c r="AC24" s="1416">
        <f>MAX(AC9:AC22)</f>
        <v>25.985310326413458</v>
      </c>
      <c r="AD24" s="1416">
        <f>MAX(AD9:AD22)</f>
        <v>13.89265</v>
      </c>
      <c r="AE24" s="1416">
        <f>MAX(AE9:AE22)</f>
        <v>16.823090000000001</v>
      </c>
      <c r="AF24" s="836"/>
      <c r="AG24" s="1415">
        <f>MAX(AG9:AG22)</f>
        <v>718.67830000000004</v>
      </c>
      <c r="AH24" s="1415">
        <f>MAX(AH9:AH22)</f>
        <v>120.5</v>
      </c>
      <c r="AI24" s="1415">
        <f>MAX(AI9:AI22)</f>
        <v>14.202999999999999</v>
      </c>
      <c r="AJ24" s="836"/>
      <c r="AK24" s="1416">
        <f>MAX(AK9:AK22)</f>
        <v>3927.4302602230482</v>
      </c>
      <c r="AL24" s="1416">
        <f>MAX(AL9:AL22)</f>
        <v>16.152943319502075</v>
      </c>
      <c r="AM24" s="1416">
        <f>MAX(AM9:AM22)</f>
        <v>137.04355910723086</v>
      </c>
      <c r="AN24" s="1417"/>
      <c r="AO24" s="1202">
        <f>MAX(AO9:AO22)</f>
        <v>1.634881</v>
      </c>
      <c r="AP24" s="1203">
        <f>MAX(AP9:AP22)</f>
        <v>1.3918000000000001</v>
      </c>
    </row>
    <row r="25" spans="2:45">
      <c r="B25" s="278" t="s">
        <v>45</v>
      </c>
      <c r="C25" s="61"/>
      <c r="D25" s="61"/>
      <c r="E25" s="61"/>
      <c r="F25" s="396"/>
      <c r="G25" s="61"/>
      <c r="H25" s="61"/>
      <c r="I25" s="89">
        <f>QUARTILE(I9:I22,3)</f>
        <v>3124.0957075000001</v>
      </c>
      <c r="J25" s="89">
        <f>QUARTILE(J9:J22,3)</f>
        <v>538.20455749999996</v>
      </c>
      <c r="K25" s="89">
        <f>QUARTILE(K9:K22,3)</f>
        <v>581.48309749999999</v>
      </c>
      <c r="L25" s="89">
        <f>QUARTILE(L9:L22,3)</f>
        <v>2154.4326700000001</v>
      </c>
      <c r="M25" s="61"/>
      <c r="N25" s="61"/>
      <c r="O25" s="66"/>
      <c r="P25" s="61"/>
      <c r="Q25" s="61"/>
      <c r="R25" s="61"/>
      <c r="S25" s="61"/>
      <c r="T25" s="61"/>
      <c r="U25" s="89">
        <f>QUARTILE(U9:U22,3)</f>
        <v>925</v>
      </c>
      <c r="V25" s="61"/>
      <c r="W25" s="89">
        <f>QUARTILE(W9:W22,3)</f>
        <v>309.79172000000005</v>
      </c>
      <c r="X25" s="89">
        <f>QUARTILE(X9:X22,3)</f>
        <v>23.114615000000001</v>
      </c>
      <c r="Y25" s="89">
        <f>QUARTILE(Y9:Y22,3)</f>
        <v>-2.8979999999999999E-2</v>
      </c>
      <c r="Z25" s="61"/>
      <c r="AA25" s="111">
        <f>QUARTILE(AA9:AA22,3)</f>
        <v>9.1022937979333474</v>
      </c>
      <c r="AB25" s="88">
        <f>QUARTILE(AB9:AB22,3)</f>
        <v>23.87437040035325</v>
      </c>
      <c r="AC25" s="88">
        <f>QUARTILE(AC9:AC22,3)</f>
        <v>25.985310326413458</v>
      </c>
      <c r="AD25" s="88">
        <f>QUARTILE(AD9:AD22,3)</f>
        <v>13.13902</v>
      </c>
      <c r="AE25" s="88">
        <f>QUARTILE(AE9:AE22,3)</f>
        <v>16.823090000000001</v>
      </c>
      <c r="AF25" s="61"/>
      <c r="AG25" s="89">
        <f>QUARTILE(AG9:AG22,3)</f>
        <v>510.22682500000002</v>
      </c>
      <c r="AH25" s="89">
        <f>QUARTILE(AH9:AH22,3)</f>
        <v>21.547542499999999</v>
      </c>
      <c r="AI25" s="89">
        <f>QUARTILE(AI9:AI22,3)</f>
        <v>14.202999999999999</v>
      </c>
      <c r="AJ25" s="61"/>
      <c r="AK25" s="88">
        <f>QUARTILE(AK9:AK22,3)</f>
        <v>2912.9242272223028</v>
      </c>
      <c r="AL25" s="88">
        <f>QUARTILE(AL9:AL22,3)</f>
        <v>1.3409118413859229</v>
      </c>
      <c r="AM25" s="88">
        <f>QUARTILE(AM9:AM22,3)</f>
        <v>137.04355910723086</v>
      </c>
      <c r="AN25" s="167"/>
      <c r="AO25" s="116">
        <f>QUARTILE(AO9:AO22,3)</f>
        <v>1.041612</v>
      </c>
      <c r="AP25" s="117">
        <f>QUARTILE(AP9:AP22,3)</f>
        <v>0.92382599999999993</v>
      </c>
    </row>
    <row r="26" spans="2:45">
      <c r="B26" s="278" t="s">
        <v>43</v>
      </c>
      <c r="C26" s="61"/>
      <c r="D26" s="61"/>
      <c r="E26" s="61"/>
      <c r="F26" s="396"/>
      <c r="G26" s="61"/>
      <c r="H26" s="61"/>
      <c r="I26" s="89">
        <f>AVERAGE(I9:I22)</f>
        <v>2218.9682674999999</v>
      </c>
      <c r="J26" s="89">
        <f>AVERAGE(J9:J22)</f>
        <v>1133.8453592857143</v>
      </c>
      <c r="K26" s="89">
        <f>AVERAGE(K9:K22)</f>
        <v>387.96619500000003</v>
      </c>
      <c r="L26" s="89">
        <f>AVERAGE(L9:L22)</f>
        <v>2137.8338555555551</v>
      </c>
      <c r="M26" s="61"/>
      <c r="N26" s="61"/>
      <c r="O26" s="66"/>
      <c r="P26" s="61"/>
      <c r="Q26" s="61"/>
      <c r="R26" s="61"/>
      <c r="S26" s="61"/>
      <c r="T26" s="61"/>
      <c r="U26" s="89">
        <f>AVERAGE(U9:U22)</f>
        <v>796.21848375000002</v>
      </c>
      <c r="V26" s="61"/>
      <c r="W26" s="89">
        <f>AVERAGE(W9:W22)</f>
        <v>182.14425857142857</v>
      </c>
      <c r="X26" s="89">
        <f>AVERAGE(X9:X22)</f>
        <v>-80.310342857142857</v>
      </c>
      <c r="Y26" s="89">
        <f>AVERAGE(Y9:Y22)</f>
        <v>-71.170852222222223</v>
      </c>
      <c r="Z26" s="61"/>
      <c r="AA26" s="111">
        <f>AVERAGE(AA9:AA22)</f>
        <v>7.9888370856234658</v>
      </c>
      <c r="AB26" s="88">
        <f>AVERAGE(AB9:AB22)</f>
        <v>23.87437040035325</v>
      </c>
      <c r="AC26" s="88">
        <f>AVERAGE(AC9:AC22)</f>
        <v>25.985310326413458</v>
      </c>
      <c r="AD26" s="88">
        <f>AVERAGE(AD9:AD22)</f>
        <v>9.5222280000000001</v>
      </c>
      <c r="AE26" s="88">
        <f>AVERAGE(AE9:AE22)</f>
        <v>16.823090000000001</v>
      </c>
      <c r="AF26" s="61"/>
      <c r="AG26" s="89">
        <f>AVERAGE(AG9:AG22)</f>
        <v>290.58337499999999</v>
      </c>
      <c r="AH26" s="89">
        <f>AVERAGE(AH9:AH22)</f>
        <v>-14.284627499999999</v>
      </c>
      <c r="AI26" s="89">
        <f>AVERAGE(AI9:AI22)</f>
        <v>14.202999999999999</v>
      </c>
      <c r="AJ26" s="61"/>
      <c r="AK26" s="88">
        <f>AVERAGE(AK9:AK22)</f>
        <v>1628.9662559391941</v>
      </c>
      <c r="AL26" s="88">
        <f>AVERAGE(AL9:AL22)</f>
        <v>-88.425702751793423</v>
      </c>
      <c r="AM26" s="88">
        <f>AVERAGE(AM9:AM22)</f>
        <v>137.04355910723086</v>
      </c>
      <c r="AN26" s="167"/>
      <c r="AO26" s="116">
        <f>AVERAGE(AO9:AO22)</f>
        <v>0.66634999999999989</v>
      </c>
      <c r="AP26" s="117">
        <f>AVERAGE(AP9:AP22)</f>
        <v>0.65333179999999991</v>
      </c>
    </row>
    <row r="27" spans="2:45">
      <c r="B27" s="278" t="s">
        <v>3</v>
      </c>
      <c r="C27" s="61"/>
      <c r="D27" s="61"/>
      <c r="E27" s="61"/>
      <c r="F27" s="396"/>
      <c r="G27" s="61"/>
      <c r="H27" s="61"/>
      <c r="I27" s="89">
        <f>MEDIAN(I9:I22)</f>
        <v>726.619685</v>
      </c>
      <c r="J27" s="89">
        <f>MEDIAN(J9:J22)</f>
        <v>30.415959999999998</v>
      </c>
      <c r="K27" s="89">
        <f>MEDIAN(K9:K22)</f>
        <v>387.96619499999997</v>
      </c>
      <c r="L27" s="89">
        <f>MEDIAN(L9:L22)</f>
        <v>550.93940999999995</v>
      </c>
      <c r="M27" s="61"/>
      <c r="N27" s="61"/>
      <c r="O27" s="66"/>
      <c r="P27" s="61"/>
      <c r="Q27" s="61"/>
      <c r="R27" s="61"/>
      <c r="S27" s="61"/>
      <c r="T27" s="61"/>
      <c r="U27" s="89">
        <f>MEDIAN(U9:U22)</f>
        <v>375</v>
      </c>
      <c r="V27" s="61"/>
      <c r="W27" s="89">
        <f>MEDIAN(W9:W22)</f>
        <v>3.45</v>
      </c>
      <c r="X27" s="89">
        <f>MEDIAN(X9:X22)</f>
        <v>-19.4024</v>
      </c>
      <c r="Y27" s="89">
        <f>MEDIAN(Y9:Y22)</f>
        <v>-0.49764000000000003</v>
      </c>
      <c r="Z27" s="61"/>
      <c r="AA27" s="111">
        <f>MEDIAN(AA9:AA22)</f>
        <v>7.9888370856234658</v>
      </c>
      <c r="AB27" s="88">
        <f>MEDIAN(AB9:AB22)</f>
        <v>23.87437040035325</v>
      </c>
      <c r="AC27" s="88">
        <f>MEDIAN(AC9:AC22)</f>
        <v>25.985310326413458</v>
      </c>
      <c r="AD27" s="88">
        <f>MEDIAN(AD9:AD22)</f>
        <v>9.4087399999999999</v>
      </c>
      <c r="AE27" s="88">
        <f>MEDIAN(AE9:AE22)</f>
        <v>16.823090000000001</v>
      </c>
      <c r="AF27" s="61"/>
      <c r="AG27" s="89">
        <f>MEDIAN(AG9:AG22)</f>
        <v>221.76035000000002</v>
      </c>
      <c r="AH27" s="89">
        <f>MEDIAN(AH9:AH22)</f>
        <v>-16.218305000000001</v>
      </c>
      <c r="AI27" s="89">
        <f>MEDIAN(AI9:AI22)</f>
        <v>14.202999999999999</v>
      </c>
      <c r="AJ27" s="61"/>
      <c r="AK27" s="88">
        <f>MEDIAN(AK9:AK22)</f>
        <v>1292.0092585862351</v>
      </c>
      <c r="AL27" s="88">
        <f>MEDIAN(AL9:AL22)</f>
        <v>-26.425643353814092</v>
      </c>
      <c r="AM27" s="88">
        <f>MEDIAN(AM9:AM22)</f>
        <v>137.04355910723086</v>
      </c>
      <c r="AN27" s="167"/>
      <c r="AO27" s="116">
        <f>MEDIAN(AO9:AO22)</f>
        <v>0.37162500000000004</v>
      </c>
      <c r="AP27" s="117">
        <f>MEDIAN(AP9:AP22)</f>
        <v>0.52018999999999993</v>
      </c>
    </row>
    <row r="28" spans="2:45">
      <c r="B28" s="278" t="s">
        <v>44</v>
      </c>
      <c r="C28" s="61"/>
      <c r="D28" s="61"/>
      <c r="E28" s="61"/>
      <c r="F28" s="61"/>
      <c r="G28" s="61"/>
      <c r="H28" s="61"/>
      <c r="I28" s="89">
        <f>QUARTILE(I9:I22,1)</f>
        <v>385.28274750000003</v>
      </c>
      <c r="J28" s="89">
        <f>QUARTILE(J9:J22,1)</f>
        <v>0</v>
      </c>
      <c r="K28" s="89">
        <f>QUARTILE(K9:K22,1)</f>
        <v>194.44929249999998</v>
      </c>
      <c r="L28" s="89">
        <f>QUARTILE(L9:L22,1)</f>
        <v>375</v>
      </c>
      <c r="M28" s="61"/>
      <c r="N28" s="61"/>
      <c r="O28" s="66"/>
      <c r="P28" s="61"/>
      <c r="Q28" s="61"/>
      <c r="R28" s="61"/>
      <c r="S28" s="61"/>
      <c r="T28" s="61"/>
      <c r="U28" s="89">
        <f>QUARTILE(U9:U22,1)</f>
        <v>183.64646999999999</v>
      </c>
      <c r="V28" s="61"/>
      <c r="W28" s="89">
        <f>QUARTILE(W9:W22,1)</f>
        <v>0.16222999999999999</v>
      </c>
      <c r="X28" s="89">
        <f>QUARTILE(X9:X22,1)</f>
        <v>-110.48561500000001</v>
      </c>
      <c r="Y28" s="89">
        <f>QUARTILE(Y9:Y22,1)</f>
        <v>-45.57047</v>
      </c>
      <c r="Z28" s="61"/>
      <c r="AA28" s="111">
        <f>QUARTILE(AA9:AA22,1)</f>
        <v>6.8753803733135843</v>
      </c>
      <c r="AB28" s="88">
        <f>QUARTILE(AB9:AB22,1)</f>
        <v>23.87437040035325</v>
      </c>
      <c r="AC28" s="88">
        <f>QUARTILE(AC9:AC22,1)</f>
        <v>25.985310326413458</v>
      </c>
      <c r="AD28" s="88">
        <f>QUARTILE(AD9:AD22,1)</f>
        <v>8.2933599999999998</v>
      </c>
      <c r="AE28" s="88">
        <f>QUARTILE(AE9:AE22,1)</f>
        <v>16.823090000000001</v>
      </c>
      <c r="AF28" s="61"/>
      <c r="AG28" s="89">
        <f>QUARTILE(AG9:AG22,1)</f>
        <v>2.1168999999999998</v>
      </c>
      <c r="AH28" s="89">
        <f>QUARTILE(AH9:AH22,1)</f>
        <v>-52.050475000000006</v>
      </c>
      <c r="AI28" s="89">
        <f>QUARTILE(AI9:AI22,1)</f>
        <v>14.202999999999999</v>
      </c>
      <c r="AJ28" s="61"/>
      <c r="AK28" s="88">
        <f>QUARTILE(AK9:AK22,1)</f>
        <v>8.0512873031265144</v>
      </c>
      <c r="AL28" s="88">
        <f>QUARTILE(AL9:AL22,1)</f>
        <v>-116.19225794699344</v>
      </c>
      <c r="AM28" s="88">
        <f>QUARTILE(AM9:AM22,1)</f>
        <v>137.04355910723086</v>
      </c>
      <c r="AN28" s="167"/>
      <c r="AO28" s="116">
        <f>QUARTILE(AO9:AO22,1)</f>
        <v>0.17331700000000003</v>
      </c>
      <c r="AP28" s="117">
        <f>QUARTILE(AP9:AP22,1)</f>
        <v>0.30110499999999996</v>
      </c>
    </row>
    <row r="29" spans="2:45">
      <c r="B29" s="1204" t="s">
        <v>42</v>
      </c>
      <c r="C29" s="130"/>
      <c r="D29" s="130"/>
      <c r="E29" s="130"/>
      <c r="F29" s="130"/>
      <c r="G29" s="130"/>
      <c r="H29" s="130"/>
      <c r="I29" s="70">
        <f>MIN(I9:I22)</f>
        <v>1.9538</v>
      </c>
      <c r="J29" s="70">
        <f>MIN(J9:J22)</f>
        <v>0</v>
      </c>
      <c r="K29" s="70">
        <f>MIN(K9:K22)</f>
        <v>0.93239000000000005</v>
      </c>
      <c r="L29" s="70">
        <f>MIN(L9:L22)</f>
        <v>1.95739</v>
      </c>
      <c r="M29" s="130"/>
      <c r="N29" s="130"/>
      <c r="O29" s="323"/>
      <c r="P29" s="130"/>
      <c r="Q29" s="130"/>
      <c r="R29" s="130"/>
      <c r="S29" s="130"/>
      <c r="T29" s="130"/>
      <c r="U29" s="70">
        <f>MIN(U9:U22)</f>
        <v>1.95739</v>
      </c>
      <c r="V29" s="130"/>
      <c r="W29" s="70">
        <f>MIN(W9:W22)</f>
        <v>1.91E-3</v>
      </c>
      <c r="X29" s="70">
        <f>MIN(X9:X22)</f>
        <v>-449.55599999999998</v>
      </c>
      <c r="Y29" s="70">
        <f>MIN(Y9:Y22)</f>
        <v>-508.28300000000002</v>
      </c>
      <c r="Z29" s="130"/>
      <c r="AA29" s="1436">
        <f>MIN(AA9:AA22)</f>
        <v>5.7619236610037028</v>
      </c>
      <c r="AB29" s="92">
        <f>MIN(AB9:AB22)</f>
        <v>23.87437040035325</v>
      </c>
      <c r="AC29" s="92">
        <f>MIN(AC9:AC22)</f>
        <v>25.985310326413458</v>
      </c>
      <c r="AD29" s="92">
        <f>MIN(AD9:AD22)</f>
        <v>2.87737</v>
      </c>
      <c r="AE29" s="92">
        <f>MIN(AE9:AE22)</f>
        <v>16.823090000000001</v>
      </c>
      <c r="AF29" s="130"/>
      <c r="AG29" s="70">
        <f>MIN(AG9:AG22)</f>
        <v>0.13450000000000001</v>
      </c>
      <c r="AH29" s="70">
        <f>MIN(AH9:AH22)</f>
        <v>-145.20189999999999</v>
      </c>
      <c r="AI29" s="70">
        <f>MIN(AI9:AI22)</f>
        <v>14.202999999999999</v>
      </c>
      <c r="AJ29" s="130"/>
      <c r="AK29" s="92">
        <f>MIN(AK9:AK22)</f>
        <v>4.416246361258148</v>
      </c>
      <c r="AL29" s="92">
        <f>MIN(AL9:AL22)</f>
        <v>-317.0044676190476</v>
      </c>
      <c r="AM29" s="92">
        <f>MIN(AM9:AM22)</f>
        <v>137.04355910723086</v>
      </c>
      <c r="AN29" s="392"/>
      <c r="AO29" s="118">
        <f>MIN(AO9:AO22)</f>
        <v>0.110315</v>
      </c>
      <c r="AP29" s="321">
        <f>MIN(AP9:AP22)</f>
        <v>0.12973800000000002</v>
      </c>
    </row>
    <row r="31" spans="2:45">
      <c r="B31" s="8" t="s">
        <v>46</v>
      </c>
    </row>
  </sheetData>
  <conditionalFormatting sqref="T4:V4 B4:P4">
    <cfRule type="cellIs" dxfId="156" priority="18" stopIfTrue="1" operator="equal">
      <formula>"input"</formula>
    </cfRule>
  </conditionalFormatting>
  <conditionalFormatting sqref="W4">
    <cfRule type="cellIs" dxfId="155" priority="16" stopIfTrue="1" operator="equal">
      <formula>"input"</formula>
    </cfRule>
  </conditionalFormatting>
  <conditionalFormatting sqref="W4">
    <cfRule type="cellIs" dxfId="154" priority="17" stopIfTrue="1" operator="equal">
      <formula>"input"</formula>
    </cfRule>
  </conditionalFormatting>
  <conditionalFormatting sqref="X4:Z4">
    <cfRule type="cellIs" dxfId="153" priority="14" stopIfTrue="1" operator="equal">
      <formula>"input"</formula>
    </cfRule>
  </conditionalFormatting>
  <conditionalFormatting sqref="X4:Z4">
    <cfRule type="cellIs" dxfId="152" priority="15" stopIfTrue="1" operator="equal">
      <formula>"input"</formula>
    </cfRule>
  </conditionalFormatting>
  <conditionalFormatting sqref="AB4:AO4">
    <cfRule type="cellIs" dxfId="151" priority="10" stopIfTrue="1" operator="equal">
      <formula>"input"</formula>
    </cfRule>
  </conditionalFormatting>
  <conditionalFormatting sqref="AB4:AO4">
    <cfRule type="cellIs" dxfId="150" priority="11" stopIfTrue="1" operator="equal">
      <formula>"input"</formula>
    </cfRule>
  </conditionalFormatting>
  <conditionalFormatting sqref="AP4">
    <cfRule type="cellIs" dxfId="149" priority="4" stopIfTrue="1" operator="equal">
      <formula>"input"</formula>
    </cfRule>
  </conditionalFormatting>
  <conditionalFormatting sqref="AP4">
    <cfRule type="cellIs" dxfId="148" priority="5" stopIfTrue="1" operator="equal">
      <formula>"input"</formula>
    </cfRule>
  </conditionalFormatting>
  <conditionalFormatting sqref="AA4">
    <cfRule type="cellIs" dxfId="147" priority="2" stopIfTrue="1" operator="equal">
      <formula>"input"</formula>
    </cfRule>
  </conditionalFormatting>
  <conditionalFormatting sqref="AA4">
    <cfRule type="cellIs" dxfId="146" priority="3" stopIfTrue="1" operator="equal">
      <formula>"input"</formula>
    </cfRule>
  </conditionalFormatting>
  <conditionalFormatting sqref="Q4:S4">
    <cfRule type="cellIs" dxfId="145" priority="1" stopIfTrue="1" operator="equal">
      <formula>"input"</formula>
    </cfRule>
  </conditionalFormatting>
  <hyperlinks>
    <hyperlink ref="AR9" r:id="rId1"/>
  </hyperlinks>
  <pageMargins left="0.5" right="0.5" top="0.5" bottom="0.5" header="0.5" footer="0.5"/>
  <pageSetup scale="77" fitToWidth="0" fitToHeight="0" orientation="landscape" r:id="rId2"/>
  <colBreaks count="1" manualBreakCount="1">
    <brk id="15" max="29" man="1"/>
  </colBreaks>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B1:M36"/>
  <sheetViews>
    <sheetView showGridLines="0" view="pageBreakPreview" zoomScale="85" zoomScaleNormal="100" zoomScaleSheetLayoutView="85" workbookViewId="0">
      <selection activeCell="I9" sqref="I9"/>
    </sheetView>
  </sheetViews>
  <sheetFormatPr defaultColWidth="9.33203125" defaultRowHeight="12.75" outlineLevelRow="1"/>
  <cols>
    <col min="1" max="1" width="4.5" style="310" customWidth="1"/>
    <col min="2" max="2" width="38" style="310" customWidth="1"/>
    <col min="3" max="3" width="2.83203125" style="310" customWidth="1"/>
    <col min="4" max="4" width="103.1640625" style="310" customWidth="1"/>
    <col min="5" max="5" width="4.5" style="310" customWidth="1"/>
    <col min="6" max="16384" width="9.33203125" style="310"/>
  </cols>
  <sheetData>
    <row r="1" spans="2:13" ht="13.5" thickBot="1"/>
    <row r="2" spans="2:13" ht="16.5" thickTop="1">
      <c r="B2" s="10" t="str">
        <f>'MASTER PubCo Inputs'!$C$5</f>
        <v>Hua Medicine</v>
      </c>
      <c r="C2" s="10"/>
      <c r="D2" s="10"/>
    </row>
    <row r="3" spans="2:13" ht="15.75">
      <c r="B3" s="11" t="str">
        <f>VLOOKUP(B4,Outline!$E$8:$G$81,COLUMNS(Outline!$E$8:$G$8),FALSE)</f>
        <v>Exhibit F.2</v>
      </c>
      <c r="C3" s="11"/>
      <c r="D3" s="11"/>
    </row>
    <row r="4" spans="2:13" ht="16.5" thickBot="1">
      <c r="B4" s="12" t="s">
        <v>459</v>
      </c>
      <c r="C4" s="12"/>
      <c r="D4" s="13"/>
    </row>
    <row r="5" spans="2:13" s="16" customFormat="1" ht="13.5" thickTop="1">
      <c r="B5" s="310"/>
      <c r="C5" s="310"/>
      <c r="D5" s="310"/>
      <c r="E5" s="310"/>
      <c r="F5" s="310"/>
      <c r="G5" s="310"/>
      <c r="H5" s="310"/>
      <c r="I5" s="310"/>
      <c r="J5" s="310"/>
      <c r="K5" s="310"/>
      <c r="L5" s="310"/>
      <c r="M5" s="310"/>
    </row>
    <row r="6" spans="2:13">
      <c r="B6" s="578" t="s">
        <v>460</v>
      </c>
      <c r="C6" s="577"/>
      <c r="D6" s="579" t="s">
        <v>51</v>
      </c>
    </row>
    <row r="8" spans="2:13" ht="51">
      <c r="B8" s="361" t="str">
        <f>Trans.1!D9</f>
        <v>CureDM Group Holdings, LLC</v>
      </c>
      <c r="C8" s="576"/>
      <c r="D8" s="361" t="str">
        <f>'Capital IQ Sheet-STM'!AL10</f>
        <v>CureDM Group Holdings, LLC develops and commercializes therapies that prevent, ameliorate or reverse diabetes, and allow for the discontinuation of insulin. The company was founded in 2010 and is based in Wilmington, Delaware. As of February 12, 2018, CureDM Group Holdings, LLC operates as a subsidiary of Boston Therapeutics, Inc.</v>
      </c>
    </row>
    <row r="9" spans="2:13" ht="111" customHeight="1">
      <c r="B9" s="361" t="str">
        <f>Trans.1!D10</f>
        <v>Vitae Pharmaceuticals, Inc.</v>
      </c>
      <c r="C9" s="576"/>
      <c r="D9" s="361" t="str">
        <f>'Capital IQ Sheet-STM'!AL11</f>
        <v>Vitae Pharmaceuticals, Inc., a biotechnology company, focuses on discovering and developing novel and small molecule drugs for diseases with unmet medical needs in the United States. Its products include VTP-43742 in Phase I clinical trial for the treatment of autoimmune disorders, including psoriasis, psoriatic arthritis, ankylosing spondylitis, inflammatory bowel disease, and multiple sclerosis; VTP-38543 in Phase IIa for the treatment of atopic dermatitis; and BI 1147560 for the treatment and prevention of Alzheimer's disease. The company’s products also include VTP-34072 that is in Phase II clinical trial for the treatment of type 2 diabetes; and VTP-38443 for the treatment of acute coronary syndrome. Vitae Pharmaceuticals, Inc. was founded in 2001 and is headquartered in Fort Washington, Pennsylvania. As of October 24, 2016, Vitae Pharmaceuticals, Inc. operates as a subsidiary of Allergan plc.</v>
      </c>
    </row>
    <row r="10" spans="2:13" ht="150" customHeight="1">
      <c r="B10" s="361" t="str">
        <f>Trans.1!D11</f>
        <v>Transition Therapeutics Inc.</v>
      </c>
      <c r="C10" s="576"/>
      <c r="D10" s="361" t="str">
        <f>'Capital IQ Sheet-STM'!AL12</f>
        <v>Transition Therapeutics Inc., a biopharmaceutical company, researches and develops therapeutic agents for disease indications primarily in Canada. The company's lead central nervous system drug candidate is ELND005, which has completed a Phase II/III clinical trial for the treatment of agitation/aggression associated with Alzheimer's disease; and has completed Phase IIa clinical trial for the treatment of Down syndrome. Its lead metabolic drug candidate is TT401, which is in Phase II clinical study for the treatment of type 2 diabetes and accompanying obesity. The company is also developing TT701, a selective androgen receptor modulator for the treatment of androgen deficiencies. Transition Therapeutics Inc. has a licensing and collaboration agreement with Eli Lilly to develop and commercialize TT401; and to develop compounds in preclinical models to provide glycemic control and other beneficial effects, including weight loss. The company was formerly known as Transition Therapeutics and Diagnostics Inc. and changed its name to Transition Therapeutics Inc. in December 2000. Transition Therapeutics Inc. was founded in 1987 and is headquartered in Toronto, Canada. As of August 31, 2016, Transition Therapeutics Inc. operates as a subsidiary of Opko Health, Inc.</v>
      </c>
    </row>
    <row r="11" spans="2:13" ht="71.25" customHeight="1">
      <c r="B11" s="361" t="str">
        <f>Trans.1!D12</f>
        <v>Nexus BioPharma, Inc. Prior to Reverse merger with Nexus BioPharma Corporation</v>
      </c>
      <c r="C11" s="576"/>
      <c r="D11" s="361" t="str">
        <f>'Capital IQ Sheet-STM'!AL13</f>
        <v>As of June 9, 2016, Nexus BioPharma, Inc. was acquired by Nexus BioPharma Corporation, in a reverse merger transaction. Nexus BioPharma, Inc., a life science company, develops and commercializes drugs for transformative obesity and diabetes treatments. The company was formerly known as Plata Resources, Inc. and changed its name to Nexus BioPharma, Inc. in May 2016. Nexus BioPharma, Inc. was incorporated in 2007 and is based in Montclair, New Jersey.</v>
      </c>
    </row>
    <row r="12" spans="2:13" ht="99" customHeight="1">
      <c r="B12" s="361" t="str">
        <f>Trans.1!D13</f>
        <v>Valeritas Holdings, Inc. (nka:Valeritas Holdings, Inc., Prior to Reverse Merger with Valeritas, Inc.)</v>
      </c>
      <c r="C12" s="576"/>
      <c r="D12" s="1418" t="str">
        <f>'Capital IQ Sheet-STM'!AL14</f>
        <v xml:space="preserve">As of May 3, 2016 Valeritas Holdings, Inc. was acquired by Valeritas, Inc. in a reverse merger transaction. Valeritas Holdings, Inc., a commercial-stage medical technology company, develops technologies to treat Type 2 diabetes. The company’s products include V-Go, a disposable insulin delivery device that a patient adheres to skin every 24 hours; and h-Patch, a controlled delivery technology platform used in its V-Go devices. It also provides Mini-Ject, a disposable needle-free injection system that offers a range of pre-filled options; and Micro-Trans, a microneedle array patch to deliver drugs into the dermis layer of the skin. The company was founded in 2006 and is based in Bridgewater, New Jersey._x000D_
</v>
      </c>
    </row>
    <row r="13" spans="2:13" ht="87" customHeight="1">
      <c r="B13" s="361" t="str">
        <f>Trans.1!D14</f>
        <v>Calibrium LLC and MB2 LLC</v>
      </c>
      <c r="C13" s="576"/>
      <c r="D13" s="361" t="str">
        <f>'Capital IQ Sheet-STM'!AL15</f>
        <v>As of October 30, 2015, Calibrium LLC and MB2 LLC was acquired by Novo Nordisk A/S. Calibrium LLC and MB2 LLC represents the combined operations of Calibrium LLC and MB2 LLC in their sale to Novo Nordisk A/S. Calibrium LLC is a biopharmaceutical company engaging in discovery and early development of novel peptides for the treatment of diabetes and related metabolic diseases. MB2 LLC is a clinical-stage biopharmaceutical company advancing a pipeline of mixed agonist drugs for the treatment of diabetes and obesity. Calibrium LLC is based in Indianapolis, Indiana. MB2 LLC is based in Carmel, Indiana.</v>
      </c>
    </row>
    <row r="14" spans="2:13" ht="122.1" customHeight="1">
      <c r="B14" s="361" t="str">
        <f>Trans.1!D15</f>
        <v>Receptos, Inc.</v>
      </c>
      <c r="C14" s="576"/>
      <c r="D14" s="1418" t="str">
        <f>'Capital IQ Sheet-STM'!AL16</f>
        <v>Receptos, Inc., a clinical-stage biopharmaceutical company, focuses on the discovery, development, and commercialization of therapeutics in immune disorders. Its lead product includes ozanimod, an oral therapy that is in phase III studies for the treatment of relapsing multiple sclerosis; and is in phase II studies to treat ulcerative colitis and crohn’s disease. The company is also developing RPC4046, a monoclonal antibody, which is in phase II trials for the treatment of eosinophilic esophagitis, an allergic/immune-mediated disorder. In addition, it is involved in a research program for glucagon-like peptide-1 receptor small molecule positive allosteric modulators that is in preclinical studies for the treatment of Type 2 diabetes. The company was formerly known as Receptor Pharmaceuticals, Inc. and changed its name to Receptos, Inc. in May 2009. Receptos, Inc. was founded in 2008 and is headquartered in San Diego, California. As of August 27, 2015, Receptos, Inc. operates as a subsidiary of Celgene Corporation.</v>
      </c>
    </row>
    <row r="15" spans="2:13" ht="43.5" customHeight="1">
      <c r="B15" s="361" t="str">
        <f>Trans.1!D16</f>
        <v>MannKind Corp., Global Rights of Afrezza</v>
      </c>
      <c r="C15" s="576"/>
      <c r="D15" s="361" t="str">
        <f>'Capital IQ Sheet-STM'!AL17</f>
        <v>As of September 23, 2014, Global Rights of Afrezza of MannKind Corp. were acquired by Sanofi-Aventis Deutschland GmbH. MannKind Corp., Global Rights of Afrezza comprises licenses for development and commercialization of Afrezza Inhalation Powder for the treatment of diabetes.</v>
      </c>
    </row>
    <row r="16" spans="2:13" ht="177.75" customHeight="1">
      <c r="B16" s="361" t="str">
        <f>Trans.1!D17</f>
        <v>Santarus, Inc.</v>
      </c>
      <c r="C16" s="576"/>
      <c r="D16" s="361" t="str">
        <f>'Capital IQ Sheet-STM'!AL18</f>
        <v>Santarus, Inc., a specialty biopharmaceutical company, focuses on acquiring, developing, and commercializing proprietary products that address the needs of patients treated by physician specialists. The company offers UCERIS (budesonide) extended release tablets for the induction of remission in patients with active, mild to moderate ulcerative colitis; and ZEGERID (omeprazole/sodium bicarbonate) for the treatment of certain upper gastrointestinal disorders. It also provides GLUMETZA (metformin hydrochloride extended release tablets) and CYCLOSET (bromocriptine mesylate) tablets, which are indicated as adjuncts to diet and exercise to improve glycemic control in adults with type 2 diabetes; and FENOGLIDE (fenofibrate) tablets, which are indicated as an adjunct to diet to reduce high cholesterol. Santarus' product development pipeline includes the investigational drug RUCONEST (recombinant human C1 esterase inhibitor) for the treatment of acute angioedema attacks in patients with hereditary angioedema. It is also developing Rifamycin SV MMX, which is in Phase III clinical testing for the treatment of travelers' diarrhea. In addition, the company has completed a Phase I clinical program with SAN-300, an investigational monoclonal antibody. Santarus, Inc. was founded in 1996 and is headquartered in San Diego, California. As of December 31, 2013, Santarus, Inc. operates as a subsidiary of Salix Pharmaceuticals, Inc.</v>
      </c>
    </row>
    <row r="17" spans="2:4" ht="178.5" customHeight="1">
      <c r="B17" s="361" t="str">
        <f>Trans.1!D18</f>
        <v>Amylin Pharmaceuticals, LLC</v>
      </c>
      <c r="C17" s="576"/>
      <c r="D17" s="361" t="str">
        <f>'Capital IQ Sheet-STM'!AL19</f>
        <v>Amylin Pharmaceuticals, LLC, a biopharmaceutical company, engages in the discovery, development, and commercialization of drug candidates for the treatment of diabetes, obesity, and other diseases. The company offers BYDUREON (exenatide extended-release for injectable suspension), a once-weekly diabetes treatment as an adjunct to diet and exercise to improve glycemic control in adult patients with type 2 diabetes. Its products include BYETTA (exenatide) injection for the treatment of type 2 diabetes; and SYMLIN (pramlintide acetate) injection for the treatment of type 1 and type 2 diabetes. The company develops a dual chamber cartridge pen configuration of BYDUREON that allow patients to mix and administer BYDUREON from a pre-filled pen device. The company markets its products to healthcare providers, managed healthcare organizations, hospitals, wholesalers and pharmacies, government purchasers, and other third-party payers primarily in the United States. It has a collaboration agreement with Alkermes Controlled Therapeutics, Inc. II for the development, manufacture, and commercialization of BYDUREON; and a strategic relationship with Biocon, Limited, to develop pharmaceutical products for diabetes. The company was founded in 1987 and is headquartered in San Diego, California. Amylin Pharmaceuticals, LLC operates as a subsidiary of AstraZeneca PLC.</v>
      </c>
    </row>
    <row r="18" spans="2:4" ht="83.25" customHeight="1">
      <c r="B18" s="361" t="str">
        <f>Trans.1!D19</f>
        <v>DiaKine Therapeutics, Inc.</v>
      </c>
      <c r="C18" s="576"/>
      <c r="D18" s="361" t="str">
        <f>'Capital IQ Sheet-STM'!AL20</f>
        <v>DiaKine Therapeutics, Inc. develops and commercializes therapies for type 1 and type 2 diabetes, and related complications. The company develops immune anti-inflamatory modulators into therapies for preventing inflammatory damage to insulin producing cells in islets and blocking complications that result from diabetes. The company develops Lisofylline, a small-molecule drug that blocks the destructive and inflammatory actions of immune agents called cytokines. The company was incorporated in 2004 and is based in Norfolk, Virginia. As of March 14, 2012, DiaKine Therapeutics, Inc. operates as a subsidiary of Islet Sciences, Inc.</v>
      </c>
    </row>
    <row r="19" spans="2:4" ht="246" customHeight="1">
      <c r="B19" s="361" t="str">
        <f>Trans.1!D20</f>
        <v>Luye Pharma Group Ltd.</v>
      </c>
      <c r="C19" s="576"/>
      <c r="D19" s="361" t="str">
        <f>'Capital IQ Sheet-STM'!AL21</f>
        <v>Luye Pharma Group Ltd., an investment holding company, develops, produces, markets, and sells pharmaceutical products. The company offers Maitongna for cerebral edema and edema caused by trauma; Xuezhikang, a blood lipid regulator capsule; Tiandida for ovarian or non-small cell lung cancer; Yitaida for acute promyelocytic leukemia and liver cancer; CMNa for tumor radiotherapy; LIPUSU for ovarian, metastatic ovarian, breast, and non-small-cell lung cancer patient; Nuosen for acute upper digestive tract hemorrhage; Bei Tang Ning, a capsule to control blood glucose in patients with type 2 diabetes; Bei Xi, an acarbose capsule for diabetes; and LUTINGNUO, reduced glutathione injection for toxicity, and injuries caused by ionizing radiation, as well as for hypoxemia. It also provides Glucosamine Hydrochloride tablets for osteoarthritis; Xi Ming Ting largetrifoliolious bugbane rhizome total saponin tablets for invigorating splenic yang and relieving depression, and treating perimenopausal syndrome in females, as well as improving the symptoms of hot flashes, sweating, irritability, insomnia, hypochondriac pain, dizziness and tinnitus, aching pain of waist and knee, melancholy, unhappy, etc. In addition, the company provides Oukai sodium aescinate tablets for soft tissue swelling and venous edema; Oulai, a compound sodium aescinate gel for local swelling induced by inflammation, degenerative lesion, and trauma; Sidinuo for osteoporosis and relieving pain induced by osteoporosis; Outong, a capsaicin gel; and Jinsiping selegiline hydrochloride tablets for Parkinson’s disease. Further, it distributes, sells, and retails pharmaceutical drugs; manufactures and sells eggs; and provides business and investment consultation, as well as contract research, process development, and manufacturing services. The company has strategic collaboration with Excel BioPharm LLC. The company was founded in 1994 and is headquartered in Yantai, the People’s Republic of China.</v>
      </c>
    </row>
    <row r="20" spans="2:4" ht="72" customHeight="1">
      <c r="B20" s="361" t="str">
        <f>Trans.1!D21</f>
        <v>Marcadia Biotech, Inc.</v>
      </c>
      <c r="C20" s="576"/>
      <c r="D20" s="361" t="str">
        <f>'Capital IQ Sheet-STM'!AL22</f>
        <v>Marcadia Biotech, Inc. discovers, develops, and commercializes drug candidates and biopharmaceutical products for the treatment of diabetes, obesity, and metabolic diseases. It has a strategic collaboration with Merck &amp; Co., Inc. The company was formerly known as PhySci Pharmaceuticals, Inc. and changed its name to Marcadia Biotech, Inc. in 2006. The company was founded in 2005 and is based in Nutley, New Jersey. As of December 30, 2010, Marcadia Biotech, Inc. operates as a subsidiary of Roche Holding AG.</v>
      </c>
    </row>
    <row r="21" spans="2:4" ht="40.5" customHeight="1">
      <c r="B21" s="361" t="str">
        <f>Trans.1!D22</f>
        <v>Metabolex, Inc., MBX-2982 Novel Type 2 Diabetes Treatment Product Line</v>
      </c>
      <c r="C21" s="576"/>
      <c r="D21" s="361" t="str">
        <f>'Capital IQ Sheet-STM'!AL23</f>
        <v>Metabolex, Inc., MBX-2982 Novel Type 2 Diabetes Treatment Product Line comprises MBX-2982, a potent selective orally active GPR119 agonist for type 2 diabetes. Metabolex, Inc. is based in Hayward, California.</v>
      </c>
    </row>
    <row r="22" spans="2:4" hidden="1" outlineLevel="1">
      <c r="B22" s="361"/>
      <c r="C22" s="576"/>
      <c r="D22" s="361"/>
    </row>
    <row r="23" spans="2:4" hidden="1" outlineLevel="1">
      <c r="B23" s="361"/>
      <c r="C23" s="576"/>
      <c r="D23" s="361"/>
    </row>
    <row r="24" spans="2:4" hidden="1" outlineLevel="1">
      <c r="B24" s="361"/>
      <c r="C24" s="576"/>
      <c r="D24" s="361"/>
    </row>
    <row r="25" spans="2:4" hidden="1" outlineLevel="1">
      <c r="B25" s="361"/>
      <c r="C25" s="576"/>
      <c r="D25" s="361"/>
    </row>
    <row r="26" spans="2:4" hidden="1" outlineLevel="1">
      <c r="B26" s="361"/>
      <c r="C26" s="576"/>
      <c r="D26" s="361"/>
    </row>
    <row r="27" spans="2:4" hidden="1" outlineLevel="1">
      <c r="B27" s="361"/>
      <c r="C27" s="576"/>
      <c r="D27" s="361"/>
    </row>
    <row r="28" spans="2:4" hidden="1" outlineLevel="1">
      <c r="B28" s="361"/>
      <c r="C28" s="576"/>
      <c r="D28" s="361"/>
    </row>
    <row r="29" spans="2:4" hidden="1" outlineLevel="1">
      <c r="B29" s="361"/>
      <c r="C29" s="576"/>
      <c r="D29" s="361"/>
    </row>
    <row r="30" spans="2:4" hidden="1" outlineLevel="1">
      <c r="B30" s="361"/>
      <c r="C30" s="576"/>
      <c r="D30" s="361"/>
    </row>
    <row r="31" spans="2:4" hidden="1" outlineLevel="1">
      <c r="B31" s="361"/>
      <c r="C31" s="576"/>
      <c r="D31" s="361"/>
    </row>
    <row r="32" spans="2:4" hidden="1" outlineLevel="1">
      <c r="B32" s="361"/>
      <c r="C32" s="576"/>
      <c r="D32" s="361"/>
    </row>
    <row r="33" spans="2:4" hidden="1" outlineLevel="1">
      <c r="B33" s="361"/>
      <c r="C33" s="576"/>
      <c r="D33" s="361"/>
    </row>
    <row r="34" spans="2:4" hidden="1" outlineLevel="1">
      <c r="B34" s="361"/>
      <c r="C34" s="576"/>
      <c r="D34" s="361"/>
    </row>
    <row r="35" spans="2:4" collapsed="1">
      <c r="D35" s="120"/>
    </row>
    <row r="36" spans="2:4">
      <c r="B36" s="8" t="s">
        <v>46</v>
      </c>
      <c r="C36" s="8"/>
    </row>
  </sheetData>
  <conditionalFormatting sqref="B8:C34">
    <cfRule type="cellIs" dxfId="144" priority="8" operator="equal">
      <formula>"(Invalid Identifier)"</formula>
    </cfRule>
  </conditionalFormatting>
  <conditionalFormatting sqref="D4">
    <cfRule type="cellIs" dxfId="143" priority="2" stopIfTrue="1" operator="equal">
      <formula>"input"</formula>
    </cfRule>
  </conditionalFormatting>
  <conditionalFormatting sqref="D4">
    <cfRule type="cellIs" dxfId="142" priority="3" stopIfTrue="1" operator="equal">
      <formula>"input"</formula>
    </cfRule>
  </conditionalFormatting>
  <conditionalFormatting sqref="B4:C4">
    <cfRule type="cellIs" dxfId="141" priority="1" stopIfTrue="1" operator="equal">
      <formula>"input"</formula>
    </cfRule>
  </conditionalFormatting>
  <pageMargins left="0.5" right="0.5" top="0.5" bottom="0.5" header="0.5" footer="0.5"/>
  <pageSetup scale="99" fitToWidth="0" fitToHeight="0" orientation="landscape" r:id="rId1"/>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N47"/>
  <sheetViews>
    <sheetView showGridLines="0" view="pageBreakPreview" topLeftCell="A7" zoomScaleNormal="100" zoomScaleSheetLayoutView="100" workbookViewId="0">
      <selection activeCell="I9" sqref="I9"/>
    </sheetView>
  </sheetViews>
  <sheetFormatPr defaultColWidth="9.33203125" defaultRowHeight="12.75"/>
  <cols>
    <col min="1" max="1" width="4.5" style="310" customWidth="1"/>
    <col min="2" max="2" width="83.83203125" style="310" customWidth="1"/>
    <col min="3" max="3" width="2.83203125" style="310" customWidth="1"/>
    <col min="4" max="5" width="28.6640625" style="310" customWidth="1"/>
    <col min="6" max="6" width="4.5" style="310" customWidth="1"/>
    <col min="7" max="16384" width="9.33203125" style="310"/>
  </cols>
  <sheetData>
    <row r="1" spans="2:14" ht="13.5" thickBot="1"/>
    <row r="2" spans="2:14" ht="16.5" thickTop="1">
      <c r="B2" s="10" t="str">
        <f>'MASTER PubCo Inputs'!$C$5</f>
        <v>Hua Medicine</v>
      </c>
      <c r="C2" s="10"/>
      <c r="D2" s="10"/>
      <c r="E2" s="10"/>
    </row>
    <row r="3" spans="2:14" ht="15.75">
      <c r="B3" s="11" t="str">
        <f>VLOOKUP(B4,Outline!$E$8:$G$81,COLUMNS(Outline!$E$8:$G$8),FALSE)</f>
        <v>Exhibit F.3</v>
      </c>
      <c r="C3" s="11"/>
      <c r="D3" s="11"/>
      <c r="E3" s="11"/>
    </row>
    <row r="4" spans="2:14" ht="16.5" thickBot="1">
      <c r="B4" s="12" t="s">
        <v>3311</v>
      </c>
      <c r="C4" s="12"/>
      <c r="D4" s="13"/>
      <c r="E4" s="13" t="s">
        <v>3304</v>
      </c>
    </row>
    <row r="5" spans="2:14" s="16" customFormat="1" ht="13.5" thickTop="1">
      <c r="B5" s="310"/>
      <c r="C5" s="310"/>
      <c r="D5" s="72"/>
      <c r="E5" s="72"/>
      <c r="F5" s="310"/>
      <c r="G5" s="310"/>
      <c r="H5" s="310"/>
      <c r="I5" s="310"/>
      <c r="J5" s="310"/>
      <c r="K5" s="310"/>
      <c r="L5" s="310"/>
      <c r="M5" s="310"/>
      <c r="N5" s="310"/>
    </row>
    <row r="6" spans="2:14" s="16" customFormat="1">
      <c r="B6" s="310"/>
      <c r="C6" s="310"/>
      <c r="D6" s="310"/>
      <c r="E6" s="310"/>
      <c r="F6" s="310"/>
      <c r="G6" s="310"/>
      <c r="H6" s="310"/>
      <c r="I6" s="310"/>
      <c r="J6" s="310"/>
      <c r="K6" s="310"/>
      <c r="L6" s="310"/>
      <c r="M6" s="310"/>
      <c r="N6" s="310"/>
    </row>
    <row r="7" spans="2:14" s="16" customFormat="1">
      <c r="B7" s="1" t="s">
        <v>3301</v>
      </c>
      <c r="C7" s="310"/>
      <c r="D7" s="310"/>
      <c r="E7" s="310"/>
      <c r="F7" s="310"/>
      <c r="G7" s="310"/>
      <c r="H7" s="310"/>
      <c r="I7" s="310"/>
      <c r="J7" s="310"/>
      <c r="K7" s="310"/>
      <c r="L7" s="310"/>
      <c r="M7" s="310"/>
      <c r="N7" s="310"/>
    </row>
    <row r="8" spans="2:14" s="16" customFormat="1" ht="28.5" customHeight="1">
      <c r="B8" s="2608" t="s">
        <v>3352</v>
      </c>
      <c r="C8" s="2608"/>
      <c r="D8" s="2608"/>
      <c r="E8" s="2608"/>
      <c r="F8" s="310"/>
      <c r="G8" s="310"/>
      <c r="H8" s="310"/>
      <c r="I8" s="310"/>
      <c r="J8" s="310"/>
      <c r="K8" s="310"/>
      <c r="L8" s="310"/>
      <c r="M8" s="310"/>
      <c r="N8" s="310"/>
    </row>
    <row r="9" spans="2:14" s="16" customFormat="1">
      <c r="B9" s="310"/>
      <c r="C9" s="310"/>
      <c r="D9" s="310"/>
      <c r="E9" s="310"/>
      <c r="F9" s="310"/>
      <c r="G9" s="310"/>
      <c r="H9" s="310"/>
      <c r="I9" s="310"/>
      <c r="J9" s="310"/>
      <c r="K9" s="310"/>
      <c r="L9" s="310"/>
      <c r="M9" s="310"/>
      <c r="N9" s="310"/>
    </row>
    <row r="10" spans="2:14">
      <c r="B10" s="578" t="s">
        <v>3302</v>
      </c>
      <c r="C10" s="577"/>
      <c r="D10" s="2451" t="s">
        <v>151</v>
      </c>
      <c r="E10" s="2452" t="s">
        <v>153</v>
      </c>
    </row>
    <row r="11" spans="2:14" s="72" customFormat="1">
      <c r="B11" s="577"/>
      <c r="C11" s="577"/>
      <c r="D11" s="1428"/>
      <c r="E11" s="1428"/>
    </row>
    <row r="12" spans="2:14">
      <c r="B12" s="310" t="s">
        <v>3303</v>
      </c>
      <c r="D12" s="2448"/>
      <c r="E12" s="2448">
        <v>43208</v>
      </c>
    </row>
    <row r="13" spans="2:14">
      <c r="D13" s="2448"/>
      <c r="E13" s="2448"/>
    </row>
    <row r="14" spans="2:14">
      <c r="B14" s="310" t="s">
        <v>3309</v>
      </c>
      <c r="D14" s="2448"/>
      <c r="E14" s="2500">
        <v>12.4</v>
      </c>
    </row>
    <row r="15" spans="2:14">
      <c r="D15" s="2448"/>
      <c r="E15" s="2448"/>
    </row>
    <row r="16" spans="2:14">
      <c r="B16" s="310" t="s">
        <v>3306</v>
      </c>
      <c r="D16" s="255"/>
      <c r="E16" s="255"/>
    </row>
    <row r="17" spans="1:5">
      <c r="B17" s="2" t="s">
        <v>3305</v>
      </c>
      <c r="D17" s="2449">
        <f>250000/1000</f>
        <v>250</v>
      </c>
      <c r="E17" s="2453">
        <f>D17*$E$14</f>
        <v>3100</v>
      </c>
    </row>
    <row r="18" spans="1:5">
      <c r="B18" s="2" t="s">
        <v>3307</v>
      </c>
      <c r="D18" s="2449">
        <f>887096/1000</f>
        <v>887.096</v>
      </c>
      <c r="E18" s="2453">
        <f>D18*$E$14</f>
        <v>10999.990400000001</v>
      </c>
    </row>
    <row r="19" spans="1:5">
      <c r="B19" s="2" t="s">
        <v>3308</v>
      </c>
      <c r="D19" s="2449">
        <f>725807/1000</f>
        <v>725.80700000000002</v>
      </c>
      <c r="E19" s="2453">
        <f>D19*$E$14</f>
        <v>9000.006800000001</v>
      </c>
    </row>
    <row r="20" spans="1:5">
      <c r="B20" s="2402" t="s">
        <v>81</v>
      </c>
      <c r="C20" s="1"/>
      <c r="D20" s="2454">
        <f>SUM(D17:D19)</f>
        <v>1862.903</v>
      </c>
      <c r="E20" s="2454">
        <f>SUM(E17:E19)</f>
        <v>23099.997200000002</v>
      </c>
    </row>
    <row r="21" spans="1:5">
      <c r="D21" s="125"/>
      <c r="E21" s="125"/>
    </row>
    <row r="22" spans="1:5">
      <c r="A22" s="586"/>
      <c r="B22" s="310" t="str">
        <f>"Total Fully Diluted Share Count as of "&amp;TEXT('MASTER PubCo Inputs'!C6,"MM/DD/YY")&amp;""</f>
        <v>Total Fully Diluted Share Count as of 06/30/18</v>
      </c>
      <c r="C22" s="351" t="s">
        <v>127</v>
      </c>
      <c r="D22" s="2450">
        <f>'Cap Table'!O20</f>
        <v>62939.576973333336</v>
      </c>
    </row>
    <row r="23" spans="1:5">
      <c r="D23" s="125"/>
      <c r="E23" s="125"/>
    </row>
    <row r="24" spans="1:5">
      <c r="B24" s="8" t="s">
        <v>16</v>
      </c>
      <c r="D24" s="125"/>
      <c r="E24" s="125"/>
    </row>
    <row r="25" spans="1:5">
      <c r="A25" s="586" t="s">
        <v>128</v>
      </c>
      <c r="B25" s="310" t="s">
        <v>3310</v>
      </c>
      <c r="D25" s="125"/>
      <c r="E25" s="125"/>
    </row>
    <row r="26" spans="1:5">
      <c r="A26" s="586" t="s">
        <v>127</v>
      </c>
      <c r="B26" s="310" t="str">
        <f>"We have considered balance sheet dated "&amp;TEXT('Hist BS'!I8,"MM/DD/YY")&amp;" values and share count have been used as a placeholder for corresponding "&amp;TEXT(E12,"MM/DD/YY")&amp; " figures."</f>
        <v>We have considered balance sheet dated 06/30/18 values and share count have been used as a placeholder for corresponding 04/18/18 figures.</v>
      </c>
      <c r="D26" s="125"/>
      <c r="E26" s="125"/>
    </row>
    <row r="27" spans="1:5">
      <c r="D27" s="125"/>
      <c r="E27" s="125"/>
    </row>
    <row r="28" spans="1:5">
      <c r="D28" s="125"/>
      <c r="E28" s="125"/>
    </row>
    <row r="29" spans="1:5">
      <c r="D29" s="125"/>
      <c r="E29" s="125"/>
    </row>
    <row r="30" spans="1:5">
      <c r="D30" s="125"/>
      <c r="E30" s="125"/>
    </row>
    <row r="31" spans="1:5">
      <c r="D31" s="125"/>
      <c r="E31" s="125"/>
    </row>
    <row r="32" spans="1:5">
      <c r="D32" s="125"/>
      <c r="E32" s="125"/>
    </row>
    <row r="33" spans="4:5">
      <c r="D33" s="125"/>
      <c r="E33" s="125"/>
    </row>
    <row r="34" spans="4:5">
      <c r="D34" s="125"/>
      <c r="E34" s="125"/>
    </row>
    <row r="35" spans="4:5">
      <c r="D35" s="125"/>
      <c r="E35" s="125"/>
    </row>
    <row r="36" spans="4:5">
      <c r="D36" s="125"/>
      <c r="E36" s="125"/>
    </row>
    <row r="37" spans="4:5">
      <c r="D37" s="125"/>
      <c r="E37" s="125"/>
    </row>
    <row r="38" spans="4:5">
      <c r="D38" s="125"/>
      <c r="E38" s="125"/>
    </row>
    <row r="39" spans="4:5">
      <c r="D39" s="125"/>
      <c r="E39" s="125"/>
    </row>
    <row r="40" spans="4:5">
      <c r="D40" s="125"/>
      <c r="E40" s="125"/>
    </row>
    <row r="41" spans="4:5">
      <c r="D41" s="125"/>
      <c r="E41" s="125"/>
    </row>
    <row r="42" spans="4:5">
      <c r="D42" s="125"/>
      <c r="E42" s="125"/>
    </row>
    <row r="43" spans="4:5">
      <c r="D43" s="125"/>
      <c r="E43" s="125"/>
    </row>
    <row r="44" spans="4:5">
      <c r="D44" s="125"/>
      <c r="E44" s="125"/>
    </row>
    <row r="45" spans="4:5">
      <c r="D45" s="125"/>
      <c r="E45" s="125"/>
    </row>
    <row r="46" spans="4:5">
      <c r="D46" s="125"/>
      <c r="E46" s="125"/>
    </row>
    <row r="47" spans="4:5">
      <c r="D47" s="125"/>
      <c r="E47" s="125"/>
    </row>
  </sheetData>
  <mergeCells count="1">
    <mergeCell ref="B8:E8"/>
  </mergeCells>
  <conditionalFormatting sqref="C4">
    <cfRule type="cellIs" dxfId="140" priority="6" stopIfTrue="1" operator="equal">
      <formula>"input"</formula>
    </cfRule>
  </conditionalFormatting>
  <conditionalFormatting sqref="D4">
    <cfRule type="cellIs" dxfId="139" priority="4" stopIfTrue="1" operator="equal">
      <formula>"input"</formula>
    </cfRule>
  </conditionalFormatting>
  <conditionalFormatting sqref="D4">
    <cfRule type="cellIs" dxfId="138" priority="5" stopIfTrue="1" operator="equal">
      <formula>"input"</formula>
    </cfRule>
  </conditionalFormatting>
  <conditionalFormatting sqref="E4">
    <cfRule type="cellIs" dxfId="137" priority="2" stopIfTrue="1" operator="equal">
      <formula>"input"</formula>
    </cfRule>
  </conditionalFormatting>
  <conditionalFormatting sqref="E4">
    <cfRule type="cellIs" dxfId="136" priority="3" stopIfTrue="1" operator="equal">
      <formula>"input"</formula>
    </cfRule>
  </conditionalFormatting>
  <conditionalFormatting sqref="B4">
    <cfRule type="cellIs" dxfId="135" priority="1" stopIfTrue="1" operator="equal">
      <formula>"input"</formula>
    </cfRule>
  </conditionalFormatting>
  <pageMargins left="0.5" right="0.5" top="0.5" bottom="0.5" header="0.5" footer="0.5"/>
  <pageSetup fitToWidth="0" fitToHeight="0" orientation="landscape" r:id="rId1"/>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3" tint="-0.499984740745262"/>
    <pageSetUpPr fitToPage="1"/>
  </sheetPr>
  <dimension ref="B6:F30"/>
  <sheetViews>
    <sheetView showGridLines="0" view="pageBreakPreview" topLeftCell="A49" zoomScale="85" zoomScaleNormal="100" zoomScaleSheetLayoutView="85" workbookViewId="0">
      <selection activeCell="I9" sqref="I9"/>
    </sheetView>
  </sheetViews>
  <sheetFormatPr defaultColWidth="9.33203125" defaultRowHeight="15"/>
  <cols>
    <col min="1" max="1" width="4.5" style="222" customWidth="1"/>
    <col min="2" max="2" width="3.83203125" style="222" customWidth="1"/>
    <col min="3" max="3" width="15.83203125" style="222" customWidth="1"/>
    <col min="4" max="4" width="104.5" style="223" customWidth="1"/>
    <col min="5" max="5" width="15.83203125" style="222" customWidth="1"/>
    <col min="6" max="6" width="3.83203125" style="222" customWidth="1"/>
    <col min="7" max="7" width="4.5" style="222" customWidth="1"/>
    <col min="8" max="8" width="9.33203125" style="222"/>
    <col min="9" max="9" width="16.33203125" style="222" bestFit="1" customWidth="1"/>
    <col min="10" max="10" width="19" style="222" bestFit="1" customWidth="1"/>
    <col min="11" max="16384" width="9.33203125" style="222"/>
  </cols>
  <sheetData>
    <row r="6" spans="2:6">
      <c r="B6" s="224"/>
      <c r="C6" s="213"/>
      <c r="D6" s="214"/>
      <c r="E6" s="213"/>
      <c r="F6" s="213"/>
    </row>
    <row r="7" spans="2:6" ht="15.75" thickBot="1">
      <c r="B7" s="224"/>
      <c r="C7" s="213"/>
      <c r="D7" s="214"/>
      <c r="E7" s="213"/>
      <c r="F7" s="213"/>
    </row>
    <row r="8" spans="2:6" ht="15.75" thickTop="1">
      <c r="B8" s="14"/>
      <c r="C8" s="225"/>
      <c r="D8" s="226"/>
      <c r="E8" s="225"/>
      <c r="F8" s="225"/>
    </row>
    <row r="9" spans="2:6" s="227" customFormat="1" ht="40.5">
      <c r="B9" s="228"/>
      <c r="C9" s="229"/>
      <c r="D9" s="230" t="s">
        <v>279</v>
      </c>
      <c r="E9" s="229"/>
      <c r="F9" s="229"/>
    </row>
    <row r="10" spans="2:6" ht="15.75" thickBot="1">
      <c r="B10" s="217"/>
      <c r="C10" s="232"/>
      <c r="D10" s="233"/>
      <c r="E10" s="232"/>
      <c r="F10" s="232"/>
    </row>
    <row r="11" spans="2:6" ht="15.75" thickTop="1"/>
    <row r="13" spans="2:6" ht="18.75">
      <c r="D13" s="218"/>
    </row>
    <row r="14" spans="2:6" ht="18.75">
      <c r="D14" s="219"/>
    </row>
    <row r="27" spans="4:4" ht="23.25">
      <c r="D27" s="687" t="s">
        <v>576</v>
      </c>
    </row>
    <row r="29" spans="4:4" ht="18.75">
      <c r="D29" s="220" t="s">
        <v>414</v>
      </c>
    </row>
    <row r="30" spans="4:4" ht="37.5">
      <c r="D30" s="221" t="s">
        <v>269</v>
      </c>
    </row>
  </sheetData>
  <pageMargins left="0.5" right="0.5" top="0.5" bottom="0.5" header="0.5" footer="0.5"/>
  <pageSetup orientation="landscape"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A1:U46"/>
  <sheetViews>
    <sheetView showGridLines="0" view="pageBreakPreview" zoomScale="85" zoomScaleNormal="100" zoomScaleSheetLayoutView="85" workbookViewId="0">
      <selection activeCell="I9" sqref="I9"/>
    </sheetView>
  </sheetViews>
  <sheetFormatPr defaultColWidth="9.33203125" defaultRowHeight="12.75"/>
  <cols>
    <col min="1" max="1" width="4.5" style="310" customWidth="1"/>
    <col min="2" max="2" width="33.6640625" style="310" customWidth="1"/>
    <col min="3" max="3" width="3.83203125" style="310" customWidth="1"/>
    <col min="4" max="13" width="12.83203125" style="310" customWidth="1"/>
    <col min="14" max="14" width="2.83203125" style="310" customWidth="1"/>
    <col min="15" max="15" width="12.83203125" style="310" customWidth="1"/>
    <col min="16" max="16" width="4.5" style="310" customWidth="1"/>
    <col min="17" max="18" width="9.33203125" style="310"/>
    <col min="19" max="19" width="12.83203125" style="310" customWidth="1"/>
    <col min="20" max="16384" width="9.33203125" style="310"/>
  </cols>
  <sheetData>
    <row r="1" spans="2:16" ht="10.7" customHeight="1" thickBot="1"/>
    <row r="2" spans="2:16" ht="16.5" customHeight="1" thickTop="1">
      <c r="B2" s="10" t="str">
        <f>'MASTER PubCo Inputs'!$C$5</f>
        <v>Hua Medicine</v>
      </c>
      <c r="C2" s="10"/>
      <c r="D2" s="10"/>
      <c r="E2" s="10"/>
      <c r="F2" s="10"/>
      <c r="G2" s="10"/>
      <c r="H2" s="10"/>
      <c r="I2" s="10"/>
      <c r="J2" s="10"/>
      <c r="K2" s="10"/>
      <c r="L2" s="10"/>
      <c r="M2" s="10"/>
      <c r="N2" s="10"/>
      <c r="O2" s="10"/>
    </row>
    <row r="3" spans="2:16" ht="15.75" customHeight="1">
      <c r="B3" s="11" t="str">
        <f>VLOOKUP(B4,Outline!$E$8:$G$81,COLUMNS(Outline!$E$8:$G$8),FALSE)</f>
        <v>Exhibit G.1</v>
      </c>
      <c r="C3" s="11"/>
      <c r="D3" s="11"/>
      <c r="E3" s="11"/>
      <c r="F3" s="11"/>
      <c r="G3" s="11"/>
      <c r="H3" s="11"/>
      <c r="I3" s="11"/>
      <c r="J3" s="11"/>
      <c r="K3" s="11"/>
      <c r="L3" s="11"/>
      <c r="M3" s="11"/>
      <c r="N3" s="11"/>
      <c r="O3" s="11"/>
    </row>
    <row r="4" spans="2:16" ht="16.5" customHeight="1" thickBot="1">
      <c r="B4" s="12" t="s">
        <v>438</v>
      </c>
      <c r="C4" s="12"/>
      <c r="D4" s="12"/>
      <c r="E4" s="12"/>
      <c r="F4" s="12"/>
      <c r="G4" s="12"/>
      <c r="H4" s="12"/>
      <c r="I4" s="12"/>
      <c r="J4" s="12"/>
      <c r="K4" s="12"/>
      <c r="L4" s="12"/>
      <c r="M4" s="12"/>
      <c r="N4" s="13"/>
      <c r="O4" s="13" t="str">
        <f>+'MASTER PubCo Inputs'!$C$20</f>
        <v>(in thousands of USD and shares, except price per share)</v>
      </c>
    </row>
    <row r="5" spans="2:16" s="16" customFormat="1" ht="12.75" customHeight="1" thickTop="1">
      <c r="B5" s="310"/>
      <c r="C5" s="310"/>
      <c r="D5" s="310"/>
      <c r="E5" s="310"/>
      <c r="F5" s="310"/>
      <c r="G5" s="310"/>
      <c r="H5" s="310"/>
      <c r="I5" s="310"/>
      <c r="J5" s="310"/>
      <c r="K5" s="310"/>
      <c r="L5" s="310"/>
      <c r="M5" s="310"/>
      <c r="N5" s="310"/>
      <c r="O5" s="310"/>
      <c r="P5" s="310"/>
    </row>
    <row r="6" spans="2:16" ht="12.75" customHeight="1"/>
    <row r="7" spans="2:16" s="6" customFormat="1" ht="25.5">
      <c r="B7" s="293" t="s">
        <v>461</v>
      </c>
      <c r="D7" s="477" t="s">
        <v>301</v>
      </c>
      <c r="E7" s="455" t="s">
        <v>302</v>
      </c>
      <c r="F7" s="455" t="s">
        <v>1543</v>
      </c>
      <c r="G7" s="455" t="s">
        <v>1544</v>
      </c>
      <c r="H7" s="455" t="s">
        <v>1455</v>
      </c>
      <c r="I7" s="455" t="s">
        <v>1456</v>
      </c>
      <c r="J7" s="455" t="s">
        <v>1457</v>
      </c>
      <c r="K7" s="455" t="s">
        <v>1458</v>
      </c>
      <c r="L7" s="455" t="s">
        <v>315</v>
      </c>
      <c r="M7" s="456" t="s">
        <v>116</v>
      </c>
      <c r="N7" s="260"/>
      <c r="O7" s="478" t="s">
        <v>81</v>
      </c>
    </row>
    <row r="8" spans="2:16" ht="12.75" customHeight="1">
      <c r="D8" s="247"/>
      <c r="E8" s="247"/>
      <c r="F8" s="247"/>
      <c r="G8" s="247"/>
      <c r="H8" s="586" t="s">
        <v>144</v>
      </c>
      <c r="I8" s="586" t="s">
        <v>144</v>
      </c>
      <c r="J8" s="247"/>
      <c r="K8" s="247"/>
      <c r="L8" s="247"/>
      <c r="M8" s="247"/>
    </row>
    <row r="9" spans="2:16" ht="12.75" customHeight="1">
      <c r="B9" s="72" t="s">
        <v>1397</v>
      </c>
      <c r="D9" s="247">
        <f>'Cayman Consolidated_June'!E55/1000</f>
        <v>5499.9989999999998</v>
      </c>
      <c r="E9" s="2031">
        <f>'Cayman Consolidated_June'!F55/1000</f>
        <v>20916.409</v>
      </c>
      <c r="F9" s="2031">
        <f>'Series B'!B14/1000</f>
        <v>3571.4279999999999</v>
      </c>
      <c r="G9" s="2031">
        <f>'Series B'!B31/1000</f>
        <v>3571.4290000000001</v>
      </c>
      <c r="H9" s="2031">
        <f>'Cayman Consolidated'!J52/1000</f>
        <v>2384.889986666667</v>
      </c>
      <c r="I9" s="2031">
        <f>('Cayman Consolidated'!M52-'Cayman Consolidated'!J52)/1000</f>
        <v>2384.889986666667</v>
      </c>
      <c r="J9" s="247">
        <f>'Cayman Consolidated_June'!W55/1000</f>
        <v>2646.0859999999998</v>
      </c>
      <c r="K9" s="247">
        <f>'Cayman Consolidated_June'!AF55/1000</f>
        <v>1852.702</v>
      </c>
      <c r="L9" s="247">
        <f>'Cayman Consolidated_June'!AL55/1000</f>
        <v>5064.8329999999996</v>
      </c>
      <c r="M9" s="247">
        <f>'Cayman Consolidated_June'!B55/1000</f>
        <v>7451.1540000000005</v>
      </c>
      <c r="O9" s="311">
        <f>SUM(D9:M9)</f>
        <v>55343.819973333339</v>
      </c>
    </row>
    <row r="10" spans="2:16" ht="12.75" customHeight="1">
      <c r="B10" s="5"/>
      <c r="C10" s="5"/>
      <c r="D10" s="5"/>
      <c r="E10" s="5"/>
      <c r="F10" s="5"/>
      <c r="G10" s="5"/>
      <c r="H10" s="5"/>
      <c r="I10" s="5"/>
      <c r="J10" s="5"/>
      <c r="K10" s="5"/>
      <c r="L10" s="5"/>
      <c r="M10" s="5"/>
      <c r="O10" s="5"/>
    </row>
    <row r="11" spans="2:16" ht="12.75" customHeight="1">
      <c r="B11" s="152" t="s">
        <v>81</v>
      </c>
      <c r="D11" s="36">
        <f t="shared" ref="D11:M11" si="0">SUM(D9:D9)</f>
        <v>5499.9989999999998</v>
      </c>
      <c r="E11" s="36">
        <f t="shared" si="0"/>
        <v>20916.409</v>
      </c>
      <c r="F11" s="36">
        <f t="shared" si="0"/>
        <v>3571.4279999999999</v>
      </c>
      <c r="G11" s="36">
        <f t="shared" si="0"/>
        <v>3571.4290000000001</v>
      </c>
      <c r="H11" s="36">
        <f t="shared" si="0"/>
        <v>2384.889986666667</v>
      </c>
      <c r="I11" s="36">
        <f t="shared" si="0"/>
        <v>2384.889986666667</v>
      </c>
      <c r="J11" s="36">
        <f t="shared" si="0"/>
        <v>2646.0859999999998</v>
      </c>
      <c r="K11" s="36">
        <f t="shared" si="0"/>
        <v>1852.702</v>
      </c>
      <c r="L11" s="36">
        <f t="shared" si="0"/>
        <v>5064.8329999999996</v>
      </c>
      <c r="M11" s="36">
        <f t="shared" si="0"/>
        <v>7451.1540000000005</v>
      </c>
      <c r="O11" s="36">
        <f>SUM(O9:O9)</f>
        <v>55343.819973333339</v>
      </c>
    </row>
    <row r="12" spans="2:16" ht="12.75" customHeight="1"/>
    <row r="13" spans="2:16" ht="12.75" customHeight="1">
      <c r="B13" s="2" t="s">
        <v>182</v>
      </c>
      <c r="D13" s="981">
        <v>0</v>
      </c>
      <c r="E13" s="981">
        <v>0</v>
      </c>
      <c r="F13" s="981">
        <v>0</v>
      </c>
      <c r="G13" s="981">
        <v>0</v>
      </c>
      <c r="H13" s="981">
        <v>0</v>
      </c>
      <c r="I13" s="981">
        <v>0</v>
      </c>
      <c r="J13" s="981">
        <v>0</v>
      </c>
      <c r="K13" s="981">
        <v>0</v>
      </c>
      <c r="L13" s="981">
        <v>0</v>
      </c>
      <c r="M13" s="302">
        <f>SUM(D24:D31)</f>
        <v>7100.8919999999998</v>
      </c>
      <c r="O13" s="311">
        <f>M13</f>
        <v>7100.8919999999998</v>
      </c>
    </row>
    <row r="14" spans="2:16" ht="12.75" customHeight="1">
      <c r="B14" s="2" t="s">
        <v>183</v>
      </c>
      <c r="D14" s="981">
        <v>0</v>
      </c>
      <c r="E14" s="981">
        <v>0</v>
      </c>
      <c r="F14" s="981">
        <v>0</v>
      </c>
      <c r="G14" s="981">
        <v>0</v>
      </c>
      <c r="H14" s="981">
        <v>0</v>
      </c>
      <c r="I14" s="981">
        <v>0</v>
      </c>
      <c r="J14" s="981">
        <v>0</v>
      </c>
      <c r="K14" s="981">
        <v>0</v>
      </c>
      <c r="L14" s="981">
        <v>0</v>
      </c>
      <c r="M14" s="302">
        <f>D32</f>
        <v>494.86500000000001</v>
      </c>
      <c r="O14" s="311">
        <f>M14</f>
        <v>494.86500000000001</v>
      </c>
    </row>
    <row r="15" spans="2:16" ht="12.75" customHeight="1">
      <c r="B15" s="5"/>
      <c r="C15" s="5"/>
      <c r="D15" s="5"/>
      <c r="E15" s="5"/>
      <c r="F15" s="5"/>
      <c r="G15" s="5"/>
      <c r="H15" s="5"/>
      <c r="I15" s="5"/>
      <c r="J15" s="5"/>
      <c r="K15" s="5"/>
      <c r="L15" s="5"/>
      <c r="M15" s="5"/>
      <c r="O15" s="5"/>
    </row>
    <row r="16" spans="2:16" ht="12.75" customHeight="1">
      <c r="B16" s="152" t="s">
        <v>184</v>
      </c>
      <c r="D16" s="36">
        <f t="shared" ref="D16:M16" si="1">SUM(D11:D14)</f>
        <v>5499.9989999999998</v>
      </c>
      <c r="E16" s="36">
        <f t="shared" si="1"/>
        <v>20916.409</v>
      </c>
      <c r="F16" s="36">
        <f t="shared" si="1"/>
        <v>3571.4279999999999</v>
      </c>
      <c r="G16" s="36">
        <f t="shared" si="1"/>
        <v>3571.4290000000001</v>
      </c>
      <c r="H16" s="36">
        <f t="shared" si="1"/>
        <v>2384.889986666667</v>
      </c>
      <c r="I16" s="36">
        <f t="shared" si="1"/>
        <v>2384.889986666667</v>
      </c>
      <c r="J16" s="36">
        <f t="shared" si="1"/>
        <v>2646.0859999999998</v>
      </c>
      <c r="K16" s="36">
        <f t="shared" si="1"/>
        <v>1852.702</v>
      </c>
      <c r="L16" s="36">
        <f t="shared" si="1"/>
        <v>5064.8329999999996</v>
      </c>
      <c r="M16" s="36">
        <f t="shared" si="1"/>
        <v>15046.911</v>
      </c>
      <c r="O16" s="36">
        <f>SUM(O11:O14)</f>
        <v>62939.576973333336</v>
      </c>
    </row>
    <row r="17" spans="2:21" ht="12.75" customHeight="1"/>
    <row r="18" spans="2:21" ht="12.75" customHeight="1">
      <c r="B18" s="37" t="s">
        <v>185</v>
      </c>
      <c r="D18" s="153">
        <v>1</v>
      </c>
      <c r="E18" s="153">
        <v>1</v>
      </c>
      <c r="F18" s="153">
        <v>1</v>
      </c>
      <c r="G18" s="153">
        <v>1</v>
      </c>
      <c r="H18" s="153">
        <v>1</v>
      </c>
      <c r="I18" s="153">
        <v>1</v>
      </c>
      <c r="J18" s="153">
        <v>1</v>
      </c>
      <c r="K18" s="153">
        <v>1</v>
      </c>
      <c r="L18" s="153">
        <v>1</v>
      </c>
      <c r="M18" s="153">
        <v>1</v>
      </c>
    </row>
    <row r="19" spans="2:21" ht="12.75" customHeight="1"/>
    <row r="20" spans="2:21" ht="12.75" customHeight="1">
      <c r="B20" s="294" t="s">
        <v>186</v>
      </c>
      <c r="C20" s="295"/>
      <c r="D20" s="296">
        <f t="shared" ref="D20:M20" si="2">D16*D18</f>
        <v>5499.9989999999998</v>
      </c>
      <c r="E20" s="296">
        <f t="shared" si="2"/>
        <v>20916.409</v>
      </c>
      <c r="F20" s="296">
        <f t="shared" si="2"/>
        <v>3571.4279999999999</v>
      </c>
      <c r="G20" s="296">
        <f>G16*G18</f>
        <v>3571.4290000000001</v>
      </c>
      <c r="H20" s="296">
        <f t="shared" si="2"/>
        <v>2384.889986666667</v>
      </c>
      <c r="I20" s="296">
        <f>I16*I18</f>
        <v>2384.889986666667</v>
      </c>
      <c r="J20" s="296">
        <f t="shared" si="2"/>
        <v>2646.0859999999998</v>
      </c>
      <c r="K20" s="296">
        <f>K16*K18</f>
        <v>1852.702</v>
      </c>
      <c r="L20" s="296">
        <f t="shared" si="2"/>
        <v>5064.8329999999996</v>
      </c>
      <c r="M20" s="684">
        <f t="shared" si="2"/>
        <v>15046.911</v>
      </c>
      <c r="O20" s="297">
        <f>SUM(D20:M20)</f>
        <v>62939.576973333336</v>
      </c>
    </row>
    <row r="21" spans="2:21" ht="12.75" customHeight="1"/>
    <row r="22" spans="2:21" ht="12.75" customHeight="1">
      <c r="B22" s="298" t="s">
        <v>1545</v>
      </c>
      <c r="C22" s="299"/>
      <c r="D22" s="299"/>
      <c r="E22" s="300"/>
      <c r="I22" s="1621"/>
      <c r="L22" s="1621"/>
      <c r="M22" s="1121"/>
      <c r="N22" s="139"/>
      <c r="U22" s="311">
        <f>O9-'Cayman Consolidated_June'!AQ55/1000</f>
        <v>-2.6666661142371595E-5</v>
      </c>
    </row>
    <row r="23" spans="2:21">
      <c r="B23" s="248"/>
      <c r="C23" s="16"/>
      <c r="D23" s="154" t="s">
        <v>575</v>
      </c>
      <c r="E23" s="252" t="s">
        <v>12</v>
      </c>
      <c r="I23" s="1621"/>
      <c r="J23" s="1621"/>
      <c r="K23" s="1621"/>
      <c r="L23" s="1621"/>
      <c r="N23" s="139"/>
      <c r="R23" s="310" t="s">
        <v>3028</v>
      </c>
      <c r="S23" s="310" t="s">
        <v>402</v>
      </c>
    </row>
    <row r="24" spans="2:21" ht="12.75" customHeight="1">
      <c r="B24" s="580" t="str">
        <f t="shared" ref="B24:B31" si="3">"Options at " &amp;TEXT(E24,"$0.00") &amp; " Strike Price"</f>
        <v>Options at $1.00 Strike Price</v>
      </c>
      <c r="C24" s="16"/>
      <c r="D24" s="249">
        <f>'ESOP All_June'!U116/1000</f>
        <v>1948.865</v>
      </c>
      <c r="E24" s="581">
        <f>统计!D5</f>
        <v>1</v>
      </c>
      <c r="G24" s="7"/>
      <c r="H24" s="2037"/>
      <c r="L24" s="2037"/>
      <c r="N24" s="139"/>
      <c r="Q24" s="581">
        <f t="shared" ref="Q24:Q29" si="4">E24</f>
        <v>1</v>
      </c>
      <c r="R24" s="249">
        <v>1948.865</v>
      </c>
      <c r="S24" s="2037">
        <f t="shared" ref="S24:S31" si="5">D24-R24</f>
        <v>0</v>
      </c>
    </row>
    <row r="25" spans="2:21" ht="12.75" customHeight="1">
      <c r="B25" s="580" t="str">
        <f t="shared" si="3"/>
        <v>Options at $3.50 Strike Price</v>
      </c>
      <c r="C25" s="16"/>
      <c r="D25" s="249">
        <f>'ESOP All_June'!U117/1000</f>
        <v>960</v>
      </c>
      <c r="E25" s="581">
        <f>统计!D6</f>
        <v>3.5</v>
      </c>
      <c r="G25" s="7"/>
      <c r="H25" s="2037"/>
      <c r="L25" s="2397"/>
      <c r="N25" s="139"/>
      <c r="Q25" s="581">
        <f t="shared" si="4"/>
        <v>3.5</v>
      </c>
      <c r="R25" s="249">
        <v>890</v>
      </c>
      <c r="S25" s="2037">
        <f t="shared" si="5"/>
        <v>70</v>
      </c>
    </row>
    <row r="26" spans="2:21" ht="12.75" customHeight="1">
      <c r="B26" s="580" t="str">
        <f t="shared" si="3"/>
        <v>Options at $3.70 Strike Price</v>
      </c>
      <c r="C26" s="16"/>
      <c r="D26" s="249">
        <f>'ESOP All_June'!U118/1000</f>
        <v>1201.357</v>
      </c>
      <c r="E26" s="581">
        <f>统计!D7</f>
        <v>3.7</v>
      </c>
      <c r="G26" s="7"/>
      <c r="H26" s="2037"/>
      <c r="N26" s="139"/>
      <c r="Q26" s="581">
        <f t="shared" si="4"/>
        <v>3.7</v>
      </c>
      <c r="R26" s="249">
        <v>0</v>
      </c>
      <c r="S26" s="2037">
        <f t="shared" si="5"/>
        <v>1201.357</v>
      </c>
    </row>
    <row r="27" spans="2:21" ht="12.75" customHeight="1">
      <c r="B27" s="580" t="str">
        <f t="shared" si="3"/>
        <v>Options at $4.00 Strike Price</v>
      </c>
      <c r="C27" s="16"/>
      <c r="D27" s="249">
        <f>'ESOP All_June'!U119/1000</f>
        <v>70</v>
      </c>
      <c r="E27" s="581">
        <f>统计!D8</f>
        <v>4</v>
      </c>
      <c r="G27" s="7"/>
      <c r="H27" s="2037"/>
      <c r="N27" s="139"/>
      <c r="Q27" s="581">
        <f t="shared" si="4"/>
        <v>4</v>
      </c>
      <c r="R27" s="249">
        <v>70</v>
      </c>
      <c r="S27" s="2037">
        <f t="shared" si="5"/>
        <v>0</v>
      </c>
    </row>
    <row r="28" spans="2:21" ht="12.75" customHeight="1">
      <c r="B28" s="580" t="str">
        <f t="shared" si="3"/>
        <v>Options at $6.00 Strike Price</v>
      </c>
      <c r="C28" s="16"/>
      <c r="D28" s="249">
        <f>'ESOP All_June'!U120/1000</f>
        <v>75</v>
      </c>
      <c r="E28" s="581">
        <f>统计!D9</f>
        <v>6</v>
      </c>
      <c r="G28" s="7"/>
      <c r="H28" s="2037"/>
      <c r="N28" s="139"/>
      <c r="Q28" s="581">
        <f t="shared" si="4"/>
        <v>6</v>
      </c>
      <c r="R28" s="249">
        <v>75</v>
      </c>
      <c r="S28" s="2037">
        <f t="shared" si="5"/>
        <v>0</v>
      </c>
    </row>
    <row r="29" spans="2:21" ht="12.75" customHeight="1">
      <c r="B29" s="580" t="str">
        <f t="shared" si="3"/>
        <v>Options at $7.00 Strike Price</v>
      </c>
      <c r="C29" s="16"/>
      <c r="D29" s="249">
        <f>'ESOP All_June'!U121/1000</f>
        <v>2739.67</v>
      </c>
      <c r="E29" s="581">
        <f>统计!D10</f>
        <v>7</v>
      </c>
      <c r="G29" s="7"/>
      <c r="H29" s="2037"/>
      <c r="N29" s="139"/>
      <c r="Q29" s="581">
        <f t="shared" si="4"/>
        <v>7</v>
      </c>
      <c r="R29" s="249">
        <v>508</v>
      </c>
      <c r="S29" s="2037">
        <f t="shared" si="5"/>
        <v>2231.67</v>
      </c>
    </row>
    <row r="30" spans="2:21" ht="12.75" customHeight="1">
      <c r="B30" s="580" t="str">
        <f t="shared" si="3"/>
        <v>Options at $10.00 Strike Price</v>
      </c>
      <c r="C30" s="16"/>
      <c r="D30" s="249">
        <f>'ESOP All_June'!U122/1000</f>
        <v>100</v>
      </c>
      <c r="E30" s="581">
        <f>统计!D11</f>
        <v>10</v>
      </c>
      <c r="G30" s="7"/>
      <c r="H30" s="2037"/>
      <c r="N30" s="139"/>
      <c r="Q30" s="581">
        <v>10</v>
      </c>
      <c r="R30" s="249">
        <f>'ESOP All_March'!P94/1000</f>
        <v>100</v>
      </c>
      <c r="S30" s="2037">
        <f t="shared" si="5"/>
        <v>0</v>
      </c>
    </row>
    <row r="31" spans="2:21" ht="12.75" customHeight="1">
      <c r="B31" s="580" t="str">
        <f t="shared" si="3"/>
        <v>Options at $11.00 Strike Price</v>
      </c>
      <c r="C31" s="16"/>
      <c r="D31" s="249">
        <f>'ESOP All_June'!U123/1000</f>
        <v>6</v>
      </c>
      <c r="E31" s="581">
        <f>统计!D12</f>
        <v>11</v>
      </c>
      <c r="G31" s="7"/>
      <c r="H31" s="2037"/>
      <c r="N31" s="139"/>
      <c r="Q31" s="581">
        <v>10</v>
      </c>
      <c r="R31" s="249">
        <v>0</v>
      </c>
      <c r="S31" s="2037">
        <f t="shared" si="5"/>
        <v>6</v>
      </c>
    </row>
    <row r="32" spans="2:21" ht="12.75" customHeight="1">
      <c r="B32" s="580" t="s">
        <v>2562</v>
      </c>
      <c r="C32" s="253" t="s">
        <v>127</v>
      </c>
      <c r="D32" s="2602">
        <f>统计!B23/1000</f>
        <v>494.86500000000001</v>
      </c>
      <c r="E32" s="685">
        <f>'Val Summ'!J11</f>
        <v>7.28</v>
      </c>
      <c r="G32" s="7"/>
      <c r="H32" s="2037"/>
      <c r="K32" s="785"/>
      <c r="N32" s="139"/>
      <c r="Q32" s="310" t="s">
        <v>2184</v>
      </c>
      <c r="R32" s="249">
        <v>2232.8919999999998</v>
      </c>
      <c r="S32" s="2037">
        <f>D32-R32</f>
        <v>-1738.0269999999998</v>
      </c>
    </row>
    <row r="33" spans="1:16" ht="12.75" customHeight="1">
      <c r="B33" s="250"/>
      <c r="C33" s="5"/>
      <c r="D33" s="251"/>
      <c r="E33" s="142"/>
      <c r="N33" s="139"/>
    </row>
    <row r="34" spans="1:16" ht="12.75" customHeight="1">
      <c r="B34" s="1137" t="s">
        <v>81</v>
      </c>
      <c r="C34" s="16"/>
      <c r="D34" s="36">
        <f>SUM(D24:D32)</f>
        <v>7595.7569999999996</v>
      </c>
      <c r="E34" s="144"/>
      <c r="F34" s="144"/>
      <c r="G34" s="144"/>
      <c r="H34" s="144"/>
      <c r="I34" s="144"/>
      <c r="N34" s="139"/>
    </row>
    <row r="35" spans="1:16" ht="12.75" customHeight="1">
      <c r="D35" s="2022"/>
      <c r="E35" s="2022"/>
      <c r="F35" s="2022"/>
      <c r="G35" s="2022"/>
      <c r="H35" s="2022"/>
      <c r="I35" s="2022"/>
      <c r="J35" s="2022"/>
      <c r="K35" s="2022"/>
      <c r="L35" s="2022"/>
      <c r="M35" s="2022"/>
      <c r="N35" s="139"/>
    </row>
    <row r="36" spans="1:16" ht="12.75" customHeight="1">
      <c r="B36" s="8" t="s">
        <v>16</v>
      </c>
    </row>
    <row r="37" spans="1:16" ht="12.75" customHeight="1">
      <c r="A37" s="586" t="s">
        <v>128</v>
      </c>
      <c r="B37" s="593" t="s">
        <v>633</v>
      </c>
    </row>
    <row r="38" spans="1:16" ht="12.75" customHeight="1">
      <c r="A38" s="586" t="s">
        <v>127</v>
      </c>
      <c r="B38" s="593" t="s">
        <v>3055</v>
      </c>
      <c r="C38" s="72"/>
      <c r="D38" s="72"/>
      <c r="E38" s="72"/>
      <c r="F38" s="72"/>
      <c r="G38" s="72"/>
      <c r="H38" s="72"/>
      <c r="I38" s="72"/>
      <c r="J38" s="72"/>
      <c r="K38" s="72"/>
    </row>
    <row r="39" spans="1:16" ht="39.950000000000003" customHeight="1">
      <c r="A39" s="2501" t="s">
        <v>144</v>
      </c>
      <c r="B39" s="2609" t="s">
        <v>3384</v>
      </c>
      <c r="C39" s="2609"/>
      <c r="D39" s="2609"/>
      <c r="E39" s="2609"/>
      <c r="F39" s="2609"/>
      <c r="G39" s="2609"/>
      <c r="H39" s="2609"/>
      <c r="I39" s="2609"/>
      <c r="J39" s="2609"/>
      <c r="K39" s="2609"/>
      <c r="L39" s="2609"/>
      <c r="M39" s="2609"/>
      <c r="N39" s="2609"/>
      <c r="O39" s="2609"/>
      <c r="P39" s="72"/>
    </row>
    <row r="40" spans="1:16" ht="12.75" customHeight="1"/>
    <row r="41" spans="1:16" ht="12.75" customHeight="1">
      <c r="B41" s="310" t="s">
        <v>2907</v>
      </c>
      <c r="D41" s="2038">
        <v>5499.9989999999998</v>
      </c>
      <c r="E41" s="2038">
        <v>20916.409</v>
      </c>
      <c r="F41" s="2038">
        <v>3571.4279999999999</v>
      </c>
      <c r="G41" s="2038">
        <v>3571.4290000000001</v>
      </c>
      <c r="H41" s="2038">
        <v>2384.889986666667</v>
      </c>
      <c r="I41" s="2038">
        <v>2384.889986666667</v>
      </c>
      <c r="J41" s="2038">
        <v>2646.0859999999998</v>
      </c>
      <c r="K41" s="2038">
        <v>1852.702</v>
      </c>
      <c r="L41" s="2038">
        <v>5079.8689999999997</v>
      </c>
      <c r="M41" s="2038">
        <v>7426.1540000000005</v>
      </c>
    </row>
    <row r="42" spans="1:16" ht="12.75" customHeight="1">
      <c r="B42" s="310" t="s">
        <v>402</v>
      </c>
      <c r="D42" s="2037">
        <f>D$9-D41</f>
        <v>0</v>
      </c>
      <c r="E42" s="2037">
        <f t="shared" ref="E42:M42" si="6">E$9-E41</f>
        <v>0</v>
      </c>
      <c r="F42" s="2037">
        <f t="shared" si="6"/>
        <v>0</v>
      </c>
      <c r="G42" s="2037">
        <f t="shared" si="6"/>
        <v>0</v>
      </c>
      <c r="H42" s="2037">
        <f t="shared" si="6"/>
        <v>0</v>
      </c>
      <c r="I42" s="2037">
        <f t="shared" si="6"/>
        <v>0</v>
      </c>
      <c r="J42" s="2037">
        <f t="shared" si="6"/>
        <v>0</v>
      </c>
      <c r="K42" s="2037">
        <f t="shared" si="6"/>
        <v>0</v>
      </c>
      <c r="L42" s="2037">
        <f t="shared" si="6"/>
        <v>-15.036000000000058</v>
      </c>
      <c r="M42" s="2037">
        <f t="shared" si="6"/>
        <v>25</v>
      </c>
    </row>
    <row r="43" spans="1:16" ht="12.75" customHeight="1"/>
    <row r="44" spans="1:16">
      <c r="D44" s="2038">
        <v>5499.9989999999998</v>
      </c>
      <c r="E44" s="2038">
        <v>20916.409</v>
      </c>
      <c r="F44" s="2038">
        <v>3571.4279999999999</v>
      </c>
      <c r="G44" s="2038">
        <v>3571.4290000000001</v>
      </c>
      <c r="H44" s="2038">
        <v>2384.889986666667</v>
      </c>
      <c r="I44" s="2038">
        <v>2384.889986666667</v>
      </c>
      <c r="J44" s="2038">
        <v>2646.0859999999998</v>
      </c>
      <c r="K44" s="2038">
        <v>1852.702</v>
      </c>
      <c r="L44" s="2038">
        <v>5064.8329999999996</v>
      </c>
      <c r="M44" s="2038">
        <v>7426.1540000000005</v>
      </c>
    </row>
    <row r="45" spans="1:16">
      <c r="B45" s="310" t="s">
        <v>402</v>
      </c>
      <c r="D45" s="2037">
        <f t="shared" ref="D45:M45" si="7">D$9-D44</f>
        <v>0</v>
      </c>
      <c r="E45" s="2037">
        <f t="shared" si="7"/>
        <v>0</v>
      </c>
      <c r="F45" s="2037">
        <f t="shared" si="7"/>
        <v>0</v>
      </c>
      <c r="G45" s="2037">
        <f t="shared" si="7"/>
        <v>0</v>
      </c>
      <c r="H45" s="2037">
        <f t="shared" si="7"/>
        <v>0</v>
      </c>
      <c r="I45" s="2037">
        <f t="shared" si="7"/>
        <v>0</v>
      </c>
      <c r="J45" s="2037">
        <f t="shared" si="7"/>
        <v>0</v>
      </c>
      <c r="K45" s="2037">
        <f t="shared" si="7"/>
        <v>0</v>
      </c>
      <c r="L45" s="2037">
        <f t="shared" si="7"/>
        <v>0</v>
      </c>
      <c r="M45" s="2037">
        <f t="shared" si="7"/>
        <v>25</v>
      </c>
    </row>
    <row r="46" spans="1:16">
      <c r="H46" s="310">
        <v>-1242.1308390170275</v>
      </c>
    </row>
  </sheetData>
  <mergeCells count="1">
    <mergeCell ref="B39:O39"/>
  </mergeCells>
  <conditionalFormatting sqref="B4:M4">
    <cfRule type="cellIs" dxfId="134" priority="7" stopIfTrue="1" operator="equal">
      <formula>"input"</formula>
    </cfRule>
  </conditionalFormatting>
  <conditionalFormatting sqref="N4">
    <cfRule type="cellIs" dxfId="133" priority="5" stopIfTrue="1" operator="equal">
      <formula>"input"</formula>
    </cfRule>
  </conditionalFormatting>
  <conditionalFormatting sqref="N4">
    <cfRule type="cellIs" dxfId="132" priority="6" stopIfTrue="1" operator="equal">
      <formula>"input"</formula>
    </cfRule>
  </conditionalFormatting>
  <conditionalFormatting sqref="O4">
    <cfRule type="cellIs" dxfId="131" priority="1" stopIfTrue="1" operator="equal">
      <formula>"input"</formula>
    </cfRule>
  </conditionalFormatting>
  <conditionalFormatting sqref="O4">
    <cfRule type="cellIs" dxfId="130" priority="2" stopIfTrue="1" operator="equal">
      <formula>"input"</formula>
    </cfRule>
  </conditionalFormatting>
  <pageMargins left="0.5" right="0.5" top="0.5" bottom="0.5" header="0.5" footer="0.5"/>
  <pageSetup scale="79" orientation="landscape" r:id="rId1"/>
  <drawing r:id="rId2"/>
  <legacyDrawing r:id="rId3"/>
  <legacyDrawingHF r:id="rId4"/>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Y62"/>
  <sheetViews>
    <sheetView showGridLines="0" view="pageBreakPreview" zoomScale="85" zoomScaleNormal="145" zoomScaleSheetLayoutView="85" workbookViewId="0">
      <selection activeCell="I9" sqref="I9"/>
    </sheetView>
  </sheetViews>
  <sheetFormatPr defaultColWidth="9.33203125" defaultRowHeight="12.75"/>
  <cols>
    <col min="1" max="1" width="4.5" style="310" customWidth="1"/>
    <col min="2" max="2" width="48.33203125" style="310" customWidth="1"/>
    <col min="3" max="11" width="14.83203125" style="310" customWidth="1"/>
    <col min="12" max="12" width="4.5" style="310" customWidth="1"/>
    <col min="13" max="13" width="9.33203125" style="310"/>
    <col min="14" max="15" width="12.1640625" style="310" customWidth="1"/>
    <col min="16" max="16" width="19.83203125" style="310" bestFit="1" customWidth="1"/>
    <col min="17" max="16384" width="9.33203125" style="310"/>
  </cols>
  <sheetData>
    <row r="1" spans="2:24" ht="10.7" customHeight="1" thickBot="1"/>
    <row r="2" spans="2:24" ht="16.5" customHeight="1" thickTop="1">
      <c r="B2" s="10" t="str">
        <f>'MASTER PubCo Inputs'!$C$5</f>
        <v>Hua Medicine</v>
      </c>
      <c r="C2" s="10"/>
      <c r="D2" s="10"/>
      <c r="E2" s="10"/>
      <c r="F2" s="10"/>
      <c r="G2" s="10"/>
      <c r="H2" s="10"/>
      <c r="I2" s="10"/>
      <c r="J2" s="10"/>
      <c r="K2" s="10"/>
    </row>
    <row r="3" spans="2:24" ht="15.75" customHeight="1">
      <c r="B3" s="11" t="str">
        <f>VLOOKUP(B4,Outline!$E$8:$G$81,COLUMNS(Outline!$E$8:$G$8),FALSE)</f>
        <v>Exhibit G.2</v>
      </c>
      <c r="C3" s="11"/>
      <c r="D3" s="11"/>
      <c r="E3" s="11"/>
      <c r="F3" s="11"/>
      <c r="G3" s="11"/>
      <c r="H3" s="11"/>
      <c r="I3" s="11"/>
      <c r="J3" s="11"/>
      <c r="K3" s="11"/>
    </row>
    <row r="4" spans="2:24" ht="16.5" customHeight="1" thickBot="1">
      <c r="B4" s="12" t="s">
        <v>439</v>
      </c>
      <c r="C4" s="12"/>
      <c r="D4" s="12"/>
      <c r="E4" s="12"/>
      <c r="F4" s="12"/>
      <c r="G4" s="12"/>
      <c r="H4" s="12"/>
      <c r="I4" s="12"/>
      <c r="J4" s="12"/>
      <c r="K4" s="13" t="str">
        <f>+'MASTER PubCo Inputs'!$C$20</f>
        <v>(in thousands of USD and shares, except price per share)</v>
      </c>
    </row>
    <row r="5" spans="2:24" s="16" customFormat="1" ht="12.75" customHeight="1" thickTop="1">
      <c r="B5" s="310"/>
      <c r="C5" s="310"/>
      <c r="D5" s="310"/>
      <c r="E5" s="310"/>
      <c r="F5" s="310"/>
      <c r="G5" s="310"/>
      <c r="H5" s="310"/>
      <c r="I5" s="310"/>
      <c r="J5" s="310"/>
      <c r="K5" s="310"/>
      <c r="L5" s="310"/>
    </row>
    <row r="6" spans="2:24" ht="12.75" customHeight="1">
      <c r="D6" s="3" t="s">
        <v>127</v>
      </c>
      <c r="E6" s="3" t="s">
        <v>144</v>
      </c>
      <c r="J6" s="2610" t="s">
        <v>145</v>
      </c>
      <c r="K6" s="2610"/>
    </row>
    <row r="7" spans="2:24" s="6" customFormat="1" ht="25.5">
      <c r="C7" s="451" t="str">
        <f>'Cap Table'!D7</f>
        <v>Series A-1</v>
      </c>
      <c r="D7" s="452" t="str">
        <f>'Cap Table'!E7</f>
        <v>Series A-2</v>
      </c>
      <c r="E7" s="452" t="str">
        <f>'Cap Table'!F7</f>
        <v>Series B Tranche I</v>
      </c>
      <c r="F7" s="452" t="str">
        <f>'Cap Table'!G7</f>
        <v>Series B Tranche II</v>
      </c>
      <c r="G7" s="452" t="str">
        <f>'Cap Table'!H7</f>
        <v>Series C Tranche I</v>
      </c>
      <c r="H7" s="452" t="str">
        <f>'Cap Table'!I7</f>
        <v>Series C Tranche II</v>
      </c>
      <c r="I7" s="452" t="str">
        <f>'Cap Table'!J7</f>
        <v>Series D Tranche I</v>
      </c>
      <c r="J7" s="452" t="str">
        <f>'Cap Table'!K7</f>
        <v>Series D Tranche II</v>
      </c>
      <c r="K7" s="453" t="str">
        <f>'Cap Table'!L7</f>
        <v>Series E</v>
      </c>
      <c r="M7" s="2145" t="s">
        <v>4066</v>
      </c>
      <c r="N7" s="2693" t="s">
        <v>1600</v>
      </c>
      <c r="O7" s="2694"/>
      <c r="P7" s="2694"/>
      <c r="Q7" s="2694"/>
      <c r="R7" s="2694"/>
      <c r="S7" s="2694"/>
      <c r="T7" s="2146"/>
    </row>
    <row r="8" spans="2:24" ht="12.75" customHeight="1">
      <c r="M8" s="275"/>
      <c r="N8" s="16"/>
      <c r="O8" s="16"/>
      <c r="P8" s="16"/>
      <c r="Q8" s="16"/>
      <c r="R8" s="16"/>
      <c r="S8" s="16"/>
      <c r="T8" s="168"/>
    </row>
    <row r="9" spans="2:24" ht="12.75" customHeight="1">
      <c r="B9" s="58" t="s">
        <v>462</v>
      </c>
      <c r="C9" s="99"/>
      <c r="D9" s="99"/>
      <c r="E9" s="99"/>
      <c r="F9" s="99"/>
      <c r="G9" s="99"/>
      <c r="H9" s="99"/>
      <c r="I9" s="99"/>
      <c r="J9" s="99"/>
      <c r="K9" s="155"/>
      <c r="M9" s="275"/>
      <c r="N9" s="16">
        <v>1</v>
      </c>
      <c r="O9" s="16" t="s">
        <v>201</v>
      </c>
      <c r="P9" s="16"/>
      <c r="Q9" s="16"/>
      <c r="R9" s="16"/>
      <c r="S9" s="16"/>
      <c r="T9" s="168"/>
    </row>
    <row r="10" spans="2:24" ht="12.75" customHeight="1">
      <c r="B10" s="2" t="s">
        <v>193</v>
      </c>
      <c r="C10" s="1091">
        <v>41775</v>
      </c>
      <c r="D10" s="1091">
        <v>41655</v>
      </c>
      <c r="E10" s="1091">
        <v>42011</v>
      </c>
      <c r="F10" s="1091">
        <v>42222</v>
      </c>
      <c r="G10" s="1091">
        <v>42478</v>
      </c>
      <c r="H10" s="1091">
        <v>42803</v>
      </c>
      <c r="I10" s="1091">
        <v>43100</v>
      </c>
      <c r="J10" s="1091">
        <f>'Series D'!G37</f>
        <v>43173.443020518142</v>
      </c>
      <c r="K10" s="1091">
        <f>'Series E'!G18</f>
        <v>43175.44172413979</v>
      </c>
      <c r="M10" s="275"/>
      <c r="N10" s="16">
        <f>N9+1</f>
        <v>2</v>
      </c>
      <c r="O10" s="16" t="s">
        <v>203</v>
      </c>
      <c r="P10" s="16"/>
      <c r="Q10" s="16"/>
      <c r="R10" s="16"/>
      <c r="S10" s="16"/>
      <c r="T10" s="168"/>
      <c r="V10" s="7"/>
      <c r="W10" s="7"/>
    </row>
    <row r="11" spans="2:24" ht="12.75" customHeight="1">
      <c r="B11" s="2" t="s">
        <v>209</v>
      </c>
      <c r="C11" s="596">
        <f>'Cap Table'!D9</f>
        <v>5499.9989999999998</v>
      </c>
      <c r="D11" s="596">
        <f>'Cap Table'!E9</f>
        <v>20916.409</v>
      </c>
      <c r="E11" s="596">
        <f>'Cap Table'!F9</f>
        <v>3571.4279999999999</v>
      </c>
      <c r="F11" s="596">
        <f>'Cap Table'!G9</f>
        <v>3571.4290000000001</v>
      </c>
      <c r="G11" s="596">
        <f>'Cap Table'!H9</f>
        <v>2384.889986666667</v>
      </c>
      <c r="H11" s="596">
        <f>'Cap Table'!I9</f>
        <v>2384.889986666667</v>
      </c>
      <c r="I11" s="596">
        <f>'Cap Table'!J9</f>
        <v>2646.0859999999998</v>
      </c>
      <c r="J11" s="596">
        <f>'Cap Table'!K9</f>
        <v>1852.702</v>
      </c>
      <c r="K11" s="596">
        <f>'Cap Table'!L9</f>
        <v>5064.8329999999996</v>
      </c>
      <c r="M11" s="275"/>
      <c r="N11" s="16">
        <f t="shared" ref="N11:N23" si="0">N10+1</f>
        <v>3</v>
      </c>
      <c r="O11" s="16" t="s">
        <v>204</v>
      </c>
      <c r="P11" s="16"/>
      <c r="Q11" s="16"/>
      <c r="R11" s="16"/>
      <c r="S11" s="16"/>
      <c r="T11" s="168"/>
    </row>
    <row r="12" spans="2:24" ht="12.75" customHeight="1">
      <c r="B12" s="2" t="s">
        <v>253</v>
      </c>
      <c r="C12" s="156">
        <v>1</v>
      </c>
      <c r="D12" s="156">
        <v>0.75</v>
      </c>
      <c r="E12" s="156">
        <v>3.5</v>
      </c>
      <c r="F12" s="1090">
        <f>E12</f>
        <v>3.5</v>
      </c>
      <c r="G12" s="156">
        <v>10.06335</v>
      </c>
      <c r="H12" s="1090">
        <f>G12</f>
        <v>10.06335</v>
      </c>
      <c r="I12" s="156">
        <v>11.114100000000001</v>
      </c>
      <c r="J12" s="1090">
        <f>I12</f>
        <v>11.114100000000001</v>
      </c>
      <c r="K12" s="156">
        <v>13.301299999999999</v>
      </c>
      <c r="M12" s="275"/>
      <c r="N12" s="16">
        <f t="shared" si="0"/>
        <v>4</v>
      </c>
      <c r="O12" s="16" t="s">
        <v>205</v>
      </c>
      <c r="P12" s="16"/>
      <c r="Q12" s="16"/>
      <c r="R12" s="693"/>
      <c r="S12" s="693"/>
      <c r="T12" s="171"/>
      <c r="U12" s="7"/>
      <c r="V12" s="7"/>
      <c r="W12" s="7"/>
      <c r="X12" s="7"/>
    </row>
    <row r="13" spans="2:24" ht="12.75" customHeight="1">
      <c r="B13" s="2" t="s">
        <v>344</v>
      </c>
      <c r="C13" s="363">
        <f>C11*C12</f>
        <v>5499.9989999999998</v>
      </c>
      <c r="D13" s="363">
        <f t="shared" ref="D13:K13" si="1">D11*D12</f>
        <v>15687.30675</v>
      </c>
      <c r="E13" s="363">
        <f t="shared" si="1"/>
        <v>12499.998</v>
      </c>
      <c r="F13" s="363">
        <f>F11*F12</f>
        <v>12500.0015</v>
      </c>
      <c r="G13" s="363">
        <f t="shared" si="1"/>
        <v>23999.982647322002</v>
      </c>
      <c r="H13" s="363">
        <f>H11*H12</f>
        <v>23999.982647322002</v>
      </c>
      <c r="I13" s="363">
        <f t="shared" si="1"/>
        <v>29408.8644126</v>
      </c>
      <c r="J13" s="363">
        <f>J11*J12</f>
        <v>20591.115298200002</v>
      </c>
      <c r="K13" s="363">
        <f t="shared" si="1"/>
        <v>67368.863182899993</v>
      </c>
      <c r="M13" s="275"/>
      <c r="N13" s="16">
        <f t="shared" si="0"/>
        <v>5</v>
      </c>
      <c r="O13" s="16" t="s">
        <v>206</v>
      </c>
      <c r="P13" s="16"/>
      <c r="Q13" s="16"/>
      <c r="R13" s="693"/>
      <c r="S13" s="693"/>
      <c r="T13" s="171"/>
      <c r="U13" s="7"/>
      <c r="V13" s="7"/>
      <c r="W13" s="7"/>
      <c r="X13" s="7"/>
    </row>
    <row r="14" spans="2:24" ht="12.75" customHeight="1">
      <c r="B14" s="2"/>
      <c r="C14" s="258"/>
      <c r="D14" s="258"/>
      <c r="E14" s="258"/>
      <c r="F14" s="258"/>
      <c r="G14" s="258"/>
      <c r="H14" s="258"/>
      <c r="I14" s="258"/>
      <c r="J14" s="258"/>
      <c r="K14" s="258"/>
      <c r="M14" s="2147">
        <v>0</v>
      </c>
      <c r="N14" s="16">
        <f t="shared" si="0"/>
        <v>6</v>
      </c>
      <c r="O14" s="16" t="s">
        <v>1547</v>
      </c>
      <c r="P14" s="16"/>
      <c r="Q14" s="16"/>
      <c r="R14" s="693"/>
      <c r="S14" s="693"/>
      <c r="T14" s="171"/>
      <c r="U14" s="7"/>
      <c r="V14" s="7"/>
      <c r="W14" s="7"/>
      <c r="X14" s="7"/>
    </row>
    <row r="15" spans="2:24" ht="12.75" customHeight="1">
      <c r="B15" s="2" t="s">
        <v>346</v>
      </c>
      <c r="C15" s="157">
        <v>1</v>
      </c>
      <c r="D15" s="157">
        <v>1</v>
      </c>
      <c r="E15" s="157">
        <v>1</v>
      </c>
      <c r="F15" s="157">
        <v>1</v>
      </c>
      <c r="G15" s="157">
        <v>1</v>
      </c>
      <c r="H15" s="157">
        <v>1</v>
      </c>
      <c r="I15" s="157">
        <v>1</v>
      </c>
      <c r="J15" s="157">
        <v>1</v>
      </c>
      <c r="K15" s="157">
        <v>1</v>
      </c>
      <c r="M15" s="2148">
        <f>'Cap Table'!E24</f>
        <v>1</v>
      </c>
      <c r="N15" s="16">
        <f t="shared" si="0"/>
        <v>7</v>
      </c>
      <c r="O15" s="16" t="str">
        <f>'Cap Table'!B24&amp;" Exercise"</f>
        <v>Options at $1.00 Strike Price Exercise</v>
      </c>
      <c r="P15" s="16"/>
      <c r="Q15" s="16"/>
      <c r="R15" s="693"/>
      <c r="S15" s="693"/>
      <c r="T15" s="171"/>
      <c r="U15" s="7"/>
      <c r="V15" s="7"/>
      <c r="W15" s="7"/>
      <c r="X15" s="7"/>
    </row>
    <row r="16" spans="2:24" ht="12.75" customHeight="1">
      <c r="B16" s="2" t="s">
        <v>345</v>
      </c>
      <c r="C16" s="363">
        <f>C13*C15</f>
        <v>5499.9989999999998</v>
      </c>
      <c r="D16" s="363">
        <f>D13*D15</f>
        <v>15687.30675</v>
      </c>
      <c r="E16" s="363">
        <f t="shared" ref="E16:K16" si="2">E13*E15</f>
        <v>12499.998</v>
      </c>
      <c r="F16" s="363">
        <f>F13*F15</f>
        <v>12500.0015</v>
      </c>
      <c r="G16" s="363">
        <f t="shared" si="2"/>
        <v>23999.982647322002</v>
      </c>
      <c r="H16" s="363">
        <f>H13*H15</f>
        <v>23999.982647322002</v>
      </c>
      <c r="I16" s="363">
        <f t="shared" si="2"/>
        <v>29408.8644126</v>
      </c>
      <c r="J16" s="363">
        <f>J13*J15</f>
        <v>20591.115298200002</v>
      </c>
      <c r="K16" s="363">
        <f t="shared" si="2"/>
        <v>67368.863182899993</v>
      </c>
      <c r="L16" s="292"/>
      <c r="M16" s="2148">
        <f>'Cap Table'!E25</f>
        <v>3.5</v>
      </c>
      <c r="N16" s="16">
        <f t="shared" si="0"/>
        <v>8</v>
      </c>
      <c r="O16" s="16" t="str">
        <f>'Cap Table'!B25&amp;" Exercise"</f>
        <v>Options at $3.50 Strike Price Exercise</v>
      </c>
      <c r="P16" s="16"/>
      <c r="Q16" s="16"/>
      <c r="R16" s="693"/>
      <c r="S16" s="693"/>
      <c r="T16" s="171"/>
      <c r="U16" s="7"/>
      <c r="V16" s="7"/>
      <c r="W16" s="7"/>
      <c r="X16" s="7"/>
    </row>
    <row r="17" spans="2:25" ht="12.75" customHeight="1">
      <c r="B17" s="2" t="s">
        <v>202</v>
      </c>
      <c r="C17" s="158">
        <v>5</v>
      </c>
      <c r="D17" s="158">
        <v>5</v>
      </c>
      <c r="E17" s="158">
        <v>4</v>
      </c>
      <c r="F17" s="158">
        <v>4</v>
      </c>
      <c r="G17" s="158">
        <v>3</v>
      </c>
      <c r="H17" s="158">
        <v>3</v>
      </c>
      <c r="I17" s="158">
        <v>2</v>
      </c>
      <c r="J17" s="158">
        <v>2</v>
      </c>
      <c r="K17" s="158">
        <v>1</v>
      </c>
      <c r="M17" s="2148">
        <f>'Cap Table'!E26</f>
        <v>3.7</v>
      </c>
      <c r="N17" s="16">
        <f t="shared" si="0"/>
        <v>9</v>
      </c>
      <c r="O17" s="16" t="str">
        <f>'Cap Table'!B26&amp;" Exercise"</f>
        <v>Options at $3.70 Strike Price Exercise</v>
      </c>
      <c r="P17" s="16"/>
      <c r="Q17" s="16"/>
      <c r="R17" s="693"/>
      <c r="S17" s="693"/>
      <c r="T17" s="171"/>
      <c r="U17" s="7"/>
      <c r="V17" s="7"/>
      <c r="W17" s="7"/>
      <c r="X17" s="7"/>
    </row>
    <row r="18" spans="2:25" ht="12.75" customHeight="1">
      <c r="B18" s="2"/>
      <c r="C18" s="158"/>
      <c r="D18" s="158"/>
      <c r="E18" s="158"/>
      <c r="F18" s="158"/>
      <c r="G18" s="158"/>
      <c r="H18" s="158"/>
      <c r="I18" s="158"/>
      <c r="J18" s="158"/>
      <c r="K18" s="158"/>
      <c r="M18" s="2148">
        <f>'Cap Table'!E27</f>
        <v>4</v>
      </c>
      <c r="N18" s="16">
        <f t="shared" si="0"/>
        <v>10</v>
      </c>
      <c r="O18" s="16" t="str">
        <f>'Cap Table'!B27&amp;" Exercise"</f>
        <v>Options at $4.00 Strike Price Exercise</v>
      </c>
      <c r="P18" s="16"/>
      <c r="Q18" s="16"/>
      <c r="R18" s="16"/>
      <c r="S18" s="16"/>
      <c r="T18" s="168"/>
      <c r="U18" s="7"/>
      <c r="V18" s="7"/>
      <c r="W18" s="7"/>
      <c r="X18" s="7"/>
    </row>
    <row r="19" spans="2:25" ht="12.75" customHeight="1">
      <c r="B19" s="2" t="s">
        <v>189</v>
      </c>
      <c r="C19" s="159" t="s">
        <v>335</v>
      </c>
      <c r="D19" s="159" t="s">
        <v>335</v>
      </c>
      <c r="E19" s="159" t="s">
        <v>335</v>
      </c>
      <c r="F19" s="159" t="s">
        <v>335</v>
      </c>
      <c r="G19" s="159" t="s">
        <v>335</v>
      </c>
      <c r="H19" s="159" t="s">
        <v>335</v>
      </c>
      <c r="I19" s="159" t="s">
        <v>335</v>
      </c>
      <c r="J19" s="159" t="s">
        <v>335</v>
      </c>
      <c r="K19" s="159" t="s">
        <v>335</v>
      </c>
      <c r="M19" s="2148">
        <f>'Cap Table'!E28</f>
        <v>6</v>
      </c>
      <c r="N19" s="16">
        <f t="shared" si="0"/>
        <v>11</v>
      </c>
      <c r="O19" s="16" t="str">
        <f>'Cap Table'!B28&amp;" Exercise"</f>
        <v>Options at $6.00 Strike Price Exercise</v>
      </c>
      <c r="P19" s="16"/>
      <c r="Q19" s="16"/>
      <c r="R19" s="16"/>
      <c r="S19" s="16"/>
      <c r="T19" s="168"/>
    </row>
    <row r="20" spans="2:25" ht="12.75" customHeight="1">
      <c r="B20" s="2" t="s">
        <v>194</v>
      </c>
      <c r="C20" s="157" t="s">
        <v>1</v>
      </c>
      <c r="D20" s="157" t="s">
        <v>1</v>
      </c>
      <c r="E20" s="157" t="s">
        <v>1</v>
      </c>
      <c r="F20" s="157" t="s">
        <v>1</v>
      </c>
      <c r="G20" s="157" t="s">
        <v>1</v>
      </c>
      <c r="H20" s="157" t="s">
        <v>1</v>
      </c>
      <c r="I20" s="157" t="s">
        <v>1</v>
      </c>
      <c r="J20" s="157" t="s">
        <v>1</v>
      </c>
      <c r="K20" s="157" t="s">
        <v>1</v>
      </c>
      <c r="M20" s="2148">
        <f>'Cap Table'!E29</f>
        <v>7</v>
      </c>
      <c r="N20" s="16">
        <f t="shared" si="0"/>
        <v>12</v>
      </c>
      <c r="O20" s="16" t="str">
        <f>'Cap Table'!B29&amp;" Exercise"</f>
        <v>Options at $7.00 Strike Price Exercise</v>
      </c>
      <c r="P20" s="16"/>
      <c r="Q20" s="16"/>
      <c r="R20" s="16"/>
      <c r="S20" s="16"/>
      <c r="T20" s="168"/>
    </row>
    <row r="21" spans="2:25" ht="12.75" customHeight="1">
      <c r="B21" s="2"/>
      <c r="C21" s="1181"/>
      <c r="D21" s="1181"/>
      <c r="E21" s="1181"/>
      <c r="F21" s="1181"/>
      <c r="G21" s="1181"/>
      <c r="H21" s="1181"/>
      <c r="I21" s="1181"/>
      <c r="J21" s="1181"/>
      <c r="K21" s="1181"/>
      <c r="M21" s="2148">
        <f>'Cap Table'!E32</f>
        <v>7.28</v>
      </c>
      <c r="N21" s="16">
        <f t="shared" si="0"/>
        <v>13</v>
      </c>
      <c r="O21" s="16" t="str">
        <f>'Cap Table'!B32&amp;" Exercise at "&amp;TEXT(M21,"$0.00")&amp;" Strike Price"</f>
        <v>Executive Option Grants Made Exercise at $7.28 Strike Price</v>
      </c>
      <c r="P21" s="16"/>
      <c r="Q21" s="16"/>
      <c r="R21" s="693"/>
      <c r="S21" s="693"/>
      <c r="T21" s="171"/>
    </row>
    <row r="22" spans="2:25" ht="12.75" customHeight="1">
      <c r="B22" s="2" t="s">
        <v>188</v>
      </c>
      <c r="C22" s="41">
        <v>0.04</v>
      </c>
      <c r="D22" s="41">
        <v>0.04</v>
      </c>
      <c r="E22" s="41">
        <v>0.04</v>
      </c>
      <c r="F22" s="41">
        <v>0.04</v>
      </c>
      <c r="G22" s="41">
        <v>0.04</v>
      </c>
      <c r="H22" s="41">
        <v>0.04</v>
      </c>
      <c r="I22" s="41">
        <v>0.04</v>
      </c>
      <c r="J22" s="41">
        <v>0.04</v>
      </c>
      <c r="K22" s="41">
        <v>0.04</v>
      </c>
      <c r="M22" s="2148">
        <f>'Cap Table'!E30</f>
        <v>10</v>
      </c>
      <c r="N22" s="16">
        <f t="shared" si="0"/>
        <v>14</v>
      </c>
      <c r="O22" s="16" t="str">
        <f>'Cap Table'!B30&amp;" Exercise"</f>
        <v>Options at $10.00 Strike Price Exercise</v>
      </c>
      <c r="P22" s="16"/>
      <c r="Q22" s="16"/>
      <c r="R22" s="16"/>
      <c r="S22" s="16"/>
      <c r="T22" s="168"/>
    </row>
    <row r="23" spans="2:25">
      <c r="B23" s="2" t="s">
        <v>337</v>
      </c>
      <c r="C23" s="256" t="s">
        <v>339</v>
      </c>
      <c r="D23" s="256" t="s">
        <v>339</v>
      </c>
      <c r="E23" s="256" t="s">
        <v>339</v>
      </c>
      <c r="F23" s="256" t="s">
        <v>339</v>
      </c>
      <c r="G23" s="256" t="s">
        <v>339</v>
      </c>
      <c r="H23" s="256" t="s">
        <v>339</v>
      </c>
      <c r="I23" s="256" t="s">
        <v>339</v>
      </c>
      <c r="J23" s="256" t="s">
        <v>339</v>
      </c>
      <c r="K23" s="256" t="s">
        <v>339</v>
      </c>
      <c r="M23" s="2149">
        <f>'Cap Table'!E31</f>
        <v>11</v>
      </c>
      <c r="N23" s="5">
        <f t="shared" si="0"/>
        <v>15</v>
      </c>
      <c r="O23" s="5" t="str">
        <f>'Cap Table'!B31&amp;" Exercise"</f>
        <v>Options at $11.00 Strike Price Exercise</v>
      </c>
      <c r="P23" s="5"/>
      <c r="Q23" s="5"/>
      <c r="R23" s="5"/>
      <c r="S23" s="2437"/>
      <c r="T23" s="2438"/>
      <c r="U23" s="7"/>
      <c r="V23" s="7"/>
      <c r="W23" s="7"/>
      <c r="X23" s="7"/>
      <c r="Y23" s="7"/>
    </row>
    <row r="24" spans="2:25">
      <c r="B24" s="2" t="s">
        <v>338</v>
      </c>
      <c r="C24" s="256" t="s">
        <v>343</v>
      </c>
      <c r="D24" s="256" t="s">
        <v>343</v>
      </c>
      <c r="E24" s="256" t="s">
        <v>343</v>
      </c>
      <c r="F24" s="256" t="s">
        <v>343</v>
      </c>
      <c r="G24" s="256" t="s">
        <v>343</v>
      </c>
      <c r="H24" s="256" t="s">
        <v>343</v>
      </c>
      <c r="I24" s="256" t="s">
        <v>343</v>
      </c>
      <c r="J24" s="256" t="s">
        <v>343</v>
      </c>
      <c r="K24" s="256" t="s">
        <v>343</v>
      </c>
      <c r="T24" s="7"/>
      <c r="U24" s="7"/>
      <c r="V24" s="7"/>
      <c r="W24" s="7"/>
      <c r="X24" s="7"/>
      <c r="Y24" s="7"/>
    </row>
    <row r="25" spans="2:25" ht="12.75" customHeight="1">
      <c r="B25" s="137" t="s">
        <v>336</v>
      </c>
      <c r="C25" s="1092">
        <f>YEARFRAC(C10,'MASTER PubCo Inputs'!$C$6,3)</f>
        <v>4.1260273972602741</v>
      </c>
      <c r="D25" s="1092">
        <f>YEARFRAC(D10,'MASTER PubCo Inputs'!$C$6,3)</f>
        <v>4.4547945205479449</v>
      </c>
      <c r="E25" s="1092">
        <f>YEARFRAC(E10,'MASTER PubCo Inputs'!$C$6,3)</f>
        <v>3.4794520547945207</v>
      </c>
      <c r="F25" s="1092">
        <f>YEARFRAC(F10,'MASTER PubCo Inputs'!$C$6,3)</f>
        <v>2.9013698630136986</v>
      </c>
      <c r="G25" s="1092">
        <f>YEARFRAC(G10,'MASTER PubCo Inputs'!$C$6,3)</f>
        <v>2.2000000000000002</v>
      </c>
      <c r="H25" s="1092">
        <f>YEARFRAC(H10,'MASTER PubCo Inputs'!$C$6,3)</f>
        <v>1.3095890410958904</v>
      </c>
      <c r="I25" s="1092">
        <f>YEARFRAC(I10,'MASTER PubCo Inputs'!$C$6,3)</f>
        <v>0.49589041095890413</v>
      </c>
      <c r="J25" s="1092">
        <f>YEARFRAC(J10,'MASTER PubCo Inputs'!$C$6,3)</f>
        <v>0.29589041095890412</v>
      </c>
      <c r="K25" s="1092">
        <f>YEARFRAC(K10,'MASTER PubCo Inputs'!$C$6,3)</f>
        <v>0.29041095890410956</v>
      </c>
      <c r="U25" s="7"/>
      <c r="V25" s="7"/>
      <c r="W25" s="7"/>
      <c r="X25" s="7"/>
      <c r="Y25" s="7"/>
    </row>
    <row r="26" spans="2:25" ht="12.75" customHeight="1">
      <c r="B26" s="137" t="s">
        <v>195</v>
      </c>
      <c r="C26" s="1093">
        <f t="shared" ref="C26:K26" si="3">IF(C23="Non-Cumulative","NA",IF(C24="Simple",C12*C22*C25*C11,(C12*((1+C22)^C25-1))*C11))</f>
        <v>966.10425073684246</v>
      </c>
      <c r="D26" s="1093">
        <f t="shared" si="3"/>
        <v>2994.9103863114151</v>
      </c>
      <c r="E26" s="1093">
        <f t="shared" si="3"/>
        <v>1827.706996989373</v>
      </c>
      <c r="F26" s="1093">
        <f>IF(F23="Non-Cumulative","NA",IF(F24="Simple",F12*F22*F25*F11,(F12*((1+F22)^F25-1))*F11))</f>
        <v>1506.5132330921704</v>
      </c>
      <c r="G26" s="1093">
        <f t="shared" si="3"/>
        <v>2162.820538161377</v>
      </c>
      <c r="H26" s="1093">
        <f>IF(H23="Non-Cumulative","NA",IF(H24="Simple",H12*H22*H25*H11,(H12*((1+H22)^H25-1))*H11))</f>
        <v>1264.9184329451152</v>
      </c>
      <c r="I26" s="1093">
        <f t="shared" si="3"/>
        <v>577.5766554094082</v>
      </c>
      <c r="J26" s="1093">
        <f>IF(J23="Non-Cumulative","NA",IF(J24="Simple",J12*J22*J25*J11,(J12*((1+J22)^J25-1))*J11))</f>
        <v>240.35252315056661</v>
      </c>
      <c r="K26" s="1093">
        <f t="shared" si="3"/>
        <v>771.72645413573287</v>
      </c>
      <c r="V26" s="7"/>
      <c r="W26" s="7"/>
      <c r="X26" s="7"/>
      <c r="Y26" s="7"/>
    </row>
    <row r="27" spans="2:25" ht="12.75" customHeight="1">
      <c r="B27" s="137" t="s">
        <v>1693</v>
      </c>
      <c r="C27" s="1092">
        <f>C25+'IPO Waterfall'!$D$12</f>
        <v>4.2958904109589042</v>
      </c>
      <c r="D27" s="1092">
        <f>D25+'IPO Waterfall'!$D$12</f>
        <v>4.624657534246575</v>
      </c>
      <c r="E27" s="1092">
        <f>E25+'IPO Waterfall'!$D$12</f>
        <v>3.6493150684931508</v>
      </c>
      <c r="F27" s="1092">
        <f>F25+'IPO Waterfall'!$D$12</f>
        <v>3.0712328767123287</v>
      </c>
      <c r="G27" s="1092">
        <f>G25+'IPO Waterfall'!$D$12</f>
        <v>2.3698630136986303</v>
      </c>
      <c r="H27" s="1092">
        <f>H25+'IPO Waterfall'!$D$12</f>
        <v>1.4794520547945205</v>
      </c>
      <c r="I27" s="1092">
        <f>I25+'IPO Waterfall'!$D$12</f>
        <v>0.66575342465753429</v>
      </c>
      <c r="J27" s="1092">
        <f>J25+'IPO Waterfall'!$D$12</f>
        <v>0.46575342465753422</v>
      </c>
      <c r="K27" s="1092">
        <f>K25+'IPO Waterfall'!$D$12</f>
        <v>0.46027397260273972</v>
      </c>
      <c r="W27" s="7"/>
      <c r="X27" s="7"/>
      <c r="Y27" s="7"/>
    </row>
    <row r="28" spans="2:25" ht="12.75" customHeight="1">
      <c r="B28" s="137" t="s">
        <v>1694</v>
      </c>
      <c r="C28" s="1094">
        <f>IF(C23="Non-Cumulative","NA",IF(C24="Simple",C12*C22*C27*C11,(C12*((1+C22)^C27-1))*C11))</f>
        <v>1009.3262067210349</v>
      </c>
      <c r="D28" s="1094">
        <f t="shared" ref="D28:K28" si="4">IF(D23="Non-Cumulative","NA",IF(D24="Simple",D12*D22*D27*D11,(D12*((1+D22)^D27-1))*D11))</f>
        <v>3119.7896119347838</v>
      </c>
      <c r="E28" s="1094">
        <f t="shared" si="4"/>
        <v>1923.4789651626008</v>
      </c>
      <c r="F28" s="1094">
        <f t="shared" si="4"/>
        <v>1600.1382402735292</v>
      </c>
      <c r="G28" s="1094">
        <f t="shared" si="4"/>
        <v>2337.7029184538951</v>
      </c>
      <c r="H28" s="1094">
        <f t="shared" si="4"/>
        <v>1433.7988853739951</v>
      </c>
      <c r="I28" s="1094">
        <f t="shared" si="4"/>
        <v>778.01772257244352</v>
      </c>
      <c r="J28" s="1094">
        <f t="shared" si="4"/>
        <v>379.59817858576491</v>
      </c>
      <c r="K28" s="1094">
        <f t="shared" si="4"/>
        <v>1227.2047309005336</v>
      </c>
      <c r="O28" s="1" t="s">
        <v>1601</v>
      </c>
      <c r="X28" s="7"/>
      <c r="Y28" s="7"/>
    </row>
    <row r="29" spans="2:25" ht="12.75" customHeight="1">
      <c r="B29" s="137" t="s">
        <v>1579</v>
      </c>
      <c r="C29" s="1092">
        <f>C25+'OPM Hybrid (Liquidation)'!$D$10</f>
        <v>6.3767123287671232</v>
      </c>
      <c r="D29" s="1092">
        <f>D25+'OPM Hybrid (Liquidation)'!$D$10</f>
        <v>6.705479452054794</v>
      </c>
      <c r="E29" s="1092">
        <f>E25+'OPM Hybrid (Liquidation)'!$D$10</f>
        <v>5.7301369863013694</v>
      </c>
      <c r="F29" s="1092">
        <f>F25+'OPM Hybrid (Liquidation)'!$D$10</f>
        <v>5.1520547945205477</v>
      </c>
      <c r="G29" s="1092">
        <f>G25+'OPM Hybrid (Liquidation)'!$D$10</f>
        <v>4.4506849315068493</v>
      </c>
      <c r="H29" s="1092">
        <f>H25+'OPM Hybrid (Liquidation)'!$D$10</f>
        <v>3.5602739726027393</v>
      </c>
      <c r="I29" s="1092">
        <f>I25+'OPM Hybrid (Liquidation)'!$D$10</f>
        <v>2.7465753424657531</v>
      </c>
      <c r="J29" s="1092">
        <f>J25+'OPM Hybrid (Liquidation)'!$D$10</f>
        <v>2.5465753424657533</v>
      </c>
      <c r="K29" s="1092">
        <f>K25+'OPM Hybrid (Liquidation)'!$D$10</f>
        <v>2.5410958904109586</v>
      </c>
      <c r="O29" s="310">
        <v>1</v>
      </c>
      <c r="P29" s="310" t="s">
        <v>2625</v>
      </c>
      <c r="X29" s="7"/>
      <c r="Y29" s="7"/>
    </row>
    <row r="30" spans="2:25" ht="12.75" customHeight="1">
      <c r="B30" s="137" t="s">
        <v>1580</v>
      </c>
      <c r="C30" s="1094">
        <f t="shared" ref="C30:K30" si="5">IF(C23="Non-Cumulative","NA",IF(C24="Simple",C12*C22*C29*C11,(C12*((1+C22)^C29-1))*C11))</f>
        <v>1562.8401427201916</v>
      </c>
      <c r="D30" s="1094">
        <f t="shared" si="5"/>
        <v>4719.0321757048951</v>
      </c>
      <c r="E30" s="1094">
        <f t="shared" si="5"/>
        <v>3149.9648530603304</v>
      </c>
      <c r="F30" s="1094">
        <f t="shared" si="5"/>
        <v>2799.1294717637743</v>
      </c>
      <c r="G30" s="1094">
        <f t="shared" si="5"/>
        <v>4577.3015772470308</v>
      </c>
      <c r="H30" s="1094">
        <f t="shared" si="5"/>
        <v>3596.5349718994321</v>
      </c>
      <c r="I30" s="1094">
        <f t="shared" si="5"/>
        <v>3344.9289484748842</v>
      </c>
      <c r="J30" s="1094">
        <f t="shared" si="5"/>
        <v>2162.8217522460841</v>
      </c>
      <c r="K30" s="1094">
        <f t="shared" si="5"/>
        <v>7060.2025208756704</v>
      </c>
      <c r="O30" s="310">
        <f>O29+1</f>
        <v>2</v>
      </c>
      <c r="P30" s="310" t="s">
        <v>2626</v>
      </c>
      <c r="X30" s="7"/>
      <c r="Y30" s="7"/>
    </row>
    <row r="31" spans="2:25" ht="12.75" customHeight="1">
      <c r="B31" s="137" t="s">
        <v>1581</v>
      </c>
      <c r="C31" s="1092">
        <f>C25+'OPM Hybrid (Redemption)'!$D$10</f>
        <v>6.838356164383562</v>
      </c>
      <c r="D31" s="1092">
        <f>D25+'OPM Hybrid (Redemption)'!$D$10</f>
        <v>7.1671232876712327</v>
      </c>
      <c r="E31" s="1092">
        <f>E25+'OPM Hybrid (Redemption)'!$D$10</f>
        <v>6.1917808219178081</v>
      </c>
      <c r="F31" s="1092">
        <f>F25+'OPM Hybrid (Redemption)'!$D$10</f>
        <v>5.6136986301369864</v>
      </c>
      <c r="G31" s="1092">
        <f>G25+'OPM Hybrid (Redemption)'!$D$10</f>
        <v>4.912328767123288</v>
      </c>
      <c r="H31" s="1092">
        <f>H25+'OPM Hybrid (Redemption)'!$D$10</f>
        <v>4.021917808219178</v>
      </c>
      <c r="I31" s="1092">
        <f>I25+'OPM Hybrid (Redemption)'!$D$10</f>
        <v>3.2082191780821918</v>
      </c>
      <c r="J31" s="1092">
        <f>J25+'OPM Hybrid (Redemption)'!$D$10</f>
        <v>3.0082191780821921</v>
      </c>
      <c r="K31" s="1092">
        <f>K25+'OPM Hybrid (Redemption)'!$D$10</f>
        <v>3.0027397260273974</v>
      </c>
      <c r="O31" s="310">
        <f t="shared" ref="O31:O49" si="6">O30+1</f>
        <v>3</v>
      </c>
      <c r="P31" s="310" t="s">
        <v>2627</v>
      </c>
      <c r="Y31" s="7"/>
    </row>
    <row r="32" spans="2:25" ht="12.75" customHeight="1">
      <c r="B32" s="137" t="s">
        <v>1582</v>
      </c>
      <c r="C32" s="1094">
        <f t="shared" ref="C32:K32" si="7">IF(C23="Non-Cumulative","NA",IF(C24="Simple",C12*C22*C31*C11,(C12*((1+C22)^C31-1))*C11))</f>
        <v>1691.8846258530382</v>
      </c>
      <c r="D32" s="1094">
        <f>IF(D23="Non-Cumulative","NA",IF(D24="Simple",D12*D22*D31*D11,(D12*((1+D22)^D31-1))*D11))</f>
        <v>5091.8745137631659</v>
      </c>
      <c r="E32" s="1094">
        <f t="shared" si="7"/>
        <v>3435.9038821975014</v>
      </c>
      <c r="F32" s="1094">
        <f t="shared" si="7"/>
        <v>3078.6584839270909</v>
      </c>
      <c r="G32" s="1094">
        <f t="shared" si="7"/>
        <v>5099.4345039045802</v>
      </c>
      <c r="H32" s="1094">
        <f t="shared" si="7"/>
        <v>4100.7484022887556</v>
      </c>
      <c r="I32" s="1094">
        <f t="shared" si="7"/>
        <v>3943.370488698341</v>
      </c>
      <c r="J32" s="1094">
        <f t="shared" si="7"/>
        <v>2578.5568393092813</v>
      </c>
      <c r="K32" s="1094">
        <f t="shared" si="7"/>
        <v>8420.0891216775744</v>
      </c>
      <c r="O32" s="310">
        <f t="shared" si="6"/>
        <v>4</v>
      </c>
      <c r="P32" s="310" t="s">
        <v>2628</v>
      </c>
    </row>
    <row r="33" spans="1:16" ht="12.75" customHeight="1">
      <c r="B33" s="2"/>
      <c r="C33" s="257"/>
      <c r="D33" s="257"/>
      <c r="E33" s="257"/>
      <c r="F33" s="257"/>
      <c r="G33" s="257"/>
      <c r="H33" s="257"/>
      <c r="I33" s="257"/>
      <c r="J33" s="257"/>
      <c r="K33" s="257"/>
      <c r="O33" s="310">
        <f t="shared" si="6"/>
        <v>5</v>
      </c>
      <c r="P33" s="310" t="s">
        <v>2629</v>
      </c>
    </row>
    <row r="34" spans="1:16" ht="12.75" customHeight="1">
      <c r="B34" s="2" t="s">
        <v>187</v>
      </c>
      <c r="C34" s="159" t="s">
        <v>335</v>
      </c>
      <c r="D34" s="159" t="s">
        <v>335</v>
      </c>
      <c r="E34" s="159" t="s">
        <v>335</v>
      </c>
      <c r="F34" s="159" t="s">
        <v>335</v>
      </c>
      <c r="G34" s="159" t="s">
        <v>335</v>
      </c>
      <c r="H34" s="159" t="s">
        <v>335</v>
      </c>
      <c r="I34" s="159" t="s">
        <v>335</v>
      </c>
      <c r="J34" s="159" t="s">
        <v>335</v>
      </c>
      <c r="K34" s="159" t="s">
        <v>335</v>
      </c>
      <c r="N34" s="7"/>
      <c r="O34" s="310">
        <f t="shared" si="6"/>
        <v>6</v>
      </c>
      <c r="P34" s="310" t="s">
        <v>1602</v>
      </c>
    </row>
    <row r="35" spans="1:16" ht="12.75" customHeight="1">
      <c r="B35" s="2" t="s">
        <v>1603</v>
      </c>
      <c r="C35" s="1427">
        <v>4.5</v>
      </c>
      <c r="D35" s="1427">
        <v>4.5</v>
      </c>
      <c r="E35" s="1427">
        <v>4.5</v>
      </c>
      <c r="F35" s="1427">
        <v>4.5</v>
      </c>
      <c r="G35" s="1427">
        <v>4.5</v>
      </c>
      <c r="H35" s="1427">
        <v>4.5</v>
      </c>
      <c r="I35" s="1427">
        <v>4.5</v>
      </c>
      <c r="J35" s="1427">
        <v>4.5</v>
      </c>
      <c r="K35" s="1427">
        <v>3</v>
      </c>
      <c r="N35" s="7">
        <f>D40</f>
        <v>0.99343923059465733</v>
      </c>
      <c r="O35" s="310">
        <f t="shared" si="6"/>
        <v>7</v>
      </c>
      <c r="P35" s="310" t="s">
        <v>2638</v>
      </c>
    </row>
    <row r="36" spans="1:16" ht="12.75" customHeight="1">
      <c r="B36" s="2" t="s">
        <v>2730</v>
      </c>
      <c r="C36" s="1807"/>
      <c r="D36" s="1807"/>
      <c r="E36" s="1807"/>
      <c r="F36" s="1807"/>
      <c r="G36" s="1807"/>
      <c r="H36" s="1807"/>
      <c r="I36" s="1807"/>
      <c r="J36" s="1807"/>
      <c r="K36" s="1168">
        <f>K10+K35*365.25</f>
        <v>44271.19172413979</v>
      </c>
      <c r="M36" s="7"/>
      <c r="N36" s="7">
        <f>M15</f>
        <v>1</v>
      </c>
      <c r="O36" s="310">
        <f t="shared" si="6"/>
        <v>8</v>
      </c>
      <c r="P36" s="310" t="str">
        <f>O15</f>
        <v>Options at $1.00 Strike Price Exercise</v>
      </c>
    </row>
    <row r="37" spans="1:16" ht="12.75" customHeight="1">
      <c r="B37" s="2" t="s">
        <v>1599</v>
      </c>
      <c r="C37" s="1169">
        <f t="shared" ref="C37:K37" si="8">C16+C32</f>
        <v>7191.8836258530382</v>
      </c>
      <c r="D37" s="1169">
        <f t="shared" si="8"/>
        <v>20779.181263763166</v>
      </c>
      <c r="E37" s="1169">
        <f t="shared" si="8"/>
        <v>15935.901882197501</v>
      </c>
      <c r="F37" s="1169">
        <f t="shared" si="8"/>
        <v>15578.659983927091</v>
      </c>
      <c r="G37" s="1169">
        <f t="shared" si="8"/>
        <v>29099.417151226582</v>
      </c>
      <c r="H37" s="1169">
        <f t="shared" si="8"/>
        <v>28100.731049610757</v>
      </c>
      <c r="I37" s="1169">
        <f t="shared" si="8"/>
        <v>33352.23490129834</v>
      </c>
      <c r="J37" s="1169">
        <f t="shared" si="8"/>
        <v>23169.672137509282</v>
      </c>
      <c r="K37" s="1169">
        <f t="shared" si="8"/>
        <v>75788.952304577571</v>
      </c>
      <c r="N37" s="7">
        <f>C41</f>
        <v>1.3076154424488147</v>
      </c>
      <c r="O37" s="310">
        <f t="shared" si="6"/>
        <v>9</v>
      </c>
      <c r="P37" s="310" t="s">
        <v>2639</v>
      </c>
    </row>
    <row r="38" spans="1:16" ht="12.75" customHeight="1">
      <c r="B38" s="2" t="s">
        <v>190</v>
      </c>
      <c r="C38" s="159" t="s">
        <v>192</v>
      </c>
      <c r="D38" s="159" t="s">
        <v>192</v>
      </c>
      <c r="E38" s="159" t="s">
        <v>192</v>
      </c>
      <c r="F38" s="159" t="s">
        <v>192</v>
      </c>
      <c r="G38" s="159" t="s">
        <v>192</v>
      </c>
      <c r="H38" s="159" t="s">
        <v>192</v>
      </c>
      <c r="I38" s="159" t="s">
        <v>192</v>
      </c>
      <c r="J38" s="159" t="s">
        <v>192</v>
      </c>
      <c r="K38" s="159" t="s">
        <v>192</v>
      </c>
      <c r="N38" s="7">
        <f>M16</f>
        <v>3.5</v>
      </c>
      <c r="O38" s="310">
        <f t="shared" si="6"/>
        <v>10</v>
      </c>
      <c r="P38" s="310" t="str">
        <f>O16</f>
        <v>Options at $3.50 Strike Price Exercise</v>
      </c>
    </row>
    <row r="39" spans="1:16" ht="12.75" customHeight="1">
      <c r="B39" s="2"/>
      <c r="C39" s="785"/>
      <c r="D39" s="785"/>
      <c r="N39" s="7">
        <f>M17</f>
        <v>3.7</v>
      </c>
      <c r="O39" s="310">
        <f t="shared" si="6"/>
        <v>11</v>
      </c>
      <c r="P39" s="310" t="str">
        <f>O17</f>
        <v>Options at $3.70 Strike Price Exercise</v>
      </c>
    </row>
    <row r="40" spans="1:16" ht="12.75" customHeight="1">
      <c r="B40" s="2" t="s">
        <v>2731</v>
      </c>
      <c r="C40" s="1090">
        <f>C37/C11</f>
        <v>1.3076154424488147</v>
      </c>
      <c r="D40" s="1090">
        <f t="shared" ref="D40:K40" si="9">D37/D11</f>
        <v>0.99343923059465733</v>
      </c>
      <c r="E40" s="1090">
        <f t="shared" si="9"/>
        <v>4.4620532409438187</v>
      </c>
      <c r="F40" s="1090">
        <f t="shared" si="9"/>
        <v>4.3620242720566731</v>
      </c>
      <c r="G40" s="1090">
        <f t="shared" si="9"/>
        <v>12.201576304950862</v>
      </c>
      <c r="H40" s="1090">
        <f t="shared" si="9"/>
        <v>11.782820677983063</v>
      </c>
      <c r="I40" s="1090">
        <f t="shared" si="9"/>
        <v>12.604365429278694</v>
      </c>
      <c r="J40" s="1090">
        <f t="shared" si="9"/>
        <v>12.505881754059359</v>
      </c>
      <c r="K40" s="1090">
        <f t="shared" si="9"/>
        <v>14.963761352956272</v>
      </c>
      <c r="N40" s="7">
        <f>M18</f>
        <v>4</v>
      </c>
      <c r="O40" s="310">
        <f t="shared" si="6"/>
        <v>12</v>
      </c>
      <c r="P40" s="310" t="str">
        <f>O18</f>
        <v>Options at $4.00 Strike Price Exercise</v>
      </c>
    </row>
    <row r="41" spans="1:16" ht="12.75" customHeight="1">
      <c r="B41" s="2" t="s">
        <v>2732</v>
      </c>
      <c r="C41" s="1090">
        <f>C40</f>
        <v>1.3076154424488147</v>
      </c>
      <c r="D41" s="1090">
        <f>D40</f>
        <v>0.99343923059465733</v>
      </c>
      <c r="E41" s="1090">
        <f>SUMPRODUCT(E40:F40,E13:F13)/SUM(E13:F13)</f>
        <v>4.4120387494982181</v>
      </c>
      <c r="F41" s="1090">
        <f>E41</f>
        <v>4.4120387494982181</v>
      </c>
      <c r="G41" s="1090">
        <f>SUMPRODUCT(G40:H40,G13:H13)/SUM(G13:H13)</f>
        <v>11.992198491466963</v>
      </c>
      <c r="H41" s="1090">
        <f>G41</f>
        <v>11.992198491466963</v>
      </c>
      <c r="I41" s="1090">
        <f>SUMPRODUCT(I40:J40,I13:J13)/SUM(I13:J13)</f>
        <v>12.563807638592355</v>
      </c>
      <c r="J41" s="1090">
        <f>I41</f>
        <v>12.563807638592355</v>
      </c>
      <c r="K41" s="1090">
        <f>K40</f>
        <v>14.963761352956272</v>
      </c>
      <c r="N41" s="7">
        <f>E41</f>
        <v>4.4120387494982181</v>
      </c>
      <c r="O41" s="310">
        <f t="shared" si="6"/>
        <v>13</v>
      </c>
      <c r="P41" s="310" t="s">
        <v>2637</v>
      </c>
    </row>
    <row r="42" spans="1:16" ht="12.75" customHeight="1">
      <c r="B42" s="2"/>
      <c r="M42" s="310" t="s">
        <v>1578</v>
      </c>
      <c r="N42" s="7">
        <f>M19</f>
        <v>6</v>
      </c>
      <c r="O42" s="310">
        <f t="shared" si="6"/>
        <v>14</v>
      </c>
      <c r="P42" s="310" t="str">
        <f>O19</f>
        <v>Options at $6.00 Strike Price Exercise</v>
      </c>
    </row>
    <row r="43" spans="1:16" ht="12.75" customHeight="1">
      <c r="B43" s="8" t="s">
        <v>16</v>
      </c>
      <c r="N43" s="7">
        <f>M20</f>
        <v>7</v>
      </c>
      <c r="O43" s="310">
        <f t="shared" si="6"/>
        <v>15</v>
      </c>
      <c r="P43" s="310" t="str">
        <f>O20</f>
        <v>Options at $7.00 Strike Price Exercise</v>
      </c>
    </row>
    <row r="44" spans="1:16" ht="12.75" customHeight="1">
      <c r="A44" s="586" t="s">
        <v>128</v>
      </c>
      <c r="B44" s="310" t="s">
        <v>633</v>
      </c>
      <c r="M44" s="7"/>
      <c r="N44" s="7">
        <f>M21</f>
        <v>7.28</v>
      </c>
      <c r="O44" s="310">
        <f t="shared" si="6"/>
        <v>16</v>
      </c>
      <c r="P44" s="310" t="str">
        <f>O21</f>
        <v>Executive Option Grants Made Exercise at $7.28 Strike Price</v>
      </c>
    </row>
    <row r="45" spans="1:16" ht="12.75" customHeight="1">
      <c r="A45" s="586" t="str">
        <f>D6</f>
        <v>(2)</v>
      </c>
      <c r="B45" s="310" t="s">
        <v>1697</v>
      </c>
      <c r="C45" s="1121"/>
      <c r="D45" s="1121"/>
      <c r="E45" s="1121"/>
      <c r="F45" s="1121"/>
      <c r="G45" s="1121"/>
      <c r="H45" s="1121"/>
      <c r="I45" s="1121"/>
      <c r="J45" s="1121"/>
      <c r="K45" s="1121"/>
      <c r="M45" s="7"/>
      <c r="N45" s="7">
        <f>M22</f>
        <v>10</v>
      </c>
      <c r="O45" s="310">
        <f t="shared" si="6"/>
        <v>17</v>
      </c>
      <c r="P45" s="310" t="str">
        <f>O22</f>
        <v>Options at $10.00 Strike Price Exercise</v>
      </c>
    </row>
    <row r="46" spans="1:16" ht="12.75" customHeight="1">
      <c r="A46" s="586" t="str">
        <f>E6</f>
        <v>(3)</v>
      </c>
      <c r="B46" s="72" t="s">
        <v>1698</v>
      </c>
      <c r="C46" s="785"/>
      <c r="D46" s="785"/>
      <c r="E46" s="785"/>
      <c r="F46" s="785"/>
      <c r="G46" s="785"/>
      <c r="H46" s="785"/>
      <c r="I46" s="785"/>
      <c r="J46" s="785"/>
      <c r="K46" s="785"/>
      <c r="N46" s="7">
        <f>M23</f>
        <v>11</v>
      </c>
      <c r="O46" s="310">
        <f t="shared" si="6"/>
        <v>18</v>
      </c>
      <c r="P46" s="310" t="str">
        <f>O23</f>
        <v>Options at $11.00 Strike Price Exercise</v>
      </c>
    </row>
    <row r="47" spans="1:16" ht="12.75" customHeight="1">
      <c r="A47" s="586" t="str">
        <f>J6</f>
        <v>(4)</v>
      </c>
      <c r="B47" s="72" t="s">
        <v>2920</v>
      </c>
      <c r="C47" s="1121"/>
      <c r="D47" s="1121"/>
      <c r="E47" s="1121"/>
      <c r="F47" s="1121"/>
      <c r="G47" s="1121"/>
      <c r="H47" s="1121"/>
      <c r="I47" s="1121"/>
      <c r="J47" s="1121"/>
      <c r="K47" s="1121"/>
      <c r="N47" s="366">
        <f>G41</f>
        <v>11.992198491466963</v>
      </c>
      <c r="O47" s="310">
        <f t="shared" si="6"/>
        <v>19</v>
      </c>
      <c r="P47" s="310" t="s">
        <v>2571</v>
      </c>
    </row>
    <row r="48" spans="1:16" ht="12.95" customHeight="1">
      <c r="A48" s="653" t="s">
        <v>146</v>
      </c>
      <c r="B48" s="2611" t="s">
        <v>2733</v>
      </c>
      <c r="C48" s="2611"/>
      <c r="D48" s="2611"/>
      <c r="E48" s="2611"/>
      <c r="F48" s="2611"/>
      <c r="G48" s="2611"/>
      <c r="H48" s="2611"/>
      <c r="I48" s="2611"/>
      <c r="J48" s="2611"/>
      <c r="K48" s="2611"/>
      <c r="N48" s="366">
        <f>I41</f>
        <v>12.563807638592355</v>
      </c>
      <c r="O48" s="310">
        <f t="shared" si="6"/>
        <v>20</v>
      </c>
      <c r="P48" s="310" t="s">
        <v>2569</v>
      </c>
    </row>
    <row r="49" spans="1:16" ht="26.25" customHeight="1">
      <c r="A49" s="653" t="s">
        <v>161</v>
      </c>
      <c r="B49" s="2611" t="s">
        <v>2725</v>
      </c>
      <c r="C49" s="2611"/>
      <c r="D49" s="2611"/>
      <c r="E49" s="2611"/>
      <c r="F49" s="2611"/>
      <c r="G49" s="2611"/>
      <c r="H49" s="2611"/>
      <c r="I49" s="2611"/>
      <c r="J49" s="2611"/>
      <c r="K49" s="2611"/>
      <c r="N49" s="366">
        <f>K41</f>
        <v>14.963761352956272</v>
      </c>
      <c r="O49" s="310">
        <f t="shared" si="6"/>
        <v>21</v>
      </c>
      <c r="P49" s="310" t="s">
        <v>2570</v>
      </c>
    </row>
    <row r="51" spans="1:16">
      <c r="H51" s="2032" t="s">
        <v>417</v>
      </c>
      <c r="I51" s="1153"/>
      <c r="J51" s="1153"/>
      <c r="K51" s="1153"/>
      <c r="L51" s="1153"/>
      <c r="M51" s="1529"/>
    </row>
    <row r="52" spans="1:16">
      <c r="H52" s="2036" t="s">
        <v>151</v>
      </c>
      <c r="I52" s="24" t="s">
        <v>2905</v>
      </c>
      <c r="J52" s="24" t="s">
        <v>2904</v>
      </c>
      <c r="K52" s="24" t="s">
        <v>2906</v>
      </c>
      <c r="L52" s="16"/>
      <c r="M52" s="168"/>
    </row>
    <row r="53" spans="1:16">
      <c r="H53" s="275">
        <v>12697</v>
      </c>
      <c r="I53" s="1217">
        <f>$H53/$H$55</f>
        <v>2.3558290859635483E-2</v>
      </c>
      <c r="J53" s="2033">
        <v>43173</v>
      </c>
      <c r="K53" s="16"/>
      <c r="L53" s="16"/>
      <c r="M53" s="168"/>
    </row>
    <row r="54" spans="1:16">
      <c r="H54" s="275">
        <v>526264</v>
      </c>
      <c r="I54" s="1217">
        <f>$H54/$H$55</f>
        <v>0.97644170914036454</v>
      </c>
      <c r="J54" s="2033">
        <v>43185</v>
      </c>
      <c r="K54" s="2034">
        <f>SUMPRODUCT(I53:I54,J53:J54)/SUM(I53:I54)</f>
        <v>43184.717300509692</v>
      </c>
      <c r="L54" s="16"/>
      <c r="M54" s="168"/>
    </row>
    <row r="55" spans="1:16">
      <c r="H55" s="76">
        <f>SUM(H53:H54)</f>
        <v>538961</v>
      </c>
      <c r="I55" s="1512"/>
      <c r="J55" s="1512"/>
      <c r="K55" s="1512"/>
      <c r="L55" s="1512"/>
      <c r="M55" s="2035"/>
    </row>
    <row r="61" spans="1:16">
      <c r="B61" s="8"/>
    </row>
    <row r="62" spans="1:16">
      <c r="B62" s="22"/>
    </row>
  </sheetData>
  <mergeCells count="3">
    <mergeCell ref="J6:K6"/>
    <mergeCell ref="B48:K48"/>
    <mergeCell ref="B49:K49"/>
  </mergeCells>
  <conditionalFormatting sqref="B4:J4">
    <cfRule type="cellIs" dxfId="129" priority="7" stopIfTrue="1" operator="equal">
      <formula>"input"</formula>
    </cfRule>
  </conditionalFormatting>
  <conditionalFormatting sqref="K4">
    <cfRule type="cellIs" dxfId="128" priority="1" stopIfTrue="1" operator="equal">
      <formula>"input"</formula>
    </cfRule>
  </conditionalFormatting>
  <conditionalFormatting sqref="K4">
    <cfRule type="cellIs" dxfId="127" priority="2" stopIfTrue="1" operator="equal">
      <formula>"input"</formula>
    </cfRule>
  </conditionalFormatting>
  <pageMargins left="0.5" right="0.5" top="0.5" bottom="0.5" header="0.5" footer="0.5"/>
  <pageSetup scale="80" fitToWidth="0" fitToHeight="0" orientation="landscape" r:id="rId1"/>
  <legacyDrawing r:id="rId2"/>
  <legacyDrawingHF r:id="rId3"/>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'List Data'!$C$3:$C$6</xm:f>
          </x14:formula1>
          <xm:sqref>C19:K19 C34:K34</xm:sqref>
        </x14:dataValidation>
        <x14:dataValidation type="list" allowBlank="1" showInputMessage="1" showErrorMessage="1">
          <x14:formula1>
            <xm:f>'List Data'!$D$3:$D$5</xm:f>
          </x14:formula1>
          <xm:sqref>C23:K23</xm:sqref>
        </x14:dataValidation>
        <x14:dataValidation type="list" allowBlank="1" showInputMessage="1" showErrorMessage="1">
          <x14:formula1>
            <xm:f>'List Data'!$E$3:$E$5</xm:f>
          </x14:formula1>
          <xm:sqref>C24:K24</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theme="3" tint="-0.499984740745262"/>
    <pageSetUpPr fitToPage="1"/>
  </sheetPr>
  <dimension ref="B6:F30"/>
  <sheetViews>
    <sheetView showGridLines="0" view="pageBreakPreview" zoomScale="85" zoomScaleNormal="100" zoomScaleSheetLayoutView="85" workbookViewId="0">
      <selection activeCell="I9" sqref="I9"/>
    </sheetView>
  </sheetViews>
  <sheetFormatPr defaultColWidth="9.33203125" defaultRowHeight="15"/>
  <cols>
    <col min="1" max="1" width="4.5" style="222" customWidth="1"/>
    <col min="2" max="2" width="3.83203125" style="222" customWidth="1"/>
    <col min="3" max="3" width="15.83203125" style="222" customWidth="1"/>
    <col min="4" max="4" width="105.5" style="223" customWidth="1"/>
    <col min="5" max="5" width="15.83203125" style="222" customWidth="1"/>
    <col min="6" max="6" width="3.83203125" style="222" customWidth="1"/>
    <col min="7" max="7" width="4.5" style="222" customWidth="1"/>
    <col min="8" max="8" width="9.33203125" style="222"/>
    <col min="9" max="9" width="16.33203125" style="222" bestFit="1" customWidth="1"/>
    <col min="10" max="10" width="19" style="222" bestFit="1" customWidth="1"/>
    <col min="11" max="16384" width="9.33203125" style="222"/>
  </cols>
  <sheetData>
    <row r="6" spans="2:6">
      <c r="B6" s="224"/>
      <c r="C6" s="213"/>
      <c r="D6" s="214"/>
      <c r="E6" s="213"/>
      <c r="F6" s="213"/>
    </row>
    <row r="7" spans="2:6" ht="15.75" thickBot="1">
      <c r="B7" s="224"/>
      <c r="C7" s="213"/>
      <c r="D7" s="214"/>
      <c r="E7" s="213"/>
      <c r="F7" s="213"/>
    </row>
    <row r="8" spans="2:6" ht="15.75" thickTop="1">
      <c r="B8" s="14"/>
      <c r="C8" s="225"/>
      <c r="D8" s="226"/>
      <c r="E8" s="225"/>
      <c r="F8" s="225"/>
    </row>
    <row r="9" spans="2:6" s="227" customFormat="1" ht="40.5">
      <c r="B9" s="228"/>
      <c r="C9" s="229"/>
      <c r="D9" s="230" t="s">
        <v>281</v>
      </c>
      <c r="E9" s="229"/>
      <c r="F9" s="229"/>
    </row>
    <row r="10" spans="2:6" ht="15.75" thickBot="1">
      <c r="B10" s="217"/>
      <c r="C10" s="232"/>
      <c r="D10" s="233"/>
      <c r="E10" s="232"/>
      <c r="F10" s="232"/>
    </row>
    <row r="11" spans="2:6" ht="15.75" thickTop="1"/>
    <row r="13" spans="2:6" ht="18.75">
      <c r="D13" s="218"/>
    </row>
    <row r="14" spans="2:6" ht="18.75">
      <c r="D14" s="219"/>
    </row>
    <row r="27" spans="4:4" ht="23.25">
      <c r="D27" s="687" t="s">
        <v>576</v>
      </c>
    </row>
    <row r="29" spans="4:4" ht="18.75">
      <c r="D29" s="220" t="s">
        <v>414</v>
      </c>
    </row>
    <row r="30" spans="4:4" ht="37.5">
      <c r="D30" s="221" t="s">
        <v>269</v>
      </c>
    </row>
  </sheetData>
  <pageMargins left="0.5" right="0.5" top="0.5" bottom="0.5" header="0.5" footer="0.5"/>
  <pageSetup scale="98" orientation="landscape"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F65"/>
  <sheetViews>
    <sheetView showGridLines="0" view="pageBreakPreview" zoomScale="85" zoomScaleNormal="100" zoomScaleSheetLayoutView="85" workbookViewId="0">
      <selection activeCell="I9" sqref="I9"/>
    </sheetView>
  </sheetViews>
  <sheetFormatPr defaultColWidth="9.33203125" defaultRowHeight="12.75" outlineLevelRow="1"/>
  <cols>
    <col min="1" max="1" width="4.5" style="310" customWidth="1"/>
    <col min="2" max="2" width="94.5" style="310" customWidth="1"/>
    <col min="3" max="3" width="2.83203125" style="310" customWidth="1"/>
    <col min="4" max="4" width="22.33203125" style="310" customWidth="1"/>
    <col min="5" max="5" width="2.83203125" style="310" customWidth="1"/>
    <col min="6" max="6" width="36.83203125" style="310" customWidth="1"/>
    <col min="7" max="7" width="4.5" style="310" customWidth="1"/>
    <col min="8" max="16384" width="9.33203125" style="310"/>
  </cols>
  <sheetData>
    <row r="1" spans="2:6" ht="10.7" customHeight="1" thickBot="1"/>
    <row r="2" spans="2:6" ht="16.5" customHeight="1" thickTop="1">
      <c r="B2" s="10" t="str">
        <f>'MASTER PubCo Inputs'!$C$5</f>
        <v>Hua Medicine</v>
      </c>
      <c r="C2" s="10"/>
      <c r="D2" s="10"/>
      <c r="E2" s="10"/>
      <c r="F2" s="10"/>
    </row>
    <row r="3" spans="2:6" ht="15.75" customHeight="1">
      <c r="B3" s="11" t="str">
        <f>VLOOKUP(B4,Outline!$E$8:$G$81,COLUMNS(Outline!$E$8:$G$8),FALSE)</f>
        <v>Exhibit H.1</v>
      </c>
      <c r="C3" s="11"/>
      <c r="D3" s="11"/>
      <c r="E3" s="11"/>
      <c r="F3" s="11"/>
    </row>
    <row r="4" spans="2:6" ht="16.5" customHeight="1" thickBot="1">
      <c r="B4" s="12" t="s">
        <v>1570</v>
      </c>
      <c r="C4" s="12"/>
      <c r="D4" s="12"/>
      <c r="E4" s="12"/>
      <c r="F4" s="13"/>
    </row>
    <row r="5" spans="2:6" ht="12.75" customHeight="1" thickTop="1"/>
    <row r="6" spans="2:6" ht="12.75" customHeight="1"/>
    <row r="7" spans="2:6" ht="12.75" customHeight="1">
      <c r="B7" s="348" t="s">
        <v>284</v>
      </c>
      <c r="C7" s="1150"/>
      <c r="D7" s="1151" t="s">
        <v>196</v>
      </c>
      <c r="F7" s="163" t="s">
        <v>4</v>
      </c>
    </row>
    <row r="8" spans="2:6" ht="12.75" customHeight="1"/>
    <row r="9" spans="2:6" ht="12.75" customHeight="1">
      <c r="B9" s="1152" t="s">
        <v>5</v>
      </c>
      <c r="C9" s="1153"/>
      <c r="D9" s="1154">
        <f>'Hybrid OPM'!I9</f>
        <v>1.2333561643835615</v>
      </c>
      <c r="F9" s="3" t="s">
        <v>128</v>
      </c>
    </row>
    <row r="10" spans="2:6" ht="12.75" customHeight="1">
      <c r="B10" s="275" t="s">
        <v>6</v>
      </c>
      <c r="C10" s="16"/>
      <c r="D10" s="165">
        <f>'Risk-Free Rates'!E50</f>
        <v>2.3743376712328769E-2</v>
      </c>
      <c r="F10" s="21" t="str">
        <f>'Risk-Free Rates'!B3</f>
        <v>Exhibit H.6</v>
      </c>
    </row>
    <row r="11" spans="2:6" ht="12.75" customHeight="1">
      <c r="B11" s="275" t="s">
        <v>7</v>
      </c>
      <c r="C11" s="16"/>
      <c r="D11" s="166">
        <v>0</v>
      </c>
      <c r="F11" s="20"/>
    </row>
    <row r="12" spans="2:6" ht="12.75" customHeight="1">
      <c r="B12" s="780" t="s">
        <v>8</v>
      </c>
      <c r="C12" s="167"/>
      <c r="D12" s="324">
        <f>'Asset Vol_DLOM'!Q72</f>
        <v>0.79400000000000004</v>
      </c>
      <c r="F12" s="788" t="str">
        <f>'Asset Vol_DLOM'!B3</f>
        <v>Exhibit H.4</v>
      </c>
    </row>
    <row r="13" spans="2:6" ht="12.75" customHeight="1">
      <c r="B13" s="275"/>
      <c r="C13" s="16"/>
      <c r="D13" s="168"/>
    </row>
    <row r="14" spans="2:6" ht="12.75" customHeight="1">
      <c r="B14" s="275" t="s">
        <v>2804</v>
      </c>
      <c r="C14" s="16"/>
      <c r="D14" s="169">
        <f>D12^2*D9</f>
        <v>0.77755212684931518</v>
      </c>
    </row>
    <row r="15" spans="2:6" ht="12.75" customHeight="1">
      <c r="B15" s="275" t="s">
        <v>2805</v>
      </c>
      <c r="C15" s="16"/>
      <c r="D15" s="169">
        <f>(D14+LN(2*(EXP(D14)-D14-1))-2*LN(EXP(D14)-1))^0.5</f>
        <v>0.47581013560882457</v>
      </c>
    </row>
    <row r="16" spans="2:6" ht="12.75" customHeight="1">
      <c r="B16" s="275" t="s">
        <v>2806</v>
      </c>
      <c r="C16" s="16"/>
      <c r="D16" s="169">
        <f>_xlfn.NORM.DIST(D15/2,0,1,1)</f>
        <v>0.59402263759333063</v>
      </c>
    </row>
    <row r="17" spans="2:6" ht="12.75" customHeight="1">
      <c r="B17" s="275" t="s">
        <v>2807</v>
      </c>
      <c r="C17" s="16"/>
      <c r="D17" s="169">
        <f>_xlfn.NORM.DIST(-D15/2,0,1,1)</f>
        <v>0.40597736240666932</v>
      </c>
    </row>
    <row r="18" spans="2:6" ht="12.75" customHeight="1">
      <c r="B18" s="275"/>
      <c r="C18" s="16"/>
      <c r="D18" s="170"/>
    </row>
    <row r="19" spans="2:6" ht="12.75" customHeight="1">
      <c r="B19" s="781" t="s">
        <v>9</v>
      </c>
      <c r="C19" s="782"/>
      <c r="D19" s="783">
        <f>EXP(-D9*D11)*(D16-D17)</f>
        <v>0.18804527518666131</v>
      </c>
    </row>
    <row r="20" spans="2:6" ht="12.75" customHeight="1"/>
    <row r="21" spans="2:6" ht="12.75" hidden="1" customHeight="1" outlineLevel="1">
      <c r="B21" s="1149" t="s">
        <v>10</v>
      </c>
      <c r="C21" s="1150"/>
      <c r="D21" s="1151" t="str">
        <f>D7</f>
        <v>DLOM</v>
      </c>
    </row>
    <row r="22" spans="2:6" ht="12.75" hidden="1" customHeight="1" outlineLevel="1"/>
    <row r="23" spans="2:6" ht="12.75" hidden="1" customHeight="1" outlineLevel="1">
      <c r="B23" s="1152" t="s">
        <v>11</v>
      </c>
      <c r="C23" s="1153"/>
      <c r="D23" s="1155">
        <v>1</v>
      </c>
    </row>
    <row r="24" spans="2:6" ht="12.75" hidden="1" customHeight="1" outlineLevel="1">
      <c r="B24" s="780" t="s">
        <v>12</v>
      </c>
      <c r="C24" s="16"/>
      <c r="D24" s="171">
        <v>1</v>
      </c>
    </row>
    <row r="25" spans="2:6" ht="12.75" hidden="1" customHeight="1" outlineLevel="1">
      <c r="B25" s="780" t="s">
        <v>13</v>
      </c>
      <c r="C25" s="16"/>
      <c r="D25" s="45">
        <f>D9</f>
        <v>1.2333561643835615</v>
      </c>
      <c r="F25" s="21"/>
    </row>
    <row r="26" spans="2:6" ht="12.75" hidden="1" customHeight="1" outlineLevel="1">
      <c r="B26" s="275" t="s">
        <v>6</v>
      </c>
      <c r="C26" s="16"/>
      <c r="D26" s="172">
        <f>D10</f>
        <v>2.3743376712328769E-2</v>
      </c>
      <c r="F26" s="21" t="str">
        <f>+F10</f>
        <v>Exhibit H.6</v>
      </c>
    </row>
    <row r="27" spans="2:6" ht="12.75" hidden="1" customHeight="1" outlineLevel="1">
      <c r="B27" s="275" t="s">
        <v>8</v>
      </c>
      <c r="C27" s="16"/>
      <c r="D27" s="325">
        <f>D12</f>
        <v>0.79400000000000004</v>
      </c>
      <c r="F27" s="21" t="str">
        <f>+F12</f>
        <v>Exhibit H.4</v>
      </c>
    </row>
    <row r="28" spans="2:6" ht="12.75" hidden="1" customHeight="1" outlineLevel="1">
      <c r="B28" s="275"/>
      <c r="C28" s="16"/>
      <c r="D28" s="168"/>
    </row>
    <row r="29" spans="2:6" ht="12.75" hidden="1" customHeight="1" outlineLevel="1">
      <c r="B29" s="275" t="s">
        <v>14</v>
      </c>
      <c r="C29" s="16"/>
      <c r="D29" s="169">
        <f>(LN(D23/D24)+(D26+D27^2/2)*D25)/(D27*SQRT(D25))</f>
        <v>0.47410437925873267</v>
      </c>
    </row>
    <row r="30" spans="2:6" ht="12.75" hidden="1" customHeight="1" outlineLevel="1">
      <c r="B30" s="275" t="s">
        <v>15</v>
      </c>
      <c r="C30" s="16"/>
      <c r="D30" s="169">
        <f>D29-D27*SQRT(D25)</f>
        <v>-0.40768478309773176</v>
      </c>
    </row>
    <row r="31" spans="2:6" ht="12.75" hidden="1" customHeight="1" outlineLevel="1">
      <c r="B31" s="275"/>
      <c r="C31" s="16"/>
      <c r="D31" s="168"/>
    </row>
    <row r="32" spans="2:6" ht="12.75" hidden="1" customHeight="1" outlineLevel="1">
      <c r="B32" s="781" t="s">
        <v>9</v>
      </c>
      <c r="C32" s="5"/>
      <c r="D32" s="783">
        <f>D24*EXP(-D26*D25)*NORMSDIST(-D30)-D23*NORMSDIST(-D29)</f>
        <v>0.32153806893355896</v>
      </c>
    </row>
    <row r="33" spans="2:6" hidden="1" outlineLevel="1"/>
    <row r="34" spans="2:6" ht="12.75" hidden="1" customHeight="1" outlineLevel="1" collapsed="1">
      <c r="B34" s="1149" t="s">
        <v>280</v>
      </c>
      <c r="C34" s="1150"/>
      <c r="D34" s="1151" t="str">
        <f>D21</f>
        <v>DLOM</v>
      </c>
    </row>
    <row r="35" spans="2:6" ht="12.75" hidden="1" customHeight="1" outlineLevel="1"/>
    <row r="36" spans="2:6" ht="12.75" hidden="1" customHeight="1" outlineLevel="1">
      <c r="B36" s="1152" t="s">
        <v>13</v>
      </c>
      <c r="C36" s="1153"/>
      <c r="D36" s="1156">
        <f>+D25</f>
        <v>1.2333561643835615</v>
      </c>
      <c r="F36" s="21"/>
    </row>
    <row r="37" spans="2:6" ht="12.75" hidden="1" customHeight="1" outlineLevel="1">
      <c r="B37" s="275" t="s">
        <v>11</v>
      </c>
      <c r="C37" s="16"/>
      <c r="D37" s="171">
        <f>+D23</f>
        <v>1</v>
      </c>
    </row>
    <row r="38" spans="2:6" ht="12.75" hidden="1" customHeight="1" outlineLevel="1">
      <c r="B38" s="275" t="s">
        <v>12</v>
      </c>
      <c r="C38" s="16"/>
      <c r="D38" s="171">
        <f>+D24</f>
        <v>1</v>
      </c>
    </row>
    <row r="39" spans="2:6" ht="12.75" hidden="1" customHeight="1" outlineLevel="1">
      <c r="B39" s="275" t="s">
        <v>7</v>
      </c>
      <c r="C39" s="16"/>
      <c r="D39" s="172">
        <f>+D11</f>
        <v>0</v>
      </c>
    </row>
    <row r="40" spans="2:6" ht="12.75" hidden="1" customHeight="1" outlineLevel="1">
      <c r="B40" s="275" t="s">
        <v>8</v>
      </c>
      <c r="C40" s="16"/>
      <c r="D40" s="325">
        <f>+D12</f>
        <v>0.79400000000000004</v>
      </c>
      <c r="F40" s="21" t="str">
        <f>+F27</f>
        <v>Exhibit H.4</v>
      </c>
    </row>
    <row r="41" spans="2:6" ht="12.75" hidden="1" customHeight="1" outlineLevel="1">
      <c r="B41" s="275"/>
      <c r="C41" s="16"/>
      <c r="D41" s="168"/>
    </row>
    <row r="42" spans="2:6" ht="12.75" hidden="1" customHeight="1" outlineLevel="1">
      <c r="B42" s="275" t="s">
        <v>282</v>
      </c>
      <c r="C42" s="16"/>
      <c r="D42" s="169">
        <f>LN(2*(EXP((D40^2)*D36)-((D40^2)*D36)-1))-2*(LN((D40^2)*D36))</f>
        <v>0.27652613230747802</v>
      </c>
    </row>
    <row r="43" spans="2:6" ht="12.75" hidden="1" customHeight="1" outlineLevel="1">
      <c r="B43" s="275" t="s">
        <v>283</v>
      </c>
      <c r="C43" s="16"/>
      <c r="D43" s="169">
        <f>SQRT(D42)</f>
        <v>0.52585752091938176</v>
      </c>
    </row>
    <row r="44" spans="2:6" ht="12.75" hidden="1" customHeight="1" outlineLevel="1">
      <c r="B44" s="275"/>
      <c r="C44" s="16"/>
      <c r="D44" s="168"/>
    </row>
    <row r="45" spans="2:6" ht="12.75" hidden="1" customHeight="1" outlineLevel="1">
      <c r="B45" s="781" t="s">
        <v>9</v>
      </c>
      <c r="C45" s="5"/>
      <c r="D45" s="783">
        <f>EXP(-D39*D36)*D38*(2*NORMSDIST(D43/2)-1)</f>
        <v>0.20739451165167355</v>
      </c>
    </row>
    <row r="46" spans="2:6" ht="12.75" hidden="1" customHeight="1" outlineLevel="1"/>
    <row r="47" spans="2:6" ht="12.75" hidden="1" customHeight="1" outlineLevel="1">
      <c r="B47" s="1530" t="s">
        <v>5</v>
      </c>
      <c r="C47" s="2426"/>
      <c r="D47" s="2433">
        <f>D9</f>
        <v>1.2333561643835615</v>
      </c>
    </row>
    <row r="48" spans="2:6" ht="12.75" hidden="1" customHeight="1" outlineLevel="1">
      <c r="B48" s="275" t="s">
        <v>6</v>
      </c>
      <c r="C48" s="16"/>
      <c r="D48" s="2434">
        <f>D10</f>
        <v>2.3743376712328769E-2</v>
      </c>
    </row>
    <row r="49" spans="1:4" ht="12.75" hidden="1" customHeight="1" outlineLevel="1">
      <c r="B49" s="275" t="s">
        <v>7</v>
      </c>
      <c r="C49" s="16"/>
      <c r="D49" s="2435">
        <f>D11</f>
        <v>0</v>
      </c>
    </row>
    <row r="50" spans="1:4" ht="12.75" hidden="1" customHeight="1" outlineLevel="1">
      <c r="B50" s="780" t="s">
        <v>8</v>
      </c>
      <c r="C50" s="167"/>
      <c r="D50" s="2435">
        <f>D12</f>
        <v>0.79400000000000004</v>
      </c>
    </row>
    <row r="51" spans="1:4" ht="12.75" hidden="1" customHeight="1" outlineLevel="1">
      <c r="B51" s="275"/>
      <c r="C51" s="16"/>
      <c r="D51" s="168"/>
    </row>
    <row r="52" spans="1:4" ht="12.75" hidden="1" customHeight="1" outlineLevel="1">
      <c r="B52" s="275" t="s">
        <v>3292</v>
      </c>
      <c r="C52" s="16"/>
      <c r="D52" s="169">
        <f>D50^2*D47</f>
        <v>0.77755212684931518</v>
      </c>
    </row>
    <row r="53" spans="1:4" ht="12.75" hidden="1" customHeight="1" outlineLevel="1">
      <c r="B53" s="275"/>
      <c r="C53" s="16"/>
      <c r="D53" s="169"/>
    </row>
    <row r="54" spans="1:4" ht="12.75" hidden="1" customHeight="1" outlineLevel="1">
      <c r="B54" s="275" t="s">
        <v>3293</v>
      </c>
      <c r="C54" s="16"/>
      <c r="D54" s="325">
        <f>(2+(D52/2))*NORMSDIST(SQRT(D52)/2)+(SQRT(D52/(2*PI()))*EXP(-D52/8))-1</f>
        <v>0.92052961365287089</v>
      </c>
    </row>
    <row r="55" spans="1:4" ht="12.75" hidden="1" customHeight="1" outlineLevel="1">
      <c r="B55" s="275"/>
      <c r="C55" s="16"/>
      <c r="D55" s="169"/>
    </row>
    <row r="56" spans="1:4" ht="12.75" hidden="1" customHeight="1" outlineLevel="1">
      <c r="B56" s="781" t="s">
        <v>3294</v>
      </c>
      <c r="C56" s="782"/>
      <c r="D56" s="783">
        <f>D54/(1+D54)</f>
        <v>0.47931029394647673</v>
      </c>
    </row>
    <row r="57" spans="1:4" ht="12.75" hidden="1" customHeight="1" outlineLevel="1"/>
    <row r="58" spans="1:4" ht="12.75" customHeight="1" collapsed="1">
      <c r="B58" s="1157" t="s">
        <v>2567</v>
      </c>
      <c r="C58" s="1158"/>
      <c r="D58" s="1522">
        <f>MROUND(D19,1%)</f>
        <v>0.19</v>
      </c>
    </row>
    <row r="59" spans="1:4" ht="12.75" customHeight="1"/>
    <row r="60" spans="1:4" ht="12.75" customHeight="1">
      <c r="B60" s="8" t="s">
        <v>16</v>
      </c>
    </row>
    <row r="61" spans="1:4" ht="12.75" customHeight="1">
      <c r="A61" s="144" t="str">
        <f>F9</f>
        <v>(1)</v>
      </c>
      <c r="B61" s="597" t="str">
        <f>"Based on weighted average time to liquidity for the "&amp;TEXT('Hybrid OPM'!D7,"")&amp;", "&amp;TEXT('Hybrid OPM'!E7,"")&amp;" and "&amp;TEXT('Hybrid OPM'!F7,"")&amp;" scenarios."</f>
        <v>Based on weighted average time to liquidity for the OPM (Liquidation), OPM (Redemption) and IPO scenarios.</v>
      </c>
    </row>
    <row r="62" spans="1:4" ht="12.75" customHeight="1"/>
    <row r="63" spans="1:4" ht="12.75" customHeight="1"/>
    <row r="64" spans="1:4" ht="12.75" customHeight="1"/>
    <row r="65" ht="12.75" customHeight="1"/>
  </sheetData>
  <conditionalFormatting sqref="B4:E4">
    <cfRule type="cellIs" dxfId="126" priority="3" stopIfTrue="1" operator="equal">
      <formula>"input"</formula>
    </cfRule>
  </conditionalFormatting>
  <conditionalFormatting sqref="F4">
    <cfRule type="cellIs" dxfId="125" priority="1" stopIfTrue="1" operator="equal">
      <formula>"input"</formula>
    </cfRule>
  </conditionalFormatting>
  <conditionalFormatting sqref="F4">
    <cfRule type="cellIs" dxfId="124" priority="2" stopIfTrue="1" operator="equal">
      <formula>"input"</formula>
    </cfRule>
  </conditionalFormatting>
  <pageMargins left="0.5" right="0.5" top="0.5" bottom="0.5" header="0.5" footer="0.5"/>
  <pageSetup scale="90" fitToWidth="0" fitToHeight="0" orientation="landscape" r:id="rId1"/>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AJ94"/>
  <sheetViews>
    <sheetView showGridLines="0" view="pageBreakPreview" topLeftCell="A46" zoomScale="85" zoomScaleNormal="100" zoomScaleSheetLayoutView="85" workbookViewId="0">
      <selection activeCell="I9" sqref="I9"/>
    </sheetView>
  </sheetViews>
  <sheetFormatPr defaultColWidth="9.33203125" defaultRowHeight="12.75" outlineLevelRow="1" outlineLevelCol="1"/>
  <cols>
    <col min="1" max="1" width="4.5" style="310" customWidth="1"/>
    <col min="2" max="2" width="53.1640625" style="310" customWidth="1"/>
    <col min="3" max="3" width="2.83203125" style="310" customWidth="1"/>
    <col min="4" max="4" width="12.1640625" style="310" customWidth="1"/>
    <col min="5" max="5" width="10.83203125" style="310" hidden="1" customWidth="1" outlineLevel="1"/>
    <col min="6" max="7" width="9.83203125" style="310" hidden="1" customWidth="1" outlineLevel="1"/>
    <col min="8" max="8" width="12.1640625" style="310" customWidth="1" collapsed="1"/>
    <col min="9" max="9" width="12.1640625" style="310" customWidth="1"/>
    <col min="10" max="10" width="10.6640625" style="310" customWidth="1"/>
    <col min="11" max="11" width="12.1640625" style="310" customWidth="1"/>
    <col min="12" max="12" width="2.83203125" style="310" customWidth="1"/>
    <col min="13" max="13" width="10" style="310" customWidth="1"/>
    <col min="14" max="14" width="7.5" style="310" customWidth="1"/>
    <col min="15" max="15" width="11.1640625" style="310" customWidth="1"/>
    <col min="16" max="16" width="2.83203125" style="20" customWidth="1"/>
    <col min="17" max="17" width="9.33203125" style="310" customWidth="1"/>
    <col min="18" max="18" width="2.83203125" style="310" customWidth="1"/>
    <col min="19" max="19" width="11.6640625" style="310" hidden="1" customWidth="1" outlineLevel="1"/>
    <col min="20" max="23" width="8.83203125" style="310" hidden="1" customWidth="1" outlineLevel="1"/>
    <col min="24" max="24" width="12" style="310" customWidth="1" collapsed="1"/>
    <col min="25" max="25" width="9.33203125" style="310" customWidth="1"/>
    <col min="26" max="27" width="4.5" style="310" customWidth="1"/>
    <col min="28" max="28" width="17.5" style="310" bestFit="1" customWidth="1"/>
    <col min="29" max="29" width="12.33203125" style="310" bestFit="1" customWidth="1"/>
    <col min="30" max="30" width="9.5" style="310" bestFit="1" customWidth="1"/>
    <col min="31" max="31" width="10.1640625" style="310" bestFit="1" customWidth="1"/>
    <col min="32" max="16384" width="9.33203125" style="310"/>
  </cols>
  <sheetData>
    <row r="1" spans="2:36" ht="10.7" customHeight="1" thickBot="1">
      <c r="P1" s="310"/>
    </row>
    <row r="2" spans="2:36" ht="16.5" customHeight="1" thickTop="1">
      <c r="B2" s="10" t="str">
        <f>'MASTER PubCo Inputs'!$C$5</f>
        <v>Hua Medicine</v>
      </c>
      <c r="C2" s="10"/>
      <c r="D2" s="10"/>
      <c r="E2" s="10"/>
      <c r="F2" s="10"/>
      <c r="G2" s="10"/>
      <c r="H2" s="10"/>
      <c r="I2" s="10"/>
      <c r="J2" s="10"/>
      <c r="K2" s="10"/>
      <c r="L2" s="10"/>
      <c r="M2" s="10"/>
      <c r="N2" s="10"/>
      <c r="O2" s="10"/>
      <c r="P2" s="10"/>
      <c r="Q2" s="10"/>
      <c r="R2" s="10"/>
      <c r="S2" s="10"/>
      <c r="T2" s="10"/>
      <c r="U2" s="10"/>
      <c r="V2" s="10"/>
      <c r="W2" s="10"/>
      <c r="X2" s="10"/>
      <c r="Y2" s="10"/>
      <c r="AB2" s="234" t="s">
        <v>17</v>
      </c>
      <c r="AC2" s="235">
        <f>+Comp.1!$AL$2</f>
        <v>43281</v>
      </c>
    </row>
    <row r="3" spans="2:36" ht="15.75" customHeight="1">
      <c r="B3" s="11" t="str">
        <f>VLOOKUP(B4,Outline!$E$8:$G$81,COLUMNS(Outline!$E$8:$G$8),FALSE)</f>
        <v>Exhibit H.2</v>
      </c>
      <c r="C3" s="11"/>
      <c r="D3" s="11"/>
      <c r="E3" s="11"/>
      <c r="F3" s="11"/>
      <c r="G3" s="11"/>
      <c r="H3" s="11"/>
      <c r="I3" s="11"/>
      <c r="J3" s="11"/>
      <c r="K3" s="11"/>
      <c r="L3" s="11"/>
      <c r="M3" s="11"/>
      <c r="N3" s="11"/>
      <c r="O3" s="11"/>
      <c r="P3" s="11"/>
      <c r="Q3" s="11"/>
      <c r="R3" s="11"/>
      <c r="S3" s="11"/>
      <c r="T3" s="11"/>
      <c r="U3" s="11"/>
      <c r="V3" s="11"/>
      <c r="W3" s="11"/>
      <c r="X3" s="11"/>
      <c r="Y3" s="11"/>
      <c r="AB3" s="164" t="s">
        <v>273</v>
      </c>
      <c r="AC3" s="239" t="str">
        <f>+Comp.1!$AL$3</f>
        <v>F</v>
      </c>
    </row>
    <row r="4" spans="2:36" ht="16.5" customHeight="1" thickBot="1">
      <c r="B4" s="12" t="s">
        <v>1584</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B4" s="164" t="s">
        <v>274</v>
      </c>
      <c r="AC4" s="239" t="str">
        <f>+Comp.1!$AL$4</f>
        <v>USD</v>
      </c>
    </row>
    <row r="5" spans="2:36" ht="12.75" customHeight="1" thickTop="1">
      <c r="B5" s="20"/>
      <c r="AB5" s="76" t="s">
        <v>19</v>
      </c>
      <c r="AC5" s="238" t="str">
        <f>+Comp.1!$AL$5</f>
        <v>H</v>
      </c>
    </row>
    <row r="6" spans="2:36" ht="12.75" hidden="1" customHeight="1" outlineLevel="1">
      <c r="N6" s="173">
        <f>'OPM Hybrid (Liquidation)'!D10</f>
        <v>2.2506849315068491</v>
      </c>
      <c r="O6" s="174">
        <f>'Risk-Free Rates'!E26</f>
        <v>2.5475753424657535E-2</v>
      </c>
      <c r="Q6" s="211">
        <f>HLOOKUP(ROUND(N6,0),'Equity Vol'!$D$8:$H$8,1,TRUE)</f>
        <v>2</v>
      </c>
    </row>
    <row r="7" spans="2:36" ht="25.5" collapsed="1">
      <c r="D7" s="160" t="s">
        <v>21</v>
      </c>
      <c r="E7" s="161"/>
      <c r="F7" s="161"/>
      <c r="G7" s="161"/>
      <c r="H7" s="161"/>
      <c r="I7" s="161"/>
      <c r="J7" s="161"/>
      <c r="K7" s="162"/>
      <c r="M7" s="160" t="s">
        <v>22</v>
      </c>
      <c r="N7" s="161"/>
      <c r="O7" s="161"/>
      <c r="P7" s="175"/>
      <c r="Q7" s="162"/>
      <c r="S7" s="160" t="s">
        <v>23</v>
      </c>
      <c r="T7" s="161"/>
      <c r="U7" s="161"/>
      <c r="V7" s="161"/>
      <c r="W7" s="161"/>
      <c r="X7" s="1172" t="s">
        <v>23</v>
      </c>
      <c r="Y7" s="162"/>
    </row>
    <row r="8" spans="2:36" s="6" customFormat="1" ht="25.5">
      <c r="B8" s="365" t="s">
        <v>455</v>
      </c>
      <c r="D8" s="479" t="s">
        <v>24</v>
      </c>
      <c r="E8" s="480" t="s">
        <v>25</v>
      </c>
      <c r="F8" s="480" t="s">
        <v>26</v>
      </c>
      <c r="G8" s="480" t="s">
        <v>27</v>
      </c>
      <c r="H8" s="480" t="s">
        <v>28</v>
      </c>
      <c r="I8" s="480" t="s">
        <v>29</v>
      </c>
      <c r="J8" s="480" t="s">
        <v>30</v>
      </c>
      <c r="K8" s="481" t="s">
        <v>31</v>
      </c>
      <c r="L8" s="260"/>
      <c r="M8" s="479" t="s">
        <v>7</v>
      </c>
      <c r="N8" s="480" t="s">
        <v>32</v>
      </c>
      <c r="O8" s="481" t="s">
        <v>6</v>
      </c>
      <c r="P8" s="469"/>
      <c r="Q8" s="482" t="s">
        <v>33</v>
      </c>
      <c r="R8" s="469"/>
      <c r="S8" s="479" t="s">
        <v>34</v>
      </c>
      <c r="T8" s="480" t="s">
        <v>14</v>
      </c>
      <c r="U8" s="480" t="s">
        <v>15</v>
      </c>
      <c r="V8" s="480" t="s">
        <v>35</v>
      </c>
      <c r="W8" s="480" t="s">
        <v>36</v>
      </c>
      <c r="X8" s="483" t="s">
        <v>37</v>
      </c>
      <c r="Y8" s="481" t="s">
        <v>463</v>
      </c>
      <c r="AB8" s="77" t="s">
        <v>38</v>
      </c>
      <c r="AC8" s="78" t="s">
        <v>39</v>
      </c>
      <c r="AD8" s="78" t="s">
        <v>40</v>
      </c>
      <c r="AE8" s="79"/>
    </row>
    <row r="9" spans="2:36" ht="12.75" customHeight="1"/>
    <row r="10" spans="2:36" ht="12.75" customHeight="1">
      <c r="B10" s="1" t="str">
        <f>Comp.1!B12</f>
        <v>Tier 1</v>
      </c>
    </row>
    <row r="11" spans="2:36" ht="12.75" customHeight="1">
      <c r="B11" s="310" t="str">
        <f>Comp.1!B13</f>
        <v>Novo Nordisk A/S</v>
      </c>
      <c r="D11" s="81">
        <f>'Capital IQ Sheet-GPC'!J13</f>
        <v>112194.50996</v>
      </c>
      <c r="E11" s="81">
        <f>'Capital IQ Sheet-GPC'!K13</f>
        <v>37.684269999999998</v>
      </c>
      <c r="F11" s="81" t="str">
        <f>'Capital IQ Sheet-GPC'!L13</f>
        <v>n/a</v>
      </c>
      <c r="G11" s="81" t="str">
        <f>'Capital IQ Sheet-GPC'!M13</f>
        <v>n/a</v>
      </c>
      <c r="H11" s="81">
        <f t="shared" ref="H11:H19" si="0">SUM(E11:G11)</f>
        <v>37.684269999999998</v>
      </c>
      <c r="I11" s="81">
        <f t="shared" ref="I11:I19" si="1">SUM(D11:G11)</f>
        <v>112232.19422999999</v>
      </c>
      <c r="J11" s="81">
        <f>'Capital IQ Sheet-GPC'!N13</f>
        <v>1737.6084000000001</v>
      </c>
      <c r="K11" s="81">
        <f t="shared" ref="K11:K19" si="2">I11-J11</f>
        <v>110494.58583</v>
      </c>
      <c r="M11" s="51">
        <f>IFERROR('Capital IQ Sheet-GPC'!AT13,"n/a")</f>
        <v>2.6520000000000002E-2</v>
      </c>
      <c r="N11" s="311">
        <f t="shared" ref="N11:O47" si="3">N$6</f>
        <v>2.2506849315068491</v>
      </c>
      <c r="O11" s="176">
        <f t="shared" si="3"/>
        <v>2.5475753424657535E-2</v>
      </c>
      <c r="P11" s="177"/>
      <c r="Q11" s="178">
        <f>IFERROR(HLOOKUP($Q$6,'Equity Vol'!$B$8:$H11,ROWS('Equity Vol'!$C$8:$C11),FALSE),"n/a")</f>
        <v>0.27152222085926869</v>
      </c>
      <c r="R11" s="43"/>
      <c r="S11" s="179">
        <f t="shared" ref="S11:S20" si="4">IFERROR(IF(Q11="n/a","n/a",Q11^2),"n/a")</f>
        <v>7.3724316420349489E-2</v>
      </c>
      <c r="T11" s="179">
        <f t="shared" ref="T11:T20" si="5">IF(OR(K11="n/a",S11="n/a"),"n/a",IF(H11=0,0,IF(M11=0,(LN(K11/H11)+((O11+(S11/2))*N11))/((S11*N11)^0.5),(LN(K11/H11)+((O11-M11+(S11/2))*N11))/((S11*N11)^0.5))))</f>
        <v>19.796701998118202</v>
      </c>
      <c r="U11" s="180">
        <f t="shared" ref="U11:U20" si="6">IF(T11="n/a","n/a",IF(H11=0,0,T11-(S11*N11)^0.5))</f>
        <v>19.389356680171716</v>
      </c>
      <c r="V11" s="180">
        <f t="shared" ref="V11:V20" si="7">IF(OR(T11="n/a",S11="n/a"),"n/a",IF(H11=0,0,NORMSDIST(T11)))</f>
        <v>1</v>
      </c>
      <c r="W11" s="180">
        <f t="shared" ref="W11:W20" si="8">IF(OR(U11="n/a",S11="n/a"),"n/a",IF(H11=0,0,NORMSDIST(U11)))</f>
        <v>1</v>
      </c>
      <c r="X11" s="81">
        <f t="shared" ref="X11:X19" si="9">IF(OR(K11="n/a",S11="n/a"),"n/a",IF(M11=0,(K11*V11)-((H11*EXP(1)^(-O11*N11))*W11),(K11*(2.718^(-M11*N11))*V11)-(H11*(2.718^(-O11*N11))*W11)))</f>
        <v>104057.39640223012</v>
      </c>
      <c r="Y11" s="178">
        <f t="shared" ref="Y11:Y19" si="10">IFERROR(IF(LEN(B11)&gt;0,IF(H11=0,Q11,IF(ISERROR(Q11/((K11/X11)*V11)),"n/a",Q11/((K11/X11)*V11)))),"n/a")</f>
        <v>0.2557038895230257</v>
      </c>
      <c r="AA11" s="310">
        <v>1</v>
      </c>
      <c r="AB11" s="82" t="str">
        <f>IF('MASTER PubCo Inputs'!B28=0,"",'MASTER PubCo Inputs'!B28)</f>
        <v>CPSE:NOVO B</v>
      </c>
      <c r="AC11" s="311">
        <f>'Capital IQ Sheet-GPC'!H13</f>
        <v>110584.08422999999</v>
      </c>
      <c r="AD11" s="83">
        <f t="shared" ref="AD11:AD19" si="11">K11-AC11</f>
        <v>-89.498399999996764</v>
      </c>
      <c r="AJ11" s="84"/>
    </row>
    <row r="12" spans="2:36" ht="12.75" customHeight="1">
      <c r="B12" s="310" t="str">
        <f>Comp.1!B14</f>
        <v>Tonghua Dongbao Pharmaceutical Co., Ltd.</v>
      </c>
      <c r="D12" s="81">
        <f>'Capital IQ Sheet-GPC'!J14</f>
        <v>7436.2830000000004</v>
      </c>
      <c r="E12" s="81">
        <f>'Capital IQ Sheet-GPC'!K14</f>
        <v>0</v>
      </c>
      <c r="F12" s="81" t="str">
        <f>'Capital IQ Sheet-GPC'!L14</f>
        <v>n/a</v>
      </c>
      <c r="G12" s="81">
        <f>'Capital IQ Sheet-GPC'!M14</f>
        <v>1.49579</v>
      </c>
      <c r="H12" s="81">
        <f t="shared" si="0"/>
        <v>1.49579</v>
      </c>
      <c r="I12" s="81">
        <f t="shared" si="1"/>
        <v>7437.7787900000003</v>
      </c>
      <c r="J12" s="81">
        <f>'Capital IQ Sheet-GPC'!N14</f>
        <v>75.958299999999994</v>
      </c>
      <c r="K12" s="81">
        <f t="shared" si="2"/>
        <v>7361.8204900000001</v>
      </c>
      <c r="M12" s="51">
        <f>IFERROR('Capital IQ Sheet-GPC'!AT14,"n/a")</f>
        <v>6.96E-4</v>
      </c>
      <c r="N12" s="311">
        <f t="shared" si="3"/>
        <v>2.2506849315068491</v>
      </c>
      <c r="O12" s="176">
        <f t="shared" si="3"/>
        <v>2.5475753424657535E-2</v>
      </c>
      <c r="P12" s="177"/>
      <c r="Q12" s="178">
        <f>IFERROR(HLOOKUP($Q$6,'Equity Vol'!$B$8:$H12,ROWS('Equity Vol'!$C$8:$C12),FALSE),"n/a")</f>
        <v>0.30342602923922368</v>
      </c>
      <c r="R12" s="43"/>
      <c r="S12" s="179">
        <f t="shared" si="4"/>
        <v>9.2067355219882227E-2</v>
      </c>
      <c r="T12" s="179">
        <f t="shared" si="5"/>
        <v>19.02598544880081</v>
      </c>
      <c r="U12" s="180">
        <f t="shared" si="6"/>
        <v>18.570777134864127</v>
      </c>
      <c r="V12" s="180">
        <f t="shared" si="7"/>
        <v>1</v>
      </c>
      <c r="W12" s="180">
        <f t="shared" si="8"/>
        <v>1</v>
      </c>
      <c r="X12" s="81">
        <f t="shared" si="9"/>
        <v>7348.8861457296825</v>
      </c>
      <c r="Y12" s="178">
        <f t="shared" si="10"/>
        <v>0.30289292513432375</v>
      </c>
      <c r="AA12" s="310">
        <v>1</v>
      </c>
      <c r="AB12" s="82" t="str">
        <f>IF('MASTER PubCo Inputs'!B29=0,"",'MASTER PubCo Inputs'!B29)</f>
        <v>SHSE:600867</v>
      </c>
      <c r="AC12" s="311">
        <f>'Capital IQ Sheet-GPC'!H14</f>
        <v>6000.97145</v>
      </c>
      <c r="AD12" s="83">
        <f t="shared" si="11"/>
        <v>1360.8490400000001</v>
      </c>
      <c r="AJ12" s="84"/>
    </row>
    <row r="13" spans="2:36" ht="12.75" customHeight="1">
      <c r="B13" s="310" t="str">
        <f>Comp.1!B15</f>
        <v>3SBio Inc.</v>
      </c>
      <c r="D13" s="81">
        <f>'Capital IQ Sheet-GPC'!J15</f>
        <v>5765.9263099999998</v>
      </c>
      <c r="E13" s="81">
        <f>'Capital IQ Sheet-GPC'!K15</f>
        <v>677.16830000000004</v>
      </c>
      <c r="F13" s="81" t="str">
        <f>'Capital IQ Sheet-GPC'!L15</f>
        <v>n/a</v>
      </c>
      <c r="G13" s="81">
        <f>'Capital IQ Sheet-GPC'!M15</f>
        <v>35.787419999999997</v>
      </c>
      <c r="H13" s="81">
        <f t="shared" si="0"/>
        <v>712.95572000000004</v>
      </c>
      <c r="I13" s="81">
        <f t="shared" si="1"/>
        <v>6478.8820299999998</v>
      </c>
      <c r="J13" s="81">
        <f>'Capital IQ Sheet-GPC'!N15</f>
        <v>476.92147999999997</v>
      </c>
      <c r="K13" s="81">
        <f t="shared" si="2"/>
        <v>6001.9605499999998</v>
      </c>
      <c r="M13" s="51">
        <f>IFERROR('Capital IQ Sheet-GPC'!AT15,"n/a")</f>
        <v>3.8429999999999996E-3</v>
      </c>
      <c r="N13" s="311">
        <f t="shared" si="3"/>
        <v>2.2506849315068491</v>
      </c>
      <c r="O13" s="176">
        <f t="shared" si="3"/>
        <v>2.5475753424657535E-2</v>
      </c>
      <c r="P13" s="177"/>
      <c r="Q13" s="178">
        <f>IFERROR(HLOOKUP($Q$6,'Equity Vol'!$B$8:$H13,ROWS('Equity Vol'!$C$8:$C13),FALSE),"n/a")</f>
        <v>0.39060716108232951</v>
      </c>
      <c r="R13" s="43"/>
      <c r="S13" s="179">
        <f t="shared" si="4"/>
        <v>0.15257395428879691</v>
      </c>
      <c r="T13" s="179">
        <f t="shared" si="5"/>
        <v>4.0116193572241796</v>
      </c>
      <c r="U13" s="180">
        <f t="shared" si="6"/>
        <v>3.4256194426693991</v>
      </c>
      <c r="V13" s="180">
        <f t="shared" si="7"/>
        <v>0.99996984816228318</v>
      </c>
      <c r="W13" s="180">
        <f t="shared" si="8"/>
        <v>0.99969330041808147</v>
      </c>
      <c r="X13" s="81">
        <f t="shared" si="9"/>
        <v>5277.0733366547984</v>
      </c>
      <c r="Y13" s="178">
        <f t="shared" si="10"/>
        <v>0.3434419087583746</v>
      </c>
      <c r="AA13" s="310">
        <v>1</v>
      </c>
      <c r="AB13" s="82" t="str">
        <f>IF('MASTER PubCo Inputs'!B30=0,"",'MASTER PubCo Inputs'!B30)</f>
        <v>SEHK:1530</v>
      </c>
      <c r="AC13" s="311">
        <f>'Capital IQ Sheet-GPC'!H15</f>
        <v>3399.7200899999998</v>
      </c>
      <c r="AD13" s="83">
        <f t="shared" si="11"/>
        <v>2602.24046</v>
      </c>
      <c r="AJ13" s="84"/>
    </row>
    <row r="14" spans="2:36" ht="12.75" customHeight="1">
      <c r="B14" s="310" t="str">
        <f>Comp.1!B16</f>
        <v>Luye Pharma Group Ltd.</v>
      </c>
      <c r="D14" s="81">
        <f>'Capital IQ Sheet-GPC'!J16</f>
        <v>3359.9747900000002</v>
      </c>
      <c r="E14" s="81">
        <f>'Capital IQ Sheet-GPC'!K16</f>
        <v>439.75547999999998</v>
      </c>
      <c r="F14" s="81" t="str">
        <f>'Capital IQ Sheet-GPC'!L16</f>
        <v>n/a</v>
      </c>
      <c r="G14" s="81">
        <f>'Capital IQ Sheet-GPC'!M16</f>
        <v>19.597180000000002</v>
      </c>
      <c r="H14" s="81">
        <f t="shared" si="0"/>
        <v>459.35265999999996</v>
      </c>
      <c r="I14" s="81">
        <f t="shared" si="1"/>
        <v>3819.3274500000002</v>
      </c>
      <c r="J14" s="81">
        <f>'Capital IQ Sheet-GPC'!N16</f>
        <v>419.44011999999998</v>
      </c>
      <c r="K14" s="81">
        <f t="shared" si="2"/>
        <v>3399.8873300000005</v>
      </c>
      <c r="M14" s="51">
        <f>IFERROR('Capital IQ Sheet-GPC'!AT16,"n/a")</f>
        <v>1.0895999999999999E-2</v>
      </c>
      <c r="N14" s="311">
        <f t="shared" si="3"/>
        <v>2.2506849315068491</v>
      </c>
      <c r="O14" s="176">
        <f t="shared" si="3"/>
        <v>2.5475753424657535E-2</v>
      </c>
      <c r="P14" s="177"/>
      <c r="Q14" s="178">
        <f>IFERROR(HLOOKUP($Q$6,'Equity Vol'!$B$8:$H14,ROWS('Equity Vol'!$C$8:$C14),FALSE),"n/a")</f>
        <v>0.3682228385764143</v>
      </c>
      <c r="R14" s="43"/>
      <c r="S14" s="179">
        <f t="shared" si="4"/>
        <v>0.13558805884927205</v>
      </c>
      <c r="T14" s="179">
        <f t="shared" si="5"/>
        <v>3.9590952807781479</v>
      </c>
      <c r="U14" s="180">
        <f t="shared" si="6"/>
        <v>3.4066769601692815</v>
      </c>
      <c r="V14" s="180">
        <f t="shared" si="7"/>
        <v>0.99996238289006323</v>
      </c>
      <c r="W14" s="180">
        <f t="shared" si="8"/>
        <v>0.99967120546650423</v>
      </c>
      <c r="X14" s="81">
        <f t="shared" si="9"/>
        <v>2883.7928269468234</v>
      </c>
      <c r="Y14" s="178">
        <f t="shared" si="10"/>
        <v>0.31233927004960738</v>
      </c>
      <c r="AA14" s="310">
        <v>1</v>
      </c>
      <c r="AB14" s="82" t="str">
        <f>IF('MASTER PubCo Inputs'!B31=0,"",'MASTER PubCo Inputs'!B31)</f>
        <v>SEHK:2186</v>
      </c>
      <c r="AC14" s="311">
        <f>'Capital IQ Sheet-GPC'!H16</f>
        <v>2515.66275</v>
      </c>
      <c r="AD14" s="83">
        <f t="shared" si="11"/>
        <v>884.22458000000051</v>
      </c>
      <c r="AJ14" s="84"/>
    </row>
    <row r="15" spans="2:36">
      <c r="B15" s="122" t="str">
        <f>Comp.1!B17</f>
        <v>Intercept Pharmaceuticals, Inc.</v>
      </c>
      <c r="C15" s="1128"/>
      <c r="D15" s="125">
        <f>'Capital IQ Sheet-GPC'!J17</f>
        <v>2482.30575</v>
      </c>
      <c r="E15" s="125">
        <f>'Capital IQ Sheet-GPC'!K17</f>
        <v>359.44900000000001</v>
      </c>
      <c r="F15" s="125" t="str">
        <f>'Capital IQ Sheet-GPC'!L17</f>
        <v>n/a</v>
      </c>
      <c r="G15" s="125" t="str">
        <f>'Capital IQ Sheet-GPC'!M17</f>
        <v>n/a</v>
      </c>
      <c r="H15" s="125">
        <f t="shared" si="0"/>
        <v>359.44900000000001</v>
      </c>
      <c r="I15" s="125">
        <f t="shared" si="1"/>
        <v>2841.7547500000001</v>
      </c>
      <c r="J15" s="125">
        <f>'Capital IQ Sheet-GPC'!N17</f>
        <v>326.09199999999998</v>
      </c>
      <c r="K15" s="125">
        <f t="shared" si="2"/>
        <v>2515.66275</v>
      </c>
      <c r="L15" s="1128"/>
      <c r="M15" s="1223">
        <f>IFERROR('Capital IQ Sheet-GPC'!AT17,"n/a")</f>
        <v>0</v>
      </c>
      <c r="N15" s="1222">
        <f t="shared" si="3"/>
        <v>2.2506849315068491</v>
      </c>
      <c r="O15" s="1224">
        <f t="shared" si="3"/>
        <v>2.5475753424657535E-2</v>
      </c>
      <c r="P15" s="1225"/>
      <c r="Q15" s="178">
        <f>IFERROR(HLOOKUP($Q$6,'Equity Vol'!$B$8:$H15,ROWS('Equity Vol'!$C$8:$C15),FALSE),"n/a")</f>
        <v>0.55938950878676441</v>
      </c>
      <c r="R15" s="1227"/>
      <c r="S15" s="1228">
        <f t="shared" si="4"/>
        <v>0.31291662254069758</v>
      </c>
      <c r="T15" s="1228">
        <f t="shared" si="5"/>
        <v>2.8064370041867344</v>
      </c>
      <c r="U15" s="1229">
        <f t="shared" si="6"/>
        <v>1.9672250362249062</v>
      </c>
      <c r="V15" s="1229">
        <f t="shared" si="7"/>
        <v>0.99749536469596123</v>
      </c>
      <c r="W15" s="1229">
        <f t="shared" si="8"/>
        <v>0.97542136354865028</v>
      </c>
      <c r="X15" s="125">
        <f t="shared" si="9"/>
        <v>2178.2856941618002</v>
      </c>
      <c r="Y15" s="1226">
        <f t="shared" si="10"/>
        <v>0.48558565776734414</v>
      </c>
      <c r="AA15" s="310">
        <v>1</v>
      </c>
      <c r="AB15" s="82" t="str">
        <f>IF('MASTER PubCo Inputs'!B32=0,"",'MASTER PubCo Inputs'!B32)</f>
        <v>NasdaqGS:ICPT</v>
      </c>
      <c r="AC15" s="311">
        <f>'Capital IQ Sheet-GPC'!H17</f>
        <v>2204.7008599999999</v>
      </c>
      <c r="AD15" s="83">
        <f t="shared" si="11"/>
        <v>310.96189000000004</v>
      </c>
      <c r="AJ15" s="84"/>
    </row>
    <row r="16" spans="2:36" ht="12.75" customHeight="1">
      <c r="B16" s="310" t="str">
        <f>Comp.1!B18</f>
        <v>The United Laboratories International Holdings Limited</v>
      </c>
      <c r="D16" s="81">
        <f>'Capital IQ Sheet-GPC'!J18</f>
        <v>1705.28388</v>
      </c>
      <c r="E16" s="81">
        <f>'Capital IQ Sheet-GPC'!K18</f>
        <v>746.46118999999999</v>
      </c>
      <c r="F16" s="81" t="str">
        <f>'Capital IQ Sheet-GPC'!L18</f>
        <v>n/a</v>
      </c>
      <c r="G16" s="81" t="str">
        <f>'Capital IQ Sheet-GPC'!M18</f>
        <v>n/a</v>
      </c>
      <c r="H16" s="81">
        <f t="shared" si="0"/>
        <v>746.46118999999999</v>
      </c>
      <c r="I16" s="81">
        <f t="shared" si="1"/>
        <v>2451.7450699999999</v>
      </c>
      <c r="J16" s="81">
        <f>'Capital IQ Sheet-GPC'!N18</f>
        <v>244.9426</v>
      </c>
      <c r="K16" s="81">
        <f t="shared" si="2"/>
        <v>2206.8024700000001</v>
      </c>
      <c r="M16" s="51">
        <f>IFERROR('Capital IQ Sheet-GPC'!AT18,"n/a")</f>
        <v>7.254E-3</v>
      </c>
      <c r="N16" s="311">
        <f t="shared" si="3"/>
        <v>2.2506849315068491</v>
      </c>
      <c r="O16" s="176">
        <f t="shared" si="3"/>
        <v>2.5475753424657535E-2</v>
      </c>
      <c r="P16" s="177"/>
      <c r="Q16" s="178">
        <f>IFERROR(HLOOKUP($Q$6,'Equity Vol'!$B$8:$H16,ROWS('Equity Vol'!$C$8:$C16),FALSE),"n/a")</f>
        <v>0.39486230006289236</v>
      </c>
      <c r="R16" s="43"/>
      <c r="S16" s="179">
        <f t="shared" si="4"/>
        <v>0.15591623601095764</v>
      </c>
      <c r="T16" s="179">
        <f t="shared" si="5"/>
        <v>2.1952445575104136</v>
      </c>
      <c r="U16" s="180">
        <f t="shared" si="6"/>
        <v>1.6028609630657935</v>
      </c>
      <c r="V16" s="180">
        <f t="shared" si="7"/>
        <v>0.9859269702019563</v>
      </c>
      <c r="W16" s="180">
        <f t="shared" si="8"/>
        <v>0.94551732306788838</v>
      </c>
      <c r="X16" s="81">
        <f t="shared" si="9"/>
        <v>1474.050196819318</v>
      </c>
      <c r="Y16" s="178">
        <f t="shared" si="10"/>
        <v>0.26751598374710145</v>
      </c>
      <c r="AA16" s="310">
        <v>1</v>
      </c>
      <c r="AB16" s="82" t="str">
        <f>IF('MASTER PubCo Inputs'!B33=0,"",'MASTER PubCo Inputs'!B33)</f>
        <v>SEHK:3933</v>
      </c>
      <c r="AC16" s="311">
        <f>'Capital IQ Sheet-GPC'!H18</f>
        <v>379.61124999999998</v>
      </c>
      <c r="AD16" s="83">
        <f t="shared" si="11"/>
        <v>1827.1912200000002</v>
      </c>
      <c r="AJ16" s="84"/>
    </row>
    <row r="17" spans="2:36" ht="12.75" customHeight="1">
      <c r="B17" s="310" t="str">
        <f>Comp.1!B19</f>
        <v>Corcept Therapeutics Incorporated</v>
      </c>
      <c r="D17" s="81">
        <f>'Capital IQ Sheet-GPC'!J19</f>
        <v>1811.4944</v>
      </c>
      <c r="E17" s="81">
        <f>'Capital IQ Sheet-GPC'!K19</f>
        <v>0</v>
      </c>
      <c r="F17" s="81" t="str">
        <f>'Capital IQ Sheet-GPC'!L19</f>
        <v>n/a</v>
      </c>
      <c r="G17" s="81" t="str">
        <f>'Capital IQ Sheet-GPC'!M19</f>
        <v>n/a</v>
      </c>
      <c r="H17" s="81">
        <f t="shared" si="0"/>
        <v>0</v>
      </c>
      <c r="I17" s="81">
        <f t="shared" si="1"/>
        <v>1811.4944</v>
      </c>
      <c r="J17" s="81">
        <f>'Capital IQ Sheet-GPC'!N19</f>
        <v>125.36199999999999</v>
      </c>
      <c r="K17" s="81">
        <f t="shared" si="2"/>
        <v>1686.1324</v>
      </c>
      <c r="M17" s="51">
        <f>IFERROR('Capital IQ Sheet-GPC'!AT19,"n/a")</f>
        <v>0</v>
      </c>
      <c r="N17" s="311">
        <f t="shared" si="3"/>
        <v>2.2506849315068491</v>
      </c>
      <c r="O17" s="176">
        <f t="shared" si="3"/>
        <v>2.5475753424657535E-2</v>
      </c>
      <c r="P17" s="177"/>
      <c r="Q17" s="178">
        <f>IFERROR(HLOOKUP($Q$6,'Equity Vol'!$B$8:$H17,ROWS('Equity Vol'!$C$8:$C17),FALSE),"n/a")</f>
        <v>0.55656194139049708</v>
      </c>
      <c r="R17" s="43"/>
      <c r="S17" s="179">
        <f t="shared" si="4"/>
        <v>0.30976119460435914</v>
      </c>
      <c r="T17" s="179">
        <f t="shared" si="5"/>
        <v>0</v>
      </c>
      <c r="U17" s="180">
        <f t="shared" si="6"/>
        <v>0</v>
      </c>
      <c r="V17" s="180">
        <f t="shared" si="7"/>
        <v>0</v>
      </c>
      <c r="W17" s="180">
        <f t="shared" si="8"/>
        <v>0</v>
      </c>
      <c r="X17" s="81">
        <f t="shared" si="9"/>
        <v>0</v>
      </c>
      <c r="Y17" s="178">
        <f t="shared" si="10"/>
        <v>0.55656194139049708</v>
      </c>
      <c r="AA17" s="310">
        <v>1</v>
      </c>
      <c r="AB17" s="82" t="str">
        <f>IF('MASTER PubCo Inputs'!B34=0,"",'MASTER PubCo Inputs'!B34)</f>
        <v>NasdaqCM:CORT</v>
      </c>
      <c r="AC17" s="311">
        <f>'Capital IQ Sheet-GPC'!H19</f>
        <v>336.76713999999998</v>
      </c>
      <c r="AD17" s="83">
        <f t="shared" si="11"/>
        <v>1349.36526</v>
      </c>
      <c r="AJ17" s="84"/>
    </row>
    <row r="18" spans="2:36" ht="12.75" customHeight="1">
      <c r="B18" s="310" t="str">
        <f>Comp.1!B20</f>
        <v>MannKind Corporation</v>
      </c>
      <c r="D18" s="81">
        <f>'Capital IQ Sheet-GPC'!J20</f>
        <v>266.04825</v>
      </c>
      <c r="E18" s="81">
        <f>'Capital IQ Sheet-GPC'!K20</f>
        <v>140.26900000000001</v>
      </c>
      <c r="F18" s="81" t="str">
        <f>'Capital IQ Sheet-GPC'!L20</f>
        <v>n/a</v>
      </c>
      <c r="G18" s="81" t="str">
        <f>'Capital IQ Sheet-GPC'!M20</f>
        <v>n/a</v>
      </c>
      <c r="H18" s="81">
        <f t="shared" si="0"/>
        <v>140.26900000000001</v>
      </c>
      <c r="I18" s="81">
        <f t="shared" si="1"/>
        <v>406.31725</v>
      </c>
      <c r="J18" s="81">
        <f>'Capital IQ Sheet-GPC'!N20</f>
        <v>26.706</v>
      </c>
      <c r="K18" s="81">
        <f t="shared" si="2"/>
        <v>379.61124999999998</v>
      </c>
      <c r="M18" s="51">
        <f>IFERROR('Capital IQ Sheet-GPC'!AT20,"n/a")</f>
        <v>0</v>
      </c>
      <c r="N18" s="311">
        <f t="shared" si="3"/>
        <v>2.2506849315068491</v>
      </c>
      <c r="O18" s="176">
        <f t="shared" si="3"/>
        <v>2.5475753424657535E-2</v>
      </c>
      <c r="P18" s="177"/>
      <c r="Q18" s="178">
        <f>IFERROR(HLOOKUP($Q$6,'Equity Vol'!$B$8:$H18,ROWS('Equity Vol'!$C$8:$C18),FALSE),"n/a")</f>
        <v>1.0547039589395328</v>
      </c>
      <c r="R18" s="43"/>
      <c r="S18" s="179">
        <f t="shared" si="4"/>
        <v>1.1124004410027237</v>
      </c>
      <c r="T18" s="179">
        <f t="shared" si="5"/>
        <v>1.4565883980223076</v>
      </c>
      <c r="U18" s="180">
        <f t="shared" si="6"/>
        <v>-0.12570832205468352</v>
      </c>
      <c r="V18" s="180">
        <f t="shared" si="7"/>
        <v>0.92738498391049584</v>
      </c>
      <c r="W18" s="180">
        <f t="shared" si="8"/>
        <v>0.4499814070417103</v>
      </c>
      <c r="X18" s="81">
        <f t="shared" si="9"/>
        <v>292.44460930678497</v>
      </c>
      <c r="Y18" s="178">
        <f t="shared" si="10"/>
        <v>0.87614313502811114</v>
      </c>
      <c r="AA18" s="310">
        <v>1</v>
      </c>
      <c r="AB18" s="82" t="str">
        <f>IF('MASTER PubCo Inputs'!B35=0,"",'MASTER PubCo Inputs'!B35)</f>
        <v>NasdaqGM:MNKD</v>
      </c>
      <c r="AC18" s="311">
        <f>'Capital IQ Sheet-GPC'!H20</f>
        <v>7365.7138199999999</v>
      </c>
      <c r="AD18" s="83">
        <f t="shared" si="11"/>
        <v>-6986.10257</v>
      </c>
      <c r="AJ18" s="84"/>
    </row>
    <row r="19" spans="2:36" ht="12.75" customHeight="1">
      <c r="B19" s="310" t="str">
        <f>Comp.1!B21</f>
        <v>Zealand Pharma A/S</v>
      </c>
      <c r="D19" s="81">
        <f>'Capital IQ Sheet-GPC'!J21</f>
        <v>403.61899</v>
      </c>
      <c r="E19" s="81">
        <f>'Capital IQ Sheet-GPC'!K21</f>
        <v>22.171900000000001</v>
      </c>
      <c r="F19" s="81" t="str">
        <f>'Capital IQ Sheet-GPC'!L21</f>
        <v>n/a</v>
      </c>
      <c r="G19" s="81" t="str">
        <f>'Capital IQ Sheet-GPC'!M21</f>
        <v>n/a</v>
      </c>
      <c r="H19" s="81">
        <f t="shared" si="0"/>
        <v>22.171900000000001</v>
      </c>
      <c r="I19" s="81">
        <f t="shared" si="1"/>
        <v>425.79088999999999</v>
      </c>
      <c r="J19" s="81">
        <f>'Capital IQ Sheet-GPC'!N21</f>
        <v>92.739000000000004</v>
      </c>
      <c r="K19" s="81">
        <f t="shared" si="2"/>
        <v>333.05188999999996</v>
      </c>
      <c r="M19" s="51">
        <f>IFERROR('Capital IQ Sheet-GPC'!AT21,"n/a")</f>
        <v>0</v>
      </c>
      <c r="N19" s="311">
        <f t="shared" si="3"/>
        <v>2.2506849315068491</v>
      </c>
      <c r="O19" s="176">
        <f t="shared" si="3"/>
        <v>2.5475753424657535E-2</v>
      </c>
      <c r="P19" s="177"/>
      <c r="Q19" s="178">
        <f>IFERROR(HLOOKUP($Q$6,'Equity Vol'!$B$8:$H19,ROWS('Equity Vol'!$C$8:$C19),FALSE),"n/a")</f>
        <v>0.36099757688110856</v>
      </c>
      <c r="R19" s="43"/>
      <c r="S19" s="179">
        <f t="shared" si="4"/>
        <v>0.1303192505140319</v>
      </c>
      <c r="T19" s="179">
        <f t="shared" si="5"/>
        <v>5.3795761181169768</v>
      </c>
      <c r="U19" s="180">
        <f t="shared" si="6"/>
        <v>4.8379973395286742</v>
      </c>
      <c r="V19" s="180">
        <f t="shared" si="7"/>
        <v>0.99999996266928892</v>
      </c>
      <c r="W19" s="180">
        <f t="shared" si="8"/>
        <v>0.99999934423051651</v>
      </c>
      <c r="X19" s="81">
        <f t="shared" si="9"/>
        <v>312.11552152618492</v>
      </c>
      <c r="Y19" s="178">
        <f t="shared" si="10"/>
        <v>0.33830449418586883</v>
      </c>
      <c r="AA19" s="310">
        <v>1</v>
      </c>
      <c r="AB19" s="82" t="str">
        <f>IF('MASTER PubCo Inputs'!B36=0,"",'MASTER PubCo Inputs'!B36)</f>
        <v>CPSE:ZEAL</v>
      </c>
      <c r="AC19" s="311">
        <f>'Capital IQ Sheet-GPC'!H21</f>
        <v>1686.1324</v>
      </c>
      <c r="AD19" s="83">
        <f t="shared" si="11"/>
        <v>-1353.08051</v>
      </c>
      <c r="AJ19" s="84"/>
    </row>
    <row r="20" spans="2:36" ht="12.75" customHeight="1">
      <c r="D20" s="311"/>
      <c r="E20" s="311"/>
      <c r="F20" s="311"/>
      <c r="G20" s="311"/>
      <c r="H20" s="311"/>
      <c r="I20" s="311"/>
      <c r="J20" s="311"/>
      <c r="K20" s="311"/>
      <c r="M20" s="51"/>
      <c r="N20" s="311"/>
      <c r="O20" s="176"/>
      <c r="P20" s="177"/>
      <c r="Q20" s="178"/>
      <c r="R20" s="43"/>
      <c r="S20" s="179">
        <f t="shared" si="4"/>
        <v>0</v>
      </c>
      <c r="T20" s="179">
        <f t="shared" si="5"/>
        <v>0</v>
      </c>
      <c r="U20" s="180">
        <f t="shared" si="6"/>
        <v>0</v>
      </c>
      <c r="V20" s="180">
        <f t="shared" si="7"/>
        <v>0</v>
      </c>
      <c r="W20" s="180">
        <f t="shared" si="8"/>
        <v>0</v>
      </c>
      <c r="X20" s="81"/>
      <c r="Y20" s="178"/>
      <c r="AB20" s="82"/>
      <c r="AC20" s="311"/>
      <c r="AD20" s="83"/>
      <c r="AJ20" s="84"/>
    </row>
    <row r="21" spans="2:36" ht="12.75" customHeight="1">
      <c r="B21" s="599" t="s">
        <v>41</v>
      </c>
      <c r="C21" s="624"/>
      <c r="D21" s="623">
        <f t="shared" ref="D21:K21" si="12">MAX(D11:D19)</f>
        <v>112194.50996</v>
      </c>
      <c r="E21" s="623">
        <f t="shared" si="12"/>
        <v>746.46118999999999</v>
      </c>
      <c r="F21" s="623">
        <f t="shared" si="12"/>
        <v>0</v>
      </c>
      <c r="G21" s="623">
        <f t="shared" si="12"/>
        <v>35.787419999999997</v>
      </c>
      <c r="H21" s="623">
        <f t="shared" si="12"/>
        <v>746.46118999999999</v>
      </c>
      <c r="I21" s="623">
        <f t="shared" si="12"/>
        <v>112232.19422999999</v>
      </c>
      <c r="J21" s="623">
        <f t="shared" si="12"/>
        <v>1737.6084000000001</v>
      </c>
      <c r="K21" s="623">
        <f t="shared" si="12"/>
        <v>110494.58583</v>
      </c>
      <c r="L21" s="624"/>
      <c r="M21" s="627">
        <f>MAX(M11:M19)</f>
        <v>2.6520000000000002E-2</v>
      </c>
      <c r="N21" s="623">
        <f>MAX(N11:N19)</f>
        <v>2.2506849315068491</v>
      </c>
      <c r="O21" s="628">
        <f>MAX(O11:O19)</f>
        <v>2.5475753424657535E-2</v>
      </c>
      <c r="P21" s="629"/>
      <c r="Q21" s="630">
        <f>MAX(Q11:Q19)</f>
        <v>1.0547039589395328</v>
      </c>
      <c r="R21" s="631"/>
      <c r="S21" s="632">
        <f t="shared" ref="S21:Y21" si="13">MAX(S11:S19)</f>
        <v>1.1124004410027237</v>
      </c>
      <c r="T21" s="632">
        <f t="shared" si="13"/>
        <v>19.796701998118202</v>
      </c>
      <c r="U21" s="633">
        <f t="shared" si="13"/>
        <v>19.389356680171716</v>
      </c>
      <c r="V21" s="633">
        <f t="shared" si="13"/>
        <v>1</v>
      </c>
      <c r="W21" s="633">
        <f t="shared" si="13"/>
        <v>1</v>
      </c>
      <c r="X21" s="623">
        <f t="shared" si="13"/>
        <v>104057.39640223012</v>
      </c>
      <c r="Y21" s="634">
        <f t="shared" si="13"/>
        <v>0.87614313502811114</v>
      </c>
      <c r="AC21" s="1217"/>
      <c r="AD21" s="16"/>
      <c r="AE21" s="16"/>
      <c r="AF21" s="16"/>
      <c r="AG21" s="16"/>
    </row>
    <row r="22" spans="2:36" ht="12.75" customHeight="1">
      <c r="B22" s="278" t="s">
        <v>45</v>
      </c>
      <c r="C22" s="73"/>
      <c r="D22" s="89">
        <f t="shared" ref="D22:K22" si="14">QUARTILE(D11:D19,3)</f>
        <v>5765.9263099999998</v>
      </c>
      <c r="E22" s="89">
        <f t="shared" si="14"/>
        <v>439.75547999999998</v>
      </c>
      <c r="F22" s="89" t="e">
        <f t="shared" si="14"/>
        <v>#NUM!</v>
      </c>
      <c r="G22" s="89">
        <f t="shared" si="14"/>
        <v>27.692299999999999</v>
      </c>
      <c r="H22" s="89">
        <f t="shared" si="14"/>
        <v>459.35265999999996</v>
      </c>
      <c r="I22" s="89">
        <f t="shared" si="14"/>
        <v>6478.8820299999998</v>
      </c>
      <c r="J22" s="89">
        <f t="shared" si="14"/>
        <v>419.44011999999998</v>
      </c>
      <c r="K22" s="89">
        <f t="shared" si="14"/>
        <v>6001.9605499999998</v>
      </c>
      <c r="L22" s="73"/>
      <c r="M22" s="116">
        <f>QUARTILE(M11:M19,3)</f>
        <v>7.254E-3</v>
      </c>
      <c r="N22" s="89">
        <f>QUARTILE(N11:N19,3)</f>
        <v>2.2506849315068491</v>
      </c>
      <c r="O22" s="181">
        <f>QUARTILE(O11:O19,3)</f>
        <v>2.5475753424657535E-2</v>
      </c>
      <c r="P22" s="182"/>
      <c r="Q22" s="183">
        <f>QUARTILE(Q11:Q19,3)</f>
        <v>0.55656194139049708</v>
      </c>
      <c r="R22" s="184"/>
      <c r="S22" s="185">
        <f t="shared" ref="S22:Y22" si="15">QUARTILE(S11:S19,3)</f>
        <v>0.30976119460435914</v>
      </c>
      <c r="T22" s="185">
        <f t="shared" si="15"/>
        <v>5.3795761181169768</v>
      </c>
      <c r="U22" s="186">
        <f t="shared" si="15"/>
        <v>4.8379973395286742</v>
      </c>
      <c r="V22" s="186">
        <f t="shared" si="15"/>
        <v>0.99999996266928892</v>
      </c>
      <c r="W22" s="186">
        <f t="shared" si="15"/>
        <v>0.99999934423051651</v>
      </c>
      <c r="X22" s="89">
        <f t="shared" si="15"/>
        <v>5277.0733366547984</v>
      </c>
      <c r="Y22" s="187">
        <f t="shared" si="15"/>
        <v>0.48558565776734414</v>
      </c>
      <c r="AC22" s="1217"/>
      <c r="AD22" s="16"/>
      <c r="AE22" s="16"/>
      <c r="AF22" s="16"/>
      <c r="AG22" s="16"/>
    </row>
    <row r="23" spans="2:36" ht="12.75" customHeight="1">
      <c r="B23" s="278" t="s">
        <v>43</v>
      </c>
      <c r="C23" s="73"/>
      <c r="D23" s="89">
        <f t="shared" ref="D23:K23" si="16">AVERAGE(D11:D19)</f>
        <v>15047.271703333328</v>
      </c>
      <c r="E23" s="89">
        <f t="shared" si="16"/>
        <v>269.21768222222227</v>
      </c>
      <c r="F23" s="89" t="e">
        <f t="shared" si="16"/>
        <v>#DIV/0!</v>
      </c>
      <c r="G23" s="89">
        <f t="shared" si="16"/>
        <v>18.960129999999999</v>
      </c>
      <c r="H23" s="89">
        <f t="shared" si="16"/>
        <v>275.53772555555554</v>
      </c>
      <c r="I23" s="89">
        <f t="shared" si="16"/>
        <v>15322.809428888888</v>
      </c>
      <c r="J23" s="89">
        <f t="shared" si="16"/>
        <v>391.75221111111119</v>
      </c>
      <c r="K23" s="89">
        <f t="shared" si="16"/>
        <v>14931.057217777778</v>
      </c>
      <c r="L23" s="73"/>
      <c r="M23" s="116">
        <f>AVERAGE(M11:M19)</f>
        <v>5.4676666666666667E-3</v>
      </c>
      <c r="N23" s="89">
        <f>AVERAGE(N11:N19)</f>
        <v>2.2506849315068496</v>
      </c>
      <c r="O23" s="181">
        <f>AVERAGE(O11:O19)</f>
        <v>2.5475753424657528E-2</v>
      </c>
      <c r="P23" s="182"/>
      <c r="Q23" s="183">
        <f>AVERAGE(Q11:Q19)</f>
        <v>0.47336594842422564</v>
      </c>
      <c r="R23" s="184"/>
      <c r="S23" s="185">
        <f t="shared" ref="S23:Y23" si="17">AVERAGE(S11:S19)</f>
        <v>0.27502971438345225</v>
      </c>
      <c r="T23" s="185">
        <f t="shared" si="17"/>
        <v>6.5145831291953078</v>
      </c>
      <c r="U23" s="186">
        <f t="shared" si="17"/>
        <v>5.8972005816265796</v>
      </c>
      <c r="V23" s="186">
        <f t="shared" si="17"/>
        <v>0.87897105694778321</v>
      </c>
      <c r="W23" s="186">
        <f t="shared" si="17"/>
        <v>0.81892043819703908</v>
      </c>
      <c r="X23" s="89">
        <f t="shared" si="17"/>
        <v>13758.227192597278</v>
      </c>
      <c r="Y23" s="187">
        <f t="shared" si="17"/>
        <v>0.41538768950936156</v>
      </c>
      <c r="AC23" s="1217"/>
      <c r="AD23" s="16"/>
      <c r="AE23" s="16"/>
      <c r="AF23" s="16"/>
      <c r="AG23" s="1218"/>
    </row>
    <row r="24" spans="2:36" ht="12.75" customHeight="1">
      <c r="B24" s="278" t="s">
        <v>3</v>
      </c>
      <c r="C24" s="73"/>
      <c r="D24" s="89">
        <f t="shared" ref="D24:K24" si="18">MEDIAN(D11:D19)</f>
        <v>2482.30575</v>
      </c>
      <c r="E24" s="89">
        <f t="shared" si="18"/>
        <v>140.26900000000001</v>
      </c>
      <c r="F24" s="89" t="e">
        <f t="shared" si="18"/>
        <v>#NUM!</v>
      </c>
      <c r="G24" s="89">
        <f t="shared" si="18"/>
        <v>19.597180000000002</v>
      </c>
      <c r="H24" s="89">
        <f t="shared" si="18"/>
        <v>140.26900000000001</v>
      </c>
      <c r="I24" s="89">
        <f t="shared" si="18"/>
        <v>2841.7547500000001</v>
      </c>
      <c r="J24" s="89">
        <f t="shared" si="18"/>
        <v>244.9426</v>
      </c>
      <c r="K24" s="89">
        <f t="shared" si="18"/>
        <v>2515.66275</v>
      </c>
      <c r="L24" s="73"/>
      <c r="M24" s="116">
        <f>MEDIAN(M11:M19)</f>
        <v>6.96E-4</v>
      </c>
      <c r="N24" s="89">
        <f>MEDIAN(N11:N19)</f>
        <v>2.2506849315068491</v>
      </c>
      <c r="O24" s="181">
        <f>MEDIAN(O11:O19)</f>
        <v>2.5475753424657535E-2</v>
      </c>
      <c r="P24" s="182"/>
      <c r="Q24" s="183">
        <f>MEDIAN(Q11:Q19)</f>
        <v>0.39060716108232951</v>
      </c>
      <c r="R24" s="184"/>
      <c r="S24" s="185">
        <f t="shared" ref="S24:Y24" si="19">MEDIAN(S11:S19)</f>
        <v>0.15257395428879691</v>
      </c>
      <c r="T24" s="185">
        <f t="shared" si="19"/>
        <v>3.9590952807781479</v>
      </c>
      <c r="U24" s="186">
        <f t="shared" si="19"/>
        <v>3.4066769601692815</v>
      </c>
      <c r="V24" s="186">
        <f t="shared" si="19"/>
        <v>0.99996238289006323</v>
      </c>
      <c r="W24" s="186">
        <f t="shared" si="19"/>
        <v>0.99967120546650423</v>
      </c>
      <c r="X24" s="89">
        <f t="shared" si="19"/>
        <v>2178.2856941618002</v>
      </c>
      <c r="Y24" s="187">
        <f t="shared" si="19"/>
        <v>0.33830449418586883</v>
      </c>
      <c r="AC24" s="1219"/>
      <c r="AD24" s="16"/>
      <c r="AE24" s="16"/>
      <c r="AF24" s="16"/>
      <c r="AG24" s="16"/>
    </row>
    <row r="25" spans="2:36" ht="12.75" customHeight="1">
      <c r="B25" s="278" t="s">
        <v>44</v>
      </c>
      <c r="C25" s="73"/>
      <c r="D25" s="89">
        <f t="shared" ref="D25:K25" si="20">QUARTILE(D11:D19,1)</f>
        <v>1705.28388</v>
      </c>
      <c r="E25" s="89">
        <f t="shared" si="20"/>
        <v>22.171900000000001</v>
      </c>
      <c r="F25" s="89" t="e">
        <f t="shared" si="20"/>
        <v>#NUM!</v>
      </c>
      <c r="G25" s="89">
        <f t="shared" si="20"/>
        <v>10.546485000000001</v>
      </c>
      <c r="H25" s="89">
        <f t="shared" si="20"/>
        <v>22.171900000000001</v>
      </c>
      <c r="I25" s="89">
        <f t="shared" si="20"/>
        <v>1811.4944</v>
      </c>
      <c r="J25" s="89">
        <f t="shared" si="20"/>
        <v>92.739000000000004</v>
      </c>
      <c r="K25" s="89">
        <f t="shared" si="20"/>
        <v>1686.1324</v>
      </c>
      <c r="L25" s="73"/>
      <c r="M25" s="116">
        <f>QUARTILE(M11:M19,1)</f>
        <v>0</v>
      </c>
      <c r="N25" s="89">
        <f>QUARTILE(N11:N19,1)</f>
        <v>2.2506849315068491</v>
      </c>
      <c r="O25" s="181">
        <f>QUARTILE(O11:O19,1)</f>
        <v>2.5475753424657535E-2</v>
      </c>
      <c r="P25" s="182"/>
      <c r="Q25" s="183">
        <f>QUARTILE(Q11:Q19,1)</f>
        <v>0.36099757688110856</v>
      </c>
      <c r="R25" s="184"/>
      <c r="S25" s="185">
        <f t="shared" ref="S25:Y25" si="21">QUARTILE(S11:S19,1)</f>
        <v>0.1303192505140319</v>
      </c>
      <c r="T25" s="185">
        <f t="shared" si="21"/>
        <v>2.1952445575104136</v>
      </c>
      <c r="U25" s="186">
        <f t="shared" si="21"/>
        <v>1.6028609630657935</v>
      </c>
      <c r="V25" s="186">
        <f t="shared" si="21"/>
        <v>0.9859269702019563</v>
      </c>
      <c r="W25" s="186">
        <f t="shared" si="21"/>
        <v>0.94551732306788838</v>
      </c>
      <c r="X25" s="89">
        <f t="shared" si="21"/>
        <v>312.11552152618492</v>
      </c>
      <c r="Y25" s="187">
        <f t="shared" si="21"/>
        <v>0.30289292513432375</v>
      </c>
      <c r="AC25" s="1219"/>
      <c r="AD25" s="16"/>
      <c r="AE25" s="16"/>
      <c r="AF25" s="16"/>
      <c r="AG25" s="16"/>
    </row>
    <row r="26" spans="2:36" ht="12.75" customHeight="1">
      <c r="B26" s="90" t="s">
        <v>42</v>
      </c>
      <c r="C26" s="67"/>
      <c r="D26" s="70">
        <f t="shared" ref="D26:K26" si="22">MIN(D11:D19)</f>
        <v>266.04825</v>
      </c>
      <c r="E26" s="70">
        <f t="shared" si="22"/>
        <v>0</v>
      </c>
      <c r="F26" s="70">
        <f t="shared" si="22"/>
        <v>0</v>
      </c>
      <c r="G26" s="70">
        <f t="shared" si="22"/>
        <v>1.49579</v>
      </c>
      <c r="H26" s="70">
        <f t="shared" si="22"/>
        <v>0</v>
      </c>
      <c r="I26" s="70">
        <f t="shared" si="22"/>
        <v>406.31725</v>
      </c>
      <c r="J26" s="70">
        <f t="shared" si="22"/>
        <v>26.706</v>
      </c>
      <c r="K26" s="70">
        <f t="shared" si="22"/>
        <v>333.05188999999996</v>
      </c>
      <c r="L26" s="67"/>
      <c r="M26" s="118">
        <f>MIN(M11:M19)</f>
        <v>0</v>
      </c>
      <c r="N26" s="70">
        <f>MIN(N11:N19)</f>
        <v>2.2506849315068491</v>
      </c>
      <c r="O26" s="635">
        <f>MIN(O11:O19)</f>
        <v>2.5475753424657535E-2</v>
      </c>
      <c r="P26" s="636"/>
      <c r="Q26" s="637">
        <f>MIN(Q11:Q19)</f>
        <v>0.27152222085926869</v>
      </c>
      <c r="R26" s="638"/>
      <c r="S26" s="639">
        <f t="shared" ref="S26:Y26" si="23">MIN(S11:S19)</f>
        <v>7.3724316420349489E-2</v>
      </c>
      <c r="T26" s="639">
        <f t="shared" si="23"/>
        <v>0</v>
      </c>
      <c r="U26" s="640">
        <f t="shared" si="23"/>
        <v>-0.12570832205468352</v>
      </c>
      <c r="V26" s="640">
        <f t="shared" si="23"/>
        <v>0</v>
      </c>
      <c r="W26" s="640">
        <f t="shared" si="23"/>
        <v>0</v>
      </c>
      <c r="X26" s="70">
        <f t="shared" si="23"/>
        <v>0</v>
      </c>
      <c r="Y26" s="641">
        <f t="shared" si="23"/>
        <v>0.2557038895230257</v>
      </c>
      <c r="AC26" s="16"/>
      <c r="AD26" s="16"/>
      <c r="AE26" s="16"/>
      <c r="AF26" s="16"/>
      <c r="AG26" s="16"/>
    </row>
    <row r="27" spans="2:36" ht="12.75" customHeight="1">
      <c r="AC27" s="1215"/>
      <c r="AD27" s="16"/>
      <c r="AE27" s="16"/>
      <c r="AF27" s="16"/>
      <c r="AG27" s="16"/>
    </row>
    <row r="28" spans="2:36" ht="12.75" customHeight="1">
      <c r="B28" s="1" t="str">
        <f>Comp.1!B23</f>
        <v>Tier 2</v>
      </c>
      <c r="D28" s="311"/>
      <c r="E28" s="311"/>
      <c r="F28" s="311"/>
      <c r="G28" s="311"/>
      <c r="H28" s="311"/>
      <c r="I28" s="311"/>
      <c r="J28" s="311"/>
      <c r="K28" s="311"/>
      <c r="M28" s="51"/>
      <c r="N28" s="311"/>
      <c r="O28" s="176"/>
      <c r="P28" s="177"/>
      <c r="Q28" s="178"/>
      <c r="R28" s="43"/>
      <c r="S28" s="179"/>
      <c r="T28" s="179"/>
      <c r="U28" s="180"/>
      <c r="V28" s="180"/>
      <c r="W28" s="180"/>
      <c r="X28" s="81"/>
      <c r="Y28" s="178"/>
      <c r="AB28" s="82"/>
      <c r="AC28" s="311"/>
      <c r="AD28" s="83"/>
      <c r="AJ28" s="84"/>
    </row>
    <row r="29" spans="2:36" ht="12.75" customHeight="1">
      <c r="B29" s="310" t="str">
        <f>Comp.1!B24</f>
        <v>Amicus Therapeutics, Inc.</v>
      </c>
      <c r="D29" s="311">
        <f>'Capital IQ Sheet-GPC'!J22</f>
        <v>2943.9233800000002</v>
      </c>
      <c r="E29" s="311">
        <f>'Capital IQ Sheet-GPC'!K22</f>
        <v>166.768</v>
      </c>
      <c r="F29" s="311" t="str">
        <f>'Capital IQ Sheet-GPC'!L22</f>
        <v>n/a</v>
      </c>
      <c r="G29" s="311" t="str">
        <f>'Capital IQ Sheet-GPC'!M22</f>
        <v>n/a</v>
      </c>
      <c r="H29" s="311">
        <f>SUM(E29:G29)</f>
        <v>166.768</v>
      </c>
      <c r="I29" s="311">
        <f>SUM(D29:G29)</f>
        <v>3110.6913800000002</v>
      </c>
      <c r="J29" s="311">
        <f>'Capital IQ Sheet-GPC'!N22</f>
        <v>562.52</v>
      </c>
      <c r="K29" s="311">
        <f>I29-J29</f>
        <v>2548.1713800000002</v>
      </c>
      <c r="M29" s="51">
        <f>IFERROR('Capital IQ Sheet-GPC'!AT22,"n/a")</f>
        <v>0</v>
      </c>
      <c r="N29" s="311">
        <f t="shared" si="3"/>
        <v>2.2506849315068491</v>
      </c>
      <c r="O29" s="176">
        <f t="shared" si="3"/>
        <v>2.5475753424657535E-2</v>
      </c>
      <c r="P29" s="177"/>
      <c r="Q29" s="178">
        <f>IFERROR(HLOOKUP($Q$6,'Equity Vol'!$B$8:$H22,ROWS('Equity Vol'!$C$8:$C22),FALSE),"n/a")</f>
        <v>0.62463087489829994</v>
      </c>
      <c r="R29" s="43"/>
      <c r="S29" s="179">
        <f>IFERROR(IF(Q29="n/a","n/a",Q29^2),"n/a")</f>
        <v>0.39016372987621561</v>
      </c>
      <c r="T29" s="179">
        <f>IF(OR(K29="n/a",S29="n/a"),"n/a",IF(H29=0,0,IF(M29=0,(LN(K29/H29)+((O29+(S29/2))*N29))/((S29*N29)^0.5),(LN(K29/H29)+((O29-M29+(S29/2))*N29))/((S29*N29)^0.5))))</f>
        <v>3.4393036982895073</v>
      </c>
      <c r="U29" s="180">
        <f>IF(T29="n/a","n/a",IF(H29=0,0,T29-(S29*N29)^0.5))</f>
        <v>2.5022147870047204</v>
      </c>
      <c r="V29" s="180">
        <f>IF(OR(T29="n/a",S29="n/a"),"n/a",IF(H29=0,0,NORMSDIST(T29)))</f>
        <v>0.99970839371297937</v>
      </c>
      <c r="W29" s="180">
        <f>IF(OR(U29="n/a",S29="n/a"),"n/a",IF(H29=0,0,NORMSDIST(U29)))</f>
        <v>0.99382904881629586</v>
      </c>
      <c r="X29" s="81">
        <f>IF(OR(K29="n/a",S29="n/a"),"n/a",IF(M29=0,(K29*V29)-((H29*EXP(1)^(-O29*N29))*W29),(K29*(2.718^(-M29*N29))*V29)-(H29*(2.718^(-O29*N29))*W29)))</f>
        <v>2390.9252418769552</v>
      </c>
      <c r="Y29" s="178">
        <f>IFERROR(IF(LEN(B29)&gt;0,IF(H29=0,Q29,IF(ISERROR(Q29/((K29/X29)*V29)),"n/a",Q29/((K29/X29)*V29)))),"n/a")</f>
        <v>0.5862562316526766</v>
      </c>
      <c r="AA29" s="310">
        <v>1</v>
      </c>
      <c r="AB29" s="82" t="str">
        <f>IF('MASTER PubCo Inputs'!B37=0,"",'MASTER PubCo Inputs'!B37)</f>
        <v>NasdaqGM:FOLD</v>
      </c>
      <c r="AC29" s="311">
        <f>'Capital IQ Sheet-GPC'!H22</f>
        <v>2548.1713800000002</v>
      </c>
      <c r="AD29" s="83">
        <f>K29-AC29</f>
        <v>0</v>
      </c>
      <c r="AJ29" s="84"/>
    </row>
    <row r="30" spans="2:36" ht="12.75" customHeight="1">
      <c r="B30" s="310" t="str">
        <f>Comp.1!B25</f>
        <v>Myovant Sciences Ltd.</v>
      </c>
      <c r="D30" s="311">
        <f>'Capital IQ Sheet-GPC'!J23</f>
        <v>1483.6912500000001</v>
      </c>
      <c r="E30" s="311">
        <f>'Capital IQ Sheet-GPC'!K23</f>
        <v>43.624000000000002</v>
      </c>
      <c r="F30" s="311" t="str">
        <f>'Capital IQ Sheet-GPC'!L23</f>
        <v>n/a</v>
      </c>
      <c r="G30" s="311" t="str">
        <f>'Capital IQ Sheet-GPC'!M23</f>
        <v>n/a</v>
      </c>
      <c r="H30" s="311">
        <f t="shared" ref="H30:H46" si="24">SUM(E30:G30)</f>
        <v>43.624000000000002</v>
      </c>
      <c r="I30" s="311">
        <f t="shared" ref="I30:I46" si="25">SUM(D30:G30)</f>
        <v>1527.3152500000001</v>
      </c>
      <c r="J30" s="311">
        <f>'Capital IQ Sheet-GPC'!N23</f>
        <v>108.624</v>
      </c>
      <c r="K30" s="311">
        <f t="shared" ref="K30:K46" si="26">I30-J30</f>
        <v>1418.6912500000001</v>
      </c>
      <c r="M30" s="51">
        <f>IFERROR('Capital IQ Sheet-GPC'!AT23,"n/a")</f>
        <v>0</v>
      </c>
      <c r="N30" s="311">
        <f t="shared" si="3"/>
        <v>2.2506849315068491</v>
      </c>
      <c r="O30" s="176">
        <f t="shared" si="3"/>
        <v>2.5475753424657535E-2</v>
      </c>
      <c r="P30" s="177"/>
      <c r="Q30" s="178">
        <f>IFERROR(HLOOKUP($Q$6,'Equity Vol'!$B$8:$H23,ROWS('Equity Vol'!$C$8:$C23),FALSE),"n/a")</f>
        <v>0.58241620249703041</v>
      </c>
      <c r="R30" s="43"/>
      <c r="S30" s="179">
        <f t="shared" ref="S30:S50" si="27">IFERROR(IF(Q30="n/a","n/a",Q30^2),"n/a")</f>
        <v>0.33920863293106196</v>
      </c>
      <c r="T30" s="179">
        <f t="shared" ref="T30:T50" si="28">IF(OR(K30="n/a",S30="n/a"),"n/a",IF(H30=0,0,IF(M30=0,(LN(K30/H30)+((O30+(S30/2))*N30))/((S30*N30)^0.5),(LN(K30/H30)+((O30-M30+(S30/2))*N30))/((S30*N30)^0.5))))</f>
        <v>4.4874549743128256</v>
      </c>
      <c r="U30" s="180">
        <f t="shared" ref="U30:U50" si="29">IF(T30="n/a","n/a",IF(H30=0,0,T30-(S30*N30)^0.5))</f>
        <v>3.6136977089496245</v>
      </c>
      <c r="V30" s="180">
        <f t="shared" ref="V30:V50" si="30">IF(OR(T30="n/a",S30="n/a"),"n/a",IF(H30=0,0,NORMSDIST(T30)))</f>
        <v>0.99999639604805635</v>
      </c>
      <c r="W30" s="180">
        <f t="shared" ref="W30:W50" si="31">IF(OR(U30="n/a",S30="n/a"),"n/a",IF(H30=0,0,NORMSDIST(U30)))</f>
        <v>0.99984906951016517</v>
      </c>
      <c r="X30" s="81">
        <f t="shared" ref="X30:X50" si="32">IF(OR(K30="n/a",S30="n/a"),"n/a",IF(M30=0,(K30*V30)-((H30*EXP(1)^(-O30*N30))*W30),(K30*(2.718^(-M30*N30))*V30)-(H30*(2.718^(-O30*N30))*W30)))</f>
        <v>1377.4993039610383</v>
      </c>
      <c r="Y30" s="178">
        <f t="shared" ref="Y30:Y50" si="33">IFERROR(IF(LEN(B30)&gt;0,IF(H30=0,Q30,IF(ISERROR(Q30/((K30/X30)*V30)),"n/a",Q30/((K30/X30)*V30)))),"n/a")</f>
        <v>0.56550768529569551</v>
      </c>
      <c r="AA30" s="310">
        <v>1</v>
      </c>
      <c r="AB30" s="82" t="str">
        <f>IF('MASTER PubCo Inputs'!B38=0,"",'MASTER PubCo Inputs'!B38)</f>
        <v>NYSE:MYOV</v>
      </c>
      <c r="AC30" s="311">
        <f>'Capital IQ Sheet-GPC'!H23</f>
        <v>1418.6912500000001</v>
      </c>
      <c r="AD30" s="83">
        <f t="shared" ref="AD30:AD46" si="34">K30-AC30</f>
        <v>0</v>
      </c>
      <c r="AJ30" s="84"/>
    </row>
    <row r="31" spans="2:36" ht="12.75" customHeight="1">
      <c r="B31" s="310" t="str">
        <f>Comp.1!B26</f>
        <v>Lexicon Pharmaceuticals, Inc.</v>
      </c>
      <c r="D31" s="311">
        <f>'Capital IQ Sheet-GPC'!J24</f>
        <v>1269.98242</v>
      </c>
      <c r="E31" s="311">
        <f>'Capital IQ Sheet-GPC'!K24</f>
        <v>245.39599999999999</v>
      </c>
      <c r="F31" s="311" t="str">
        <f>'Capital IQ Sheet-GPC'!L24</f>
        <v>n/a</v>
      </c>
      <c r="G31" s="311" t="str">
        <f>'Capital IQ Sheet-GPC'!M24</f>
        <v>n/a</v>
      </c>
      <c r="H31" s="311">
        <f t="shared" si="24"/>
        <v>245.39599999999999</v>
      </c>
      <c r="I31" s="311">
        <f t="shared" si="25"/>
        <v>1515.37842</v>
      </c>
      <c r="J31" s="311">
        <f>'Capital IQ Sheet-GPC'!N24</f>
        <v>262.27199999999999</v>
      </c>
      <c r="K31" s="311">
        <f t="shared" si="26"/>
        <v>1253.1064200000001</v>
      </c>
      <c r="M31" s="51">
        <f>IFERROR('Capital IQ Sheet-GPC'!AT24,"n/a")</f>
        <v>0</v>
      </c>
      <c r="N31" s="311">
        <f t="shared" si="3"/>
        <v>2.2506849315068491</v>
      </c>
      <c r="O31" s="176">
        <f t="shared" si="3"/>
        <v>2.5475753424657535E-2</v>
      </c>
      <c r="P31" s="177"/>
      <c r="Q31" s="178">
        <f>IFERROR(HLOOKUP($Q$6,'Equity Vol'!$B$8:$H24,ROWS('Equity Vol'!$C$8:$C24),FALSE),"n/a")</f>
        <v>0.46011894801782688</v>
      </c>
      <c r="R31" s="43"/>
      <c r="S31" s="179">
        <f t="shared" si="27"/>
        <v>0.21170944632503166</v>
      </c>
      <c r="T31" s="179">
        <f t="shared" si="28"/>
        <v>2.7902901870317507</v>
      </c>
      <c r="U31" s="180">
        <f t="shared" si="29"/>
        <v>2.1000067230103339</v>
      </c>
      <c r="V31" s="180">
        <f t="shared" si="30"/>
        <v>0.99736695903321393</v>
      </c>
      <c r="W31" s="180">
        <f t="shared" si="31"/>
        <v>0.9821358751372663</v>
      </c>
      <c r="X31" s="81">
        <f t="shared" si="32"/>
        <v>1022.2251419204408</v>
      </c>
      <c r="Y31" s="178">
        <f t="shared" si="33"/>
        <v>0.37633424978491314</v>
      </c>
      <c r="AA31" s="310">
        <v>1</v>
      </c>
      <c r="AB31" s="82" t="str">
        <f>IF('MASTER PubCo Inputs'!B39=0,"",'MASTER PubCo Inputs'!B39)</f>
        <v>NasdaqGS:LXRX</v>
      </c>
      <c r="AC31" s="311">
        <f>'Capital IQ Sheet-GPC'!H24</f>
        <v>1253.1064200000001</v>
      </c>
      <c r="AD31" s="83">
        <f t="shared" si="34"/>
        <v>0</v>
      </c>
      <c r="AJ31" s="84"/>
    </row>
    <row r="32" spans="2:36" ht="12.75" customHeight="1">
      <c r="B32" s="310" t="str">
        <f>Comp.1!B27</f>
        <v>Rhythm Pharmaceuticals, Inc.</v>
      </c>
      <c r="D32" s="311">
        <f>'Capital IQ Sheet-GPC'!J25</f>
        <v>1066.6532199999999</v>
      </c>
      <c r="E32" s="311">
        <f>'Capital IQ Sheet-GPC'!K25</f>
        <v>0</v>
      </c>
      <c r="F32" s="311" t="str">
        <f>'Capital IQ Sheet-GPC'!L25</f>
        <v>n/a</v>
      </c>
      <c r="G32" s="311" t="str">
        <f>'Capital IQ Sheet-GPC'!M25</f>
        <v>n/a</v>
      </c>
      <c r="H32" s="311">
        <f t="shared" si="24"/>
        <v>0</v>
      </c>
      <c r="I32" s="311">
        <f t="shared" si="25"/>
        <v>1066.6532199999999</v>
      </c>
      <c r="J32" s="311">
        <f>'Capital IQ Sheet-GPC'!N25</f>
        <v>136.453</v>
      </c>
      <c r="K32" s="311">
        <f t="shared" si="26"/>
        <v>930.20021999999994</v>
      </c>
      <c r="M32" s="51">
        <f>IFERROR('Capital IQ Sheet-GPC'!AT25,"n/a")</f>
        <v>0</v>
      </c>
      <c r="N32" s="311">
        <f t="shared" si="3"/>
        <v>2.2506849315068491</v>
      </c>
      <c r="O32" s="176">
        <f t="shared" si="3"/>
        <v>2.5475753424657535E-2</v>
      </c>
      <c r="P32" s="177"/>
      <c r="Q32" s="178" t="str">
        <f>IFERROR(HLOOKUP($Q$6,'Equity Vol'!$B$8:$H25,ROWS('Equity Vol'!$C$8:$C25),FALSE),"n/a")</f>
        <v>NM</v>
      </c>
      <c r="R32" s="43"/>
      <c r="S32" s="179" t="str">
        <f t="shared" si="27"/>
        <v>n/a</v>
      </c>
      <c r="T32" s="179" t="str">
        <f t="shared" si="28"/>
        <v>n/a</v>
      </c>
      <c r="U32" s="180" t="str">
        <f t="shared" si="29"/>
        <v>n/a</v>
      </c>
      <c r="V32" s="180" t="str">
        <f t="shared" si="30"/>
        <v>n/a</v>
      </c>
      <c r="W32" s="180" t="str">
        <f t="shared" si="31"/>
        <v>n/a</v>
      </c>
      <c r="X32" s="81" t="str">
        <f t="shared" si="32"/>
        <v>n/a</v>
      </c>
      <c r="Y32" s="178" t="str">
        <f t="shared" si="33"/>
        <v>NM</v>
      </c>
      <c r="AA32" s="310">
        <v>1</v>
      </c>
      <c r="AB32" s="82" t="str">
        <f>IF('MASTER PubCo Inputs'!B40=0,"",'MASTER PubCo Inputs'!B40)</f>
        <v>NasdaqGM:RYTM</v>
      </c>
      <c r="AC32" s="311">
        <f>'Capital IQ Sheet-GPC'!H25</f>
        <v>930.20021999999994</v>
      </c>
      <c r="AD32" s="83">
        <f t="shared" si="34"/>
        <v>0</v>
      </c>
      <c r="AJ32" s="84"/>
    </row>
    <row r="33" spans="2:36" ht="12.75" customHeight="1">
      <c r="B33" s="310" t="str">
        <f>Comp.1!B28</f>
        <v>Aptinyx Inc.</v>
      </c>
      <c r="D33" s="311">
        <f>'Capital IQ Sheet-GPC'!J26</f>
        <v>809.60373000000004</v>
      </c>
      <c r="E33" s="311">
        <f>'Capital IQ Sheet-GPC'!K26</f>
        <v>0</v>
      </c>
      <c r="F33" s="311">
        <f>'Capital IQ Sheet-GPC'!L26</f>
        <v>132.386</v>
      </c>
      <c r="G33" s="311" t="str">
        <f>'Capital IQ Sheet-GPC'!M26</f>
        <v>n/a</v>
      </c>
      <c r="H33" s="311">
        <f t="shared" si="24"/>
        <v>132.386</v>
      </c>
      <c r="I33" s="311">
        <f t="shared" si="25"/>
        <v>941.98973000000001</v>
      </c>
      <c r="J33" s="311">
        <f>'Capital IQ Sheet-GPC'!N26</f>
        <v>82.35</v>
      </c>
      <c r="K33" s="311">
        <f t="shared" si="26"/>
        <v>859.63972999999999</v>
      </c>
      <c r="M33" s="51">
        <f>IFERROR('Capital IQ Sheet-GPC'!AT26,"n/a")</f>
        <v>0</v>
      </c>
      <c r="N33" s="311">
        <f t="shared" si="3"/>
        <v>2.2506849315068491</v>
      </c>
      <c r="O33" s="176">
        <f t="shared" si="3"/>
        <v>2.5475753424657535E-2</v>
      </c>
      <c r="P33" s="177"/>
      <c r="Q33" s="178" t="str">
        <f>IFERROR(HLOOKUP($Q$6,'Equity Vol'!$B$8:$H26,ROWS('Equity Vol'!$C$8:$C26),FALSE),"n/a")</f>
        <v>NM</v>
      </c>
      <c r="R33" s="43"/>
      <c r="S33" s="179" t="str">
        <f t="shared" si="27"/>
        <v>n/a</v>
      </c>
      <c r="T33" s="179" t="str">
        <f t="shared" si="28"/>
        <v>n/a</v>
      </c>
      <c r="U33" s="180" t="str">
        <f t="shared" si="29"/>
        <v>n/a</v>
      </c>
      <c r="V33" s="180" t="str">
        <f t="shared" si="30"/>
        <v>n/a</v>
      </c>
      <c r="W33" s="180" t="str">
        <f t="shared" si="31"/>
        <v>n/a</v>
      </c>
      <c r="X33" s="81" t="str">
        <f t="shared" si="32"/>
        <v>n/a</v>
      </c>
      <c r="Y33" s="178" t="str">
        <f t="shared" si="33"/>
        <v>n/a</v>
      </c>
      <c r="AA33" s="310">
        <v>1</v>
      </c>
      <c r="AB33" s="82" t="str">
        <f>IF('MASTER PubCo Inputs'!B41=0,"",'MASTER PubCo Inputs'!B41)</f>
        <v>NasdaqGS:APTX</v>
      </c>
      <c r="AC33" s="311">
        <f>'Capital IQ Sheet-GPC'!H26</f>
        <v>859.63972999999999</v>
      </c>
      <c r="AD33" s="83">
        <f t="shared" si="34"/>
        <v>0</v>
      </c>
      <c r="AJ33" s="84"/>
    </row>
    <row r="34" spans="2:36" ht="12.75" customHeight="1">
      <c r="B34" s="310" t="str">
        <f>Comp.1!B29</f>
        <v>BeyondSpring Inc.</v>
      </c>
      <c r="D34" s="311">
        <f>'Capital IQ Sheet-GPC'!J27</f>
        <v>614.36387000000002</v>
      </c>
      <c r="E34" s="311">
        <f>'Capital IQ Sheet-GPC'!K27</f>
        <v>0</v>
      </c>
      <c r="F34" s="311" t="str">
        <f>'Capital IQ Sheet-GPC'!L27</f>
        <v>n/a</v>
      </c>
      <c r="G34" s="311">
        <f>'Capital IQ Sheet-GPC'!M27</f>
        <v>0.56799999999999995</v>
      </c>
      <c r="H34" s="311">
        <f t="shared" si="24"/>
        <v>0.56799999999999995</v>
      </c>
      <c r="I34" s="311">
        <f t="shared" si="25"/>
        <v>614.93187</v>
      </c>
      <c r="J34" s="311">
        <f>'Capital IQ Sheet-GPC'!N27</f>
        <v>21.538</v>
      </c>
      <c r="K34" s="311">
        <f t="shared" si="26"/>
        <v>593.39386999999999</v>
      </c>
      <c r="M34" s="51">
        <f>IFERROR('Capital IQ Sheet-GPC'!AT27,"n/a")</f>
        <v>0</v>
      </c>
      <c r="N34" s="311">
        <f t="shared" si="3"/>
        <v>2.2506849315068491</v>
      </c>
      <c r="O34" s="176">
        <f t="shared" si="3"/>
        <v>2.5475753424657535E-2</v>
      </c>
      <c r="P34" s="177"/>
      <c r="Q34" s="178">
        <f>IFERROR(HLOOKUP($Q$6,'Equity Vol'!$B$8:$H27,ROWS('Equity Vol'!$C$8:$C27),FALSE),"n/a")</f>
        <v>0.74997182580919175</v>
      </c>
      <c r="R34" s="43"/>
      <c r="S34" s="179">
        <f t="shared" si="27"/>
        <v>0.56245773950757261</v>
      </c>
      <c r="T34" s="179">
        <f t="shared" si="28"/>
        <v>6.7919216700583496</v>
      </c>
      <c r="U34" s="180">
        <f t="shared" si="29"/>
        <v>5.6667927179292619</v>
      </c>
      <c r="V34" s="180">
        <f t="shared" si="30"/>
        <v>0.99999999999446754</v>
      </c>
      <c r="W34" s="180">
        <f t="shared" si="31"/>
        <v>0.99999999272524132</v>
      </c>
      <c r="X34" s="81">
        <f t="shared" si="32"/>
        <v>592.85752182885801</v>
      </c>
      <c r="Y34" s="178">
        <f t="shared" si="33"/>
        <v>0.74929395224989648</v>
      </c>
      <c r="AA34" s="310">
        <v>1</v>
      </c>
      <c r="AB34" s="82" t="str">
        <f>IF('MASTER PubCo Inputs'!B42=0,"",'MASTER PubCo Inputs'!B42)</f>
        <v>NasdaqCM:BYSI</v>
      </c>
      <c r="AC34" s="311">
        <f>'Capital IQ Sheet-GPC'!H27</f>
        <v>593.39386999999999</v>
      </c>
      <c r="AD34" s="83">
        <f t="shared" si="34"/>
        <v>0</v>
      </c>
      <c r="AJ34" s="84"/>
    </row>
    <row r="35" spans="2:36" ht="12.75" customHeight="1">
      <c r="B35" s="310" t="str">
        <f>Comp.1!B30</f>
        <v>CymaBay Therapeutics, Inc.</v>
      </c>
      <c r="D35" s="311">
        <f>'Capital IQ Sheet-GPC'!J28</f>
        <v>788.67728</v>
      </c>
      <c r="E35" s="311">
        <f>'Capital IQ Sheet-GPC'!K28</f>
        <v>5.3609999999999998</v>
      </c>
      <c r="F35" s="311" t="str">
        <f>'Capital IQ Sheet-GPC'!L28</f>
        <v>n/a</v>
      </c>
      <c r="G35" s="311" t="str">
        <f>'Capital IQ Sheet-GPC'!M28</f>
        <v>n/a</v>
      </c>
      <c r="H35" s="311">
        <f t="shared" si="24"/>
        <v>5.3609999999999998</v>
      </c>
      <c r="I35" s="311">
        <f t="shared" si="25"/>
        <v>794.03827999999999</v>
      </c>
      <c r="J35" s="311">
        <f>'Capital IQ Sheet-GPC'!N28</f>
        <v>229.536</v>
      </c>
      <c r="K35" s="311">
        <f t="shared" si="26"/>
        <v>564.50227999999993</v>
      </c>
      <c r="M35" s="51">
        <f>IFERROR('Capital IQ Sheet-GPC'!AT28,"n/a")</f>
        <v>0</v>
      </c>
      <c r="N35" s="311">
        <f t="shared" si="3"/>
        <v>2.2506849315068491</v>
      </c>
      <c r="O35" s="176">
        <f t="shared" si="3"/>
        <v>2.5475753424657535E-2</v>
      </c>
      <c r="P35" s="177"/>
      <c r="Q35" s="178">
        <f>IFERROR(HLOOKUP($Q$6,'Equity Vol'!$B$8:$H28,ROWS('Equity Vol'!$C$8:$C28),FALSE),"n/a")</f>
        <v>0.68436083114667368</v>
      </c>
      <c r="R35" s="43"/>
      <c r="S35" s="179">
        <f t="shared" si="27"/>
        <v>0.46834974720776601</v>
      </c>
      <c r="T35" s="179">
        <f t="shared" si="28"/>
        <v>5.1048977380082254</v>
      </c>
      <c r="U35" s="180">
        <f t="shared" si="29"/>
        <v>4.0782002564122291</v>
      </c>
      <c r="V35" s="180">
        <f t="shared" si="30"/>
        <v>0.99999983451327634</v>
      </c>
      <c r="W35" s="180">
        <f t="shared" si="31"/>
        <v>0.99997730716650912</v>
      </c>
      <c r="X35" s="81">
        <f t="shared" si="32"/>
        <v>559.44004345087706</v>
      </c>
      <c r="Y35" s="178">
        <f t="shared" si="33"/>
        <v>0.67822386203797302</v>
      </c>
      <c r="AA35" s="310">
        <v>1</v>
      </c>
      <c r="AB35" s="82" t="str">
        <f>IF('MASTER PubCo Inputs'!B43=0,"",'MASTER PubCo Inputs'!B43)</f>
        <v>NasdaqGS:CBAY</v>
      </c>
      <c r="AC35" s="311">
        <f>'Capital IQ Sheet-GPC'!H28</f>
        <v>564.50228000000004</v>
      </c>
      <c r="AD35" s="83">
        <f t="shared" si="34"/>
        <v>0</v>
      </c>
      <c r="AJ35" s="84"/>
    </row>
    <row r="36" spans="2:36" ht="12.75" customHeight="1">
      <c r="B36" s="310" t="str">
        <f>Comp.1!B31</f>
        <v>Intra-Cellular Therapies, Inc.</v>
      </c>
      <c r="D36" s="311">
        <f>'Capital IQ Sheet-GPC'!J29</f>
        <v>966.48504000000003</v>
      </c>
      <c r="E36" s="311">
        <f>'Capital IQ Sheet-GPC'!K29</f>
        <v>0</v>
      </c>
      <c r="F36" s="311" t="str">
        <f>'Capital IQ Sheet-GPC'!L29</f>
        <v>n/a</v>
      </c>
      <c r="G36" s="311" t="str">
        <f>'Capital IQ Sheet-GPC'!M29</f>
        <v>n/a</v>
      </c>
      <c r="H36" s="311">
        <f t="shared" si="24"/>
        <v>0</v>
      </c>
      <c r="I36" s="311">
        <f t="shared" si="25"/>
        <v>966.48504000000003</v>
      </c>
      <c r="J36" s="311">
        <f>'Capital IQ Sheet-GPC'!N29</f>
        <v>437.00551000000002</v>
      </c>
      <c r="K36" s="311">
        <f t="shared" si="26"/>
        <v>529.47953000000007</v>
      </c>
      <c r="M36" s="51">
        <f>IFERROR('Capital IQ Sheet-GPC'!AT29,"n/a")</f>
        <v>0</v>
      </c>
      <c r="N36" s="311">
        <f t="shared" si="3"/>
        <v>2.2506849315068491</v>
      </c>
      <c r="O36" s="176">
        <f t="shared" si="3"/>
        <v>2.5475753424657535E-2</v>
      </c>
      <c r="P36" s="177"/>
      <c r="Q36" s="178">
        <f>IFERROR(HLOOKUP($Q$6,'Equity Vol'!$B$8:$H29,ROWS('Equity Vol'!$C$8:$C29),FALSE),"n/a")</f>
        <v>0.93976256879974218</v>
      </c>
      <c r="R36" s="43"/>
      <c r="S36" s="179">
        <f t="shared" si="27"/>
        <v>0.88315368571709019</v>
      </c>
      <c r="T36" s="179">
        <f t="shared" si="28"/>
        <v>0</v>
      </c>
      <c r="U36" s="180">
        <f t="shared" si="29"/>
        <v>0</v>
      </c>
      <c r="V36" s="180">
        <f t="shared" si="30"/>
        <v>0</v>
      </c>
      <c r="W36" s="180">
        <f t="shared" si="31"/>
        <v>0</v>
      </c>
      <c r="X36" s="81">
        <f t="shared" si="32"/>
        <v>0</v>
      </c>
      <c r="Y36" s="178">
        <f t="shared" si="33"/>
        <v>0.93976256879974218</v>
      </c>
      <c r="AA36" s="310">
        <v>1</v>
      </c>
      <c r="AB36" s="82" t="str">
        <f>IF('MASTER PubCo Inputs'!B44=0,"",'MASTER PubCo Inputs'!B44)</f>
        <v>NasdaqGS:ITCI</v>
      </c>
      <c r="AC36" s="311">
        <f>'Capital IQ Sheet-GPC'!H29</f>
        <v>529.47951999999998</v>
      </c>
      <c r="AD36" s="83">
        <f t="shared" si="34"/>
        <v>1.0000000088439265E-5</v>
      </c>
      <c r="AJ36" s="84"/>
    </row>
    <row r="37" spans="2:36" ht="12.75" customHeight="1">
      <c r="B37" s="310" t="str">
        <f>Comp.1!B32</f>
        <v>Viking Therapeutics, Inc.</v>
      </c>
      <c r="D37" s="311">
        <f>'Capital IQ Sheet-GPC'!J30</f>
        <v>565.20726999999999</v>
      </c>
      <c r="E37" s="311">
        <f>'Capital IQ Sheet-GPC'!K30</f>
        <v>3.7210000000000001</v>
      </c>
      <c r="F37" s="311" t="str">
        <f>'Capital IQ Sheet-GPC'!L30</f>
        <v>n/a</v>
      </c>
      <c r="G37" s="311" t="str">
        <f>'Capital IQ Sheet-GPC'!M30</f>
        <v>n/a</v>
      </c>
      <c r="H37" s="311">
        <f t="shared" si="24"/>
        <v>3.7210000000000001</v>
      </c>
      <c r="I37" s="311">
        <f t="shared" si="25"/>
        <v>568.92827</v>
      </c>
      <c r="J37" s="311">
        <f>'Capital IQ Sheet-GPC'!N30</f>
        <v>77.468000000000004</v>
      </c>
      <c r="K37" s="311">
        <f t="shared" si="26"/>
        <v>491.46026999999998</v>
      </c>
      <c r="M37" s="51">
        <f>IFERROR('Capital IQ Sheet-GPC'!AT30,"n/a")</f>
        <v>0</v>
      </c>
      <c r="N37" s="311">
        <f t="shared" si="3"/>
        <v>2.2506849315068491</v>
      </c>
      <c r="O37" s="176">
        <f t="shared" si="3"/>
        <v>2.5475753424657535E-2</v>
      </c>
      <c r="P37" s="177"/>
      <c r="Q37" s="178">
        <f>IFERROR(HLOOKUP($Q$6,'Equity Vol'!$B$8:$H30,ROWS('Equity Vol'!$C$8:$C30),FALSE),"n/a")</f>
        <v>0.90426976033919249</v>
      </c>
      <c r="R37" s="43"/>
      <c r="S37" s="179">
        <f t="shared" si="27"/>
        <v>0.81770379946390059</v>
      </c>
      <c r="T37" s="179">
        <f t="shared" si="28"/>
        <v>4.3202679437312952</v>
      </c>
      <c r="U37" s="180">
        <f t="shared" si="29"/>
        <v>2.9636568646488266</v>
      </c>
      <c r="V37" s="180">
        <f t="shared" si="30"/>
        <v>0.99999220800698996</v>
      </c>
      <c r="W37" s="180">
        <f t="shared" si="31"/>
        <v>0.99847996464296507</v>
      </c>
      <c r="X37" s="81">
        <f t="shared" si="32"/>
        <v>487.94813432281671</v>
      </c>
      <c r="Y37" s="178">
        <f t="shared" si="33"/>
        <v>0.89781454892061308</v>
      </c>
      <c r="AA37" s="310">
        <v>1</v>
      </c>
      <c r="AB37" s="82" t="str">
        <f>IF('MASTER PubCo Inputs'!B45=0,"",'MASTER PubCo Inputs'!B45)</f>
        <v>NasdaqCM:VKTX</v>
      </c>
      <c r="AC37" s="311">
        <f>'Capital IQ Sheet-GPC'!H30</f>
        <v>491.46026999999998</v>
      </c>
      <c r="AD37" s="83">
        <f t="shared" si="34"/>
        <v>0</v>
      </c>
      <c r="AJ37" s="84"/>
    </row>
    <row r="38" spans="2:36" ht="12.75" customHeight="1">
      <c r="B38" s="310" t="str">
        <f>Comp.1!B33</f>
        <v>Xeris Pharmaceuticals, Inc.</v>
      </c>
      <c r="D38" s="311">
        <f>'Capital IQ Sheet-GPC'!J31</f>
        <v>374.58265999999998</v>
      </c>
      <c r="E38" s="311">
        <f>'Capital IQ Sheet-GPC'!K31</f>
        <v>18.050999999999998</v>
      </c>
      <c r="F38" s="311">
        <f>'Capital IQ Sheet-GPC'!L31</f>
        <v>102.292</v>
      </c>
      <c r="G38" s="311" t="str">
        <f>'Capital IQ Sheet-GPC'!M31</f>
        <v>n/a</v>
      </c>
      <c r="H38" s="311">
        <f t="shared" si="24"/>
        <v>120.343</v>
      </c>
      <c r="I38" s="311">
        <f t="shared" si="25"/>
        <v>494.92565999999999</v>
      </c>
      <c r="J38" s="311">
        <f>'Capital IQ Sheet-GPC'!N31</f>
        <v>58.11</v>
      </c>
      <c r="K38" s="311">
        <f t="shared" si="26"/>
        <v>436.81565999999998</v>
      </c>
      <c r="M38" s="51">
        <f>IFERROR('Capital IQ Sheet-GPC'!AT31,"n/a")</f>
        <v>0</v>
      </c>
      <c r="N38" s="311">
        <f t="shared" si="3"/>
        <v>2.2506849315068491</v>
      </c>
      <c r="O38" s="176">
        <f t="shared" si="3"/>
        <v>2.5475753424657535E-2</v>
      </c>
      <c r="P38" s="177"/>
      <c r="Q38" s="178" t="str">
        <f>IFERROR(HLOOKUP($Q$6,'Equity Vol'!$B$8:$H31,ROWS('Equity Vol'!$C$8:$C31),FALSE),"n/a")</f>
        <v>NM</v>
      </c>
      <c r="R38" s="43"/>
      <c r="S38" s="179" t="str">
        <f t="shared" si="27"/>
        <v>n/a</v>
      </c>
      <c r="T38" s="179" t="str">
        <f t="shared" si="28"/>
        <v>n/a</v>
      </c>
      <c r="U38" s="180" t="str">
        <f t="shared" si="29"/>
        <v>n/a</v>
      </c>
      <c r="V38" s="180" t="str">
        <f t="shared" si="30"/>
        <v>n/a</v>
      </c>
      <c r="W38" s="180" t="str">
        <f t="shared" si="31"/>
        <v>n/a</v>
      </c>
      <c r="X38" s="81" t="str">
        <f t="shared" si="32"/>
        <v>n/a</v>
      </c>
      <c r="Y38" s="178" t="str">
        <f t="shared" si="33"/>
        <v>n/a</v>
      </c>
      <c r="AA38" s="310">
        <v>1</v>
      </c>
      <c r="AB38" s="82" t="str">
        <f>IF('MASTER PubCo Inputs'!B46=0,"",'MASTER PubCo Inputs'!B46)</f>
        <v>NasdaqGS:XERS</v>
      </c>
      <c r="AC38" s="311">
        <f>'Capital IQ Sheet-GPC'!H31</f>
        <v>436.81565999999998</v>
      </c>
      <c r="AD38" s="83">
        <f t="shared" si="34"/>
        <v>0</v>
      </c>
      <c r="AJ38" s="84"/>
    </row>
    <row r="39" spans="2:36" ht="12.75" customHeight="1">
      <c r="B39" s="310" t="str">
        <f>Comp.1!B34</f>
        <v>Odonate Therapeutics, Inc.</v>
      </c>
      <c r="D39" s="311">
        <f>'Capital IQ Sheet-GPC'!J32</f>
        <v>593.68480999999997</v>
      </c>
      <c r="E39" s="311">
        <f>'Capital IQ Sheet-GPC'!K32</f>
        <v>0</v>
      </c>
      <c r="F39" s="311" t="str">
        <f>'Capital IQ Sheet-GPC'!L32</f>
        <v>n/a</v>
      </c>
      <c r="G39" s="311" t="str">
        <f>'Capital IQ Sheet-GPC'!M32</f>
        <v>n/a</v>
      </c>
      <c r="H39" s="311">
        <f t="shared" si="24"/>
        <v>0</v>
      </c>
      <c r="I39" s="311">
        <f t="shared" si="25"/>
        <v>593.68480999999997</v>
      </c>
      <c r="J39" s="311">
        <f>'Capital IQ Sheet-GPC'!N32</f>
        <v>195.24600000000001</v>
      </c>
      <c r="K39" s="311">
        <f t="shared" si="26"/>
        <v>398.43880999999999</v>
      </c>
      <c r="M39" s="51">
        <f>IFERROR('Capital IQ Sheet-GPC'!AT32,"n/a")</f>
        <v>0</v>
      </c>
      <c r="N39" s="311">
        <f t="shared" si="3"/>
        <v>2.2506849315068491</v>
      </c>
      <c r="O39" s="176">
        <f t="shared" si="3"/>
        <v>2.5475753424657535E-2</v>
      </c>
      <c r="P39" s="177"/>
      <c r="Q39" s="178" t="str">
        <f>IFERROR(HLOOKUP($Q$6,'Equity Vol'!$B$8:$H32,ROWS('Equity Vol'!$C$8:$C32),FALSE),"n/a")</f>
        <v>NM</v>
      </c>
      <c r="R39" s="43"/>
      <c r="S39" s="179" t="str">
        <f t="shared" si="27"/>
        <v>n/a</v>
      </c>
      <c r="T39" s="179" t="str">
        <f t="shared" si="28"/>
        <v>n/a</v>
      </c>
      <c r="U39" s="180" t="str">
        <f t="shared" si="29"/>
        <v>n/a</v>
      </c>
      <c r="V39" s="180" t="str">
        <f t="shared" si="30"/>
        <v>n/a</v>
      </c>
      <c r="W39" s="180" t="str">
        <f t="shared" si="31"/>
        <v>n/a</v>
      </c>
      <c r="X39" s="81" t="str">
        <f t="shared" si="32"/>
        <v>n/a</v>
      </c>
      <c r="Y39" s="178" t="str">
        <f t="shared" si="33"/>
        <v>NM</v>
      </c>
      <c r="AA39" s="310">
        <v>1</v>
      </c>
      <c r="AB39" s="82" t="str">
        <f>IF('MASTER PubCo Inputs'!B47=0,"",'MASTER PubCo Inputs'!B47)</f>
        <v>NasdaqGS:ODT</v>
      </c>
      <c r="AC39" s="311">
        <f>'Capital IQ Sheet-GPC'!H32</f>
        <v>398.43880999999999</v>
      </c>
      <c r="AD39" s="83">
        <f t="shared" si="34"/>
        <v>0</v>
      </c>
      <c r="AJ39" s="84"/>
    </row>
    <row r="40" spans="2:36" ht="12.75" customHeight="1">
      <c r="B40" s="310" t="str">
        <f>Comp.1!B35</f>
        <v>Nightstar Therapeutics plc</v>
      </c>
      <c r="D40" s="311">
        <f>'Capital IQ Sheet-GPC'!J33</f>
        <v>462.47541999999999</v>
      </c>
      <c r="E40" s="311">
        <f>'Capital IQ Sheet-GPC'!K33</f>
        <v>0</v>
      </c>
      <c r="F40" s="311" t="str">
        <f>'Capital IQ Sheet-GPC'!L33</f>
        <v>n/a</v>
      </c>
      <c r="G40" s="311" t="str">
        <f>'Capital IQ Sheet-GPC'!M33</f>
        <v>n/a</v>
      </c>
      <c r="H40" s="311">
        <f t="shared" si="24"/>
        <v>0</v>
      </c>
      <c r="I40" s="311">
        <f t="shared" si="25"/>
        <v>462.47541999999999</v>
      </c>
      <c r="J40" s="311">
        <f>'Capital IQ Sheet-GPC'!N33</f>
        <v>122.277</v>
      </c>
      <c r="K40" s="311">
        <f t="shared" si="26"/>
        <v>340.19842</v>
      </c>
      <c r="M40" s="51">
        <f>IFERROR('Capital IQ Sheet-GPC'!AT33,"n/a")</f>
        <v>0</v>
      </c>
      <c r="N40" s="311">
        <f t="shared" si="3"/>
        <v>2.2506849315068491</v>
      </c>
      <c r="O40" s="176">
        <f t="shared" si="3"/>
        <v>2.5475753424657535E-2</v>
      </c>
      <c r="P40" s="177"/>
      <c r="Q40" s="178" t="str">
        <f>IFERROR(HLOOKUP($Q$6,'Equity Vol'!$B$8:$H33,ROWS('Equity Vol'!$C$8:$C33),FALSE),"n/a")</f>
        <v>NM</v>
      </c>
      <c r="R40" s="43"/>
      <c r="S40" s="179" t="str">
        <f t="shared" si="27"/>
        <v>n/a</v>
      </c>
      <c r="T40" s="179" t="str">
        <f t="shared" si="28"/>
        <v>n/a</v>
      </c>
      <c r="U40" s="180" t="str">
        <f t="shared" si="29"/>
        <v>n/a</v>
      </c>
      <c r="V40" s="180" t="str">
        <f t="shared" si="30"/>
        <v>n/a</v>
      </c>
      <c r="W40" s="180" t="str">
        <f t="shared" si="31"/>
        <v>n/a</v>
      </c>
      <c r="X40" s="81" t="str">
        <f t="shared" si="32"/>
        <v>n/a</v>
      </c>
      <c r="Y40" s="178" t="str">
        <f t="shared" si="33"/>
        <v>NM</v>
      </c>
      <c r="AA40" s="310">
        <v>1</v>
      </c>
      <c r="AB40" s="82" t="str">
        <f>IF('MASTER PubCo Inputs'!B48=0,"",'MASTER PubCo Inputs'!B48)</f>
        <v>NasdaqGS:NITE</v>
      </c>
      <c r="AC40" s="311">
        <f>'Capital IQ Sheet-GPC'!H33</f>
        <v>340.19842</v>
      </c>
      <c r="AD40" s="83">
        <f t="shared" si="34"/>
        <v>0</v>
      </c>
      <c r="AJ40" s="84"/>
    </row>
    <row r="41" spans="2:36" ht="12.75" customHeight="1">
      <c r="B41" s="310" t="str">
        <f>Comp.1!B36</f>
        <v>Zafgen, Inc.</v>
      </c>
      <c r="D41" s="311">
        <f>'Capital IQ Sheet-GPC'!J34</f>
        <v>363.76737000000003</v>
      </c>
      <c r="E41" s="311">
        <f>'Capital IQ Sheet-GPC'!K34</f>
        <v>20.16</v>
      </c>
      <c r="F41" s="311" t="str">
        <f>'Capital IQ Sheet-GPC'!L34</f>
        <v>n/a</v>
      </c>
      <c r="G41" s="311" t="str">
        <f>'Capital IQ Sheet-GPC'!M34</f>
        <v>n/a</v>
      </c>
      <c r="H41" s="311">
        <f t="shared" si="24"/>
        <v>20.16</v>
      </c>
      <c r="I41" s="311">
        <f t="shared" si="25"/>
        <v>383.92737000000005</v>
      </c>
      <c r="J41" s="311">
        <f>'Capital IQ Sheet-GPC'!N34</f>
        <v>89.07</v>
      </c>
      <c r="K41" s="311">
        <f t="shared" si="26"/>
        <v>294.85737000000006</v>
      </c>
      <c r="M41" s="51">
        <f>IFERROR('Capital IQ Sheet-GPC'!AT34,"n/a")</f>
        <v>0</v>
      </c>
      <c r="N41" s="311">
        <f t="shared" si="3"/>
        <v>2.2506849315068491</v>
      </c>
      <c r="O41" s="176">
        <f t="shared" si="3"/>
        <v>2.5475753424657535E-2</v>
      </c>
      <c r="P41" s="177"/>
      <c r="Q41" s="178">
        <f>IFERROR(HLOOKUP($Q$6,'Equity Vol'!$B$8:$H34,ROWS('Equity Vol'!$C$8:$C34),FALSE),"n/a")</f>
        <v>0.78226227350182032</v>
      </c>
      <c r="R41" s="43"/>
      <c r="S41" s="179">
        <f t="shared" si="27"/>
        <v>0.61193426454423672</v>
      </c>
      <c r="T41" s="179">
        <f t="shared" si="28"/>
        <v>2.9216484602174395</v>
      </c>
      <c r="U41" s="180">
        <f t="shared" si="29"/>
        <v>1.7480764648620462</v>
      </c>
      <c r="V41" s="180">
        <f t="shared" si="30"/>
        <v>0.99825907854734419</v>
      </c>
      <c r="W41" s="180">
        <f t="shared" si="31"/>
        <v>0.95977460614885945</v>
      </c>
      <c r="X41" s="81">
        <f t="shared" si="32"/>
        <v>276.07321753004732</v>
      </c>
      <c r="Y41" s="178">
        <f t="shared" si="33"/>
        <v>0.73370487829233777</v>
      </c>
      <c r="AA41" s="310">
        <v>1</v>
      </c>
      <c r="AB41" s="82" t="str">
        <f>IF('MASTER PubCo Inputs'!B49=0,"",'MASTER PubCo Inputs'!B49)</f>
        <v>NasdaqGS:ZFGN</v>
      </c>
      <c r="AC41" s="311">
        <f>'Capital IQ Sheet-GPC'!H34</f>
        <v>294.85737</v>
      </c>
      <c r="AD41" s="83">
        <f t="shared" si="34"/>
        <v>0</v>
      </c>
      <c r="AJ41" s="84"/>
    </row>
    <row r="42" spans="2:36" ht="12.75" customHeight="1">
      <c r="B42" s="310" t="str">
        <f>Comp.1!B37</f>
        <v>MediciNova, Inc.</v>
      </c>
      <c r="D42" s="311">
        <f>'Capital IQ Sheet-GPC'!J35</f>
        <v>327.38742000000002</v>
      </c>
      <c r="E42" s="311">
        <f>'Capital IQ Sheet-GPC'!K35</f>
        <v>0</v>
      </c>
      <c r="F42" s="311" t="str">
        <f>'Capital IQ Sheet-GPC'!L35</f>
        <v>n/a</v>
      </c>
      <c r="G42" s="311" t="str">
        <f>'Capital IQ Sheet-GPC'!M35</f>
        <v>n/a</v>
      </c>
      <c r="H42" s="311">
        <f t="shared" si="24"/>
        <v>0</v>
      </c>
      <c r="I42" s="311">
        <f t="shared" si="25"/>
        <v>327.38742000000002</v>
      </c>
      <c r="J42" s="311">
        <f>'Capital IQ Sheet-GPC'!N35</f>
        <v>62.9392</v>
      </c>
      <c r="K42" s="311">
        <f t="shared" si="26"/>
        <v>264.44821999999999</v>
      </c>
      <c r="M42" s="51">
        <f>IFERROR('Capital IQ Sheet-GPC'!AT35,"n/a")</f>
        <v>0</v>
      </c>
      <c r="N42" s="311">
        <f t="shared" si="3"/>
        <v>2.2506849315068491</v>
      </c>
      <c r="O42" s="176">
        <f t="shared" si="3"/>
        <v>2.5475753424657535E-2</v>
      </c>
      <c r="P42" s="177"/>
      <c r="Q42" s="178">
        <f>IFERROR(HLOOKUP($Q$6,'Equity Vol'!$B$8:$H35,ROWS('Equity Vol'!$C$8:$C35),FALSE),"n/a")</f>
        <v>0.51145301585206249</v>
      </c>
      <c r="R42" s="43"/>
      <c r="S42" s="179">
        <f t="shared" si="27"/>
        <v>0.26158418742417006</v>
      </c>
      <c r="T42" s="179">
        <f t="shared" si="28"/>
        <v>0</v>
      </c>
      <c r="U42" s="180">
        <f t="shared" si="29"/>
        <v>0</v>
      </c>
      <c r="V42" s="180">
        <f t="shared" si="30"/>
        <v>0</v>
      </c>
      <c r="W42" s="180">
        <f t="shared" si="31"/>
        <v>0</v>
      </c>
      <c r="X42" s="81">
        <f t="shared" si="32"/>
        <v>0</v>
      </c>
      <c r="Y42" s="178">
        <f t="shared" si="33"/>
        <v>0.51145301585206249</v>
      </c>
      <c r="AA42" s="310">
        <v>1</v>
      </c>
      <c r="AB42" s="82" t="str">
        <f>IF('MASTER PubCo Inputs'!B50=0,"",'MASTER PubCo Inputs'!B50)</f>
        <v>NasdaqGM:MNOV</v>
      </c>
      <c r="AC42" s="311">
        <f>'Capital IQ Sheet-GPC'!H35</f>
        <v>264.44821999999999</v>
      </c>
      <c r="AD42" s="83">
        <f t="shared" si="34"/>
        <v>0</v>
      </c>
      <c r="AJ42" s="84"/>
    </row>
    <row r="43" spans="2:36" ht="12.75" customHeight="1">
      <c r="B43" s="310" t="str">
        <f>Comp.1!B38</f>
        <v>AVEO Pharmaceuticals, Inc.</v>
      </c>
      <c r="D43" s="311">
        <f>'Capital IQ Sheet-GPC'!J36</f>
        <v>268.64048000000003</v>
      </c>
      <c r="E43" s="311">
        <f>'Capital IQ Sheet-GPC'!K36</f>
        <v>18.588000000000001</v>
      </c>
      <c r="F43" s="311" t="str">
        <f>'Capital IQ Sheet-GPC'!L36</f>
        <v>n/a</v>
      </c>
      <c r="G43" s="311" t="str">
        <f>'Capital IQ Sheet-GPC'!M36</f>
        <v>n/a</v>
      </c>
      <c r="H43" s="311">
        <f t="shared" si="24"/>
        <v>18.588000000000001</v>
      </c>
      <c r="I43" s="311">
        <f t="shared" si="25"/>
        <v>287.22848000000005</v>
      </c>
      <c r="J43" s="311">
        <f>'Capital IQ Sheet-GPC'!N36</f>
        <v>26.995000000000001</v>
      </c>
      <c r="K43" s="311">
        <f t="shared" si="26"/>
        <v>260.23348000000004</v>
      </c>
      <c r="M43" s="51">
        <f>IFERROR('Capital IQ Sheet-GPC'!AT36,"n/a")</f>
        <v>0</v>
      </c>
      <c r="N43" s="311">
        <f t="shared" si="3"/>
        <v>2.2506849315068491</v>
      </c>
      <c r="O43" s="176">
        <f t="shared" si="3"/>
        <v>2.5475753424657535E-2</v>
      </c>
      <c r="P43" s="177"/>
      <c r="Q43" s="178">
        <f>IFERROR(HLOOKUP($Q$6,'Equity Vol'!$B$8:$H36,ROWS('Equity Vol'!$C$8:$C36),FALSE),"n/a")</f>
        <v>0.80569706584351064</v>
      </c>
      <c r="R43" s="43"/>
      <c r="S43" s="179">
        <f t="shared" si="27"/>
        <v>0.64914776190884227</v>
      </c>
      <c r="T43" s="179">
        <f t="shared" si="28"/>
        <v>2.8351375209940164</v>
      </c>
      <c r="U43" s="180">
        <f t="shared" si="29"/>
        <v>1.626407987124</v>
      </c>
      <c r="V43" s="180">
        <f t="shared" si="30"/>
        <v>0.99770970184402685</v>
      </c>
      <c r="W43" s="180">
        <f t="shared" si="31"/>
        <v>0.94806855357225484</v>
      </c>
      <c r="X43" s="81">
        <f t="shared" si="32"/>
        <v>242.99679520428464</v>
      </c>
      <c r="Y43" s="178">
        <f t="shared" si="33"/>
        <v>0.75405836688041505</v>
      </c>
      <c r="AA43" s="310">
        <v>1</v>
      </c>
      <c r="AB43" s="82" t="str">
        <f>IF('MASTER PubCo Inputs'!B51=0,"",'MASTER PubCo Inputs'!B51)</f>
        <v>NasdaqCM:AVEO</v>
      </c>
      <c r="AC43" s="311">
        <f>'Capital IQ Sheet-GPC'!H36</f>
        <v>260.23347999999999</v>
      </c>
      <c r="AD43" s="83">
        <f t="shared" si="34"/>
        <v>0</v>
      </c>
      <c r="AJ43" s="84"/>
    </row>
    <row r="44" spans="2:36" ht="12.75" customHeight="1">
      <c r="B44" s="310" t="str">
        <f>Comp.1!B39</f>
        <v>BioTime, Inc.</v>
      </c>
      <c r="D44" s="311">
        <f>'Capital IQ Sheet-GPC'!J37</f>
        <v>261.35887000000002</v>
      </c>
      <c r="E44" s="311">
        <f>'Capital IQ Sheet-GPC'!K37</f>
        <v>1.4319999999999999</v>
      </c>
      <c r="F44" s="311" t="str">
        <f>'Capital IQ Sheet-GPC'!L37</f>
        <v>n/a</v>
      </c>
      <c r="G44" s="311">
        <f>'Capital IQ Sheet-GPC'!M37</f>
        <v>2.4870000000000001</v>
      </c>
      <c r="H44" s="311">
        <f t="shared" si="24"/>
        <v>3.919</v>
      </c>
      <c r="I44" s="311">
        <f t="shared" si="25"/>
        <v>265.27787000000006</v>
      </c>
      <c r="J44" s="311">
        <f>'Capital IQ Sheet-GPC'!N37</f>
        <v>31.379000000000001</v>
      </c>
      <c r="K44" s="311">
        <f t="shared" si="26"/>
        <v>233.89887000000007</v>
      </c>
      <c r="M44" s="51">
        <f>IFERROR('Capital IQ Sheet-GPC'!AT37,"n/a")</f>
        <v>0</v>
      </c>
      <c r="N44" s="311">
        <f t="shared" si="3"/>
        <v>2.2506849315068491</v>
      </c>
      <c r="O44" s="176">
        <f t="shared" si="3"/>
        <v>2.5475753424657535E-2</v>
      </c>
      <c r="P44" s="177"/>
      <c r="Q44" s="178">
        <f>IFERROR(HLOOKUP($Q$6,'Equity Vol'!$B$8:$H37,ROWS('Equity Vol'!$C$8:$C37),FALSE),"n/a")</f>
        <v>0.49807450607799941</v>
      </c>
      <c r="R44" s="43"/>
      <c r="S44" s="179">
        <f t="shared" si="27"/>
        <v>0.24807821360484308</v>
      </c>
      <c r="T44" s="179">
        <f t="shared" si="28"/>
        <v>5.9226610533710247</v>
      </c>
      <c r="U44" s="180">
        <f t="shared" si="29"/>
        <v>5.1754355872662101</v>
      </c>
      <c r="V44" s="180">
        <f t="shared" si="30"/>
        <v>0.99999999841613341</v>
      </c>
      <c r="W44" s="180">
        <f t="shared" si="31"/>
        <v>0.99999988631006609</v>
      </c>
      <c r="X44" s="81">
        <f t="shared" si="32"/>
        <v>230.1982565200982</v>
      </c>
      <c r="Y44" s="178">
        <f t="shared" si="33"/>
        <v>0.49019425830430097</v>
      </c>
      <c r="AA44" s="310">
        <v>1</v>
      </c>
      <c r="AB44" s="82" t="str">
        <f>IF('MASTER PubCo Inputs'!B52=0,"",'MASTER PubCo Inputs'!B52)</f>
        <v>AMEX:BTX</v>
      </c>
      <c r="AC44" s="311">
        <f>'Capital IQ Sheet-GPC'!H37</f>
        <v>233.89886999999999</v>
      </c>
      <c r="AD44" s="83">
        <f t="shared" si="34"/>
        <v>0</v>
      </c>
      <c r="AJ44" s="84"/>
    </row>
    <row r="45" spans="2:36" ht="12.75" customHeight="1">
      <c r="B45" s="310" t="str">
        <f>Comp.1!B40</f>
        <v>Cytokinetics, Incorporated</v>
      </c>
      <c r="D45" s="311">
        <f>'Capital IQ Sheet-GPC'!J38</f>
        <v>449.83963</v>
      </c>
      <c r="E45" s="311">
        <f>'Capital IQ Sheet-GPC'!K38</f>
        <v>31.954000000000001</v>
      </c>
      <c r="F45" s="311" t="str">
        <f>'Capital IQ Sheet-GPC'!L38</f>
        <v>n/a</v>
      </c>
      <c r="G45" s="311" t="str">
        <f>'Capital IQ Sheet-GPC'!M38</f>
        <v>n/a</v>
      </c>
      <c r="H45" s="311">
        <f t="shared" si="24"/>
        <v>31.954000000000001</v>
      </c>
      <c r="I45" s="311">
        <f t="shared" si="25"/>
        <v>481.79363000000001</v>
      </c>
      <c r="J45" s="311">
        <f>'Capital IQ Sheet-GPC'!N38</f>
        <v>251.45400000000001</v>
      </c>
      <c r="K45" s="311">
        <f t="shared" si="26"/>
        <v>230.33963</v>
      </c>
      <c r="M45" s="51">
        <f>IFERROR('Capital IQ Sheet-GPC'!AT38,"n/a")</f>
        <v>0</v>
      </c>
      <c r="N45" s="311">
        <f t="shared" si="3"/>
        <v>2.2506849315068491</v>
      </c>
      <c r="O45" s="176">
        <f t="shared" si="3"/>
        <v>2.5475753424657535E-2</v>
      </c>
      <c r="P45" s="177"/>
      <c r="Q45" s="178">
        <f>IFERROR(HLOOKUP($Q$6,'Equity Vol'!$B$8:$H38,ROWS('Equity Vol'!$C$8:$C38),FALSE),"n/a")</f>
        <v>0.57025368499276863</v>
      </c>
      <c r="R45" s="43"/>
      <c r="S45" s="179">
        <f t="shared" si="27"/>
        <v>0.32518926524783182</v>
      </c>
      <c r="T45" s="179">
        <f t="shared" si="28"/>
        <v>2.8036407402553758</v>
      </c>
      <c r="U45" s="180">
        <f t="shared" si="29"/>
        <v>1.9481300277677538</v>
      </c>
      <c r="V45" s="180">
        <f t="shared" si="30"/>
        <v>0.99747354132054666</v>
      </c>
      <c r="W45" s="180">
        <f t="shared" si="31"/>
        <v>0.97430029666998597</v>
      </c>
      <c r="X45" s="81">
        <f t="shared" si="32"/>
        <v>200.35977112695167</v>
      </c>
      <c r="Y45" s="178">
        <f t="shared" si="33"/>
        <v>0.49728868521669223</v>
      </c>
      <c r="AA45" s="310">
        <v>1</v>
      </c>
      <c r="AB45" s="82" t="str">
        <f>IF('MASTER PubCo Inputs'!B53=0,"",'MASTER PubCo Inputs'!B53)</f>
        <v>NasdaqGS:CYTK</v>
      </c>
      <c r="AC45" s="311">
        <f>'Capital IQ Sheet-GPC'!H38</f>
        <v>230.33963</v>
      </c>
      <c r="AD45" s="83">
        <f t="shared" si="34"/>
        <v>0</v>
      </c>
      <c r="AJ45" s="84"/>
    </row>
    <row r="46" spans="2:36" ht="12.75" customHeight="1">
      <c r="B46" s="310" t="str">
        <f>Comp.1!B41</f>
        <v>Emisphere Technologies, Inc.</v>
      </c>
      <c r="D46" s="311">
        <f>'Capital IQ Sheet-GPC'!J39</f>
        <v>146.04595</v>
      </c>
      <c r="E46" s="311">
        <f>'Capital IQ Sheet-GPC'!K39</f>
        <v>68.088999999999999</v>
      </c>
      <c r="F46" s="311" t="str">
        <f>'Capital IQ Sheet-GPC'!L39</f>
        <v>n/a</v>
      </c>
      <c r="G46" s="311" t="str">
        <f>'Capital IQ Sheet-GPC'!M39</f>
        <v>n/a</v>
      </c>
      <c r="H46" s="311">
        <f t="shared" si="24"/>
        <v>68.088999999999999</v>
      </c>
      <c r="I46" s="311">
        <f t="shared" si="25"/>
        <v>214.13495</v>
      </c>
      <c r="J46" s="311">
        <f>'Capital IQ Sheet-GPC'!N39</f>
        <v>4.6390000000000002</v>
      </c>
      <c r="K46" s="311">
        <f t="shared" si="26"/>
        <v>209.49594999999999</v>
      </c>
      <c r="M46" s="51">
        <f>IFERROR('Capital IQ Sheet-GPC'!AT39,"n/a")</f>
        <v>0</v>
      </c>
      <c r="N46" s="311">
        <f t="shared" si="3"/>
        <v>2.2506849315068491</v>
      </c>
      <c r="O46" s="176">
        <f t="shared" si="3"/>
        <v>2.5475753424657535E-2</v>
      </c>
      <c r="P46" s="177"/>
      <c r="Q46" s="178">
        <f>IFERROR(HLOOKUP($Q$6,'Equity Vol'!$B$8:$H39,ROWS('Equity Vol'!$C$8:$C39),FALSE),"n/a")</f>
        <v>1.0359651399937104</v>
      </c>
      <c r="R46" s="43"/>
      <c r="S46" s="179">
        <f t="shared" si="27"/>
        <v>1.0732237712821879</v>
      </c>
      <c r="T46" s="179">
        <f t="shared" si="28"/>
        <v>1.537122107431637</v>
      </c>
      <c r="U46" s="180">
        <f t="shared" si="29"/>
        <v>-1.7062106282996536E-2</v>
      </c>
      <c r="V46" s="180">
        <f t="shared" si="30"/>
        <v>0.93786829491132029</v>
      </c>
      <c r="W46" s="180">
        <f t="shared" si="31"/>
        <v>0.49319353465717242</v>
      </c>
      <c r="X46" s="81">
        <f t="shared" si="32"/>
        <v>164.76986077213974</v>
      </c>
      <c r="Y46" s="178">
        <f t="shared" si="33"/>
        <v>0.8687712296851734</v>
      </c>
      <c r="AA46" s="310">
        <v>1</v>
      </c>
      <c r="AB46" s="82" t="str">
        <f>IF('MASTER PubCo Inputs'!B54=0,"",'MASTER PubCo Inputs'!B54)</f>
        <v>OTCPK:EMIS</v>
      </c>
      <c r="AC46" s="311">
        <f>'Capital IQ Sheet-GPC'!H39</f>
        <v>209.49594999999999</v>
      </c>
      <c r="AD46" s="83">
        <f t="shared" si="34"/>
        <v>0</v>
      </c>
      <c r="AJ46" s="84"/>
    </row>
    <row r="47" spans="2:36" ht="12.75" customHeight="1">
      <c r="B47" s="310" t="str">
        <f>Comp.1!B42</f>
        <v>CohBar, Inc.</v>
      </c>
      <c r="D47" s="311">
        <f>'Capital IQ Sheet-GPC'!J40</f>
        <v>199.81565000000001</v>
      </c>
      <c r="E47" s="311">
        <f>'Capital IQ Sheet-GPC'!K40</f>
        <v>1.40126</v>
      </c>
      <c r="F47" s="311" t="str">
        <f>'Capital IQ Sheet-GPC'!L40</f>
        <v>n/a</v>
      </c>
      <c r="G47" s="311" t="str">
        <f>'Capital IQ Sheet-GPC'!M40</f>
        <v>n/a</v>
      </c>
      <c r="H47" s="311">
        <f t="shared" ref="H47:H53" si="35">SUM(E47:G47)</f>
        <v>1.40126</v>
      </c>
      <c r="I47" s="311">
        <f t="shared" ref="I47:I53" si="36">SUM(D47:G47)</f>
        <v>201.21691000000001</v>
      </c>
      <c r="J47" s="311">
        <f>'Capital IQ Sheet-GPC'!N40</f>
        <v>8.4566599999999994</v>
      </c>
      <c r="K47" s="311">
        <f t="shared" ref="K47:K53" si="37">I47-J47</f>
        <v>192.76025000000001</v>
      </c>
      <c r="M47" s="51">
        <f>IFERROR('Capital IQ Sheet-GPC'!AT40,"n/a")</f>
        <v>0</v>
      </c>
      <c r="N47" s="311">
        <f t="shared" si="3"/>
        <v>2.2506849315068491</v>
      </c>
      <c r="O47" s="176">
        <f t="shared" si="3"/>
        <v>2.5475753424657535E-2</v>
      </c>
      <c r="P47" s="177"/>
      <c r="Q47" s="178">
        <f>IFERROR(HLOOKUP($Q$6,'Equity Vol'!$B$8:$H40,ROWS('Equity Vol'!$C$8:$C40),FALSE),"n/a")</f>
        <v>0.93438496407054028</v>
      </c>
      <c r="R47" s="43"/>
      <c r="S47" s="179">
        <f t="shared" si="27"/>
        <v>0.87307526108110489</v>
      </c>
      <c r="T47" s="179">
        <f t="shared" si="28"/>
        <v>4.2545022334610163</v>
      </c>
      <c r="U47" s="180">
        <f t="shared" si="29"/>
        <v>2.8527114736874148</v>
      </c>
      <c r="V47" s="180">
        <f t="shared" si="30"/>
        <v>0.99998952427156773</v>
      </c>
      <c r="W47" s="180">
        <f t="shared" si="31"/>
        <v>0.99783260202943824</v>
      </c>
      <c r="X47" s="81">
        <f t="shared" si="32"/>
        <v>191.43792382533064</v>
      </c>
      <c r="Y47" s="178">
        <f t="shared" si="33"/>
        <v>0.92798484884106991</v>
      </c>
      <c r="AA47" s="310">
        <v>1</v>
      </c>
      <c r="AB47" s="82" t="str">
        <f>IF('MASTER PubCo Inputs'!B55=0,"",'MASTER PubCo Inputs'!B55)</f>
        <v>TSXV:COB.U</v>
      </c>
      <c r="AC47" s="311">
        <f>'Capital IQ Sheet-GPC'!H40</f>
        <v>204.76295999999999</v>
      </c>
      <c r="AD47" s="83">
        <f t="shared" ref="AD47:AD53" si="38">K47-AC47</f>
        <v>-12.002709999999979</v>
      </c>
      <c r="AJ47" s="84"/>
    </row>
    <row r="48" spans="2:36" ht="12.75" customHeight="1">
      <c r="B48" s="310" t="str">
        <f>Comp.1!B43</f>
        <v>vTv Therapeutics Inc.</v>
      </c>
      <c r="D48" s="311">
        <f>'Capital IQ Sheet-GPC'!J41</f>
        <v>16.74211</v>
      </c>
      <c r="E48" s="311">
        <f>'Capital IQ Sheet-GPC'!K41</f>
        <v>19.861999999999998</v>
      </c>
      <c r="F48" s="311" t="str">
        <f>'Capital IQ Sheet-GPC'!L41</f>
        <v>n/a</v>
      </c>
      <c r="G48" s="311">
        <f>'Capital IQ Sheet-GPC'!M41</f>
        <v>120.39700000000001</v>
      </c>
      <c r="H48" s="311">
        <f t="shared" si="35"/>
        <v>140.25900000000001</v>
      </c>
      <c r="I48" s="311">
        <f t="shared" si="36"/>
        <v>157.00111000000001</v>
      </c>
      <c r="J48" s="311">
        <f>'Capital IQ Sheet-GPC'!N41</f>
        <v>6.5350000000000001</v>
      </c>
      <c r="K48" s="311">
        <f t="shared" si="37"/>
        <v>150.46611000000001</v>
      </c>
      <c r="M48" s="51">
        <f>IFERROR('Capital IQ Sheet-GPC'!AT41,"n/a")</f>
        <v>0</v>
      </c>
      <c r="N48" s="311">
        <f t="shared" ref="N48:O53" si="39">N$6</f>
        <v>2.2506849315068491</v>
      </c>
      <c r="O48" s="176">
        <f t="shared" si="39"/>
        <v>2.5475753424657535E-2</v>
      </c>
      <c r="P48" s="177"/>
      <c r="Q48" s="178" t="str">
        <f>IFERROR(HLOOKUP($Q$6,'Equity Vol'!$B$8:$H41,ROWS('Equity Vol'!$C$8:$C41),FALSE),"n/a")</f>
        <v>NM</v>
      </c>
      <c r="R48" s="43"/>
      <c r="S48" s="179" t="str">
        <f t="shared" si="27"/>
        <v>n/a</v>
      </c>
      <c r="T48" s="179" t="str">
        <f t="shared" si="28"/>
        <v>n/a</v>
      </c>
      <c r="U48" s="180" t="str">
        <f t="shared" si="29"/>
        <v>n/a</v>
      </c>
      <c r="V48" s="180" t="str">
        <f t="shared" si="30"/>
        <v>n/a</v>
      </c>
      <c r="W48" s="180" t="str">
        <f t="shared" si="31"/>
        <v>n/a</v>
      </c>
      <c r="X48" s="81" t="str">
        <f t="shared" si="32"/>
        <v>n/a</v>
      </c>
      <c r="Y48" s="178" t="str">
        <f t="shared" si="33"/>
        <v>n/a</v>
      </c>
      <c r="AA48" s="310">
        <v>1</v>
      </c>
      <c r="AB48" s="82" t="str">
        <f>IF('MASTER PubCo Inputs'!B56=0,"",'MASTER PubCo Inputs'!B56)</f>
        <v>NasdaqGM:VTVT</v>
      </c>
      <c r="AC48" s="311">
        <f>'Capital IQ Sheet-GPC'!H41</f>
        <v>148.21010999999999</v>
      </c>
      <c r="AD48" s="83">
        <f t="shared" si="38"/>
        <v>2.2560000000000286</v>
      </c>
      <c r="AJ48" s="84"/>
    </row>
    <row r="49" spans="2:36" ht="12.75" customHeight="1">
      <c r="B49" s="310" t="str">
        <f>Comp.1!B44</f>
        <v>Rezolute, Inc.</v>
      </c>
      <c r="D49" s="311">
        <f>'Capital IQ Sheet-GPC'!J42</f>
        <v>29.46659</v>
      </c>
      <c r="E49" s="311">
        <f>'Capital IQ Sheet-GPC'!K42</f>
        <v>0.92469999999999997</v>
      </c>
      <c r="F49" s="311" t="str">
        <f>'Capital IQ Sheet-GPC'!L42</f>
        <v>n/a</v>
      </c>
      <c r="G49" s="311" t="str">
        <f>'Capital IQ Sheet-GPC'!M42</f>
        <v>n/a</v>
      </c>
      <c r="H49" s="311">
        <f t="shared" si="35"/>
        <v>0.92469999999999997</v>
      </c>
      <c r="I49" s="311">
        <f t="shared" si="36"/>
        <v>30.391290000000001</v>
      </c>
      <c r="J49" s="311">
        <f>'Capital IQ Sheet-GPC'!N42</f>
        <v>7.8119999999999995E-2</v>
      </c>
      <c r="K49" s="311">
        <f t="shared" si="37"/>
        <v>30.313170000000003</v>
      </c>
      <c r="M49" s="51">
        <f>IFERROR('Capital IQ Sheet-GPC'!AT42,"n/a")</f>
        <v>0</v>
      </c>
      <c r="N49" s="311">
        <f t="shared" si="39"/>
        <v>2.2506849315068491</v>
      </c>
      <c r="O49" s="176">
        <f t="shared" si="39"/>
        <v>2.5475753424657535E-2</v>
      </c>
      <c r="P49" s="177"/>
      <c r="Q49" s="178">
        <f>IFERROR(HLOOKUP($Q$6,'Equity Vol'!$B$8:$H42,ROWS('Equity Vol'!$C$8:$C42),FALSE),"n/a")</f>
        <v>1.1830252022901278</v>
      </c>
      <c r="R49" s="43"/>
      <c r="S49" s="179">
        <f t="shared" si="27"/>
        <v>1.3995486292535977</v>
      </c>
      <c r="T49" s="179">
        <f t="shared" si="28"/>
        <v>2.8860462292936497</v>
      </c>
      <c r="U49" s="180">
        <f t="shared" si="29"/>
        <v>1.1112383493325149</v>
      </c>
      <c r="V49" s="180">
        <f t="shared" si="30"/>
        <v>0.99804942575017297</v>
      </c>
      <c r="W49" s="180">
        <f t="shared" si="31"/>
        <v>0.8667671158680248</v>
      </c>
      <c r="X49" s="81">
        <f t="shared" si="32"/>
        <v>29.497205961509827</v>
      </c>
      <c r="Y49" s="178">
        <f t="shared" si="33"/>
        <v>1.1534306110922632</v>
      </c>
      <c r="AA49" s="310">
        <v>1</v>
      </c>
      <c r="AB49" s="82" t="str">
        <f>IF('MASTER PubCo Inputs'!B57=0,"",'MASTER PubCo Inputs'!B57)</f>
        <v>OTCPK:RZLT</v>
      </c>
      <c r="AC49" s="311">
        <f>'Capital IQ Sheet-GPC'!H42</f>
        <v>28.82142</v>
      </c>
      <c r="AD49" s="83">
        <f t="shared" si="38"/>
        <v>1.4917500000000032</v>
      </c>
      <c r="AJ49" s="84"/>
    </row>
    <row r="50" spans="2:36" ht="12.75" customHeight="1">
      <c r="B50" s="310" t="str">
        <f>Comp.1!B45</f>
        <v>Boston Therapeutics, Inc.</v>
      </c>
      <c r="D50" s="311">
        <f>'Capital IQ Sheet-GPC'!J44</f>
        <v>8.1007300000000004</v>
      </c>
      <c r="E50" s="311">
        <f>'Capital IQ Sheet-GPC'!K44</f>
        <v>1.99634</v>
      </c>
      <c r="F50" s="311">
        <f>'Capital IQ Sheet-GPC'!L44</f>
        <v>8.0000000000000007E-5</v>
      </c>
      <c r="G50" s="311" t="str">
        <f>'Capital IQ Sheet-GPC'!M44</f>
        <v>n/a</v>
      </c>
      <c r="H50" s="311">
        <f t="shared" si="35"/>
        <v>1.9964200000000001</v>
      </c>
      <c r="I50" s="311">
        <f t="shared" si="36"/>
        <v>10.097150000000001</v>
      </c>
      <c r="J50" s="311">
        <f>'Capital IQ Sheet-GPC'!N44</f>
        <v>0.20532</v>
      </c>
      <c r="K50" s="311">
        <f t="shared" si="37"/>
        <v>9.8918300000000006</v>
      </c>
      <c r="M50" s="51">
        <f>IFERROR('Capital IQ Sheet-GPC'!AT44,"n/a")</f>
        <v>0</v>
      </c>
      <c r="N50" s="311">
        <f t="shared" si="39"/>
        <v>2.2506849315068491</v>
      </c>
      <c r="O50" s="176">
        <f t="shared" si="39"/>
        <v>2.5475753424657535E-2</v>
      </c>
      <c r="P50" s="177"/>
      <c r="Q50" s="178" t="str">
        <f>IFERROR(HLOOKUP($Q$6,'Equity Vol'!$B$8:$H43,ROWS('Equity Vol'!$C$8:$C43),FALSE),"n/a")</f>
        <v>NM</v>
      </c>
      <c r="R50" s="43"/>
      <c r="S50" s="179" t="str">
        <f t="shared" si="27"/>
        <v>n/a</v>
      </c>
      <c r="T50" s="179" t="str">
        <f t="shared" si="28"/>
        <v>n/a</v>
      </c>
      <c r="U50" s="180" t="str">
        <f t="shared" si="29"/>
        <v>n/a</v>
      </c>
      <c r="V50" s="180" t="str">
        <f t="shared" si="30"/>
        <v>n/a</v>
      </c>
      <c r="W50" s="180" t="str">
        <f t="shared" si="31"/>
        <v>n/a</v>
      </c>
      <c r="X50" s="81" t="str">
        <f t="shared" si="32"/>
        <v>n/a</v>
      </c>
      <c r="Y50" s="178" t="str">
        <f t="shared" si="33"/>
        <v>n/a</v>
      </c>
      <c r="AA50" s="310">
        <v>1</v>
      </c>
      <c r="AB50" s="82" t="str">
        <f>IF('MASTER PubCo Inputs'!B58=0,"",'MASTER PubCo Inputs'!B58)</f>
        <v>OTCPK:BTHE</v>
      </c>
      <c r="AC50" s="311">
        <f>'Capital IQ Sheet-GPC'!H44</f>
        <v>9.8918400000000002</v>
      </c>
      <c r="AD50" s="83">
        <f t="shared" si="38"/>
        <v>-9.9999999996214228E-6</v>
      </c>
      <c r="AJ50" s="84"/>
    </row>
    <row r="51" spans="2:36" ht="12.75" customHeight="1">
      <c r="B51" s="310" t="str">
        <f>Comp.1!B46</f>
        <v>Neuralstem, Inc.</v>
      </c>
      <c r="D51" s="311">
        <f>'Capital IQ Sheet-GPC'!J45</f>
        <v>16.82762</v>
      </c>
      <c r="E51" s="311">
        <f>'Capital IQ Sheet-GPC'!K45</f>
        <v>0</v>
      </c>
      <c r="F51" s="311">
        <f>'Capital IQ Sheet-GPC'!L45</f>
        <v>0.01</v>
      </c>
      <c r="G51" s="311" t="str">
        <f>'Capital IQ Sheet-GPC'!M45</f>
        <v>n/a</v>
      </c>
      <c r="H51" s="311">
        <f t="shared" si="35"/>
        <v>0.01</v>
      </c>
      <c r="I51" s="311">
        <f t="shared" si="36"/>
        <v>16.837620000000001</v>
      </c>
      <c r="J51" s="311">
        <f>'Capital IQ Sheet-GPC'!N45</f>
        <v>9.7242499999999996</v>
      </c>
      <c r="K51" s="311">
        <f t="shared" si="37"/>
        <v>7.1133700000000015</v>
      </c>
      <c r="M51" s="51">
        <f>IFERROR('Capital IQ Sheet-GPC'!AT45,"n/a")</f>
        <v>0</v>
      </c>
      <c r="N51" s="311">
        <f t="shared" si="39"/>
        <v>2.2506849315068491</v>
      </c>
      <c r="O51" s="176">
        <f t="shared" si="39"/>
        <v>2.5475753424657535E-2</v>
      </c>
      <c r="P51" s="177"/>
      <c r="Q51" s="178" t="str">
        <f>IFERROR(HLOOKUP($Q$6,'Equity Vol'!$B$8:$H44,ROWS('Equity Vol'!$C$8:$C44),FALSE),"n/a")</f>
        <v>NM</v>
      </c>
      <c r="R51" s="43"/>
      <c r="S51" s="179" t="str">
        <f>IFERROR(IF(Q51="n/a","n/a",Q51^2),"n/a")</f>
        <v>n/a</v>
      </c>
      <c r="T51" s="179" t="str">
        <f>IF(OR(K51="n/a",S51="n/a"),"n/a",IF(H51=0,0,IF(M51=0,(LN(K51/H51)+((O51+(S51/2))*N51))/((S51*N51)^0.5),(LN(K51/H51)+((O51-M51+(S51/2))*N51))/((S51*N51)^0.5))))</f>
        <v>n/a</v>
      </c>
      <c r="U51" s="180" t="str">
        <f>IF(T51="n/a","n/a",IF(H51=0,0,T51-(S51*N51)^0.5))</f>
        <v>n/a</v>
      </c>
      <c r="V51" s="180" t="str">
        <f>IF(OR(T51="n/a",S51="n/a"),"n/a",IF(H51=0,0,NORMSDIST(T51)))</f>
        <v>n/a</v>
      </c>
      <c r="W51" s="180" t="str">
        <f>IF(OR(U51="n/a",S51="n/a"),"n/a",IF(H51=0,0,NORMSDIST(U51)))</f>
        <v>n/a</v>
      </c>
      <c r="X51" s="81" t="str">
        <f>IF(OR(K51="n/a",S51="n/a"),"n/a",IF(M51=0,(K51*V51)-((H51*EXP(1)^(-O51*N51))*W51),(K51*(2.718^(-M51*N51))*V51)-(H51*(2.718^(-O51*N51))*W51)))</f>
        <v>n/a</v>
      </c>
      <c r="Y51" s="178" t="str">
        <f>IFERROR(IF(LEN(B51)&gt;0,IF(H51=0,Q51,IF(ISERROR(Q51/((K51/X51)*V51)),"n/a",Q51/((K51/X51)*V51)))),"n/a")</f>
        <v>n/a</v>
      </c>
      <c r="AA51" s="310">
        <v>1</v>
      </c>
      <c r="AB51" s="82" t="str">
        <f>IF('MASTER PubCo Inputs'!B59=0,"",'MASTER PubCo Inputs'!B59)</f>
        <v>NasdaqCM:CUR</v>
      </c>
      <c r="AC51" s="311">
        <f>'Capital IQ Sheet-GPC'!H45</f>
        <v>7.1133699999999997</v>
      </c>
      <c r="AD51" s="83">
        <f t="shared" si="38"/>
        <v>0</v>
      </c>
      <c r="AJ51" s="84"/>
    </row>
    <row r="52" spans="2:36" ht="12.75" customHeight="1">
      <c r="B52" s="310" t="str">
        <f>Comp.1!B47</f>
        <v>Nexus BioPharma, Inc.</v>
      </c>
      <c r="D52" s="311">
        <f>'Capital IQ Sheet-GPC'!J46</f>
        <v>3.8515700000000002</v>
      </c>
      <c r="E52" s="311">
        <f>'Capital IQ Sheet-GPC'!K46</f>
        <v>0.36752000000000001</v>
      </c>
      <c r="F52" s="311" t="str">
        <f>'Capital IQ Sheet-GPC'!L46</f>
        <v>n/a</v>
      </c>
      <c r="G52" s="311" t="str">
        <f>'Capital IQ Sheet-GPC'!M46</f>
        <v>n/a</v>
      </c>
      <c r="H52" s="311">
        <f t="shared" si="35"/>
        <v>0.36752000000000001</v>
      </c>
      <c r="I52" s="311">
        <f t="shared" si="36"/>
        <v>4.2190900000000005</v>
      </c>
      <c r="J52" s="311">
        <f>'Capital IQ Sheet-GPC'!N46</f>
        <v>8.43E-3</v>
      </c>
      <c r="K52" s="311">
        <f t="shared" si="37"/>
        <v>4.2106600000000007</v>
      </c>
      <c r="M52" s="51">
        <f>IFERROR('Capital IQ Sheet-GPC'!AT46,"n/a")</f>
        <v>0</v>
      </c>
      <c r="N52" s="311">
        <f t="shared" si="39"/>
        <v>2.2506849315068491</v>
      </c>
      <c r="O52" s="176">
        <f t="shared" si="39"/>
        <v>2.5475753424657535E-2</v>
      </c>
      <c r="P52" s="177"/>
      <c r="Q52" s="178" t="str">
        <f>IFERROR(HLOOKUP($Q$6,'Equity Vol'!$B$8:$H45,ROWS('Equity Vol'!$C$8:$C45),FALSE),"n/a")</f>
        <v>NM</v>
      </c>
      <c r="R52" s="43"/>
      <c r="S52" s="179" t="str">
        <f>IFERROR(IF(Q52="n/a","n/a",Q52^2),"n/a")</f>
        <v>n/a</v>
      </c>
      <c r="T52" s="179" t="str">
        <f>IF(OR(K52="n/a",S52="n/a"),"n/a",IF(H52=0,0,IF(M52=0,(LN(K52/H52)+((O52+(S52/2))*N52))/((S52*N52)^0.5),(LN(K52/H52)+((O52-M52+(S52/2))*N52))/((S52*N52)^0.5))))</f>
        <v>n/a</v>
      </c>
      <c r="U52" s="180" t="str">
        <f>IF(T52="n/a","n/a",IF(H52=0,0,T52-(S52*N52)^0.5))</f>
        <v>n/a</v>
      </c>
      <c r="V52" s="180" t="str">
        <f>IF(OR(T52="n/a",S52="n/a"),"n/a",IF(H52=0,0,NORMSDIST(T52)))</f>
        <v>n/a</v>
      </c>
      <c r="W52" s="180" t="str">
        <f>IF(OR(U52="n/a",S52="n/a"),"n/a",IF(H52=0,0,NORMSDIST(U52)))</f>
        <v>n/a</v>
      </c>
      <c r="X52" s="81" t="str">
        <f>IF(OR(K52="n/a",S52="n/a"),"n/a",IF(M52=0,(K52*V52)-((H52*EXP(1)^(-O52*N52))*W52),(K52*(2.718^(-M52*N52))*V52)-(H52*(2.718^(-O52*N52))*W52)))</f>
        <v>n/a</v>
      </c>
      <c r="Y52" s="178" t="str">
        <f>IFERROR(IF(LEN(B52)&gt;0,IF(H52=0,Q52,IF(ISERROR(Q52/((K52/X52)*V52)),"n/a",Q52/((K52/X52)*V52)))),"n/a")</f>
        <v>n/a</v>
      </c>
      <c r="AA52" s="310">
        <v>1</v>
      </c>
      <c r="AB52" s="82" t="str">
        <f>IF('MASTER PubCo Inputs'!B60=0,"",'MASTER PubCo Inputs'!B60)</f>
        <v>OTCPK:NEXS</v>
      </c>
      <c r="AC52" s="311">
        <f>'Capital IQ Sheet-GPC'!H46</f>
        <v>4.2106599999999998</v>
      </c>
      <c r="AD52" s="83">
        <f t="shared" si="38"/>
        <v>0</v>
      </c>
      <c r="AJ52" s="84"/>
    </row>
    <row r="53" spans="2:36" ht="12.75" customHeight="1">
      <c r="B53" s="310" t="str">
        <f>Comp.1!B48</f>
        <v>ERYTECH Pharma S.A.</v>
      </c>
      <c r="D53" s="311">
        <f>'Capital IQ Sheet-GPC'!J47</f>
        <v>201.74755999999999</v>
      </c>
      <c r="E53" s="311">
        <f>'Capital IQ Sheet-GPC'!K47</f>
        <v>3.4137900000000001</v>
      </c>
      <c r="F53" s="311" t="str">
        <f>'Capital IQ Sheet-GPC'!L47</f>
        <v>n/a</v>
      </c>
      <c r="G53" s="311" t="str">
        <f>'Capital IQ Sheet-GPC'!M47</f>
        <v>n/a</v>
      </c>
      <c r="H53" s="311">
        <f t="shared" si="35"/>
        <v>3.4137900000000001</v>
      </c>
      <c r="I53" s="311">
        <f t="shared" si="36"/>
        <v>205.16135</v>
      </c>
      <c r="J53" s="311">
        <f>'Capital IQ Sheet-GPC'!N47</f>
        <v>222.77257</v>
      </c>
      <c r="K53" s="311">
        <f t="shared" si="37"/>
        <v>-17.611220000000003</v>
      </c>
      <c r="M53" s="51">
        <f>IFERROR('Capital IQ Sheet-GPC'!AT47,"n/a")</f>
        <v>0</v>
      </c>
      <c r="N53" s="311">
        <f t="shared" si="39"/>
        <v>2.2506849315068491</v>
      </c>
      <c r="O53" s="176">
        <f t="shared" si="39"/>
        <v>2.5475753424657535E-2</v>
      </c>
      <c r="P53" s="177"/>
      <c r="Q53" s="178">
        <f>IFERROR(HLOOKUP($Q$6,'Equity Vol'!$B$8:$H46,ROWS('Equity Vol'!$C$8:$C46),FALSE),"n/a")</f>
        <v>0.72482904578996976</v>
      </c>
      <c r="R53" s="43"/>
      <c r="S53" s="179">
        <f>IFERROR(IF(Q53="n/a","n/a",Q53^2),"n/a")</f>
        <v>0.52537714562079807</v>
      </c>
      <c r="T53" s="179" t="e">
        <f>IF(OR(K53="n/a",S53="n/a"),"n/a",IF(H53=0,0,IF(M53=0,(LN(K53/H53)+((O53+(S53/2))*N53))/((S53*N53)^0.5),(LN(K53/H53)+((O53-M53+(S53/2))*N53))/((S53*N53)^0.5))))</f>
        <v>#NUM!</v>
      </c>
      <c r="U53" s="180" t="e">
        <f>IF(T53="n/a","n/a",IF(H53=0,0,T53-(S53*N53)^0.5))</f>
        <v>#NUM!</v>
      </c>
      <c r="V53" s="180" t="e">
        <f>IF(OR(T53="n/a",S53="n/a"),"n/a",IF(H53=0,0,NORMSDIST(T53)))</f>
        <v>#NUM!</v>
      </c>
      <c r="W53" s="180" t="e">
        <f>IF(OR(U53="n/a",S53="n/a"),"n/a",IF(H53=0,0,NORMSDIST(U53)))</f>
        <v>#NUM!</v>
      </c>
      <c r="X53" s="81" t="str">
        <f>IFERROR(IF(OR(K53="n/a",S53="n/a"),"n/a",IF(M53=0,(K53*V53)-((H53*EXP(1)^(-O53*N53))*W53),(K53*(2.718^(-M53*N53))*V53)-(H53*(2.718^(-O53*N53))*W53))),"n/a")</f>
        <v>n/a</v>
      </c>
      <c r="Y53" s="178" t="str">
        <f>IFERROR(IF(LEN(B53)&gt;0,IF(H53=0,Q53,IF(ISERROR(Q53/((K53/X53)*V53)),"n/a",Q53/((K53/X53)*V53)))),"n/a")</f>
        <v>n/a</v>
      </c>
      <c r="AA53" s="310">
        <v>1</v>
      </c>
      <c r="AB53" s="82" t="str">
        <f>IF('MASTER PubCo Inputs'!B61=0,"",'MASTER PubCo Inputs'!B61)</f>
        <v>ENXTPA:ERYP</v>
      </c>
      <c r="AC53" s="311">
        <f>'Capital IQ Sheet-GPC'!H47</f>
        <v>-11.39209</v>
      </c>
      <c r="AD53" s="83">
        <f t="shared" si="38"/>
        <v>-6.2191300000000034</v>
      </c>
      <c r="AJ53" s="84"/>
    </row>
    <row r="54" spans="2:36" ht="12.75" customHeight="1">
      <c r="D54" s="311"/>
      <c r="E54" s="311"/>
      <c r="F54" s="311"/>
      <c r="G54" s="311"/>
      <c r="H54" s="311"/>
      <c r="I54" s="311"/>
      <c r="J54" s="311"/>
      <c r="K54" s="311"/>
      <c r="R54" s="20"/>
    </row>
    <row r="55" spans="2:36" ht="12.75" customHeight="1">
      <c r="B55" s="599" t="s">
        <v>41</v>
      </c>
      <c r="C55" s="624"/>
      <c r="D55" s="623">
        <f>MAX(D29:D54)</f>
        <v>2943.9233800000002</v>
      </c>
      <c r="E55" s="623">
        <f>MAX(E29:E46)</f>
        <v>245.39599999999999</v>
      </c>
      <c r="F55" s="623">
        <f>MAX(F29:F46)</f>
        <v>132.386</v>
      </c>
      <c r="G55" s="623">
        <f>MAX(G29:G46)</f>
        <v>2.4870000000000001</v>
      </c>
      <c r="H55" s="623">
        <f>MAX(H29:H54)</f>
        <v>245.39599999999999</v>
      </c>
      <c r="I55" s="623">
        <f>MAX(I29:I54)</f>
        <v>3110.6913800000002</v>
      </c>
      <c r="J55" s="623">
        <f>MAX(J29:J54)</f>
        <v>562.52</v>
      </c>
      <c r="K55" s="623">
        <f>MAX(K29:K54)</f>
        <v>2548.1713800000002</v>
      </c>
      <c r="L55" s="624"/>
      <c r="M55" s="627">
        <f>MAX(M29:M54)</f>
        <v>0</v>
      </c>
      <c r="N55" s="623">
        <f>MAX(N29:N54)</f>
        <v>2.2506849315068491</v>
      </c>
      <c r="O55" s="628">
        <f>MAX(O29:O54)</f>
        <v>2.5475753424657535E-2</v>
      </c>
      <c r="P55" s="629"/>
      <c r="Q55" s="630">
        <f>MAX(Q29:Q54)</f>
        <v>1.1830252022901278</v>
      </c>
      <c r="R55" s="631"/>
      <c r="S55" s="632">
        <f t="shared" ref="S55:Y55" si="40">MAX(S29:S54)</f>
        <v>1.3995486292535977</v>
      </c>
      <c r="T55" s="632" t="e">
        <f t="shared" si="40"/>
        <v>#NUM!</v>
      </c>
      <c r="U55" s="633" t="e">
        <f t="shared" si="40"/>
        <v>#NUM!</v>
      </c>
      <c r="V55" s="633" t="e">
        <f t="shared" si="40"/>
        <v>#NUM!</v>
      </c>
      <c r="W55" s="633" t="e">
        <f t="shared" si="40"/>
        <v>#NUM!</v>
      </c>
      <c r="X55" s="623">
        <f t="shared" si="40"/>
        <v>2390.9252418769552</v>
      </c>
      <c r="Y55" s="634">
        <f t="shared" si="40"/>
        <v>1.1534306110922632</v>
      </c>
      <c r="AC55" s="654">
        <f>Y70</f>
        <v>0.73399999999999999</v>
      </c>
      <c r="AD55" s="655" t="s">
        <v>950</v>
      </c>
      <c r="AE55" s="655"/>
      <c r="AF55" s="655"/>
      <c r="AG55" s="643"/>
    </row>
    <row r="56" spans="2:36" ht="12.75" customHeight="1">
      <c r="B56" s="278" t="s">
        <v>45</v>
      </c>
      <c r="C56" s="73"/>
      <c r="D56" s="89">
        <f>QUARTILE(D29:D54,3)</f>
        <v>788.67728</v>
      </c>
      <c r="E56" s="89">
        <f>QUARTILE(E29:E46,3)</f>
        <v>29.005500000000001</v>
      </c>
      <c r="F56" s="89">
        <f>QUARTILE(F29:F46,3)</f>
        <v>124.8625</v>
      </c>
      <c r="G56" s="89">
        <f>QUARTILE(G29:G46,3)</f>
        <v>2.00725</v>
      </c>
      <c r="H56" s="89">
        <f>QUARTILE(H29:H54,3)</f>
        <v>43.624000000000002</v>
      </c>
      <c r="I56" s="89">
        <f>QUARTILE(I29:I54,3)</f>
        <v>794.03827999999999</v>
      </c>
      <c r="J56" s="89">
        <f>QUARTILE(J29:J54,3)</f>
        <v>195.24600000000001</v>
      </c>
      <c r="K56" s="89">
        <f>QUARTILE(K29:K54,3)</f>
        <v>564.50227999999993</v>
      </c>
      <c r="L56" s="73"/>
      <c r="M56" s="116">
        <f>QUARTILE(M29:M54,3)</f>
        <v>0</v>
      </c>
      <c r="N56" s="89">
        <f>QUARTILE(N29:N54,3)</f>
        <v>2.2506849315068491</v>
      </c>
      <c r="O56" s="181">
        <f>QUARTILE(O29:O54,3)</f>
        <v>2.5475753424657535E-2</v>
      </c>
      <c r="P56" s="182"/>
      <c r="Q56" s="183">
        <f>QUARTILE(Q29:Q54,3)</f>
        <v>0.91179856127202941</v>
      </c>
      <c r="R56" s="184"/>
      <c r="S56" s="185">
        <f t="shared" ref="S56:Y56" si="41">QUARTILE(S29:S54,3)</f>
        <v>0.83154666486820172</v>
      </c>
      <c r="T56" s="185" t="e">
        <f t="shared" si="41"/>
        <v>#NUM!</v>
      </c>
      <c r="U56" s="186" t="e">
        <f t="shared" si="41"/>
        <v>#NUM!</v>
      </c>
      <c r="V56" s="186" t="e">
        <f t="shared" si="41"/>
        <v>#NUM!</v>
      </c>
      <c r="W56" s="186" t="e">
        <f t="shared" si="41"/>
        <v>#NUM!</v>
      </c>
      <c r="X56" s="89">
        <f t="shared" si="41"/>
        <v>576.14878263986748</v>
      </c>
      <c r="Y56" s="187">
        <f t="shared" si="41"/>
        <v>0.88329288930289329</v>
      </c>
      <c r="AC56" s="656">
        <f>Y72</f>
        <v>0.56396100063598287</v>
      </c>
      <c r="AD56" s="16" t="s">
        <v>951</v>
      </c>
      <c r="AE56" s="16"/>
      <c r="AF56" s="16"/>
      <c r="AG56" s="168"/>
    </row>
    <row r="57" spans="2:36" ht="12.75" customHeight="1">
      <c r="B57" s="278" t="s">
        <v>43</v>
      </c>
      <c r="C57" s="73"/>
      <c r="D57" s="89">
        <f>AVERAGE(D29:D54)</f>
        <v>569.31687600000009</v>
      </c>
      <c r="E57" s="89">
        <f>AVERAGE(E29:E46)</f>
        <v>34.61911111111111</v>
      </c>
      <c r="F57" s="89">
        <f>AVERAGE(F29:F46)</f>
        <v>117.339</v>
      </c>
      <c r="G57" s="89">
        <f>AVERAGE(G29:G46)</f>
        <v>1.5275000000000001</v>
      </c>
      <c r="H57" s="89">
        <f>AVERAGE(H29:H54)</f>
        <v>40.369987599999988</v>
      </c>
      <c r="I57" s="89">
        <f>AVERAGE(I29:I54)</f>
        <v>609.68686360000004</v>
      </c>
      <c r="J57" s="89">
        <f>AVERAGE(J29:J54)</f>
        <v>120.30624239999999</v>
      </c>
      <c r="K57" s="89">
        <f>AVERAGE(K29:K54)</f>
        <v>489.38062120000001</v>
      </c>
      <c r="L57" s="73"/>
      <c r="M57" s="116">
        <f>AVERAGE(M29:M54)</f>
        <v>0</v>
      </c>
      <c r="N57" s="89">
        <f>AVERAGE(N29:N54)</f>
        <v>2.2506849315068482</v>
      </c>
      <c r="O57" s="181">
        <f>AVERAGE(O29:O54)</f>
        <v>2.5475753424657535E-2</v>
      </c>
      <c r="P57" s="182"/>
      <c r="Q57" s="183">
        <f>AVERAGE(Q29:Q54)</f>
        <v>0.74946724437002921</v>
      </c>
      <c r="R57" s="184"/>
      <c r="S57" s="185">
        <f t="shared" ref="S57:Y57" si="42">AVERAGE(S29:S54)</f>
        <v>0.60249408006226568</v>
      </c>
      <c r="T57" s="185" t="e">
        <f t="shared" si="42"/>
        <v>#NUM!</v>
      </c>
      <c r="U57" s="186" t="e">
        <f t="shared" si="42"/>
        <v>#NUM!</v>
      </c>
      <c r="V57" s="186" t="e">
        <f t="shared" si="42"/>
        <v>#NUM!</v>
      </c>
      <c r="W57" s="186" t="e">
        <f t="shared" si="42"/>
        <v>#NUM!</v>
      </c>
      <c r="X57" s="89">
        <f t="shared" si="42"/>
        <v>517.74856122008975</v>
      </c>
      <c r="Y57" s="187">
        <f t="shared" si="42"/>
        <v>0.71533859952705514</v>
      </c>
      <c r="AC57" s="656">
        <f>Y58</f>
        <v>0.73370487829233777</v>
      </c>
      <c r="AD57" s="16" t="s">
        <v>949</v>
      </c>
      <c r="AE57" s="16"/>
      <c r="AF57" s="16"/>
      <c r="AG57" s="657" t="s">
        <v>1063</v>
      </c>
    </row>
    <row r="58" spans="2:36" ht="12.75" customHeight="1">
      <c r="B58" s="278" t="s">
        <v>3</v>
      </c>
      <c r="C58" s="73"/>
      <c r="D58" s="89">
        <f>MEDIAN(D29:D54)</f>
        <v>374.58265999999998</v>
      </c>
      <c r="E58" s="89">
        <f>MEDIAN(E29:E46)</f>
        <v>4.5410000000000004</v>
      </c>
      <c r="F58" s="89">
        <f>MEDIAN(F29:F46)</f>
        <v>117.339</v>
      </c>
      <c r="G58" s="89">
        <f>MEDIAN(G29:G46)</f>
        <v>1.5274999999999999</v>
      </c>
      <c r="H58" s="89">
        <f>MEDIAN(H29:H54)</f>
        <v>3.7210000000000001</v>
      </c>
      <c r="I58" s="89">
        <f>MEDIAN(I29:I54)</f>
        <v>462.47541999999999</v>
      </c>
      <c r="J58" s="89">
        <f>MEDIAN(J29:J54)</f>
        <v>77.468000000000004</v>
      </c>
      <c r="K58" s="89">
        <f>MEDIAN(K29:K54)</f>
        <v>294.85737000000006</v>
      </c>
      <c r="L58" s="73"/>
      <c r="M58" s="116">
        <f>MEDIAN(M29:M54)</f>
        <v>0</v>
      </c>
      <c r="N58" s="89">
        <f>MEDIAN(N29:N54)</f>
        <v>2.2506849315068491</v>
      </c>
      <c r="O58" s="181">
        <f>MEDIAN(O29:O54)</f>
        <v>2.5475753424657535E-2</v>
      </c>
      <c r="P58" s="182"/>
      <c r="Q58" s="183">
        <f>MEDIAN(Q29:Q54)</f>
        <v>0.7374004357995807</v>
      </c>
      <c r="R58" s="184"/>
      <c r="S58" s="185">
        <f t="shared" ref="S58:Y58" si="43">MEDIAN(S29:S54)</f>
        <v>0.54391744256418528</v>
      </c>
      <c r="T58" s="185" t="e">
        <f t="shared" si="43"/>
        <v>#NUM!</v>
      </c>
      <c r="U58" s="186" t="e">
        <f t="shared" si="43"/>
        <v>#NUM!</v>
      </c>
      <c r="V58" s="186" t="e">
        <f t="shared" si="43"/>
        <v>#NUM!</v>
      </c>
      <c r="W58" s="186" t="e">
        <f t="shared" si="43"/>
        <v>#NUM!</v>
      </c>
      <c r="X58" s="89">
        <f t="shared" si="43"/>
        <v>242.99679520428464</v>
      </c>
      <c r="Y58" s="187">
        <f t="shared" si="43"/>
        <v>0.73370487829233777</v>
      </c>
      <c r="AC58" s="658" t="str">
        <f>IF(ROUND(AC55,3)=ROUND(AC57,3),"","Update Volatility - OPM")</f>
        <v/>
      </c>
      <c r="AD58" s="16"/>
      <c r="AE58" s="16"/>
      <c r="AF58" s="16"/>
      <c r="AG58" s="168"/>
    </row>
    <row r="59" spans="2:36" ht="12.75" customHeight="1">
      <c r="B59" s="278" t="s">
        <v>44</v>
      </c>
      <c r="C59" s="73"/>
      <c r="D59" s="89">
        <f>QUARTILE(D29:D54,1)</f>
        <v>199.81565000000001</v>
      </c>
      <c r="E59" s="89">
        <f>QUARTILE(E29:E46,1)</f>
        <v>0</v>
      </c>
      <c r="F59" s="89">
        <f>QUARTILE(F29:F46,1)</f>
        <v>109.8155</v>
      </c>
      <c r="G59" s="89">
        <f>QUARTILE(G29:G46,1)</f>
        <v>1.04775</v>
      </c>
      <c r="H59" s="89">
        <f>QUARTILE(H29:H54,1)</f>
        <v>0.36752000000000001</v>
      </c>
      <c r="I59" s="89">
        <f>QUARTILE(I29:I54,1)</f>
        <v>205.16135</v>
      </c>
      <c r="J59" s="89">
        <f>QUARTILE(J29:J54,1)</f>
        <v>9.7242499999999996</v>
      </c>
      <c r="K59" s="89">
        <f>QUARTILE(K29:K54,1)</f>
        <v>192.76025000000001</v>
      </c>
      <c r="L59" s="73"/>
      <c r="M59" s="116">
        <f>QUARTILE(M29:M54,1)</f>
        <v>0</v>
      </c>
      <c r="N59" s="89">
        <f>QUARTILE(N29:N54,1)</f>
        <v>2.2506849315068491</v>
      </c>
      <c r="O59" s="181">
        <f>QUARTILE(O29:O54,1)</f>
        <v>2.5475753424657535E-2</v>
      </c>
      <c r="P59" s="182"/>
      <c r="Q59" s="183">
        <f>QUARTILE(Q29:Q54,1)</f>
        <v>0.57937557312096499</v>
      </c>
      <c r="R59" s="184"/>
      <c r="S59" s="185">
        <f t="shared" ref="S59:Y59" si="44">QUARTILE(S29:S54,1)</f>
        <v>0.33570379101025444</v>
      </c>
      <c r="T59" s="185" t="e">
        <f t="shared" si="44"/>
        <v>#NUM!</v>
      </c>
      <c r="U59" s="186" t="e">
        <f t="shared" si="44"/>
        <v>#NUM!</v>
      </c>
      <c r="V59" s="186" t="e">
        <f t="shared" si="44"/>
        <v>#NUM!</v>
      </c>
      <c r="W59" s="186" t="e">
        <f t="shared" si="44"/>
        <v>#NUM!</v>
      </c>
      <c r="X59" s="89">
        <f t="shared" si="44"/>
        <v>178.10389229873519</v>
      </c>
      <c r="Y59" s="187">
        <f t="shared" si="44"/>
        <v>0.538480350573879</v>
      </c>
      <c r="AC59" s="659"/>
      <c r="AD59" s="5"/>
      <c r="AE59" s="5"/>
      <c r="AF59" s="5"/>
      <c r="AG59" s="336"/>
    </row>
    <row r="60" spans="2:36" ht="12.75" customHeight="1">
      <c r="B60" s="90" t="s">
        <v>42</v>
      </c>
      <c r="C60" s="67"/>
      <c r="D60" s="70">
        <f>MIN(D29:D54)</f>
        <v>3.8515700000000002</v>
      </c>
      <c r="E60" s="70">
        <f>MIN(E29:E46)</f>
        <v>0</v>
      </c>
      <c r="F60" s="70">
        <f>MIN(F29:F46)</f>
        <v>102.292</v>
      </c>
      <c r="G60" s="70">
        <f>MIN(G29:G46)</f>
        <v>0.56799999999999995</v>
      </c>
      <c r="H60" s="70">
        <f>MIN(H29:H54)</f>
        <v>0</v>
      </c>
      <c r="I60" s="70">
        <f>MIN(I29:I54)</f>
        <v>4.2190900000000005</v>
      </c>
      <c r="J60" s="70">
        <f>MIN(J29:J54)</f>
        <v>8.43E-3</v>
      </c>
      <c r="K60" s="70">
        <f>MIN(K29:K54)</f>
        <v>-17.611220000000003</v>
      </c>
      <c r="L60" s="67"/>
      <c r="M60" s="118">
        <f>MIN(M29:M54)</f>
        <v>0</v>
      </c>
      <c r="N60" s="70">
        <f>MIN(N29:N54)</f>
        <v>2.2506849315068491</v>
      </c>
      <c r="O60" s="635">
        <f>MIN(O29:O54)</f>
        <v>2.5475753424657535E-2</v>
      </c>
      <c r="P60" s="636"/>
      <c r="Q60" s="637">
        <f>MIN(Q29:Q54)</f>
        <v>0.46011894801782688</v>
      </c>
      <c r="R60" s="638"/>
      <c r="S60" s="639">
        <f t="shared" ref="S60:Y60" si="45">MIN(S29:S54)</f>
        <v>0.21170944632503166</v>
      </c>
      <c r="T60" s="639" t="e">
        <f t="shared" si="45"/>
        <v>#NUM!</v>
      </c>
      <c r="U60" s="640" t="e">
        <f t="shared" si="45"/>
        <v>#NUM!</v>
      </c>
      <c r="V60" s="640" t="e">
        <f t="shared" si="45"/>
        <v>#NUM!</v>
      </c>
      <c r="W60" s="640" t="e">
        <f t="shared" si="45"/>
        <v>#NUM!</v>
      </c>
      <c r="X60" s="70">
        <f t="shared" si="45"/>
        <v>0</v>
      </c>
      <c r="Y60" s="641">
        <f t="shared" si="45"/>
        <v>0.37633424978491314</v>
      </c>
    </row>
    <row r="61" spans="2:36" ht="12.75" customHeight="1">
      <c r="AC61" s="798" t="str">
        <f>IF(AND(AC58=$AG$59,AC59=$AG$59),"","Check")</f>
        <v/>
      </c>
    </row>
    <row r="62" spans="2:36" ht="12.75" customHeight="1">
      <c r="B62" s="1" t="s">
        <v>1696</v>
      </c>
      <c r="AB62" s="16"/>
      <c r="AC62" s="1216"/>
    </row>
    <row r="63" spans="2:36" ht="12.75" customHeight="1">
      <c r="B63" s="599" t="s">
        <v>41</v>
      </c>
      <c r="C63" s="624"/>
      <c r="D63" s="623">
        <f t="array" ref="D63">MAX(IF($AA$11:$AA$54=1,D$11:D$54,""))</f>
        <v>112194.50996</v>
      </c>
      <c r="E63" s="623">
        <f t="array" ref="E63">MAX(IF($AA$11:$AA$54=1,E$11:E$54,""))</f>
        <v>746.46118999999999</v>
      </c>
      <c r="F63" s="623">
        <f t="array" ref="F63">MAX(IF($AA$11:$AA$54=1,F$11:F$54,""))</f>
        <v>132.386</v>
      </c>
      <c r="G63" s="623">
        <f t="array" ref="G63">MAX(IF($AA$11:$AA$54=1,G$11:G$54,""))</f>
        <v>120.39700000000001</v>
      </c>
      <c r="H63" s="623">
        <f t="array" ref="H63">MAX(IF($AA$11:$AA$54=1,H$11:H$54,""))</f>
        <v>746.46118999999999</v>
      </c>
      <c r="I63" s="623">
        <f t="array" ref="I63">MAX(IF($AA$11:$AA$54=1,I$11:I$54,""))</f>
        <v>112232.19422999999</v>
      </c>
      <c r="J63" s="623">
        <f t="array" ref="J63">MAX(IF($AA$11:$AA$54=1,J$11:J$54,""))</f>
        <v>1737.6084000000001</v>
      </c>
      <c r="K63" s="623">
        <f t="array" ref="K63">MAX(IF($AA$11:$AA$54=1,K$11:K$54,""))</f>
        <v>110494.58583</v>
      </c>
      <c r="L63" s="624"/>
      <c r="M63" s="627">
        <f t="array" ref="M63">MAX(IF($AA$11:$AA$54=1,M$11:M$54,""))</f>
        <v>2.6520000000000002E-2</v>
      </c>
      <c r="N63" s="623">
        <f t="array" ref="N63">MAX(IF($AA$11:$AA$54=1,N$11:N$54,""))</f>
        <v>2.2506849315068491</v>
      </c>
      <c r="O63" s="628">
        <f t="array" ref="O63">MAX(IF($AA$11:$AA$54=1,O$11:O$54,""))</f>
        <v>2.5475753424657535E-2</v>
      </c>
      <c r="P63" s="629"/>
      <c r="Q63" s="630">
        <f t="array" ref="Q63">MAX(IF($AA$11:$AA$54=1,Q$11:Q$54,""))</f>
        <v>1.1830252022901278</v>
      </c>
      <c r="R63" s="631"/>
      <c r="S63" s="632">
        <f t="array" ref="S63">MAX(IF($AA$11:$AA$54=1,S$11:S$54,""))</f>
        <v>1.3995486292535977</v>
      </c>
      <c r="T63" s="632" t="e">
        <f t="array" ref="T63">MAX(IF($AA$11:$AA$54=1,T$11:T$54,""))</f>
        <v>#NUM!</v>
      </c>
      <c r="U63" s="633" t="e">
        <f t="array" ref="U63">MAX(IF($AA$11:$AA$54=1,U$11:U$54,""))</f>
        <v>#NUM!</v>
      </c>
      <c r="V63" s="633" t="e">
        <f t="array" ref="V63">MAX(IF($AA$11:$AA$54=1,V$11:V$54,""))</f>
        <v>#NUM!</v>
      </c>
      <c r="W63" s="633" t="e">
        <f t="array" ref="W63">MAX(IF($AA$11:$AA$54=1,W$11:W$54,""))</f>
        <v>#NUM!</v>
      </c>
      <c r="X63" s="623">
        <f t="array" ref="X63">MAX(IF($AA$11:$AA$54=1,X$11:X$54,""))</f>
        <v>104057.39640223012</v>
      </c>
      <c r="Y63" s="634">
        <f t="array" ref="Y63">MAX(IF($AA$11:$AA$54=1,Y$11:Y$54,""))</f>
        <v>1.1534306110922632</v>
      </c>
      <c r="AC63" s="1217"/>
      <c r="AD63" s="16"/>
      <c r="AE63" s="16"/>
      <c r="AF63" s="16"/>
      <c r="AG63" s="16"/>
    </row>
    <row r="64" spans="2:36" ht="12.75" customHeight="1">
      <c r="B64" s="278" t="s">
        <v>45</v>
      </c>
      <c r="C64" s="73"/>
      <c r="D64" s="89">
        <f t="array" ref="D64">QUARTILE(IF($AA$11:$AA$54=1,D$11:D$54,""),3)</f>
        <v>1430.2640425</v>
      </c>
      <c r="E64" s="89">
        <f t="array" ref="E64">QUARTILE(IF($AA$11:$AA$54=1,E$11:E$54,""),3)</f>
        <v>42.139067500000003</v>
      </c>
      <c r="F64" s="89">
        <f t="array" ref="F64">QUARTILE(IF($AA$11:$AA$54=1,F$11:F$54,""),3)</f>
        <v>109.8155</v>
      </c>
      <c r="G64" s="89">
        <f t="array" ref="G64">QUARTILE(IF($AA$11:$AA$54=1,G$11:G$54,""),3)</f>
        <v>31.73986</v>
      </c>
      <c r="H64" s="89">
        <f t="array" ref="H64">QUARTILE(IF($AA$11:$AA$54=1,H$11:H$54,""),3)</f>
        <v>129.37524999999999</v>
      </c>
      <c r="I64" s="89">
        <f t="array" ref="I64">QUARTILE(IF($AA$11:$AA$54=1,I$11:I$54,""),3)</f>
        <v>1524.3310425</v>
      </c>
      <c r="J64" s="89">
        <f t="array" ref="J64">QUARTILE(IF($AA$11:$AA$54=1,J$11:J$54,""),3)</f>
        <v>241.09094999999999</v>
      </c>
      <c r="K64" s="89">
        <f t="array" ref="K64">QUARTILE(IF($AA$11:$AA$54=1,K$11:K$54,""),3)</f>
        <v>1377.2950425000001</v>
      </c>
      <c r="L64" s="73"/>
      <c r="M64" s="116">
        <f t="array" ref="M64">QUARTILE(IF($AA$11:$AA$54=1,M$11:M$54,""),3)</f>
        <v>0</v>
      </c>
      <c r="N64" s="89">
        <f t="array" ref="N64">QUARTILE(IF($AA$11:$AA$54=1,N$11:N$54,""),3)</f>
        <v>2.2506849315068491</v>
      </c>
      <c r="O64" s="181">
        <f t="array" ref="O64">QUARTILE(IF($AA$11:$AA$54=1,O$11:O$54,""),3)</f>
        <v>2.5475753424657535E-2</v>
      </c>
      <c r="P64" s="182"/>
      <c r="Q64" s="183">
        <f t="array" ref="Q64">QUARTILE(IF($AA$11:$AA$54=1,Q$11:Q$54,""),3)</f>
        <v>0.80569706584351064</v>
      </c>
      <c r="R64" s="184"/>
      <c r="S64" s="185">
        <f t="array" ref="S64">QUARTILE(IF($AA$11:$AA$54=1,S$11:S$54,""),3)</f>
        <v>0.64914776190884227</v>
      </c>
      <c r="T64" s="185" t="e">
        <f t="array" ref="T64">QUARTILE(IF($AA$11:$AA$54=1,T$11:T$54,""),3)</f>
        <v>#NUM!</v>
      </c>
      <c r="U64" s="186" t="e">
        <f t="array" ref="U64">QUARTILE(IF($AA$11:$AA$54=1,U$11:U$54,""),3)</f>
        <v>#NUM!</v>
      </c>
      <c r="V64" s="186" t="e">
        <f t="array" ref="V64">QUARTILE(IF($AA$11:$AA$54=1,V$11:V$54,""),3)</f>
        <v>#NUM!</v>
      </c>
      <c r="W64" s="186" t="e">
        <f t="array" ref="W64">QUARTILE(IF($AA$11:$AA$54=1,W$11:W$54,""),3)</f>
        <v>#NUM!</v>
      </c>
      <c r="X64" s="89">
        <f t="array" ref="X64">QUARTILE(IF($AA$11:$AA$54=1,X$11:X$54,""),3)</f>
        <v>1650.1090711549386</v>
      </c>
      <c r="Y64" s="187">
        <f t="array" ref="Y64">QUARTILE(IF($AA$11:$AA$54=1,Y$11:Y$54,""),3)</f>
        <v>0.78273658258160461</v>
      </c>
      <c r="AC64" s="1217"/>
      <c r="AD64" s="16"/>
      <c r="AE64" s="16"/>
      <c r="AF64" s="16"/>
      <c r="AG64" s="16"/>
    </row>
    <row r="65" spans="1:33" ht="12.75" customHeight="1">
      <c r="B65" s="278" t="s">
        <v>43</v>
      </c>
      <c r="C65" s="73"/>
      <c r="D65" s="89">
        <f t="array" ref="D65">AVERAGE(IF($AA$11:$AA$54=1,D$11:D$54,""))</f>
        <v>4401.7166832352923</v>
      </c>
      <c r="E65" s="89">
        <f t="array" ref="E65">AVERAGE(IF($AA$11:$AA$54=1,E$11:E$54,""))</f>
        <v>90.41378676470589</v>
      </c>
      <c r="F65" s="89">
        <f t="array" ref="F65">AVERAGE(IF($AA$11:$AA$54=1,F$11:F$54,""))</f>
        <v>58.672019999999996</v>
      </c>
      <c r="G65" s="89">
        <f t="array" ref="G65">AVERAGE(IF($AA$11:$AA$54=1,G$11:G$54,""))</f>
        <v>30.055398333333333</v>
      </c>
      <c r="H65" s="89">
        <f t="array" ref="H65">AVERAGE(IF($AA$11:$AA$54=1,H$11:H$54,""))</f>
        <v>102.62027117647058</v>
      </c>
      <c r="I65" s="89">
        <f t="array" ref="I65">AVERAGE(IF($AA$11:$AA$54=1,I$11:I$54,""))</f>
        <v>4504.3369544117659</v>
      </c>
      <c r="J65" s="89">
        <f t="array" ref="J65">AVERAGE(IF($AA$11:$AA$54=1,J$11:J$54,""))</f>
        <v>192.15958705882352</v>
      </c>
      <c r="K65" s="89">
        <f t="array" ref="K65">AVERAGE(IF($AA$11:$AA$54=1,K$11:K$54,""))</f>
        <v>4312.1773673529433</v>
      </c>
      <c r="L65" s="73"/>
      <c r="M65" s="116">
        <f t="array" ref="M65">AVERAGE(IF($AA$11:$AA$54=1,M$11:M$54,""))</f>
        <v>1.4473235294117648E-3</v>
      </c>
      <c r="N65" s="89">
        <f t="array" ref="N65">AVERAGE(IF($AA$11:$AA$54=1,N$11:N$54,""))</f>
        <v>2.2506849315068491</v>
      </c>
      <c r="O65" s="181">
        <f t="array" ref="O65">AVERAGE(IF($AA$11:$AA$54=1,O$11:O$54,""))</f>
        <v>2.5475753424657549E-2</v>
      </c>
      <c r="P65" s="182"/>
      <c r="Q65" s="183">
        <f t="array" ref="Q65">AVERAGE(IF($AA$11:$AA$54=1,Q$11:Q$54,""))</f>
        <v>0.65007077782953981</v>
      </c>
      <c r="R65" s="184"/>
      <c r="S65" s="185">
        <f t="array" ref="S65">AVERAGE(IF($AA$11:$AA$54=1,S$11:S$54,""))</f>
        <v>0.48460690841789289</v>
      </c>
      <c r="T65" s="185" t="e">
        <f t="array" ref="T65">AVERAGE(IF($AA$11:$AA$54=1,T$11:T$54,""))</f>
        <v>#NUM!</v>
      </c>
      <c r="U65" s="186" t="e">
        <f t="array" ref="U65">AVERAGE(IF($AA$11:$AA$54=1,U$11:U$54,""))</f>
        <v>#NUM!</v>
      </c>
      <c r="V65" s="186" t="e">
        <f t="array" ref="V65">AVERAGE(IF($AA$11:$AA$54=1,V$11:V$54,""))</f>
        <v>#NUM!</v>
      </c>
      <c r="W65" s="186" t="e">
        <f t="array" ref="W65">AVERAGE(IF($AA$11:$AA$54=1,W$11:W$54,""))</f>
        <v>#NUM!</v>
      </c>
      <c r="X65" s="89">
        <f t="array" ref="X65">AVERAGE(IF($AA$11:$AA$54=1,X$11:X$54,""))</f>
        <v>5482.9280479865347</v>
      </c>
      <c r="Y65" s="187">
        <f t="array" ref="Y65">AVERAGE(IF($AA$11:$AA$54=1,Y$11:Y$54,""))</f>
        <v>0.60285700827041988</v>
      </c>
      <c r="AC65" s="1217"/>
      <c r="AD65" s="16"/>
      <c r="AE65" s="16"/>
      <c r="AF65" s="16"/>
      <c r="AG65" s="1218"/>
    </row>
    <row r="66" spans="1:33" ht="12.75" customHeight="1">
      <c r="B66" s="278" t="s">
        <v>3</v>
      </c>
      <c r="C66" s="73"/>
      <c r="D66" s="89">
        <f t="array" ref="D66">MEDIAN(IF($AA$11:$AA$54=1,D$11:D$54,""))</f>
        <v>513.84134500000005</v>
      </c>
      <c r="E66" s="89">
        <f t="array" ref="E66">MEDIAN(IF($AA$11:$AA$54=1,E$11:E$54,""))</f>
        <v>4.5410000000000004</v>
      </c>
      <c r="F66" s="89">
        <f t="array" ref="F66">MEDIAN(IF($AA$11:$AA$54=1,F$11:F$54,""))</f>
        <v>51.150999999999996</v>
      </c>
      <c r="G66" s="89">
        <f t="array" ref="G66">MEDIAN(IF($AA$11:$AA$54=1,G$11:G$54,""))</f>
        <v>11.04209</v>
      </c>
      <c r="H66" s="89">
        <f t="array" ref="H66">MEDIAN(IF($AA$11:$AA$54=1,H$11:H$54,""))</f>
        <v>11.974499999999999</v>
      </c>
      <c r="I66" s="89">
        <f t="array" ref="I66">MEDIAN(IF($AA$11:$AA$54=1,I$11:I$54,""))</f>
        <v>531.926965</v>
      </c>
      <c r="J66" s="89">
        <f t="array" ref="J66">MEDIAN(IF($AA$11:$AA$54=1,J$11:J$54,""))</f>
        <v>90.904499999999999</v>
      </c>
      <c r="K66" s="89">
        <f t="array" ref="K66">MEDIAN(IF($AA$11:$AA$54=1,K$11:K$54,""))</f>
        <v>417.62723499999998</v>
      </c>
      <c r="L66" s="73"/>
      <c r="M66" s="116">
        <f t="array" ref="M66">MEDIAN(IF($AA$11:$AA$54=1,M$11:M$54,""))</f>
        <v>0</v>
      </c>
      <c r="N66" s="89">
        <f t="array" ref="N66">MEDIAN(IF($AA$11:$AA$54=1,N$11:N$54,""))</f>
        <v>2.2506849315068491</v>
      </c>
      <c r="O66" s="181">
        <f t="array" ref="O66">MEDIAN(IF($AA$11:$AA$54=1,O$11:O$54,""))</f>
        <v>2.5475753424657535E-2</v>
      </c>
      <c r="P66" s="182"/>
      <c r="Q66" s="183">
        <f t="array" ref="Q66">MEDIAN(IF($AA$11:$AA$54=1,Q$11:Q$54,""))</f>
        <v>0.58241620249703041</v>
      </c>
      <c r="R66" s="184"/>
      <c r="S66" s="185">
        <f t="array" ref="S66">MEDIAN(IF($AA$11:$AA$54=1,S$11:S$54,""))</f>
        <v>0.33920863293106196</v>
      </c>
      <c r="T66" s="185" t="e">
        <f t="array" ref="T66">MEDIAN(IF($AA$11:$AA$54=1,T$11:T$54,""))</f>
        <v>#NUM!</v>
      </c>
      <c r="U66" s="186" t="e">
        <f t="array" ref="U66">MEDIAN(IF($AA$11:$AA$54=1,U$11:U$54,""))</f>
        <v>#NUM!</v>
      </c>
      <c r="V66" s="186" t="e">
        <f t="array" ref="V66">MEDIAN(IF($AA$11:$AA$54=1,V$11:V$54,""))</f>
        <v>#NUM!</v>
      </c>
      <c r="W66" s="186" t="e">
        <f t="array" ref="W66">MEDIAN(IF($AA$11:$AA$54=1,W$11:W$54,""))</f>
        <v>#NUM!</v>
      </c>
      <c r="X66" s="89">
        <f t="array" ref="X66">MEDIAN(IF($AA$11:$AA$54=1,X$11:X$54,""))</f>
        <v>400.03182792450082</v>
      </c>
      <c r="Y66" s="187">
        <f t="array" ref="Y66">MEDIAN(IF($AA$11:$AA$54=1,Y$11:Y$54,""))</f>
        <v>0.56103481334309624</v>
      </c>
      <c r="AC66" s="1219"/>
      <c r="AD66" s="16"/>
      <c r="AE66" s="16"/>
      <c r="AF66" s="16"/>
      <c r="AG66" s="16"/>
    </row>
    <row r="67" spans="1:33" ht="12.75" customHeight="1">
      <c r="B67" s="278" t="s">
        <v>44</v>
      </c>
      <c r="C67" s="73"/>
      <c r="D67" s="89">
        <f t="array" ref="D67">QUARTILE(IF($AA$11:$AA$54=1,D$11:D$54,""),1)</f>
        <v>262.53121500000003</v>
      </c>
      <c r="E67" s="89">
        <f t="array" ref="E67">QUARTILE(IF($AA$11:$AA$54=1,E$11:E$54,""),1)</f>
        <v>0</v>
      </c>
      <c r="F67" s="89">
        <f t="array" ref="F67">QUARTILE(IF($AA$11:$AA$54=1,F$11:F$54,""),1)</f>
        <v>7.5200000000000006E-3</v>
      </c>
      <c r="G67" s="89">
        <f t="array" ref="G67">QUARTILE(IF($AA$11:$AA$54=1,G$11:G$54,""),1)</f>
        <v>1.7435925000000001</v>
      </c>
      <c r="H67" s="89">
        <f t="array" ref="H67">QUARTILE(IF($AA$11:$AA$54=1,H$11:H$54,""),1)</f>
        <v>0.65717499999999995</v>
      </c>
      <c r="I67" s="89">
        <f t="array" ref="I67">QUARTILE(IF($AA$11:$AA$54=1,I$11:I$54,""),1)</f>
        <v>270.76552250000009</v>
      </c>
      <c r="J67" s="89">
        <f t="array" ref="J67">QUARTILE(IF($AA$11:$AA$54=1,J$11:J$54,""),1)</f>
        <v>26.77825</v>
      </c>
      <c r="K67" s="89">
        <f t="array" ref="K67">QUARTILE(IF($AA$11:$AA$54=1,K$11:K$54,""),1)</f>
        <v>231.22944000000001</v>
      </c>
      <c r="L67" s="73"/>
      <c r="M67" s="116">
        <f t="array" ref="M67">QUARTILE(IF($AA$11:$AA$54=1,M$11:M$54,""),1)</f>
        <v>0</v>
      </c>
      <c r="N67" s="89">
        <f t="array" ref="N67">QUARTILE(IF($AA$11:$AA$54=1,N$11:N$54,""),1)</f>
        <v>2.2506849315068491</v>
      </c>
      <c r="O67" s="181">
        <f t="array" ref="O67">QUARTILE(IF($AA$11:$AA$54=1,O$11:O$54,""),1)</f>
        <v>2.5475753424657535E-2</v>
      </c>
      <c r="P67" s="182"/>
      <c r="Q67" s="183">
        <f t="array" ref="Q67">QUARTILE(IF($AA$11:$AA$54=1,Q$11:Q$54,""),1)</f>
        <v>0.46011894801782688</v>
      </c>
      <c r="R67" s="184"/>
      <c r="S67" s="185">
        <f t="array" ref="S67">QUARTILE(IF($AA$11:$AA$54=1,S$11:S$54,""),1)</f>
        <v>0.21170944632503166</v>
      </c>
      <c r="T67" s="185" t="e">
        <f t="array" ref="T67">QUARTILE(IF($AA$11:$AA$54=1,T$11:T$54,""),1)</f>
        <v>#NUM!</v>
      </c>
      <c r="U67" s="186" t="e">
        <f t="array" ref="U67">QUARTILE(IF($AA$11:$AA$54=1,U$11:U$54,""),1)</f>
        <v>#NUM!</v>
      </c>
      <c r="V67" s="186" t="e">
        <f t="array" ref="V67">QUARTILE(IF($AA$11:$AA$54=1,V$11:V$54,""),1)</f>
        <v>#NUM!</v>
      </c>
      <c r="W67" s="186" t="e">
        <f t="array" ref="W67">QUARTILE(IF($AA$11:$AA$54=1,W$11:W$54,""),1)</f>
        <v>#NUM!</v>
      </c>
      <c r="X67" s="89">
        <f t="array" ref="X67">QUARTILE(IF($AA$11:$AA$54=1,X$11:X$54,""),1)</f>
        <v>198.12930930154641</v>
      </c>
      <c r="Y67" s="187">
        <f t="array" ref="Y67">QUARTILE(IF($AA$11:$AA$54=1,Y$11:Y$54,""),1)</f>
        <v>0.36811116452827852</v>
      </c>
      <c r="AC67" s="1219"/>
      <c r="AD67" s="16"/>
      <c r="AE67" s="16"/>
      <c r="AF67" s="16"/>
      <c r="AG67" s="16"/>
    </row>
    <row r="68" spans="1:33" ht="12.75" customHeight="1">
      <c r="B68" s="90" t="s">
        <v>42</v>
      </c>
      <c r="C68" s="67"/>
      <c r="D68" s="70">
        <f t="array" ref="D68">MIN(IF($AA$11:$AA$54=1,D$11:D$54,""))</f>
        <v>3.8515700000000002</v>
      </c>
      <c r="E68" s="70">
        <f t="array" ref="E68">MIN(IF($AA$11:$AA$54=1,E$11:E$54,""))</f>
        <v>0</v>
      </c>
      <c r="F68" s="70">
        <f t="array" ref="F68">MIN(IF($AA$11:$AA$54=1,F$11:F$54,""))</f>
        <v>8.0000000000000007E-5</v>
      </c>
      <c r="G68" s="70">
        <f t="array" ref="G68">MIN(IF($AA$11:$AA$54=1,G$11:G$54,""))</f>
        <v>0.56799999999999995</v>
      </c>
      <c r="H68" s="70">
        <f t="array" ref="H68">MIN(IF($AA$11:$AA$54=1,H$11:H$54,""))</f>
        <v>0</v>
      </c>
      <c r="I68" s="70">
        <f t="array" ref="I68">MIN(IF($AA$11:$AA$54=1,I$11:I$54,""))</f>
        <v>4.2190900000000005</v>
      </c>
      <c r="J68" s="70">
        <f t="array" ref="J68">MIN(IF($AA$11:$AA$54=1,J$11:J$54,""))</f>
        <v>8.43E-3</v>
      </c>
      <c r="K68" s="70">
        <f t="array" ref="K68">MIN(IF($AA$11:$AA$54=1,K$11:K$54,""))</f>
        <v>-17.611220000000003</v>
      </c>
      <c r="L68" s="67"/>
      <c r="M68" s="118">
        <f t="array" ref="M68">MIN(IF($AA$11:$AA$54=1,M$11:M$54,""))</f>
        <v>0</v>
      </c>
      <c r="N68" s="70">
        <f t="array" ref="N68">MIN(IF($AA$11:$AA$54=1,N$11:N$54,""))</f>
        <v>2.2506849315068491</v>
      </c>
      <c r="O68" s="635">
        <f t="array" ref="O68">MIN(IF($AA$11:$AA$54=1,O$11:O$54,""))</f>
        <v>2.5475753424657535E-2</v>
      </c>
      <c r="P68" s="636"/>
      <c r="Q68" s="637">
        <f t="array" ref="Q68">MIN(IF($AA$11:$AA$54=1,Q$11:Q$54,""))</f>
        <v>0.27152222085926869</v>
      </c>
      <c r="R68" s="638"/>
      <c r="S68" s="639">
        <f t="array" ref="S68">MIN(IF($AA$11:$AA$54=1,S$11:S$54,""))</f>
        <v>7.3724316420349489E-2</v>
      </c>
      <c r="T68" s="639" t="e">
        <f t="array" ref="T68">MIN(IF($AA$11:$AA$54=1,T$11:T$54,""))</f>
        <v>#NUM!</v>
      </c>
      <c r="U68" s="640" t="e">
        <f t="array" ref="U68">MIN(IF($AA$11:$AA$54=1,U$11:U$54,""))</f>
        <v>#NUM!</v>
      </c>
      <c r="V68" s="640" t="e">
        <f t="array" ref="V68">MIN(IF($AA$11:$AA$54=1,V$11:V$54,""))</f>
        <v>#NUM!</v>
      </c>
      <c r="W68" s="640" t="e">
        <f t="array" ref="W68">MIN(IF($AA$11:$AA$54=1,W$11:W$54,""))</f>
        <v>#NUM!</v>
      </c>
      <c r="X68" s="70">
        <f t="array" ref="X68">MIN(IF($AA$11:$AA$54=1,X$11:X$54,""))</f>
        <v>0</v>
      </c>
      <c r="Y68" s="641">
        <f t="array" ref="Y68">MIN(IF($AA$11:$AA$54=1,Y$11:Y$54,""))</f>
        <v>0.2557038895230257</v>
      </c>
      <c r="AC68" s="16"/>
      <c r="AD68" s="16"/>
      <c r="AE68" s="16"/>
      <c r="AF68" s="16"/>
      <c r="AG68" s="16"/>
    </row>
    <row r="69" spans="1:33" ht="12.75" customHeight="1">
      <c r="AC69" s="1215"/>
      <c r="AD69" s="16"/>
      <c r="AE69" s="16"/>
      <c r="AF69" s="16"/>
      <c r="AG69" s="16"/>
    </row>
    <row r="70" spans="1:33" ht="12.75" customHeight="1">
      <c r="B70" s="188" t="str">
        <f>B2</f>
        <v>Hua Medicine</v>
      </c>
      <c r="C70" s="364" t="s">
        <v>127</v>
      </c>
      <c r="D70" s="1108">
        <f>'OPM Hybrid (Liquidation)'!D9/1000</f>
        <v>262.85000000000002</v>
      </c>
      <c r="E70" s="1106">
        <f>'Hist BS'!I62/1000</f>
        <v>0</v>
      </c>
      <c r="F70" s="1106"/>
      <c r="G70" s="1106"/>
      <c r="H70" s="1107">
        <f>SUM(E70:G70)</f>
        <v>0</v>
      </c>
      <c r="I70" s="1106">
        <f>SUM(D70:G70)</f>
        <v>262.85000000000002</v>
      </c>
      <c r="J70" s="1106">
        <f>'Hist BS'!I60/1000</f>
        <v>0</v>
      </c>
      <c r="K70" s="1107">
        <f>I70-J70</f>
        <v>262.85000000000002</v>
      </c>
      <c r="L70" s="189"/>
      <c r="M70" s="190">
        <f>'OPM Hybrid (Liquidation)'!D13</f>
        <v>0</v>
      </c>
      <c r="N70" s="191">
        <f>N$6</f>
        <v>2.2506849315068491</v>
      </c>
      <c r="O70" s="192">
        <f>O$6</f>
        <v>2.5475753424657535E-2</v>
      </c>
      <c r="P70" s="193"/>
      <c r="Q70" s="194">
        <v>0.73399999999999999</v>
      </c>
      <c r="R70" s="189"/>
      <c r="S70" s="195">
        <f>IF(Q70="n/a","n/a",Q70^2)</f>
        <v>0.53875600000000001</v>
      </c>
      <c r="T70" s="195">
        <f>IF(OR(K70="n/a",S70="n/a"),"n/a",IF(H70=0,0,IF(M70=0,(LN(K70/H70)+((O70+(S70/2))*N70))/((S70*N70)^0.5),(LN(K70/H70)+((O70-M70+(S70/2))*N70))/((S70*N70)^0.5))))</f>
        <v>0</v>
      </c>
      <c r="U70" s="196">
        <f>IF(T70="n/a","n/a",IF(H70=0,0,T70-(S70*N70)^0.5))</f>
        <v>0</v>
      </c>
      <c r="V70" s="196">
        <f>IF(OR(T70="n/a",S70="n/a"),"n/a",IF(H70=0,0,NORMSDIST(T70)))</f>
        <v>0</v>
      </c>
      <c r="W70" s="196">
        <f>IF(OR(U70="n/a",S70="n/a"),"n/a",IF(H70=0,0,NORMSDIST(U70)))</f>
        <v>0</v>
      </c>
      <c r="X70" s="196">
        <f>IF(OR(K70="n/a",S70="n/a"),"n/a",IF(M70=0,(K70*V70)-((H70*EXP(1)^(-O70*N70))*W70),(K70*(2.718^(-M70*N70))*V70)-(H70*(2.718^(-O70*N70))*W70)))</f>
        <v>0</v>
      </c>
      <c r="Y70" s="197">
        <f>IF(LEN(B70)&gt;0,IF(H70=0,Q70,IF(ISERROR(Q70/((K70/X70)*V70)),"n/a",Q70/((K70/X70)*V70))))</f>
        <v>0.73399999999999999</v>
      </c>
    </row>
    <row r="71" spans="1:33" ht="12.75" hidden="1" customHeight="1" outlineLevel="1">
      <c r="C71" s="72"/>
      <c r="D71" s="72"/>
      <c r="E71" s="72"/>
      <c r="F71" s="72"/>
      <c r="G71" s="72"/>
      <c r="H71" s="72"/>
      <c r="I71" s="72"/>
      <c r="J71" s="72"/>
    </row>
    <row r="72" spans="1:33" ht="12.75" hidden="1" customHeight="1" outlineLevel="1">
      <c r="B72" s="188" t="str">
        <f>B70</f>
        <v>Hua Medicine</v>
      </c>
      <c r="C72" s="364" t="s">
        <v>144</v>
      </c>
      <c r="D72" s="1109">
        <f>D70</f>
        <v>262.85000000000002</v>
      </c>
      <c r="E72" s="1148">
        <f>SUM('OPM Hybrid (Liquidation)'!D76:H76)/1000+E70</f>
        <v>143.01848207860155</v>
      </c>
      <c r="F72" s="189"/>
      <c r="G72" s="189"/>
      <c r="H72" s="1107">
        <f>SUM(E72:G72)</f>
        <v>143.01848207860155</v>
      </c>
      <c r="I72" s="1106">
        <f>SUM(D72:G72)</f>
        <v>405.86848207860157</v>
      </c>
      <c r="J72" s="1109">
        <f>J70</f>
        <v>0</v>
      </c>
      <c r="K72" s="198">
        <f>K70</f>
        <v>262.85000000000002</v>
      </c>
      <c r="L72" s="189"/>
      <c r="M72" s="199">
        <f>M70</f>
        <v>0</v>
      </c>
      <c r="N72" s="191">
        <f>N$6</f>
        <v>2.2506849315068491</v>
      </c>
      <c r="O72" s="192">
        <f>O$6</f>
        <v>2.5475753424657535E-2</v>
      </c>
      <c r="P72" s="193"/>
      <c r="Q72" s="194">
        <v>0.79</v>
      </c>
      <c r="R72" s="189"/>
      <c r="S72" s="195">
        <f>IF(Q72="n/a","n/a",Q72^2)</f>
        <v>0.6241000000000001</v>
      </c>
      <c r="T72" s="195">
        <f>IF(OR(K72="n/a",S72="n/a"),"n/a",IF(H72=0,0,IF(M72=0,(LN(K72/H72)+((O72+(S72/2))*N72))/((S72*N72)^0.5),(LN(K72/H72)+((O72-M72+(S72/2))*N72))/((S72*N72)^0.5))))</f>
        <v>1.1544857164271134</v>
      </c>
      <c r="U72" s="196">
        <f>IF(T72="n/a","n/a",IF(H72=0,0,T72-(S72*N72)^0.5))</f>
        <v>-3.0694635145348537E-2</v>
      </c>
      <c r="V72" s="196">
        <f>IF(OR(T72="n/a",S72="n/a"),"n/a",IF(H72=0,0,NORMSDIST(T72)))</f>
        <v>0.87584945439987683</v>
      </c>
      <c r="W72" s="196">
        <f>IF(OR(U72="n/a",S72="n/a"),"n/a",IF(H72=0,0,NORMSDIST(U72)))</f>
        <v>0.48775653484100767</v>
      </c>
      <c r="X72" s="196">
        <f>IF(OR(K72="n/a",S72="n/a"),"n/a",IF(M72=0,(K72*V72)-((H72*EXP(1)^(-O72*N72))*W72),(K72*(2.718^(-M72*N72))*V72)-(H72*(2.718^(-O72*N72))*W72)))</f>
        <v>164.3461089727594</v>
      </c>
      <c r="Y72" s="197">
        <f>IF(LEN(B72)&gt;0,IF(H72=0,Q72,IF(ISERROR(Q72/((K72/X72)*V72)),"n/a",Q72/((K72/X72)*V72))))</f>
        <v>0.56396100063598287</v>
      </c>
    </row>
    <row r="73" spans="1:33" ht="12.75" customHeight="1" collapsed="1"/>
    <row r="74" spans="1:33" ht="12.75" customHeight="1">
      <c r="B74" s="8" t="s">
        <v>16</v>
      </c>
    </row>
    <row r="75" spans="1:33" ht="12.75" customHeight="1">
      <c r="A75" s="586" t="s">
        <v>128</v>
      </c>
      <c r="B75" s="17" t="s">
        <v>630</v>
      </c>
    </row>
    <row r="76" spans="1:33" s="72" customFormat="1" ht="12.75" customHeight="1">
      <c r="A76" s="587" t="s">
        <v>127</v>
      </c>
      <c r="B76" s="270" t="s">
        <v>631</v>
      </c>
      <c r="P76" s="20"/>
    </row>
    <row r="77" spans="1:33" s="72" customFormat="1" ht="12.75" hidden="1" customHeight="1" outlineLevel="1">
      <c r="A77" s="587" t="s">
        <v>144</v>
      </c>
      <c r="B77" s="270" t="s">
        <v>632</v>
      </c>
      <c r="P77" s="20"/>
    </row>
    <row r="78" spans="1:33" ht="12.75" customHeight="1" collapsed="1"/>
    <row r="79" spans="1:33" ht="12.75" customHeight="1">
      <c r="B79" s="8" t="s">
        <v>46</v>
      </c>
    </row>
    <row r="80" spans="1:33" ht="12.75" customHeight="1"/>
    <row r="81" spans="2:2" ht="12.75" customHeight="1">
      <c r="B81" s="310" t="s">
        <v>975</v>
      </c>
    </row>
    <row r="82" spans="2:2">
      <c r="B82" s="310" t="s">
        <v>976</v>
      </c>
    </row>
    <row r="83" spans="2:2">
      <c r="B83" s="310" t="s">
        <v>977</v>
      </c>
    </row>
    <row r="84" spans="2:2">
      <c r="B84" s="310" t="s">
        <v>978</v>
      </c>
    </row>
    <row r="85" spans="2:2">
      <c r="B85" s="310" t="s">
        <v>979</v>
      </c>
    </row>
    <row r="86" spans="2:2">
      <c r="B86" s="310" t="s">
        <v>980</v>
      </c>
    </row>
    <row r="87" spans="2:2">
      <c r="B87" s="310" t="s">
        <v>981</v>
      </c>
    </row>
    <row r="89" spans="2:2">
      <c r="B89" s="310" t="s">
        <v>982</v>
      </c>
    </row>
    <row r="90" spans="2:2">
      <c r="B90" s="310" t="s">
        <v>983</v>
      </c>
    </row>
    <row r="91" spans="2:2">
      <c r="B91" s="310" t="s">
        <v>984</v>
      </c>
    </row>
    <row r="92" spans="2:2">
      <c r="B92" s="310" t="s">
        <v>985</v>
      </c>
    </row>
    <row r="93" spans="2:2">
      <c r="B93" s="310" t="s">
        <v>986</v>
      </c>
    </row>
    <row r="94" spans="2:2">
      <c r="B94" s="310" t="s">
        <v>987</v>
      </c>
    </row>
  </sheetData>
  <conditionalFormatting sqref="B11:B20 B29:B53">
    <cfRule type="cellIs" dxfId="123" priority="10" operator="equal">
      <formula>"(Invalid Identifier)"</formula>
    </cfRule>
  </conditionalFormatting>
  <conditionalFormatting sqref="B4:I4">
    <cfRule type="cellIs" dxfId="122" priority="9" stopIfTrue="1" operator="equal">
      <formula>"input"</formula>
    </cfRule>
  </conditionalFormatting>
  <conditionalFormatting sqref="J4">
    <cfRule type="cellIs" dxfId="121" priority="7" stopIfTrue="1" operator="equal">
      <formula>"input"</formula>
    </cfRule>
  </conditionalFormatting>
  <conditionalFormatting sqref="J4">
    <cfRule type="cellIs" dxfId="120" priority="8" stopIfTrue="1" operator="equal">
      <formula>"input"</formula>
    </cfRule>
  </conditionalFormatting>
  <conditionalFormatting sqref="K4:X4">
    <cfRule type="cellIs" dxfId="119" priority="5" stopIfTrue="1" operator="equal">
      <formula>"input"</formula>
    </cfRule>
  </conditionalFormatting>
  <conditionalFormatting sqref="K4:X4">
    <cfRule type="cellIs" dxfId="118" priority="6" stopIfTrue="1" operator="equal">
      <formula>"input"</formula>
    </cfRule>
  </conditionalFormatting>
  <conditionalFormatting sqref="Y4">
    <cfRule type="cellIs" dxfId="117" priority="3" stopIfTrue="1" operator="equal">
      <formula>"input"</formula>
    </cfRule>
  </conditionalFormatting>
  <conditionalFormatting sqref="Y4">
    <cfRule type="cellIs" dxfId="116" priority="4" stopIfTrue="1" operator="equal">
      <formula>"input"</formula>
    </cfRule>
  </conditionalFormatting>
  <conditionalFormatting sqref="B10">
    <cfRule type="cellIs" dxfId="115" priority="2" operator="equal">
      <formula>"(Invalid Identifier)"</formula>
    </cfRule>
  </conditionalFormatting>
  <conditionalFormatting sqref="B28">
    <cfRule type="cellIs" dxfId="114" priority="1" operator="equal">
      <formula>"(Invalid Identifier)"</formula>
    </cfRule>
  </conditionalFormatting>
  <pageMargins left="0.5" right="0.5" top="0.5" bottom="0.5" header="0.5" footer="0.5"/>
  <pageSetup scale="79" fitToWidth="0" fitToHeight="0" orientation="landscape" r:id="rId1"/>
  <rowBreaks count="1" manualBreakCount="1">
    <brk id="49" max="25" man="1"/>
  </rowBreaks>
  <legacyDrawingHF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AJ94"/>
  <sheetViews>
    <sheetView showGridLines="0" view="pageBreakPreview" topLeftCell="A49" zoomScaleNormal="100" zoomScaleSheetLayoutView="100" workbookViewId="0">
      <selection activeCell="I9" sqref="I9"/>
    </sheetView>
  </sheetViews>
  <sheetFormatPr defaultColWidth="9.33203125" defaultRowHeight="12.75" outlineLevelRow="1" outlineLevelCol="1"/>
  <cols>
    <col min="1" max="1" width="4.5" style="310" customWidth="1"/>
    <col min="2" max="2" width="52.83203125" style="310" customWidth="1"/>
    <col min="3" max="3" width="2.83203125" style="310" customWidth="1"/>
    <col min="4" max="4" width="12.1640625" style="310" customWidth="1"/>
    <col min="5" max="7" width="12.1640625" style="310" hidden="1" customWidth="1" outlineLevel="1"/>
    <col min="8" max="8" width="12.1640625" style="310" customWidth="1" collapsed="1"/>
    <col min="9" max="9" width="12.1640625" style="310" customWidth="1"/>
    <col min="10" max="10" width="10.6640625" style="310" customWidth="1"/>
    <col min="11" max="11" width="12.1640625" style="310" customWidth="1"/>
    <col min="12" max="12" width="2.83203125" style="310" customWidth="1"/>
    <col min="13" max="13" width="10" style="310" customWidth="1"/>
    <col min="14" max="14" width="8.1640625" style="310" customWidth="1"/>
    <col min="15" max="15" width="11.1640625" style="310" customWidth="1"/>
    <col min="16" max="16" width="2.83203125" style="20" customWidth="1"/>
    <col min="17" max="17" width="9.33203125" style="310" customWidth="1"/>
    <col min="18" max="18" width="2.83203125" style="310" customWidth="1"/>
    <col min="19" max="19" width="11.6640625" style="310" hidden="1" customWidth="1" outlineLevel="1"/>
    <col min="20" max="23" width="8.83203125" style="310" hidden="1" customWidth="1" outlineLevel="1"/>
    <col min="24" max="24" width="12" style="310" customWidth="1" collapsed="1"/>
    <col min="25" max="25" width="9.33203125" style="310" customWidth="1"/>
    <col min="26" max="27" width="4.5" style="310" customWidth="1"/>
    <col min="28" max="28" width="17.5" style="310" bestFit="1" customWidth="1"/>
    <col min="29" max="29" width="12.33203125" style="310" bestFit="1" customWidth="1"/>
    <col min="30" max="30" width="9.5" style="310" bestFit="1" customWidth="1"/>
    <col min="31" max="31" width="10.1640625" style="310" bestFit="1" customWidth="1"/>
    <col min="32" max="16384" width="9.33203125" style="310"/>
  </cols>
  <sheetData>
    <row r="1" spans="2:36" ht="10.7" customHeight="1" thickBot="1">
      <c r="P1" s="310"/>
    </row>
    <row r="2" spans="2:36" ht="16.5" customHeight="1" thickTop="1">
      <c r="B2" s="10" t="str">
        <f>'MASTER PubCo Inputs'!$C$5</f>
        <v>Hua Medicine</v>
      </c>
      <c r="C2" s="10"/>
      <c r="D2" s="10"/>
      <c r="E2" s="10"/>
      <c r="F2" s="10"/>
      <c r="G2" s="10"/>
      <c r="H2" s="10"/>
      <c r="I2" s="10"/>
      <c r="J2" s="10"/>
      <c r="K2" s="10"/>
      <c r="L2" s="10"/>
      <c r="M2" s="10"/>
      <c r="N2" s="10"/>
      <c r="O2" s="10"/>
      <c r="P2" s="10"/>
      <c r="Q2" s="10"/>
      <c r="R2" s="10"/>
      <c r="S2" s="10"/>
      <c r="T2" s="10"/>
      <c r="U2" s="10"/>
      <c r="V2" s="10"/>
      <c r="W2" s="10"/>
      <c r="X2" s="10"/>
      <c r="Y2" s="10"/>
      <c r="AB2" s="234" t="s">
        <v>17</v>
      </c>
      <c r="AC2" s="235">
        <f>+Comp.1!$AL$2</f>
        <v>43281</v>
      </c>
    </row>
    <row r="3" spans="2:36" ht="15.75" customHeight="1">
      <c r="B3" s="11" t="str">
        <f>VLOOKUP(B4,Outline!$E$8:$G$81,COLUMNS(Outline!$E$8:$G$8),FALSE)</f>
        <v>Exhibit H.3</v>
      </c>
      <c r="C3" s="11"/>
      <c r="D3" s="11"/>
      <c r="E3" s="11"/>
      <c r="F3" s="11"/>
      <c r="G3" s="11"/>
      <c r="H3" s="11"/>
      <c r="I3" s="11"/>
      <c r="J3" s="11"/>
      <c r="K3" s="11"/>
      <c r="L3" s="11"/>
      <c r="M3" s="11"/>
      <c r="N3" s="11"/>
      <c r="O3" s="11"/>
      <c r="P3" s="11"/>
      <c r="Q3" s="11"/>
      <c r="R3" s="11"/>
      <c r="S3" s="11"/>
      <c r="T3" s="11"/>
      <c r="U3" s="11"/>
      <c r="V3" s="11"/>
      <c r="W3" s="11"/>
      <c r="X3" s="11"/>
      <c r="Y3" s="11"/>
      <c r="AB3" s="164" t="s">
        <v>273</v>
      </c>
      <c r="AC3" s="239" t="str">
        <f>+Comp.1!$AL$3</f>
        <v>F</v>
      </c>
    </row>
    <row r="4" spans="2:36" ht="16.5" customHeight="1" thickBot="1">
      <c r="B4" s="12" t="s">
        <v>1585</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B4" s="164" t="s">
        <v>274</v>
      </c>
      <c r="AC4" s="239" t="str">
        <f>+Comp.1!$AL$4</f>
        <v>USD</v>
      </c>
    </row>
    <row r="5" spans="2:36" ht="12.75" customHeight="1" thickTop="1">
      <c r="B5" s="20"/>
      <c r="AB5" s="76" t="s">
        <v>19</v>
      </c>
      <c r="AC5" s="238" t="str">
        <f>+Comp.1!$AL$5</f>
        <v>H</v>
      </c>
    </row>
    <row r="6" spans="2:36" ht="12.75" hidden="1" customHeight="1" outlineLevel="1">
      <c r="N6" s="173">
        <f>'OPM Hybrid (Redemption)'!D10</f>
        <v>2.7123287671232879</v>
      </c>
      <c r="O6" s="174">
        <f>'Risk-Free Rates'!E34</f>
        <v>2.5983561643835616E-2</v>
      </c>
      <c r="Q6" s="211">
        <f>HLOOKUP(ROUND(N6,0),'Equity Vol'!$D$8:$H$8,1,TRUE)</f>
        <v>3</v>
      </c>
    </row>
    <row r="7" spans="2:36" ht="26.1" customHeight="1" collapsed="1">
      <c r="D7" s="160" t="s">
        <v>21</v>
      </c>
      <c r="E7" s="161"/>
      <c r="F7" s="161"/>
      <c r="G7" s="161"/>
      <c r="H7" s="161"/>
      <c r="I7" s="161"/>
      <c r="J7" s="161"/>
      <c r="K7" s="162"/>
      <c r="M7" s="160" t="s">
        <v>22</v>
      </c>
      <c r="N7" s="161"/>
      <c r="O7" s="161"/>
      <c r="P7" s="175"/>
      <c r="Q7" s="162"/>
      <c r="S7" s="160" t="s">
        <v>23</v>
      </c>
      <c r="T7" s="161"/>
      <c r="U7" s="161"/>
      <c r="V7" s="161"/>
      <c r="W7" s="161"/>
      <c r="X7" s="1172" t="s">
        <v>23</v>
      </c>
      <c r="Y7" s="1173"/>
    </row>
    <row r="8" spans="2:36" s="6" customFormat="1" ht="25.5">
      <c r="B8" s="365" t="s">
        <v>455</v>
      </c>
      <c r="D8" s="479" t="s">
        <v>24</v>
      </c>
      <c r="E8" s="480" t="s">
        <v>25</v>
      </c>
      <c r="F8" s="480" t="s">
        <v>26</v>
      </c>
      <c r="G8" s="480" t="s">
        <v>27</v>
      </c>
      <c r="H8" s="480" t="s">
        <v>28</v>
      </c>
      <c r="I8" s="480" t="s">
        <v>29</v>
      </c>
      <c r="J8" s="480" t="s">
        <v>30</v>
      </c>
      <c r="K8" s="481" t="s">
        <v>31</v>
      </c>
      <c r="L8" s="260"/>
      <c r="M8" s="479" t="s">
        <v>7</v>
      </c>
      <c r="N8" s="480" t="s">
        <v>32</v>
      </c>
      <c r="O8" s="481" t="s">
        <v>6</v>
      </c>
      <c r="P8" s="469"/>
      <c r="Q8" s="482" t="s">
        <v>33</v>
      </c>
      <c r="R8" s="469"/>
      <c r="S8" s="479" t="s">
        <v>34</v>
      </c>
      <c r="T8" s="480" t="s">
        <v>14</v>
      </c>
      <c r="U8" s="480" t="s">
        <v>15</v>
      </c>
      <c r="V8" s="480" t="s">
        <v>35</v>
      </c>
      <c r="W8" s="480" t="s">
        <v>36</v>
      </c>
      <c r="X8" s="483" t="s">
        <v>37</v>
      </c>
      <c r="Y8" s="481" t="s">
        <v>463</v>
      </c>
      <c r="AB8" s="77" t="s">
        <v>38</v>
      </c>
      <c r="AC8" s="78" t="s">
        <v>39</v>
      </c>
      <c r="AD8" s="78" t="s">
        <v>40</v>
      </c>
      <c r="AE8" s="79"/>
    </row>
    <row r="9" spans="2:36" ht="12.75" customHeight="1"/>
    <row r="10" spans="2:36" ht="12.75" customHeight="1">
      <c r="B10" s="1" t="str">
        <f>Comp.1!B12</f>
        <v>Tier 1</v>
      </c>
    </row>
    <row r="11" spans="2:36" ht="12.75" customHeight="1">
      <c r="B11" s="310" t="str">
        <f>Comp.1!B13</f>
        <v>Novo Nordisk A/S</v>
      </c>
      <c r="D11" s="311">
        <f>'Capital IQ Sheet-GPC'!J13</f>
        <v>112194.50996</v>
      </c>
      <c r="E11" s="311">
        <f>'Capital IQ Sheet-GPC'!K13</f>
        <v>37.684269999999998</v>
      </c>
      <c r="F11" s="311" t="str">
        <f>'Capital IQ Sheet-GPC'!L13</f>
        <v>n/a</v>
      </c>
      <c r="G11" s="311" t="str">
        <f>'Capital IQ Sheet-GPC'!M13</f>
        <v>n/a</v>
      </c>
      <c r="H11" s="311">
        <f t="shared" ref="H11:H19" si="0">SUM(E11:G11)</f>
        <v>37.684269999999998</v>
      </c>
      <c r="I11" s="311">
        <f t="shared" ref="I11:I19" si="1">SUM(D11:G11)</f>
        <v>112232.19422999999</v>
      </c>
      <c r="J11" s="311">
        <f>'Capital IQ Sheet-GPC'!N13</f>
        <v>1737.6084000000001</v>
      </c>
      <c r="K11" s="311">
        <f t="shared" ref="K11:K19" si="2">I11-J11</f>
        <v>110494.58583</v>
      </c>
      <c r="M11" s="51">
        <f>IFERROR('Capital IQ Sheet-GPC'!AT13,"n/a")</f>
        <v>2.6520000000000002E-2</v>
      </c>
      <c r="N11" s="311">
        <f t="shared" ref="N11:O47" si="3">N$6</f>
        <v>2.7123287671232879</v>
      </c>
      <c r="O11" s="176">
        <f t="shared" si="3"/>
        <v>2.5983561643835616E-2</v>
      </c>
      <c r="P11" s="177"/>
      <c r="Q11" s="178">
        <f>IFERROR(HLOOKUP($Q$6,'Equity Vol'!$B$8:$H11,ROWS('Equity Vol'!$C$8:$C11),FALSE),"n/a")</f>
        <v>0.27509605137080317</v>
      </c>
      <c r="R11" s="43"/>
      <c r="S11" s="179">
        <f t="shared" ref="S11:S19" si="4">IFERROR(IF(Q11="n/a","n/a",Q11^2),"n/a")</f>
        <v>7.567783747980758E-2</v>
      </c>
      <c r="T11" s="179">
        <f t="shared" ref="T11:T19" si="5">IF(OR(K11="n/a",S11="n/a"),"n/a",IF(H11=0,0,IF(M11=0,(LN(K11/H11)+((O11+(S11/2))*N11))/((S11*N11)^0.5),(LN(K11/H11)+((O11-M11+(S11/2))*N11))/((S11*N11)^0.5))))</f>
        <v>17.844566565384486</v>
      </c>
      <c r="U11" s="180">
        <f t="shared" ref="U11:U19" si="6">IF(T11="n/a","n/a",IF(H11=0,0,T11-(S11*N11)^0.5))</f>
        <v>17.391506772829285</v>
      </c>
      <c r="V11" s="180">
        <f t="shared" ref="V11:V19" si="7">IF(OR(T11="n/a",S11="n/a"),"n/a",IF(H11=0,0,NORMSDIST(T11)))</f>
        <v>1</v>
      </c>
      <c r="W11" s="180">
        <f t="shared" ref="W11:W19" si="8">IF(OR(U11="n/a",S11="n/a"),"n/a",IF(H11=0,0,NORMSDIST(U11)))</f>
        <v>1</v>
      </c>
      <c r="X11" s="81">
        <f t="shared" ref="X11:X19" si="9">IF(OR(K11="n/a",S11="n/a"),"n/a",IF(M11=0,(K11*V11)-((H11*EXP(1)^(-O11*N11))*W11),(K11*(2.718^(-M11*N11))*V11)-(H11*(2.718^(-O11*N11))*W11)))</f>
        <v>102791.37166127743</v>
      </c>
      <c r="Y11" s="178">
        <f t="shared" ref="Y11:Y19" si="10">IFERROR(IF(LEN(B11)&gt;0,IF(H11=0,Q11,IF(ISERROR(Q11/((K11/X11)*V11)),"n/a",Q11/((K11/X11)*V11)))),"n/a")</f>
        <v>0.25591752072370388</v>
      </c>
      <c r="AA11" s="310">
        <v>1</v>
      </c>
      <c r="AB11" s="82" t="str">
        <f>IF('MASTER PubCo Inputs'!B28=0,"",'MASTER PubCo Inputs'!B28)</f>
        <v>CPSE:NOVO B</v>
      </c>
      <c r="AC11" s="311">
        <f>'Capital IQ Sheet-GPC'!H13</f>
        <v>110584.08422999999</v>
      </c>
      <c r="AD11" s="83">
        <f t="shared" ref="AD11:AD19" si="11">K11-AC11</f>
        <v>-89.498399999996764</v>
      </c>
      <c r="AJ11" s="84"/>
    </row>
    <row r="12" spans="2:36" ht="12.75" customHeight="1">
      <c r="B12" s="310" t="str">
        <f>Comp.1!B14</f>
        <v>Tonghua Dongbao Pharmaceutical Co., Ltd.</v>
      </c>
      <c r="D12" s="311">
        <f>'Capital IQ Sheet-GPC'!J14</f>
        <v>7436.2830000000004</v>
      </c>
      <c r="E12" s="311">
        <f>'Capital IQ Sheet-GPC'!K14</f>
        <v>0</v>
      </c>
      <c r="F12" s="311" t="str">
        <f>'Capital IQ Sheet-GPC'!L14</f>
        <v>n/a</v>
      </c>
      <c r="G12" s="311">
        <f>'Capital IQ Sheet-GPC'!M14</f>
        <v>1.49579</v>
      </c>
      <c r="H12" s="311">
        <f t="shared" si="0"/>
        <v>1.49579</v>
      </c>
      <c r="I12" s="311">
        <f t="shared" si="1"/>
        <v>7437.7787900000003</v>
      </c>
      <c r="J12" s="311">
        <f>'Capital IQ Sheet-GPC'!N14</f>
        <v>75.958299999999994</v>
      </c>
      <c r="K12" s="311">
        <f t="shared" si="2"/>
        <v>7361.8204900000001</v>
      </c>
      <c r="M12" s="51">
        <f>IFERROR('Capital IQ Sheet-GPC'!AT14,"n/a")</f>
        <v>6.96E-4</v>
      </c>
      <c r="N12" s="311">
        <f t="shared" si="3"/>
        <v>2.7123287671232879</v>
      </c>
      <c r="O12" s="176">
        <f t="shared" si="3"/>
        <v>2.5983561643835616E-2</v>
      </c>
      <c r="P12" s="177"/>
      <c r="Q12" s="178">
        <f>IFERROR(HLOOKUP($Q$6,'Equity Vol'!$B$8:$H12,ROWS('Equity Vol'!$C$8:$C12),FALSE),"n/a")</f>
        <v>0.36676460309803083</v>
      </c>
      <c r="R12" s="43"/>
      <c r="S12" s="179">
        <f t="shared" si="4"/>
        <v>0.13451627408565608</v>
      </c>
      <c r="T12" s="179">
        <f t="shared" si="5"/>
        <v>14.4900434896417</v>
      </c>
      <c r="U12" s="180">
        <f t="shared" si="6"/>
        <v>13.886013391179077</v>
      </c>
      <c r="V12" s="180">
        <f t="shared" si="7"/>
        <v>1</v>
      </c>
      <c r="W12" s="180">
        <f t="shared" si="8"/>
        <v>1</v>
      </c>
      <c r="X12" s="81">
        <f t="shared" si="9"/>
        <v>7346.5435222804999</v>
      </c>
      <c r="Y12" s="178">
        <f t="shared" si="10"/>
        <v>0.36600350725091058</v>
      </c>
      <c r="AA12" s="310">
        <v>1</v>
      </c>
      <c r="AB12" s="82" t="str">
        <f>IF('MASTER PubCo Inputs'!B29=0,"",'MASTER PubCo Inputs'!B29)</f>
        <v>SHSE:600867</v>
      </c>
      <c r="AC12" s="311">
        <f>'Capital IQ Sheet-GPC'!H14</f>
        <v>6000.97145</v>
      </c>
      <c r="AD12" s="83">
        <f t="shared" si="11"/>
        <v>1360.8490400000001</v>
      </c>
      <c r="AJ12" s="84"/>
    </row>
    <row r="13" spans="2:36" ht="12.75" customHeight="1">
      <c r="B13" s="310" t="str">
        <f>Comp.1!B15</f>
        <v>3SBio Inc.</v>
      </c>
      <c r="D13" s="311">
        <f>'Capital IQ Sheet-GPC'!J15</f>
        <v>5765.9263099999998</v>
      </c>
      <c r="E13" s="311">
        <f>'Capital IQ Sheet-GPC'!K15</f>
        <v>677.16830000000004</v>
      </c>
      <c r="F13" s="311" t="str">
        <f>'Capital IQ Sheet-GPC'!L15</f>
        <v>n/a</v>
      </c>
      <c r="G13" s="311">
        <f>'Capital IQ Sheet-GPC'!M15</f>
        <v>35.787419999999997</v>
      </c>
      <c r="H13" s="311">
        <f t="shared" si="0"/>
        <v>712.95572000000004</v>
      </c>
      <c r="I13" s="311">
        <f t="shared" si="1"/>
        <v>6478.8820299999998</v>
      </c>
      <c r="J13" s="311">
        <f>'Capital IQ Sheet-GPC'!N15</f>
        <v>476.92147999999997</v>
      </c>
      <c r="K13" s="311">
        <f t="shared" si="2"/>
        <v>6001.9605499999998</v>
      </c>
      <c r="M13" s="51">
        <f>IFERROR('Capital IQ Sheet-GPC'!AT15,"n/a")</f>
        <v>3.8429999999999996E-3</v>
      </c>
      <c r="N13" s="311">
        <f t="shared" si="3"/>
        <v>2.7123287671232879</v>
      </c>
      <c r="O13" s="176">
        <f t="shared" si="3"/>
        <v>2.5983561643835616E-2</v>
      </c>
      <c r="P13" s="177"/>
      <c r="Q13" s="178">
        <f>IFERROR(HLOOKUP($Q$6,'Equity Vol'!$B$8:$H13,ROWS('Equity Vol'!$C$8:$C13),FALSE),"n/a")</f>
        <v>0.39544882696315536</v>
      </c>
      <c r="R13" s="43"/>
      <c r="S13" s="179">
        <f t="shared" si="4"/>
        <v>0.15637977474653558</v>
      </c>
      <c r="T13" s="179">
        <f t="shared" si="5"/>
        <v>3.6890217283038704</v>
      </c>
      <c r="U13" s="180">
        <f t="shared" si="6"/>
        <v>3.0377511534724198</v>
      </c>
      <c r="V13" s="180">
        <f t="shared" si="7"/>
        <v>0.99988744100257565</v>
      </c>
      <c r="W13" s="180">
        <f t="shared" si="8"/>
        <v>0.99880824653857347</v>
      </c>
      <c r="X13" s="81">
        <f t="shared" si="9"/>
        <v>5275.4098240734629</v>
      </c>
      <c r="Y13" s="178">
        <f t="shared" si="10"/>
        <v>0.34761799102237978</v>
      </c>
      <c r="AA13" s="310">
        <v>1</v>
      </c>
      <c r="AB13" s="82" t="str">
        <f>IF('MASTER PubCo Inputs'!B30=0,"",'MASTER PubCo Inputs'!B30)</f>
        <v>SEHK:1530</v>
      </c>
      <c r="AC13" s="311">
        <f>'Capital IQ Sheet-GPC'!H15</f>
        <v>3399.7200899999998</v>
      </c>
      <c r="AD13" s="83">
        <f t="shared" si="11"/>
        <v>2602.24046</v>
      </c>
      <c r="AJ13" s="84"/>
    </row>
    <row r="14" spans="2:36" ht="12.75" customHeight="1">
      <c r="B14" s="310" t="str">
        <f>Comp.1!B16</f>
        <v>Luye Pharma Group Ltd.</v>
      </c>
      <c r="D14" s="311">
        <f>'Capital IQ Sheet-GPC'!J16</f>
        <v>3359.9747900000002</v>
      </c>
      <c r="E14" s="311">
        <f>'Capital IQ Sheet-GPC'!K16</f>
        <v>439.75547999999998</v>
      </c>
      <c r="F14" s="311" t="str">
        <f>'Capital IQ Sheet-GPC'!L16</f>
        <v>n/a</v>
      </c>
      <c r="G14" s="311">
        <f>'Capital IQ Sheet-GPC'!M16</f>
        <v>19.597180000000002</v>
      </c>
      <c r="H14" s="311">
        <f t="shared" si="0"/>
        <v>459.35265999999996</v>
      </c>
      <c r="I14" s="311">
        <f t="shared" si="1"/>
        <v>3819.3274500000002</v>
      </c>
      <c r="J14" s="311">
        <f>'Capital IQ Sheet-GPC'!N16</f>
        <v>419.44011999999998</v>
      </c>
      <c r="K14" s="311">
        <f t="shared" si="2"/>
        <v>3399.8873300000005</v>
      </c>
      <c r="M14" s="51">
        <f>IFERROR('Capital IQ Sheet-GPC'!AT16,"n/a")</f>
        <v>1.0895999999999999E-2</v>
      </c>
      <c r="N14" s="311">
        <f t="shared" si="3"/>
        <v>2.7123287671232879</v>
      </c>
      <c r="O14" s="176">
        <f t="shared" si="3"/>
        <v>2.5983561643835616E-2</v>
      </c>
      <c r="P14" s="177"/>
      <c r="Q14" s="178">
        <f>IFERROR(HLOOKUP($Q$6,'Equity Vol'!$B$8:$H14,ROWS('Equity Vol'!$C$8:$C14),FALSE),"n/a")</f>
        <v>0.38477740391868537</v>
      </c>
      <c r="R14" s="43"/>
      <c r="S14" s="179">
        <f t="shared" si="4"/>
        <v>0.14805365056640316</v>
      </c>
      <c r="T14" s="179">
        <f t="shared" si="5"/>
        <v>3.5401645146875143</v>
      </c>
      <c r="U14" s="180">
        <f t="shared" si="6"/>
        <v>2.9064688657290616</v>
      </c>
      <c r="V14" s="180">
        <f t="shared" si="7"/>
        <v>0.99980006116087095</v>
      </c>
      <c r="W14" s="180">
        <f t="shared" si="8"/>
        <v>0.99817233363383107</v>
      </c>
      <c r="X14" s="81">
        <f t="shared" si="9"/>
        <v>2872.9145267027616</v>
      </c>
      <c r="Y14" s="178">
        <f t="shared" si="10"/>
        <v>0.32520302852903693</v>
      </c>
      <c r="AA14" s="310">
        <v>1</v>
      </c>
      <c r="AB14" s="82" t="str">
        <f>IF('MASTER PubCo Inputs'!B31=0,"",'MASTER PubCo Inputs'!B31)</f>
        <v>SEHK:2186</v>
      </c>
      <c r="AC14" s="311">
        <f>'Capital IQ Sheet-GPC'!H16</f>
        <v>2515.66275</v>
      </c>
      <c r="AD14" s="83">
        <f t="shared" si="11"/>
        <v>884.22458000000051</v>
      </c>
      <c r="AJ14" s="84"/>
    </row>
    <row r="15" spans="2:36">
      <c r="B15" s="122" t="str">
        <f>Comp.1!B17</f>
        <v>Intercept Pharmaceuticals, Inc.</v>
      </c>
      <c r="C15" s="1128"/>
      <c r="D15" s="1222">
        <f>'Capital IQ Sheet-GPC'!J17</f>
        <v>2482.30575</v>
      </c>
      <c r="E15" s="1222">
        <f>'Capital IQ Sheet-GPC'!K17</f>
        <v>359.44900000000001</v>
      </c>
      <c r="F15" s="1222" t="str">
        <f>'Capital IQ Sheet-GPC'!L17</f>
        <v>n/a</v>
      </c>
      <c r="G15" s="1222" t="str">
        <f>'Capital IQ Sheet-GPC'!M17</f>
        <v>n/a</v>
      </c>
      <c r="H15" s="1222">
        <f t="shared" si="0"/>
        <v>359.44900000000001</v>
      </c>
      <c r="I15" s="1222">
        <f t="shared" si="1"/>
        <v>2841.7547500000001</v>
      </c>
      <c r="J15" s="1222">
        <f>'Capital IQ Sheet-GPC'!N17</f>
        <v>326.09199999999998</v>
      </c>
      <c r="K15" s="1222">
        <f t="shared" si="2"/>
        <v>2515.66275</v>
      </c>
      <c r="L15" s="1128"/>
      <c r="M15" s="1223">
        <f>IFERROR('Capital IQ Sheet-GPC'!AT17,"n/a")</f>
        <v>0</v>
      </c>
      <c r="N15" s="1222">
        <f t="shared" si="3"/>
        <v>2.7123287671232879</v>
      </c>
      <c r="O15" s="1224">
        <f t="shared" si="3"/>
        <v>2.5983561643835616E-2</v>
      </c>
      <c r="P15" s="1225"/>
      <c r="Q15" s="178">
        <f>IFERROR(HLOOKUP($Q$6,'Equity Vol'!$B$8:$H15,ROWS('Equity Vol'!$C$8:$C15),FALSE),"n/a")</f>
        <v>0.60449747603175452</v>
      </c>
      <c r="R15" s="1227"/>
      <c r="S15" s="1228">
        <f t="shared" si="4"/>
        <v>0.36541719852876164</v>
      </c>
      <c r="T15" s="1228">
        <f t="shared" si="5"/>
        <v>2.5229733231186429</v>
      </c>
      <c r="U15" s="1229">
        <f t="shared" si="6"/>
        <v>1.5274174082795207</v>
      </c>
      <c r="V15" s="1229">
        <f t="shared" si="7"/>
        <v>0.99418163857925801</v>
      </c>
      <c r="W15" s="1229">
        <f t="shared" si="8"/>
        <v>0.93667137481930629</v>
      </c>
      <c r="X15" s="125">
        <f t="shared" si="9"/>
        <v>2187.2515325118557</v>
      </c>
      <c r="Y15" s="1226">
        <f t="shared" si="10"/>
        <v>0.52865831125560614</v>
      </c>
      <c r="AA15" s="310">
        <v>1</v>
      </c>
      <c r="AB15" s="82" t="str">
        <f>IF('MASTER PubCo Inputs'!B32=0,"",'MASTER PubCo Inputs'!B32)</f>
        <v>NasdaqGS:ICPT</v>
      </c>
      <c r="AC15" s="311">
        <f>'Capital IQ Sheet-GPC'!H17</f>
        <v>2204.7008599999999</v>
      </c>
      <c r="AD15" s="83">
        <f t="shared" si="11"/>
        <v>310.96189000000004</v>
      </c>
      <c r="AJ15" s="84"/>
    </row>
    <row r="16" spans="2:36" ht="12.75" customHeight="1">
      <c r="B16" s="310" t="str">
        <f>Comp.1!B18</f>
        <v>The United Laboratories International Holdings Limited</v>
      </c>
      <c r="D16" s="311">
        <f>'Capital IQ Sheet-GPC'!J18</f>
        <v>1705.28388</v>
      </c>
      <c r="E16" s="311">
        <f>'Capital IQ Sheet-GPC'!K18</f>
        <v>746.46118999999999</v>
      </c>
      <c r="F16" s="311" t="str">
        <f>'Capital IQ Sheet-GPC'!L18</f>
        <v>n/a</v>
      </c>
      <c r="G16" s="311" t="str">
        <f>'Capital IQ Sheet-GPC'!M18</f>
        <v>n/a</v>
      </c>
      <c r="H16" s="311">
        <f t="shared" si="0"/>
        <v>746.46118999999999</v>
      </c>
      <c r="I16" s="311">
        <f t="shared" si="1"/>
        <v>2451.7450699999999</v>
      </c>
      <c r="J16" s="311">
        <f>'Capital IQ Sheet-GPC'!N18</f>
        <v>244.9426</v>
      </c>
      <c r="K16" s="311">
        <f t="shared" si="2"/>
        <v>2206.8024700000001</v>
      </c>
      <c r="M16" s="51">
        <f>IFERROR('Capital IQ Sheet-GPC'!AT18,"n/a")</f>
        <v>7.254E-3</v>
      </c>
      <c r="N16" s="311">
        <f t="shared" si="3"/>
        <v>2.7123287671232879</v>
      </c>
      <c r="O16" s="176">
        <f t="shared" si="3"/>
        <v>2.5983561643835616E-2</v>
      </c>
      <c r="P16" s="177"/>
      <c r="Q16" s="178">
        <f>IFERROR(HLOOKUP($Q$6,'Equity Vol'!$B$8:$H16,ROWS('Equity Vol'!$C$8:$C16),FALSE),"n/a")</f>
        <v>0.46352947344646472</v>
      </c>
      <c r="R16" s="43"/>
      <c r="S16" s="179">
        <f t="shared" si="4"/>
        <v>0.21485957275355685</v>
      </c>
      <c r="T16" s="179">
        <f t="shared" si="5"/>
        <v>1.8681606566598166</v>
      </c>
      <c r="U16" s="180">
        <f t="shared" si="6"/>
        <v>1.1047670490946948</v>
      </c>
      <c r="V16" s="180">
        <f t="shared" si="7"/>
        <v>0.96913015955472659</v>
      </c>
      <c r="W16" s="180">
        <f t="shared" si="8"/>
        <v>0.86536972906134246</v>
      </c>
      <c r="X16" s="81">
        <f t="shared" si="9"/>
        <v>1495.0038635853566</v>
      </c>
      <c r="Y16" s="178">
        <f t="shared" si="10"/>
        <v>0.32402170162900507</v>
      </c>
      <c r="AA16" s="310">
        <v>1</v>
      </c>
      <c r="AB16" s="82" t="str">
        <f>IF('MASTER PubCo Inputs'!B33=0,"",'MASTER PubCo Inputs'!B33)</f>
        <v>SEHK:3933</v>
      </c>
      <c r="AC16" s="311">
        <f>'Capital IQ Sheet-GPC'!H18</f>
        <v>379.61124999999998</v>
      </c>
      <c r="AD16" s="83">
        <f t="shared" si="11"/>
        <v>1827.1912200000002</v>
      </c>
      <c r="AJ16" s="84"/>
    </row>
    <row r="17" spans="2:36" ht="12.75" customHeight="1">
      <c r="B17" s="310" t="str">
        <f>Comp.1!B19</f>
        <v>Corcept Therapeutics Incorporated</v>
      </c>
      <c r="D17" s="311">
        <f>'Capital IQ Sheet-GPC'!J19</f>
        <v>1811.4944</v>
      </c>
      <c r="E17" s="311">
        <f>'Capital IQ Sheet-GPC'!K19</f>
        <v>0</v>
      </c>
      <c r="F17" s="311" t="str">
        <f>'Capital IQ Sheet-GPC'!L19</f>
        <v>n/a</v>
      </c>
      <c r="G17" s="311" t="str">
        <f>'Capital IQ Sheet-GPC'!M19</f>
        <v>n/a</v>
      </c>
      <c r="H17" s="311">
        <f t="shared" si="0"/>
        <v>0</v>
      </c>
      <c r="I17" s="311">
        <f t="shared" si="1"/>
        <v>1811.4944</v>
      </c>
      <c r="J17" s="311">
        <f>'Capital IQ Sheet-GPC'!N19</f>
        <v>125.36199999999999</v>
      </c>
      <c r="K17" s="311">
        <f t="shared" si="2"/>
        <v>1686.1324</v>
      </c>
      <c r="M17" s="51">
        <f>IFERROR('Capital IQ Sheet-GPC'!AT19,"n/a")</f>
        <v>0</v>
      </c>
      <c r="N17" s="311">
        <f t="shared" si="3"/>
        <v>2.7123287671232879</v>
      </c>
      <c r="O17" s="176">
        <f t="shared" si="3"/>
        <v>2.5983561643835616E-2</v>
      </c>
      <c r="P17" s="177"/>
      <c r="Q17" s="178">
        <f>IFERROR(HLOOKUP($Q$6,'Equity Vol'!$B$8:$H17,ROWS('Equity Vol'!$C$8:$C17),FALSE),"n/a")</f>
        <v>0.57073646955180102</v>
      </c>
      <c r="R17" s="43"/>
      <c r="S17" s="179">
        <f t="shared" si="4"/>
        <v>0.32574011767645389</v>
      </c>
      <c r="T17" s="179">
        <f t="shared" si="5"/>
        <v>0</v>
      </c>
      <c r="U17" s="180">
        <f t="shared" si="6"/>
        <v>0</v>
      </c>
      <c r="V17" s="180">
        <f t="shared" si="7"/>
        <v>0</v>
      </c>
      <c r="W17" s="180">
        <f t="shared" si="8"/>
        <v>0</v>
      </c>
      <c r="X17" s="81">
        <f t="shared" si="9"/>
        <v>0</v>
      </c>
      <c r="Y17" s="178">
        <f t="shared" si="10"/>
        <v>0.57073646955180102</v>
      </c>
      <c r="AA17" s="310">
        <v>1</v>
      </c>
      <c r="AB17" s="82" t="str">
        <f>IF('MASTER PubCo Inputs'!B34=0,"",'MASTER PubCo Inputs'!B34)</f>
        <v>NasdaqCM:CORT</v>
      </c>
      <c r="AC17" s="311">
        <f>'Capital IQ Sheet-GPC'!H19</f>
        <v>336.76713999999998</v>
      </c>
      <c r="AD17" s="83">
        <f t="shared" si="11"/>
        <v>1349.36526</v>
      </c>
      <c r="AJ17" s="84"/>
    </row>
    <row r="18" spans="2:36" ht="12.75" customHeight="1">
      <c r="B18" s="310" t="str">
        <f>Comp.1!B20</f>
        <v>MannKind Corporation</v>
      </c>
      <c r="D18" s="311">
        <f>'Capital IQ Sheet-GPC'!J20</f>
        <v>266.04825</v>
      </c>
      <c r="E18" s="311">
        <f>'Capital IQ Sheet-GPC'!K20</f>
        <v>140.26900000000001</v>
      </c>
      <c r="F18" s="311" t="str">
        <f>'Capital IQ Sheet-GPC'!L20</f>
        <v>n/a</v>
      </c>
      <c r="G18" s="311" t="str">
        <f>'Capital IQ Sheet-GPC'!M20</f>
        <v>n/a</v>
      </c>
      <c r="H18" s="311">
        <f t="shared" si="0"/>
        <v>140.26900000000001</v>
      </c>
      <c r="I18" s="311">
        <f t="shared" si="1"/>
        <v>406.31725</v>
      </c>
      <c r="J18" s="311">
        <f>'Capital IQ Sheet-GPC'!N20</f>
        <v>26.706</v>
      </c>
      <c r="K18" s="311">
        <f t="shared" si="2"/>
        <v>379.61124999999998</v>
      </c>
      <c r="M18" s="51">
        <f>IFERROR('Capital IQ Sheet-GPC'!AT20,"n/a")</f>
        <v>0</v>
      </c>
      <c r="N18" s="311">
        <f t="shared" si="3"/>
        <v>2.7123287671232879</v>
      </c>
      <c r="O18" s="176">
        <f t="shared" si="3"/>
        <v>2.5983561643835616E-2</v>
      </c>
      <c r="P18" s="177"/>
      <c r="Q18" s="178">
        <f>IFERROR(HLOOKUP($Q$6,'Equity Vol'!$B$8:$H18,ROWS('Equity Vol'!$C$8:$C18),FALSE),"n/a")</f>
        <v>1.1115187186582705</v>
      </c>
      <c r="R18" s="43"/>
      <c r="S18" s="179">
        <f t="shared" si="4"/>
        <v>1.2354738619277235</v>
      </c>
      <c r="T18" s="179">
        <f t="shared" si="5"/>
        <v>1.4976521913495118</v>
      </c>
      <c r="U18" s="180">
        <f t="shared" si="6"/>
        <v>-0.33292457479155035</v>
      </c>
      <c r="V18" s="180">
        <f t="shared" si="7"/>
        <v>0.93288818040493249</v>
      </c>
      <c r="W18" s="180">
        <f t="shared" si="8"/>
        <v>0.36959560930487789</v>
      </c>
      <c r="X18" s="81">
        <f t="shared" si="9"/>
        <v>305.81993738795654</v>
      </c>
      <c r="Y18" s="178">
        <f t="shared" si="10"/>
        <v>0.95987329855449977</v>
      </c>
      <c r="AA18" s="310">
        <v>1</v>
      </c>
      <c r="AB18" s="82" t="str">
        <f>IF('MASTER PubCo Inputs'!B35=0,"",'MASTER PubCo Inputs'!B35)</f>
        <v>NasdaqGM:MNKD</v>
      </c>
      <c r="AC18" s="311">
        <f>'Capital IQ Sheet-GPC'!H20</f>
        <v>7365.7138199999999</v>
      </c>
      <c r="AD18" s="83">
        <f t="shared" si="11"/>
        <v>-6986.10257</v>
      </c>
      <c r="AJ18" s="84"/>
    </row>
    <row r="19" spans="2:36" ht="12.75" customHeight="1">
      <c r="B19" s="310" t="str">
        <f>Comp.1!B21</f>
        <v>Zealand Pharma A/S</v>
      </c>
      <c r="D19" s="311">
        <f>'Capital IQ Sheet-GPC'!J21</f>
        <v>403.61899</v>
      </c>
      <c r="E19" s="311">
        <f>'Capital IQ Sheet-GPC'!K21</f>
        <v>22.171900000000001</v>
      </c>
      <c r="F19" s="311" t="str">
        <f>'Capital IQ Sheet-GPC'!L21</f>
        <v>n/a</v>
      </c>
      <c r="G19" s="311" t="str">
        <f>'Capital IQ Sheet-GPC'!M21</f>
        <v>n/a</v>
      </c>
      <c r="H19" s="311">
        <f t="shared" si="0"/>
        <v>22.171900000000001</v>
      </c>
      <c r="I19" s="311">
        <f t="shared" si="1"/>
        <v>425.79088999999999</v>
      </c>
      <c r="J19" s="311">
        <f>'Capital IQ Sheet-GPC'!N21</f>
        <v>92.739000000000004</v>
      </c>
      <c r="K19" s="311">
        <f t="shared" si="2"/>
        <v>333.05188999999996</v>
      </c>
      <c r="M19" s="51">
        <f>IFERROR('Capital IQ Sheet-GPC'!AT21,"n/a")</f>
        <v>0</v>
      </c>
      <c r="N19" s="311">
        <f t="shared" si="3"/>
        <v>2.7123287671232879</v>
      </c>
      <c r="O19" s="176">
        <f t="shared" si="3"/>
        <v>2.5983561643835616E-2</v>
      </c>
      <c r="P19" s="177"/>
      <c r="Q19" s="178">
        <f>IFERROR(HLOOKUP($Q$6,'Equity Vol'!$B$8:$H19,ROWS('Equity Vol'!$C$8:$C19),FALSE),"n/a")</f>
        <v>0.43428111568006561</v>
      </c>
      <c r="R19" s="43"/>
      <c r="S19" s="179">
        <f t="shared" si="4"/>
        <v>0.18860008743632253</v>
      </c>
      <c r="T19" s="179">
        <f t="shared" si="5"/>
        <v>4.2444339820066297</v>
      </c>
      <c r="U19" s="180">
        <f t="shared" si="6"/>
        <v>3.5292099313515184</v>
      </c>
      <c r="V19" s="180">
        <f t="shared" si="7"/>
        <v>0.99998904270641942</v>
      </c>
      <c r="W19" s="180">
        <f t="shared" si="8"/>
        <v>0.99979159882475521</v>
      </c>
      <c r="X19" s="81">
        <f t="shared" si="9"/>
        <v>312.38944152054529</v>
      </c>
      <c r="Y19" s="178">
        <f t="shared" si="10"/>
        <v>0.40734289700602266</v>
      </c>
      <c r="AA19" s="310">
        <v>1</v>
      </c>
      <c r="AB19" s="82" t="str">
        <f>IF('MASTER PubCo Inputs'!B36=0,"",'MASTER PubCo Inputs'!B36)</f>
        <v>CPSE:ZEAL</v>
      </c>
      <c r="AC19" s="311">
        <f>'Capital IQ Sheet-GPC'!H21</f>
        <v>1686.1324</v>
      </c>
      <c r="AD19" s="83">
        <f t="shared" si="11"/>
        <v>-1353.08051</v>
      </c>
      <c r="AJ19" s="84"/>
    </row>
    <row r="20" spans="2:36" ht="12.75" customHeight="1">
      <c r="D20" s="311"/>
      <c r="E20" s="311"/>
      <c r="F20" s="311"/>
      <c r="G20" s="311"/>
      <c r="H20" s="311"/>
      <c r="I20" s="311"/>
      <c r="J20" s="311"/>
      <c r="K20" s="311"/>
      <c r="M20" s="51"/>
      <c r="N20" s="311"/>
      <c r="O20" s="176"/>
      <c r="P20" s="177"/>
      <c r="Q20" s="178"/>
      <c r="R20" s="43"/>
      <c r="S20" s="179"/>
      <c r="T20" s="179"/>
      <c r="U20" s="180"/>
      <c r="V20" s="180"/>
      <c r="W20" s="180"/>
      <c r="X20" s="81"/>
      <c r="Y20" s="178"/>
      <c r="AB20" s="82"/>
      <c r="AC20" s="311"/>
      <c r="AD20" s="83"/>
      <c r="AJ20" s="84"/>
    </row>
    <row r="21" spans="2:36" ht="12.75" customHeight="1">
      <c r="B21" s="599" t="s">
        <v>41</v>
      </c>
      <c r="C21" s="624"/>
      <c r="D21" s="623">
        <f t="shared" ref="D21:K21" si="12">MAX(D11:D19)</f>
        <v>112194.50996</v>
      </c>
      <c r="E21" s="623">
        <f t="shared" si="12"/>
        <v>746.46118999999999</v>
      </c>
      <c r="F21" s="623">
        <f t="shared" si="12"/>
        <v>0</v>
      </c>
      <c r="G21" s="623">
        <f t="shared" si="12"/>
        <v>35.787419999999997</v>
      </c>
      <c r="H21" s="623">
        <f t="shared" si="12"/>
        <v>746.46118999999999</v>
      </c>
      <c r="I21" s="623">
        <f t="shared" si="12"/>
        <v>112232.19422999999</v>
      </c>
      <c r="J21" s="623">
        <f t="shared" si="12"/>
        <v>1737.6084000000001</v>
      </c>
      <c r="K21" s="623">
        <f t="shared" si="12"/>
        <v>110494.58583</v>
      </c>
      <c r="L21" s="624"/>
      <c r="M21" s="627">
        <f>MAX(M11:M19)</f>
        <v>2.6520000000000002E-2</v>
      </c>
      <c r="N21" s="623">
        <f>MAX(N11:N19)</f>
        <v>2.7123287671232879</v>
      </c>
      <c r="O21" s="628">
        <f>MAX(O11:O19)</f>
        <v>2.5983561643835616E-2</v>
      </c>
      <c r="P21" s="629"/>
      <c r="Q21" s="630">
        <f>MAX(Q11:Q19)</f>
        <v>1.1115187186582705</v>
      </c>
      <c r="R21" s="631"/>
      <c r="S21" s="632">
        <f t="shared" ref="S21:Y21" si="13">MAX(S11:S19)</f>
        <v>1.2354738619277235</v>
      </c>
      <c r="T21" s="632">
        <f t="shared" si="13"/>
        <v>17.844566565384486</v>
      </c>
      <c r="U21" s="633">
        <f t="shared" si="13"/>
        <v>17.391506772829285</v>
      </c>
      <c r="V21" s="633">
        <f t="shared" si="13"/>
        <v>1</v>
      </c>
      <c r="W21" s="633">
        <f t="shared" si="13"/>
        <v>1</v>
      </c>
      <c r="X21" s="623">
        <f t="shared" si="13"/>
        <v>102791.37166127743</v>
      </c>
      <c r="Y21" s="634">
        <f t="shared" si="13"/>
        <v>0.95987329855449977</v>
      </c>
      <c r="AD21" s="1217"/>
      <c r="AE21" s="16"/>
      <c r="AF21" s="16"/>
      <c r="AG21" s="16"/>
      <c r="AH21" s="16"/>
    </row>
    <row r="22" spans="2:36" ht="12.75" customHeight="1">
      <c r="B22" s="278" t="s">
        <v>45</v>
      </c>
      <c r="C22" s="73"/>
      <c r="D22" s="89">
        <f t="shared" ref="D22:K22" si="14">QUARTILE(D11:D19,3)</f>
        <v>5765.9263099999998</v>
      </c>
      <c r="E22" s="89">
        <f t="shared" si="14"/>
        <v>439.75547999999998</v>
      </c>
      <c r="F22" s="89" t="e">
        <f t="shared" si="14"/>
        <v>#NUM!</v>
      </c>
      <c r="G22" s="89">
        <f t="shared" si="14"/>
        <v>27.692299999999999</v>
      </c>
      <c r="H22" s="89">
        <f t="shared" si="14"/>
        <v>459.35265999999996</v>
      </c>
      <c r="I22" s="89">
        <f t="shared" si="14"/>
        <v>6478.8820299999998</v>
      </c>
      <c r="J22" s="89">
        <f t="shared" si="14"/>
        <v>419.44011999999998</v>
      </c>
      <c r="K22" s="89">
        <f t="shared" si="14"/>
        <v>6001.9605499999998</v>
      </c>
      <c r="L22" s="73"/>
      <c r="M22" s="116">
        <f>QUARTILE(M11:M19,3)</f>
        <v>7.254E-3</v>
      </c>
      <c r="N22" s="89">
        <f>QUARTILE(N11:N19,3)</f>
        <v>2.7123287671232879</v>
      </c>
      <c r="O22" s="181">
        <f>QUARTILE(O11:O19,3)</f>
        <v>2.5983561643835616E-2</v>
      </c>
      <c r="P22" s="182"/>
      <c r="Q22" s="183">
        <f>QUARTILE(Q11:Q19,3)</f>
        <v>0.57073646955180102</v>
      </c>
      <c r="R22" s="184"/>
      <c r="S22" s="185">
        <f t="shared" ref="S22:Y22" si="15">QUARTILE(S11:S19,3)</f>
        <v>0.32574011767645389</v>
      </c>
      <c r="T22" s="185">
        <f t="shared" si="15"/>
        <v>4.2444339820066297</v>
      </c>
      <c r="U22" s="186">
        <f t="shared" si="15"/>
        <v>3.5292099313515184</v>
      </c>
      <c r="V22" s="186">
        <f t="shared" si="15"/>
        <v>0.99998904270641942</v>
      </c>
      <c r="W22" s="186">
        <f t="shared" si="15"/>
        <v>0.99979159882475521</v>
      </c>
      <c r="X22" s="89">
        <f t="shared" si="15"/>
        <v>5275.4098240734629</v>
      </c>
      <c r="Y22" s="187">
        <f t="shared" si="15"/>
        <v>0.52865831125560614</v>
      </c>
      <c r="AD22" s="1217"/>
      <c r="AE22" s="16"/>
      <c r="AF22" s="16"/>
      <c r="AG22" s="16"/>
      <c r="AH22" s="16"/>
    </row>
    <row r="23" spans="2:36" ht="12.75" customHeight="1">
      <c r="B23" s="278" t="s">
        <v>43</v>
      </c>
      <c r="C23" s="73"/>
      <c r="D23" s="89">
        <f t="shared" ref="D23:K23" si="16">AVERAGE(D11:D19)</f>
        <v>15047.271703333328</v>
      </c>
      <c r="E23" s="89">
        <f t="shared" si="16"/>
        <v>269.21768222222227</v>
      </c>
      <c r="F23" s="89" t="e">
        <f t="shared" si="16"/>
        <v>#DIV/0!</v>
      </c>
      <c r="G23" s="89">
        <f t="shared" si="16"/>
        <v>18.960129999999999</v>
      </c>
      <c r="H23" s="89">
        <f t="shared" si="16"/>
        <v>275.53772555555554</v>
      </c>
      <c r="I23" s="89">
        <f t="shared" si="16"/>
        <v>15322.809428888888</v>
      </c>
      <c r="J23" s="89">
        <f t="shared" si="16"/>
        <v>391.75221111111119</v>
      </c>
      <c r="K23" s="89">
        <f t="shared" si="16"/>
        <v>14931.057217777778</v>
      </c>
      <c r="L23" s="73"/>
      <c r="M23" s="116">
        <f>AVERAGE(M11:M19)</f>
        <v>5.4676666666666667E-3</v>
      </c>
      <c r="N23" s="89">
        <f>AVERAGE(N11:N19)</f>
        <v>2.7123287671232883</v>
      </c>
      <c r="O23" s="181">
        <f>AVERAGE(O11:O19)</f>
        <v>2.5983561643835616E-2</v>
      </c>
      <c r="P23" s="182"/>
      <c r="Q23" s="183">
        <f>AVERAGE(Q11:Q19)</f>
        <v>0.51185001541322572</v>
      </c>
      <c r="R23" s="184"/>
      <c r="S23" s="185">
        <f t="shared" ref="S23:Y23" si="17">AVERAGE(S11:S19)</f>
        <v>0.31607981946680236</v>
      </c>
      <c r="T23" s="185">
        <f t="shared" si="17"/>
        <v>5.5218907167946849</v>
      </c>
      <c r="U23" s="186">
        <f t="shared" si="17"/>
        <v>4.7833566663493361</v>
      </c>
      <c r="V23" s="186">
        <f t="shared" si="17"/>
        <v>0.87731961371208689</v>
      </c>
      <c r="W23" s="186">
        <f t="shared" si="17"/>
        <v>0.79648987690918738</v>
      </c>
      <c r="X23" s="89">
        <f t="shared" si="17"/>
        <v>13620.744923259985</v>
      </c>
      <c r="Y23" s="187">
        <f t="shared" si="17"/>
        <v>0.45393052505810733</v>
      </c>
      <c r="AD23" s="1217"/>
      <c r="AE23" s="16"/>
      <c r="AF23" s="16"/>
      <c r="AG23" s="16"/>
      <c r="AH23" s="1218"/>
    </row>
    <row r="24" spans="2:36" ht="12.75" customHeight="1">
      <c r="B24" s="278" t="s">
        <v>3</v>
      </c>
      <c r="C24" s="73"/>
      <c r="D24" s="89">
        <f t="shared" ref="D24:K24" si="18">MEDIAN(D11:D19)</f>
        <v>2482.30575</v>
      </c>
      <c r="E24" s="89">
        <f t="shared" si="18"/>
        <v>140.26900000000001</v>
      </c>
      <c r="F24" s="89" t="e">
        <f t="shared" si="18"/>
        <v>#NUM!</v>
      </c>
      <c r="G24" s="89">
        <f t="shared" si="18"/>
        <v>19.597180000000002</v>
      </c>
      <c r="H24" s="89">
        <f t="shared" si="18"/>
        <v>140.26900000000001</v>
      </c>
      <c r="I24" s="89">
        <f t="shared" si="18"/>
        <v>2841.7547500000001</v>
      </c>
      <c r="J24" s="89">
        <f t="shared" si="18"/>
        <v>244.9426</v>
      </c>
      <c r="K24" s="89">
        <f t="shared" si="18"/>
        <v>2515.66275</v>
      </c>
      <c r="L24" s="73"/>
      <c r="M24" s="116">
        <f>MEDIAN(M11:M19)</f>
        <v>6.96E-4</v>
      </c>
      <c r="N24" s="89">
        <f>MEDIAN(N11:N19)</f>
        <v>2.7123287671232879</v>
      </c>
      <c r="O24" s="181">
        <f>MEDIAN(O11:O19)</f>
        <v>2.5983561643835616E-2</v>
      </c>
      <c r="P24" s="182"/>
      <c r="Q24" s="183">
        <f>MEDIAN(Q11:Q19)</f>
        <v>0.43428111568006561</v>
      </c>
      <c r="R24" s="184"/>
      <c r="S24" s="185">
        <f t="shared" ref="S24:Y24" si="19">MEDIAN(S11:S19)</f>
        <v>0.18860008743632253</v>
      </c>
      <c r="T24" s="185">
        <f t="shared" si="19"/>
        <v>3.5401645146875143</v>
      </c>
      <c r="U24" s="186">
        <f t="shared" si="19"/>
        <v>2.9064688657290616</v>
      </c>
      <c r="V24" s="186">
        <f t="shared" si="19"/>
        <v>0.99980006116087095</v>
      </c>
      <c r="W24" s="186">
        <f t="shared" si="19"/>
        <v>0.99817233363383107</v>
      </c>
      <c r="X24" s="89">
        <f t="shared" si="19"/>
        <v>2187.2515325118557</v>
      </c>
      <c r="Y24" s="187">
        <f t="shared" si="19"/>
        <v>0.36600350725091058</v>
      </c>
      <c r="AD24" s="1219"/>
      <c r="AE24" s="16"/>
      <c r="AF24" s="16"/>
      <c r="AG24" s="16"/>
      <c r="AH24" s="16"/>
    </row>
    <row r="25" spans="2:36" ht="12.75" customHeight="1">
      <c r="B25" s="278" t="s">
        <v>44</v>
      </c>
      <c r="C25" s="73"/>
      <c r="D25" s="89">
        <f t="shared" ref="D25:K25" si="20">QUARTILE(D11:D19,1)</f>
        <v>1705.28388</v>
      </c>
      <c r="E25" s="89">
        <f t="shared" si="20"/>
        <v>22.171900000000001</v>
      </c>
      <c r="F25" s="89" t="e">
        <f t="shared" si="20"/>
        <v>#NUM!</v>
      </c>
      <c r="G25" s="89">
        <f t="shared" si="20"/>
        <v>10.546485000000001</v>
      </c>
      <c r="H25" s="89">
        <f t="shared" si="20"/>
        <v>22.171900000000001</v>
      </c>
      <c r="I25" s="89">
        <f t="shared" si="20"/>
        <v>1811.4944</v>
      </c>
      <c r="J25" s="89">
        <f t="shared" si="20"/>
        <v>92.739000000000004</v>
      </c>
      <c r="K25" s="89">
        <f t="shared" si="20"/>
        <v>1686.1324</v>
      </c>
      <c r="L25" s="73"/>
      <c r="M25" s="116">
        <f>QUARTILE(M11:M19,1)</f>
        <v>0</v>
      </c>
      <c r="N25" s="89">
        <f>QUARTILE(N11:N19,1)</f>
        <v>2.7123287671232879</v>
      </c>
      <c r="O25" s="181">
        <f>QUARTILE(O11:O19,1)</f>
        <v>2.5983561643835616E-2</v>
      </c>
      <c r="P25" s="182"/>
      <c r="Q25" s="183">
        <f>QUARTILE(Q11:Q19,1)</f>
        <v>0.38477740391868537</v>
      </c>
      <c r="R25" s="184"/>
      <c r="S25" s="185">
        <f t="shared" ref="S25:Y25" si="21">QUARTILE(S11:S19,1)</f>
        <v>0.14805365056640316</v>
      </c>
      <c r="T25" s="185">
        <f t="shared" si="21"/>
        <v>1.8681606566598166</v>
      </c>
      <c r="U25" s="186">
        <f t="shared" si="21"/>
        <v>1.1047670490946948</v>
      </c>
      <c r="V25" s="186">
        <f t="shared" si="21"/>
        <v>0.96913015955472659</v>
      </c>
      <c r="W25" s="186">
        <f t="shared" si="21"/>
        <v>0.86536972906134246</v>
      </c>
      <c r="X25" s="89">
        <f t="shared" si="21"/>
        <v>312.38944152054529</v>
      </c>
      <c r="Y25" s="187">
        <f t="shared" si="21"/>
        <v>0.32520302852903693</v>
      </c>
      <c r="AD25" s="1219"/>
      <c r="AE25" s="16"/>
      <c r="AF25" s="16"/>
      <c r="AG25" s="16"/>
      <c r="AH25" s="16"/>
    </row>
    <row r="26" spans="2:36" ht="12.75" customHeight="1">
      <c r="B26" s="90" t="s">
        <v>42</v>
      </c>
      <c r="C26" s="67"/>
      <c r="D26" s="70">
        <f t="shared" ref="D26:K26" si="22">MIN(D11:D19)</f>
        <v>266.04825</v>
      </c>
      <c r="E26" s="70">
        <f t="shared" si="22"/>
        <v>0</v>
      </c>
      <c r="F26" s="70">
        <f t="shared" si="22"/>
        <v>0</v>
      </c>
      <c r="G26" s="70">
        <f t="shared" si="22"/>
        <v>1.49579</v>
      </c>
      <c r="H26" s="70">
        <f t="shared" si="22"/>
        <v>0</v>
      </c>
      <c r="I26" s="70">
        <f t="shared" si="22"/>
        <v>406.31725</v>
      </c>
      <c r="J26" s="70">
        <f t="shared" si="22"/>
        <v>26.706</v>
      </c>
      <c r="K26" s="70">
        <f t="shared" si="22"/>
        <v>333.05188999999996</v>
      </c>
      <c r="L26" s="67"/>
      <c r="M26" s="118">
        <f>MIN(M11:M19)</f>
        <v>0</v>
      </c>
      <c r="N26" s="70">
        <f>MIN(N11:N19)</f>
        <v>2.7123287671232879</v>
      </c>
      <c r="O26" s="635">
        <f>MIN(O11:O19)</f>
        <v>2.5983561643835616E-2</v>
      </c>
      <c r="P26" s="636"/>
      <c r="Q26" s="637">
        <f>MIN(Q11:Q19)</f>
        <v>0.27509605137080317</v>
      </c>
      <c r="R26" s="638"/>
      <c r="S26" s="639">
        <f t="shared" ref="S26:Y26" si="23">MIN(S11:S19)</f>
        <v>7.567783747980758E-2</v>
      </c>
      <c r="T26" s="639">
        <f t="shared" si="23"/>
        <v>0</v>
      </c>
      <c r="U26" s="640">
        <f t="shared" si="23"/>
        <v>-0.33292457479155035</v>
      </c>
      <c r="V26" s="640">
        <f t="shared" si="23"/>
        <v>0</v>
      </c>
      <c r="W26" s="640">
        <f t="shared" si="23"/>
        <v>0</v>
      </c>
      <c r="X26" s="70">
        <f t="shared" si="23"/>
        <v>0</v>
      </c>
      <c r="Y26" s="641">
        <f t="shared" si="23"/>
        <v>0.25591752072370388</v>
      </c>
      <c r="AD26" s="16"/>
      <c r="AE26" s="16"/>
      <c r="AF26" s="16"/>
      <c r="AG26" s="16"/>
      <c r="AH26" s="16"/>
    </row>
    <row r="27" spans="2:36" ht="12.75" customHeight="1">
      <c r="AD27" s="1215"/>
      <c r="AE27" s="16"/>
      <c r="AF27" s="16"/>
      <c r="AG27" s="16"/>
      <c r="AH27" s="16"/>
    </row>
    <row r="28" spans="2:36" ht="12.75" customHeight="1">
      <c r="B28" s="1" t="str">
        <f>Comp.1!B23</f>
        <v>Tier 2</v>
      </c>
      <c r="D28" s="311"/>
      <c r="E28" s="311"/>
      <c r="F28" s="311"/>
      <c r="G28" s="311"/>
      <c r="H28" s="311"/>
      <c r="I28" s="311"/>
      <c r="J28" s="311"/>
      <c r="K28" s="311"/>
      <c r="M28" s="51"/>
      <c r="N28" s="311"/>
      <c r="O28" s="176"/>
      <c r="P28" s="177"/>
      <c r="Q28" s="178"/>
      <c r="R28" s="43"/>
      <c r="S28" s="179"/>
      <c r="T28" s="179"/>
      <c r="U28" s="180"/>
      <c r="V28" s="180"/>
      <c r="W28" s="180"/>
      <c r="X28" s="81"/>
      <c r="Y28" s="178"/>
      <c r="AB28" s="82"/>
      <c r="AC28" s="311"/>
      <c r="AD28" s="83"/>
      <c r="AJ28" s="84"/>
    </row>
    <row r="29" spans="2:36" ht="12.75" customHeight="1">
      <c r="B29" s="310" t="str">
        <f>Comp.1!B24</f>
        <v>Amicus Therapeutics, Inc.</v>
      </c>
      <c r="D29" s="311">
        <f>'Capital IQ Sheet-GPC'!J22</f>
        <v>2943.9233800000002</v>
      </c>
      <c r="E29" s="311">
        <f>'Capital IQ Sheet-GPC'!K22</f>
        <v>166.768</v>
      </c>
      <c r="F29" s="311" t="str">
        <f>'Capital IQ Sheet-GPC'!L22</f>
        <v>n/a</v>
      </c>
      <c r="G29" s="311" t="str">
        <f>'Capital IQ Sheet-GPC'!M22</f>
        <v>n/a</v>
      </c>
      <c r="H29" s="311">
        <f>SUM(E29:G29)</f>
        <v>166.768</v>
      </c>
      <c r="I29" s="311">
        <f>SUM(D29:G29)</f>
        <v>3110.6913800000002</v>
      </c>
      <c r="J29" s="311">
        <f>'Capital IQ Sheet-GPC'!N22</f>
        <v>562.52</v>
      </c>
      <c r="K29" s="311">
        <f>I29-J29</f>
        <v>2548.1713800000002</v>
      </c>
      <c r="M29" s="51">
        <f>IFERROR('Capital IQ Sheet-GPC'!AT22,"n/a")</f>
        <v>0</v>
      </c>
      <c r="N29" s="311">
        <f t="shared" si="3"/>
        <v>2.7123287671232879</v>
      </c>
      <c r="O29" s="176">
        <f t="shared" si="3"/>
        <v>2.5983561643835616E-2</v>
      </c>
      <c r="P29" s="177"/>
      <c r="Q29" s="178">
        <f>IFERROR(HLOOKUP($Q$6,'Equity Vol'!$B$8:$H22,ROWS('Equity Vol'!$C$8:$C22),FALSE),"n/a")</f>
        <v>0.81713503666063581</v>
      </c>
      <c r="R29" s="43"/>
      <c r="S29" s="179">
        <f>IFERROR(IF(Q29="n/a","n/a",Q29^2),"n/a")</f>
        <v>0.66770966813837862</v>
      </c>
      <c r="T29" s="179">
        <f>IF(OR(K29="n/a",S29="n/a"),"n/a",IF(H29=0,0,IF(M29=0,(LN(K29/H29)+((O29+(S29/2))*N29))/((S29*N29)^0.5),(LN(K29/H29)+((O29-M29+(S29/2))*N29))/((S29*N29)^0.5))))</f>
        <v>2.751270660215122</v>
      </c>
      <c r="U29" s="180">
        <f>IF(T29="n/a","n/a",IF(H29=0,0,T29-(S29*N29)^0.5))</f>
        <v>1.4055187733585335</v>
      </c>
      <c r="V29" s="180">
        <f>IF(OR(T29="n/a",S29="n/a"),"n/a",IF(H29=0,0,NORMSDIST(T29)))</f>
        <v>0.99703177142531474</v>
      </c>
      <c r="W29" s="180">
        <f>IF(OR(U29="n/a",S29="n/a"),"n/a",IF(H29=0,0,NORMSDIST(U29)))</f>
        <v>0.92006646458985697</v>
      </c>
      <c r="X29" s="81">
        <f>IF(OR(K29="n/a",S29="n/a"),"n/a",IF(M29=0,(K29*V29)-((H29*EXP(1)^(-O29*N29))*W29),(K29*(2.718^(-M29*N29))*V29)-(H29*(2.718^(-O29*N29))*W29)))</f>
        <v>2397.6115906678715</v>
      </c>
      <c r="Y29" s="178">
        <f>IFERROR(IF(LEN(B29)&gt;0,IF(H29=0,Q29,IF(ISERROR(Q29/((K29/X29)*V29)),"n/a",Q29/((K29/X29)*V29)))),"n/a")</f>
        <v>0.771143194884092</v>
      </c>
      <c r="AA29" s="310">
        <v>1</v>
      </c>
      <c r="AB29" s="82" t="str">
        <f>IF('MASTER PubCo Inputs'!B37=0,"",'MASTER PubCo Inputs'!B37)</f>
        <v>NasdaqGM:FOLD</v>
      </c>
      <c r="AC29" s="311">
        <f>'Capital IQ Sheet-GPC'!H22</f>
        <v>2548.1713800000002</v>
      </c>
      <c r="AD29" s="83">
        <f>K29-AC29</f>
        <v>0</v>
      </c>
      <c r="AJ29" s="84"/>
    </row>
    <row r="30" spans="2:36" ht="12.75" customHeight="1">
      <c r="B30" s="310" t="str">
        <f>Comp.1!B25</f>
        <v>Myovant Sciences Ltd.</v>
      </c>
      <c r="D30" s="311">
        <f>'Capital IQ Sheet-GPC'!J23</f>
        <v>1483.6912500000001</v>
      </c>
      <c r="E30" s="311">
        <f>'Capital IQ Sheet-GPC'!K23</f>
        <v>43.624000000000002</v>
      </c>
      <c r="F30" s="311" t="str">
        <f>'Capital IQ Sheet-GPC'!L23</f>
        <v>n/a</v>
      </c>
      <c r="G30" s="311" t="str">
        <f>'Capital IQ Sheet-GPC'!M23</f>
        <v>n/a</v>
      </c>
      <c r="H30" s="311">
        <f t="shared" ref="H30:H46" si="24">SUM(E30:G30)</f>
        <v>43.624000000000002</v>
      </c>
      <c r="I30" s="311">
        <f t="shared" ref="I30:I46" si="25">SUM(D30:G30)</f>
        <v>1527.3152500000001</v>
      </c>
      <c r="J30" s="311">
        <f>'Capital IQ Sheet-GPC'!N23</f>
        <v>108.624</v>
      </c>
      <c r="K30" s="311">
        <f t="shared" ref="K30:K46" si="26">I30-J30</f>
        <v>1418.6912500000001</v>
      </c>
      <c r="M30" s="51">
        <f>IFERROR('Capital IQ Sheet-GPC'!AT23,"n/a")</f>
        <v>0</v>
      </c>
      <c r="N30" s="311">
        <f t="shared" si="3"/>
        <v>2.7123287671232879</v>
      </c>
      <c r="O30" s="176">
        <f t="shared" si="3"/>
        <v>2.5983561643835616E-2</v>
      </c>
      <c r="P30" s="177"/>
      <c r="Q30" s="178">
        <f>IFERROR(HLOOKUP($Q$6,'Equity Vol'!$B$8:$H23,ROWS('Equity Vol'!$C$8:$C23),FALSE),"n/a")</f>
        <v>0.58241620249703041</v>
      </c>
      <c r="R30" s="43"/>
      <c r="S30" s="179">
        <f t="shared" ref="S30:S52" si="27">IFERROR(IF(Q30="n/a","n/a",Q30^2),"n/a")</f>
        <v>0.33920863293106196</v>
      </c>
      <c r="T30" s="179">
        <f t="shared" ref="T30:T52" si="28">IF(OR(K30="n/a",S30="n/a"),"n/a",IF(H30=0,0,IF(M30=0,(LN(K30/H30)+((O30+(S30/2))*N30))/((S30*N30)^0.5),(LN(K30/H30)+((O30-M30+(S30/2))*N30))/((S30*N30)^0.5))))</f>
        <v>4.1830935575207322</v>
      </c>
      <c r="U30" s="180">
        <f t="shared" ref="U30:U52" si="29">IF(T30="n/a","n/a",IF(H30=0,0,T30-(S30*N30)^0.5))</f>
        <v>3.2239036216084109</v>
      </c>
      <c r="V30" s="180">
        <f t="shared" ref="V30:V52" si="30">IF(OR(T30="n/a",S30="n/a"),"n/a",IF(H30=0,0,NORMSDIST(T30)))</f>
        <v>0.99998562155109316</v>
      </c>
      <c r="W30" s="180">
        <f t="shared" ref="W30:W52" si="31">IF(OR(U30="n/a",S30="n/a"),"n/a",IF(H30=0,0,NORMSDIST(U30)))</f>
        <v>0.99936772024144627</v>
      </c>
      <c r="X30" s="81">
        <f t="shared" ref="X30:X52" si="32">IF(OR(K30="n/a",S30="n/a"),"n/a",IF(M30=0,(K30*V30)-((H30*EXP(1)^(-O30*N30))*W30),(K30*(2.718^(-M30*N30))*V30)-(H30*(2.718^(-O30*N30))*W30)))</f>
        <v>1378.0411640193142</v>
      </c>
      <c r="Y30" s="178">
        <f t="shared" ref="Y30:Y52" si="33">IFERROR(IF(LEN(B30)&gt;0,IF(H30=0,Q30,IF(ISERROR(Q30/((K30/X30)*V30)),"n/a",Q30/((K30/X30)*V30)))),"n/a")</f>
        <v>0.56573623178989996</v>
      </c>
      <c r="AA30" s="310">
        <v>1</v>
      </c>
      <c r="AB30" s="82" t="str">
        <f>IF('MASTER PubCo Inputs'!B38=0,"",'MASTER PubCo Inputs'!B38)</f>
        <v>NYSE:MYOV</v>
      </c>
      <c r="AC30" s="311">
        <f>'Capital IQ Sheet-GPC'!H23</f>
        <v>1418.6912500000001</v>
      </c>
      <c r="AD30" s="83">
        <f t="shared" ref="AD30:AD46" si="34">K30-AC30</f>
        <v>0</v>
      </c>
      <c r="AJ30" s="84"/>
    </row>
    <row r="31" spans="2:36" ht="12.75" customHeight="1">
      <c r="B31" s="310" t="str">
        <f>Comp.1!B26</f>
        <v>Lexicon Pharmaceuticals, Inc.</v>
      </c>
      <c r="D31" s="311">
        <f>'Capital IQ Sheet-GPC'!J24</f>
        <v>1269.98242</v>
      </c>
      <c r="E31" s="311">
        <f>'Capital IQ Sheet-GPC'!K24</f>
        <v>245.39599999999999</v>
      </c>
      <c r="F31" s="311" t="str">
        <f>'Capital IQ Sheet-GPC'!L24</f>
        <v>n/a</v>
      </c>
      <c r="G31" s="311" t="str">
        <f>'Capital IQ Sheet-GPC'!M24</f>
        <v>n/a</v>
      </c>
      <c r="H31" s="311">
        <f t="shared" si="24"/>
        <v>245.39599999999999</v>
      </c>
      <c r="I31" s="311">
        <f t="shared" si="25"/>
        <v>1515.37842</v>
      </c>
      <c r="J31" s="311">
        <f>'Capital IQ Sheet-GPC'!N24</f>
        <v>262.27199999999999</v>
      </c>
      <c r="K31" s="311">
        <f t="shared" si="26"/>
        <v>1253.1064200000001</v>
      </c>
      <c r="M31" s="51">
        <f>IFERROR('Capital IQ Sheet-GPC'!AT24,"n/a")</f>
        <v>0</v>
      </c>
      <c r="N31" s="311">
        <f t="shared" si="3"/>
        <v>2.7123287671232879</v>
      </c>
      <c r="O31" s="176">
        <f t="shared" si="3"/>
        <v>2.5983561643835616E-2</v>
      </c>
      <c r="P31" s="177"/>
      <c r="Q31" s="178">
        <f>IFERROR(HLOOKUP($Q$6,'Equity Vol'!$B$8:$H24,ROWS('Equity Vol'!$C$8:$C24),FALSE),"n/a")</f>
        <v>0.6049406608063348</v>
      </c>
      <c r="R31" s="43"/>
      <c r="S31" s="179">
        <f t="shared" si="27"/>
        <v>0.36595320309680501</v>
      </c>
      <c r="T31" s="179">
        <f t="shared" si="28"/>
        <v>2.205467856325789</v>
      </c>
      <c r="U31" s="180">
        <f t="shared" si="29"/>
        <v>1.2091820538672899</v>
      </c>
      <c r="V31" s="180">
        <f t="shared" si="30"/>
        <v>0.98628935950957997</v>
      </c>
      <c r="W31" s="180">
        <f t="shared" si="31"/>
        <v>0.88670354461773648</v>
      </c>
      <c r="X31" s="81">
        <f t="shared" si="32"/>
        <v>1033.1392323848233</v>
      </c>
      <c r="Y31" s="178">
        <f t="shared" si="33"/>
        <v>0.50568413354441044</v>
      </c>
      <c r="AA31" s="310">
        <v>1</v>
      </c>
      <c r="AB31" s="82" t="str">
        <f>IF('MASTER PubCo Inputs'!B39=0,"",'MASTER PubCo Inputs'!B39)</f>
        <v>NasdaqGS:LXRX</v>
      </c>
      <c r="AC31" s="311">
        <f>'Capital IQ Sheet-GPC'!H24</f>
        <v>1253.1064200000001</v>
      </c>
      <c r="AD31" s="83">
        <f t="shared" si="34"/>
        <v>0</v>
      </c>
      <c r="AJ31" s="84"/>
    </row>
    <row r="32" spans="2:36" ht="12.75" customHeight="1">
      <c r="B32" s="310" t="str">
        <f>Comp.1!B27</f>
        <v>Rhythm Pharmaceuticals, Inc.</v>
      </c>
      <c r="D32" s="311">
        <f>'Capital IQ Sheet-GPC'!J25</f>
        <v>1066.6532199999999</v>
      </c>
      <c r="E32" s="311">
        <f>'Capital IQ Sheet-GPC'!K25</f>
        <v>0</v>
      </c>
      <c r="F32" s="311" t="str">
        <f>'Capital IQ Sheet-GPC'!L25</f>
        <v>n/a</v>
      </c>
      <c r="G32" s="311" t="str">
        <f>'Capital IQ Sheet-GPC'!M25</f>
        <v>n/a</v>
      </c>
      <c r="H32" s="311">
        <f t="shared" si="24"/>
        <v>0</v>
      </c>
      <c r="I32" s="311">
        <f t="shared" si="25"/>
        <v>1066.6532199999999</v>
      </c>
      <c r="J32" s="311">
        <f>'Capital IQ Sheet-GPC'!N25</f>
        <v>136.453</v>
      </c>
      <c r="K32" s="311">
        <f t="shared" si="26"/>
        <v>930.20021999999994</v>
      </c>
      <c r="M32" s="51">
        <f>IFERROR('Capital IQ Sheet-GPC'!AT25,"n/a")</f>
        <v>0</v>
      </c>
      <c r="N32" s="311">
        <f t="shared" si="3"/>
        <v>2.7123287671232879</v>
      </c>
      <c r="O32" s="176">
        <f t="shared" si="3"/>
        <v>2.5983561643835616E-2</v>
      </c>
      <c r="P32" s="177"/>
      <c r="Q32" s="178" t="str">
        <f>IFERROR(HLOOKUP($Q$6,'Equity Vol'!$B$8:$H25,ROWS('Equity Vol'!$C$8:$C25),FALSE),"n/a")</f>
        <v>NM</v>
      </c>
      <c r="R32" s="43"/>
      <c r="S32" s="179" t="str">
        <f t="shared" si="27"/>
        <v>n/a</v>
      </c>
      <c r="T32" s="179" t="str">
        <f t="shared" si="28"/>
        <v>n/a</v>
      </c>
      <c r="U32" s="180" t="str">
        <f t="shared" si="29"/>
        <v>n/a</v>
      </c>
      <c r="V32" s="180" t="str">
        <f t="shared" si="30"/>
        <v>n/a</v>
      </c>
      <c r="W32" s="180" t="str">
        <f t="shared" si="31"/>
        <v>n/a</v>
      </c>
      <c r="X32" s="81" t="str">
        <f t="shared" si="32"/>
        <v>n/a</v>
      </c>
      <c r="Y32" s="178" t="str">
        <f t="shared" si="33"/>
        <v>NM</v>
      </c>
      <c r="AA32" s="310">
        <v>1</v>
      </c>
      <c r="AB32" s="82" t="str">
        <f>IF('MASTER PubCo Inputs'!B40=0,"",'MASTER PubCo Inputs'!B40)</f>
        <v>NasdaqGM:RYTM</v>
      </c>
      <c r="AC32" s="311">
        <f>'Capital IQ Sheet-GPC'!H25</f>
        <v>930.20021999999994</v>
      </c>
      <c r="AD32" s="83">
        <f t="shared" si="34"/>
        <v>0</v>
      </c>
      <c r="AJ32" s="84"/>
    </row>
    <row r="33" spans="2:36" ht="12.75" customHeight="1">
      <c r="B33" s="310" t="str">
        <f>Comp.1!B28</f>
        <v>Aptinyx Inc.</v>
      </c>
      <c r="D33" s="311">
        <f>'Capital IQ Sheet-GPC'!J26</f>
        <v>809.60373000000004</v>
      </c>
      <c r="E33" s="311">
        <f>'Capital IQ Sheet-GPC'!K26</f>
        <v>0</v>
      </c>
      <c r="F33" s="311">
        <f>'Capital IQ Sheet-GPC'!L26</f>
        <v>132.386</v>
      </c>
      <c r="G33" s="311" t="str">
        <f>'Capital IQ Sheet-GPC'!M26</f>
        <v>n/a</v>
      </c>
      <c r="H33" s="311">
        <f t="shared" si="24"/>
        <v>132.386</v>
      </c>
      <c r="I33" s="311">
        <f t="shared" si="25"/>
        <v>941.98973000000001</v>
      </c>
      <c r="J33" s="311">
        <f>'Capital IQ Sheet-GPC'!N26</f>
        <v>82.35</v>
      </c>
      <c r="K33" s="311">
        <f t="shared" si="26"/>
        <v>859.63972999999999</v>
      </c>
      <c r="M33" s="51">
        <f>IFERROR('Capital IQ Sheet-GPC'!AT26,"n/a")</f>
        <v>0</v>
      </c>
      <c r="N33" s="311">
        <f t="shared" si="3"/>
        <v>2.7123287671232879</v>
      </c>
      <c r="O33" s="176">
        <f t="shared" si="3"/>
        <v>2.5983561643835616E-2</v>
      </c>
      <c r="P33" s="177"/>
      <c r="Q33" s="178" t="str">
        <f>IFERROR(HLOOKUP($Q$6,'Equity Vol'!$B$8:$H26,ROWS('Equity Vol'!$C$8:$C26),FALSE),"n/a")</f>
        <v>NM</v>
      </c>
      <c r="R33" s="43"/>
      <c r="S33" s="179" t="str">
        <f t="shared" si="27"/>
        <v>n/a</v>
      </c>
      <c r="T33" s="179" t="str">
        <f t="shared" si="28"/>
        <v>n/a</v>
      </c>
      <c r="U33" s="180" t="str">
        <f t="shared" si="29"/>
        <v>n/a</v>
      </c>
      <c r="V33" s="180" t="str">
        <f t="shared" si="30"/>
        <v>n/a</v>
      </c>
      <c r="W33" s="180" t="str">
        <f t="shared" si="31"/>
        <v>n/a</v>
      </c>
      <c r="X33" s="81" t="str">
        <f t="shared" si="32"/>
        <v>n/a</v>
      </c>
      <c r="Y33" s="178" t="str">
        <f t="shared" si="33"/>
        <v>n/a</v>
      </c>
      <c r="AA33" s="310">
        <v>1</v>
      </c>
      <c r="AB33" s="82" t="str">
        <f>IF('MASTER PubCo Inputs'!B41=0,"",'MASTER PubCo Inputs'!B41)</f>
        <v>NasdaqGS:APTX</v>
      </c>
      <c r="AC33" s="311">
        <f>'Capital IQ Sheet-GPC'!H26</f>
        <v>859.63972999999999</v>
      </c>
      <c r="AD33" s="83">
        <f t="shared" si="34"/>
        <v>0</v>
      </c>
      <c r="AJ33" s="84"/>
    </row>
    <row r="34" spans="2:36" ht="12.75" customHeight="1">
      <c r="B34" s="310" t="str">
        <f>Comp.1!B29</f>
        <v>BeyondSpring Inc.</v>
      </c>
      <c r="D34" s="311">
        <f>'Capital IQ Sheet-GPC'!J27</f>
        <v>614.36387000000002</v>
      </c>
      <c r="E34" s="311">
        <f>'Capital IQ Sheet-GPC'!K27</f>
        <v>0</v>
      </c>
      <c r="F34" s="311" t="str">
        <f>'Capital IQ Sheet-GPC'!L27</f>
        <v>n/a</v>
      </c>
      <c r="G34" s="311">
        <f>'Capital IQ Sheet-GPC'!M27</f>
        <v>0.56799999999999995</v>
      </c>
      <c r="H34" s="311">
        <f t="shared" si="24"/>
        <v>0.56799999999999995</v>
      </c>
      <c r="I34" s="311">
        <f t="shared" si="25"/>
        <v>614.93187</v>
      </c>
      <c r="J34" s="311">
        <f>'Capital IQ Sheet-GPC'!N27</f>
        <v>21.538</v>
      </c>
      <c r="K34" s="311">
        <f t="shared" si="26"/>
        <v>593.39386999999999</v>
      </c>
      <c r="M34" s="51">
        <f>IFERROR('Capital IQ Sheet-GPC'!AT27,"n/a")</f>
        <v>0</v>
      </c>
      <c r="N34" s="311">
        <f t="shared" si="3"/>
        <v>2.7123287671232879</v>
      </c>
      <c r="O34" s="176">
        <f t="shared" si="3"/>
        <v>2.5983561643835616E-2</v>
      </c>
      <c r="P34" s="177"/>
      <c r="Q34" s="178">
        <f>IFERROR(HLOOKUP($Q$6,'Equity Vol'!$B$8:$H27,ROWS('Equity Vol'!$C$8:$C27),FALSE),"n/a")</f>
        <v>0.74997182580919175</v>
      </c>
      <c r="R34" s="43"/>
      <c r="S34" s="179">
        <f t="shared" si="27"/>
        <v>0.56245773950757261</v>
      </c>
      <c r="T34" s="179">
        <f t="shared" si="28"/>
        <v>6.302730589665912</v>
      </c>
      <c r="U34" s="180">
        <f t="shared" si="29"/>
        <v>5.067590797109002</v>
      </c>
      <c r="V34" s="180">
        <f t="shared" si="30"/>
        <v>0.99999999985377652</v>
      </c>
      <c r="W34" s="180">
        <f t="shared" si="31"/>
        <v>0.99999979855882926</v>
      </c>
      <c r="X34" s="81">
        <f t="shared" si="32"/>
        <v>592.86452233935825</v>
      </c>
      <c r="Y34" s="178">
        <f t="shared" si="33"/>
        <v>0.74930280008008587</v>
      </c>
      <c r="AA34" s="310">
        <v>1</v>
      </c>
      <c r="AB34" s="82" t="str">
        <f>IF('MASTER PubCo Inputs'!B42=0,"",'MASTER PubCo Inputs'!B42)</f>
        <v>NasdaqCM:BYSI</v>
      </c>
      <c r="AC34" s="311">
        <f>'Capital IQ Sheet-GPC'!H27</f>
        <v>593.39386999999999</v>
      </c>
      <c r="AD34" s="83">
        <f t="shared" si="34"/>
        <v>0</v>
      </c>
      <c r="AJ34" s="84"/>
    </row>
    <row r="35" spans="2:36" ht="12.75" customHeight="1">
      <c r="B35" s="310" t="str">
        <f>Comp.1!B30</f>
        <v>CymaBay Therapeutics, Inc.</v>
      </c>
      <c r="D35" s="311">
        <f>'Capital IQ Sheet-GPC'!J28</f>
        <v>788.67728</v>
      </c>
      <c r="E35" s="311">
        <f>'Capital IQ Sheet-GPC'!K28</f>
        <v>5.3609999999999998</v>
      </c>
      <c r="F35" s="311" t="str">
        <f>'Capital IQ Sheet-GPC'!L28</f>
        <v>n/a</v>
      </c>
      <c r="G35" s="311" t="str">
        <f>'Capital IQ Sheet-GPC'!M28</f>
        <v>n/a</v>
      </c>
      <c r="H35" s="311">
        <f t="shared" si="24"/>
        <v>5.3609999999999998</v>
      </c>
      <c r="I35" s="311">
        <f t="shared" si="25"/>
        <v>794.03827999999999</v>
      </c>
      <c r="J35" s="311">
        <f>'Capital IQ Sheet-GPC'!N28</f>
        <v>229.536</v>
      </c>
      <c r="K35" s="311">
        <f t="shared" si="26"/>
        <v>564.50227999999993</v>
      </c>
      <c r="M35" s="51">
        <f>IFERROR('Capital IQ Sheet-GPC'!AT28,"n/a")</f>
        <v>0</v>
      </c>
      <c r="N35" s="311">
        <f t="shared" si="3"/>
        <v>2.7123287671232879</v>
      </c>
      <c r="O35" s="176">
        <f t="shared" si="3"/>
        <v>2.5983561643835616E-2</v>
      </c>
      <c r="P35" s="177"/>
      <c r="Q35" s="178">
        <f>IFERROR(HLOOKUP($Q$6,'Equity Vol'!$B$8:$H28,ROWS('Equity Vol'!$C$8:$C28),FALSE),"n/a")</f>
        <v>0.80159679860663302</v>
      </c>
      <c r="R35" s="43"/>
      <c r="S35" s="179">
        <f t="shared" si="27"/>
        <v>0.64255742753640299</v>
      </c>
      <c r="T35" s="179">
        <f t="shared" si="28"/>
        <v>4.2409071758406354</v>
      </c>
      <c r="U35" s="180">
        <f t="shared" si="29"/>
        <v>2.9207454451289308</v>
      </c>
      <c r="V35" s="180">
        <f t="shared" si="30"/>
        <v>0.99998886909029039</v>
      </c>
      <c r="W35" s="180">
        <f t="shared" si="31"/>
        <v>0.99825402492558046</v>
      </c>
      <c r="X35" s="81">
        <f t="shared" si="32"/>
        <v>559.50853508021419</v>
      </c>
      <c r="Y35" s="178">
        <f t="shared" si="33"/>
        <v>0.79451449298796195</v>
      </c>
      <c r="AA35" s="310">
        <v>1</v>
      </c>
      <c r="AB35" s="82" t="str">
        <f>IF('MASTER PubCo Inputs'!B43=0,"",'MASTER PubCo Inputs'!B43)</f>
        <v>NasdaqGS:CBAY</v>
      </c>
      <c r="AC35" s="311">
        <f>'Capital IQ Sheet-GPC'!H28</f>
        <v>564.50228000000004</v>
      </c>
      <c r="AD35" s="83">
        <f t="shared" si="34"/>
        <v>0</v>
      </c>
      <c r="AJ35" s="84"/>
    </row>
    <row r="36" spans="2:36" ht="12.75" customHeight="1">
      <c r="B36" s="310" t="str">
        <f>Comp.1!B31</f>
        <v>Intra-Cellular Therapies, Inc.</v>
      </c>
      <c r="D36" s="311">
        <f>'Capital IQ Sheet-GPC'!J29</f>
        <v>966.48504000000003</v>
      </c>
      <c r="E36" s="311">
        <f>'Capital IQ Sheet-GPC'!K29</f>
        <v>0</v>
      </c>
      <c r="F36" s="311" t="str">
        <f>'Capital IQ Sheet-GPC'!L29</f>
        <v>n/a</v>
      </c>
      <c r="G36" s="311" t="str">
        <f>'Capital IQ Sheet-GPC'!M29</f>
        <v>n/a</v>
      </c>
      <c r="H36" s="311">
        <f t="shared" si="24"/>
        <v>0</v>
      </c>
      <c r="I36" s="311">
        <f t="shared" si="25"/>
        <v>966.48504000000003</v>
      </c>
      <c r="J36" s="311">
        <f>'Capital IQ Sheet-GPC'!N29</f>
        <v>437.00551000000002</v>
      </c>
      <c r="K36" s="311">
        <f t="shared" si="26"/>
        <v>529.47953000000007</v>
      </c>
      <c r="M36" s="51">
        <f>IFERROR('Capital IQ Sheet-GPC'!AT29,"n/a")</f>
        <v>0</v>
      </c>
      <c r="N36" s="311">
        <f t="shared" si="3"/>
        <v>2.7123287671232879</v>
      </c>
      <c r="O36" s="176">
        <f t="shared" si="3"/>
        <v>2.5983561643835616E-2</v>
      </c>
      <c r="P36" s="177"/>
      <c r="Q36" s="178">
        <f>IFERROR(HLOOKUP($Q$6,'Equity Vol'!$B$8:$H29,ROWS('Equity Vol'!$C$8:$C29),FALSE),"n/a")</f>
        <v>0.95468344999739974</v>
      </c>
      <c r="R36" s="43"/>
      <c r="S36" s="179">
        <f t="shared" si="27"/>
        <v>0.91142048969893763</v>
      </c>
      <c r="T36" s="179">
        <f t="shared" si="28"/>
        <v>0</v>
      </c>
      <c r="U36" s="180">
        <f t="shared" si="29"/>
        <v>0</v>
      </c>
      <c r="V36" s="180">
        <f t="shared" si="30"/>
        <v>0</v>
      </c>
      <c r="W36" s="180">
        <f t="shared" si="31"/>
        <v>0</v>
      </c>
      <c r="X36" s="81">
        <f t="shared" si="32"/>
        <v>0</v>
      </c>
      <c r="Y36" s="178">
        <f t="shared" si="33"/>
        <v>0.95468344999739974</v>
      </c>
      <c r="AA36" s="310">
        <v>1</v>
      </c>
      <c r="AB36" s="82" t="str">
        <f>IF('MASTER PubCo Inputs'!B44=0,"",'MASTER PubCo Inputs'!B44)</f>
        <v>NasdaqGS:ITCI</v>
      </c>
      <c r="AC36" s="311">
        <f>'Capital IQ Sheet-GPC'!H29</f>
        <v>529.47951999999998</v>
      </c>
      <c r="AD36" s="83">
        <f t="shared" si="34"/>
        <v>1.0000000088439265E-5</v>
      </c>
      <c r="AJ36" s="84"/>
    </row>
    <row r="37" spans="2:36" ht="12.75" customHeight="1">
      <c r="B37" s="310" t="str">
        <f>Comp.1!B32</f>
        <v>Viking Therapeutics, Inc.</v>
      </c>
      <c r="D37" s="311">
        <f>'Capital IQ Sheet-GPC'!J30</f>
        <v>565.20726999999999</v>
      </c>
      <c r="E37" s="311">
        <f>'Capital IQ Sheet-GPC'!K30</f>
        <v>3.7210000000000001</v>
      </c>
      <c r="F37" s="311" t="str">
        <f>'Capital IQ Sheet-GPC'!L30</f>
        <v>n/a</v>
      </c>
      <c r="G37" s="311" t="str">
        <f>'Capital IQ Sheet-GPC'!M30</f>
        <v>n/a</v>
      </c>
      <c r="H37" s="311">
        <f t="shared" si="24"/>
        <v>3.7210000000000001</v>
      </c>
      <c r="I37" s="311">
        <f t="shared" si="25"/>
        <v>568.92827</v>
      </c>
      <c r="J37" s="311">
        <f>'Capital IQ Sheet-GPC'!N30</f>
        <v>77.468000000000004</v>
      </c>
      <c r="K37" s="311">
        <f t="shared" si="26"/>
        <v>491.46026999999998</v>
      </c>
      <c r="M37" s="51">
        <f>IFERROR('Capital IQ Sheet-GPC'!AT30,"n/a")</f>
        <v>0</v>
      </c>
      <c r="N37" s="311">
        <f t="shared" si="3"/>
        <v>2.7123287671232879</v>
      </c>
      <c r="O37" s="176">
        <f t="shared" si="3"/>
        <v>2.5983561643835616E-2</v>
      </c>
      <c r="P37" s="177"/>
      <c r="Q37" s="178">
        <f>IFERROR(HLOOKUP($Q$6,'Equity Vol'!$B$8:$H30,ROWS('Equity Vol'!$C$8:$C30),FALSE),"n/a")</f>
        <v>1.0385011747809152</v>
      </c>
      <c r="R37" s="43"/>
      <c r="S37" s="179">
        <f t="shared" si="27"/>
        <v>1.078484690021341</v>
      </c>
      <c r="T37" s="179">
        <f t="shared" si="28"/>
        <v>3.751611143855786</v>
      </c>
      <c r="U37" s="180">
        <f t="shared" si="29"/>
        <v>2.0412880604452495</v>
      </c>
      <c r="V37" s="180">
        <f t="shared" si="30"/>
        <v>0.99991214908425563</v>
      </c>
      <c r="W37" s="180">
        <f t="shared" si="31"/>
        <v>0.97938889843739885</v>
      </c>
      <c r="X37" s="81">
        <f t="shared" si="32"/>
        <v>488.02078318711187</v>
      </c>
      <c r="Y37" s="178">
        <f t="shared" si="33"/>
        <v>1.0313238225858694</v>
      </c>
      <c r="AA37" s="310">
        <v>1</v>
      </c>
      <c r="AB37" s="82" t="str">
        <f>IF('MASTER PubCo Inputs'!B45=0,"",'MASTER PubCo Inputs'!B45)</f>
        <v>NasdaqCM:VKTX</v>
      </c>
      <c r="AC37" s="311">
        <f>'Capital IQ Sheet-GPC'!H30</f>
        <v>491.46026999999998</v>
      </c>
      <c r="AD37" s="83">
        <f t="shared" si="34"/>
        <v>0</v>
      </c>
      <c r="AJ37" s="84"/>
    </row>
    <row r="38" spans="2:36" ht="12.75" customHeight="1">
      <c r="B38" s="310" t="str">
        <f>Comp.1!B33</f>
        <v>Xeris Pharmaceuticals, Inc.</v>
      </c>
      <c r="D38" s="311">
        <f>'Capital IQ Sheet-GPC'!J31</f>
        <v>374.58265999999998</v>
      </c>
      <c r="E38" s="311">
        <f>'Capital IQ Sheet-GPC'!K31</f>
        <v>18.050999999999998</v>
      </c>
      <c r="F38" s="311">
        <f>'Capital IQ Sheet-GPC'!L31</f>
        <v>102.292</v>
      </c>
      <c r="G38" s="311" t="str">
        <f>'Capital IQ Sheet-GPC'!M31</f>
        <v>n/a</v>
      </c>
      <c r="H38" s="311">
        <f t="shared" si="24"/>
        <v>120.343</v>
      </c>
      <c r="I38" s="311">
        <f t="shared" si="25"/>
        <v>494.92565999999999</v>
      </c>
      <c r="J38" s="311">
        <f>'Capital IQ Sheet-GPC'!N31</f>
        <v>58.11</v>
      </c>
      <c r="K38" s="311">
        <f t="shared" si="26"/>
        <v>436.81565999999998</v>
      </c>
      <c r="M38" s="51">
        <f>IFERROR('Capital IQ Sheet-GPC'!AT31,"n/a")</f>
        <v>0</v>
      </c>
      <c r="N38" s="311">
        <f t="shared" si="3"/>
        <v>2.7123287671232879</v>
      </c>
      <c r="O38" s="176">
        <f t="shared" si="3"/>
        <v>2.5983561643835616E-2</v>
      </c>
      <c r="P38" s="177"/>
      <c r="Q38" s="178" t="str">
        <f>IFERROR(HLOOKUP($Q$6,'Equity Vol'!$B$8:$H31,ROWS('Equity Vol'!$C$8:$C31),FALSE),"n/a")</f>
        <v>NM</v>
      </c>
      <c r="R38" s="43"/>
      <c r="S38" s="179" t="str">
        <f t="shared" si="27"/>
        <v>n/a</v>
      </c>
      <c r="T38" s="179" t="str">
        <f t="shared" si="28"/>
        <v>n/a</v>
      </c>
      <c r="U38" s="180" t="str">
        <f t="shared" si="29"/>
        <v>n/a</v>
      </c>
      <c r="V38" s="180" t="str">
        <f t="shared" si="30"/>
        <v>n/a</v>
      </c>
      <c r="W38" s="180" t="str">
        <f t="shared" si="31"/>
        <v>n/a</v>
      </c>
      <c r="X38" s="81" t="str">
        <f t="shared" si="32"/>
        <v>n/a</v>
      </c>
      <c r="Y38" s="178" t="str">
        <f t="shared" si="33"/>
        <v>n/a</v>
      </c>
      <c r="AA38" s="310">
        <v>1</v>
      </c>
      <c r="AB38" s="82" t="str">
        <f>IF('MASTER PubCo Inputs'!B46=0,"",'MASTER PubCo Inputs'!B46)</f>
        <v>NasdaqGS:XERS</v>
      </c>
      <c r="AC38" s="311">
        <f>'Capital IQ Sheet-GPC'!H31</f>
        <v>436.81565999999998</v>
      </c>
      <c r="AD38" s="83">
        <f t="shared" si="34"/>
        <v>0</v>
      </c>
      <c r="AJ38" s="84"/>
    </row>
    <row r="39" spans="2:36" ht="12.75" customHeight="1">
      <c r="B39" s="310" t="str">
        <f>Comp.1!B34</f>
        <v>Odonate Therapeutics, Inc.</v>
      </c>
      <c r="D39" s="311">
        <f>'Capital IQ Sheet-GPC'!J32</f>
        <v>593.68480999999997</v>
      </c>
      <c r="E39" s="311">
        <f>'Capital IQ Sheet-GPC'!K32</f>
        <v>0</v>
      </c>
      <c r="F39" s="311" t="str">
        <f>'Capital IQ Sheet-GPC'!L32</f>
        <v>n/a</v>
      </c>
      <c r="G39" s="311" t="str">
        <f>'Capital IQ Sheet-GPC'!M32</f>
        <v>n/a</v>
      </c>
      <c r="H39" s="311">
        <f t="shared" si="24"/>
        <v>0</v>
      </c>
      <c r="I39" s="311">
        <f t="shared" si="25"/>
        <v>593.68480999999997</v>
      </c>
      <c r="J39" s="311">
        <f>'Capital IQ Sheet-GPC'!N32</f>
        <v>195.24600000000001</v>
      </c>
      <c r="K39" s="311">
        <f t="shared" si="26"/>
        <v>398.43880999999999</v>
      </c>
      <c r="M39" s="51">
        <f>IFERROR('Capital IQ Sheet-GPC'!AT32,"n/a")</f>
        <v>0</v>
      </c>
      <c r="N39" s="311">
        <f t="shared" si="3"/>
        <v>2.7123287671232879</v>
      </c>
      <c r="O39" s="176">
        <f t="shared" si="3"/>
        <v>2.5983561643835616E-2</v>
      </c>
      <c r="P39" s="177"/>
      <c r="Q39" s="178" t="str">
        <f>IFERROR(HLOOKUP($Q$6,'Equity Vol'!$B$8:$H32,ROWS('Equity Vol'!$C$8:$C32),FALSE),"n/a")</f>
        <v>NM</v>
      </c>
      <c r="R39" s="43"/>
      <c r="S39" s="179" t="str">
        <f t="shared" si="27"/>
        <v>n/a</v>
      </c>
      <c r="T39" s="179" t="str">
        <f t="shared" si="28"/>
        <v>n/a</v>
      </c>
      <c r="U39" s="180" t="str">
        <f t="shared" si="29"/>
        <v>n/a</v>
      </c>
      <c r="V39" s="180" t="str">
        <f t="shared" si="30"/>
        <v>n/a</v>
      </c>
      <c r="W39" s="180" t="str">
        <f t="shared" si="31"/>
        <v>n/a</v>
      </c>
      <c r="X39" s="81" t="str">
        <f t="shared" si="32"/>
        <v>n/a</v>
      </c>
      <c r="Y39" s="178" t="str">
        <f t="shared" si="33"/>
        <v>NM</v>
      </c>
      <c r="AA39" s="310">
        <v>1</v>
      </c>
      <c r="AB39" s="82" t="str">
        <f>IF('MASTER PubCo Inputs'!B47=0,"",'MASTER PubCo Inputs'!B47)</f>
        <v>NasdaqGS:ODT</v>
      </c>
      <c r="AC39" s="311">
        <f>'Capital IQ Sheet-GPC'!H32</f>
        <v>398.43880999999999</v>
      </c>
      <c r="AD39" s="83">
        <f t="shared" si="34"/>
        <v>0</v>
      </c>
      <c r="AJ39" s="84"/>
    </row>
    <row r="40" spans="2:36" ht="12.75" customHeight="1">
      <c r="B40" s="310" t="str">
        <f>Comp.1!B35</f>
        <v>Nightstar Therapeutics plc</v>
      </c>
      <c r="D40" s="311">
        <f>'Capital IQ Sheet-GPC'!J33</f>
        <v>462.47541999999999</v>
      </c>
      <c r="E40" s="311">
        <f>'Capital IQ Sheet-GPC'!K33</f>
        <v>0</v>
      </c>
      <c r="F40" s="311" t="str">
        <f>'Capital IQ Sheet-GPC'!L33</f>
        <v>n/a</v>
      </c>
      <c r="G40" s="311" t="str">
        <f>'Capital IQ Sheet-GPC'!M33</f>
        <v>n/a</v>
      </c>
      <c r="H40" s="311">
        <f t="shared" si="24"/>
        <v>0</v>
      </c>
      <c r="I40" s="311">
        <f t="shared" si="25"/>
        <v>462.47541999999999</v>
      </c>
      <c r="J40" s="311">
        <f>'Capital IQ Sheet-GPC'!N33</f>
        <v>122.277</v>
      </c>
      <c r="K40" s="311">
        <f t="shared" si="26"/>
        <v>340.19842</v>
      </c>
      <c r="M40" s="51">
        <f>IFERROR('Capital IQ Sheet-GPC'!AT33,"n/a")</f>
        <v>0</v>
      </c>
      <c r="N40" s="311">
        <f t="shared" si="3"/>
        <v>2.7123287671232879</v>
      </c>
      <c r="O40" s="176">
        <f t="shared" si="3"/>
        <v>2.5983561643835616E-2</v>
      </c>
      <c r="P40" s="177"/>
      <c r="Q40" s="178" t="str">
        <f>IFERROR(HLOOKUP($Q$6,'Equity Vol'!$B$8:$H33,ROWS('Equity Vol'!$C$8:$C33),FALSE),"n/a")</f>
        <v>NM</v>
      </c>
      <c r="R40" s="43"/>
      <c r="S40" s="179" t="str">
        <f t="shared" si="27"/>
        <v>n/a</v>
      </c>
      <c r="T40" s="179" t="str">
        <f t="shared" si="28"/>
        <v>n/a</v>
      </c>
      <c r="U40" s="180" t="str">
        <f t="shared" si="29"/>
        <v>n/a</v>
      </c>
      <c r="V40" s="180" t="str">
        <f t="shared" si="30"/>
        <v>n/a</v>
      </c>
      <c r="W40" s="180" t="str">
        <f t="shared" si="31"/>
        <v>n/a</v>
      </c>
      <c r="X40" s="81" t="str">
        <f t="shared" si="32"/>
        <v>n/a</v>
      </c>
      <c r="Y40" s="178" t="str">
        <f t="shared" si="33"/>
        <v>NM</v>
      </c>
      <c r="AA40" s="310">
        <v>1</v>
      </c>
      <c r="AB40" s="82" t="str">
        <f>IF('MASTER PubCo Inputs'!B48=0,"",'MASTER PubCo Inputs'!B48)</f>
        <v>NasdaqGS:NITE</v>
      </c>
      <c r="AC40" s="311">
        <f>'Capital IQ Sheet-GPC'!H33</f>
        <v>340.19842</v>
      </c>
      <c r="AD40" s="83">
        <f t="shared" si="34"/>
        <v>0</v>
      </c>
      <c r="AJ40" s="84"/>
    </row>
    <row r="41" spans="2:36" ht="12.75" customHeight="1">
      <c r="B41" s="310" t="str">
        <f>Comp.1!B36</f>
        <v>Zafgen, Inc.</v>
      </c>
      <c r="D41" s="311">
        <f>'Capital IQ Sheet-GPC'!J34</f>
        <v>363.76737000000003</v>
      </c>
      <c r="E41" s="311">
        <f>'Capital IQ Sheet-GPC'!K34</f>
        <v>20.16</v>
      </c>
      <c r="F41" s="311" t="str">
        <f>'Capital IQ Sheet-GPC'!L34</f>
        <v>n/a</v>
      </c>
      <c r="G41" s="311" t="str">
        <f>'Capital IQ Sheet-GPC'!M34</f>
        <v>n/a</v>
      </c>
      <c r="H41" s="311">
        <f t="shared" si="24"/>
        <v>20.16</v>
      </c>
      <c r="I41" s="311">
        <f t="shared" si="25"/>
        <v>383.92737000000005</v>
      </c>
      <c r="J41" s="311">
        <f>'Capital IQ Sheet-GPC'!N34</f>
        <v>89.07</v>
      </c>
      <c r="K41" s="311">
        <f t="shared" si="26"/>
        <v>294.85737000000006</v>
      </c>
      <c r="M41" s="51">
        <f>IFERROR('Capital IQ Sheet-GPC'!AT34,"n/a")</f>
        <v>0</v>
      </c>
      <c r="N41" s="311">
        <f t="shared" si="3"/>
        <v>2.7123287671232879</v>
      </c>
      <c r="O41" s="176">
        <f t="shared" si="3"/>
        <v>2.5983561643835616E-2</v>
      </c>
      <c r="P41" s="177"/>
      <c r="Q41" s="178">
        <f>IFERROR(HLOOKUP($Q$6,'Equity Vol'!$B$8:$H34,ROWS('Equity Vol'!$C$8:$C34),FALSE),"n/a")</f>
        <v>1.1302394832325817</v>
      </c>
      <c r="R41" s="43"/>
      <c r="S41" s="179">
        <f t="shared" si="27"/>
        <v>1.2774412894578533</v>
      </c>
      <c r="T41" s="179">
        <f t="shared" si="28"/>
        <v>2.4098354514870595</v>
      </c>
      <c r="U41" s="180">
        <f t="shared" si="29"/>
        <v>0.54842717877856995</v>
      </c>
      <c r="V41" s="180">
        <f t="shared" si="30"/>
        <v>0.99202014160594898</v>
      </c>
      <c r="W41" s="180">
        <f t="shared" si="31"/>
        <v>0.7083006906941256</v>
      </c>
      <c r="X41" s="81">
        <f t="shared" si="32"/>
        <v>279.19681521062199</v>
      </c>
      <c r="Y41" s="178">
        <f t="shared" si="33"/>
        <v>1.0788186785108123</v>
      </c>
      <c r="AA41" s="310">
        <v>1</v>
      </c>
      <c r="AB41" s="82" t="str">
        <f>IF('MASTER PubCo Inputs'!B49=0,"",'MASTER PubCo Inputs'!B49)</f>
        <v>NasdaqGS:ZFGN</v>
      </c>
      <c r="AC41" s="311">
        <f>'Capital IQ Sheet-GPC'!H34</f>
        <v>294.85737</v>
      </c>
      <c r="AD41" s="83">
        <f t="shared" si="34"/>
        <v>0</v>
      </c>
      <c r="AJ41" s="84"/>
    </row>
    <row r="42" spans="2:36" ht="12.75" customHeight="1">
      <c r="B42" s="310" t="str">
        <f>Comp.1!B37</f>
        <v>MediciNova, Inc.</v>
      </c>
      <c r="D42" s="311">
        <f>'Capital IQ Sheet-GPC'!J35</f>
        <v>327.38742000000002</v>
      </c>
      <c r="E42" s="311">
        <f>'Capital IQ Sheet-GPC'!K35</f>
        <v>0</v>
      </c>
      <c r="F42" s="311" t="str">
        <f>'Capital IQ Sheet-GPC'!L35</f>
        <v>n/a</v>
      </c>
      <c r="G42" s="311" t="str">
        <f>'Capital IQ Sheet-GPC'!M35</f>
        <v>n/a</v>
      </c>
      <c r="H42" s="311">
        <f t="shared" si="24"/>
        <v>0</v>
      </c>
      <c r="I42" s="311">
        <f t="shared" si="25"/>
        <v>327.38742000000002</v>
      </c>
      <c r="J42" s="311">
        <f>'Capital IQ Sheet-GPC'!N35</f>
        <v>62.9392</v>
      </c>
      <c r="K42" s="311">
        <f t="shared" si="26"/>
        <v>264.44821999999999</v>
      </c>
      <c r="M42" s="51">
        <f>IFERROR('Capital IQ Sheet-GPC'!AT35,"n/a")</f>
        <v>0</v>
      </c>
      <c r="N42" s="311">
        <f t="shared" si="3"/>
        <v>2.7123287671232879</v>
      </c>
      <c r="O42" s="176">
        <f t="shared" si="3"/>
        <v>2.5983561643835616E-2</v>
      </c>
      <c r="P42" s="177"/>
      <c r="Q42" s="178">
        <f>IFERROR(HLOOKUP($Q$6,'Equity Vol'!$B$8:$H35,ROWS('Equity Vol'!$C$8:$C35),FALSE),"n/a")</f>
        <v>0.53341465176244662</v>
      </c>
      <c r="R42" s="43"/>
      <c r="S42" s="179">
        <f t="shared" si="27"/>
        <v>0.28453119071485222</v>
      </c>
      <c r="T42" s="179">
        <f t="shared" si="28"/>
        <v>0</v>
      </c>
      <c r="U42" s="180">
        <f t="shared" si="29"/>
        <v>0</v>
      </c>
      <c r="V42" s="180">
        <f t="shared" si="30"/>
        <v>0</v>
      </c>
      <c r="W42" s="180">
        <f t="shared" si="31"/>
        <v>0</v>
      </c>
      <c r="X42" s="81">
        <f t="shared" si="32"/>
        <v>0</v>
      </c>
      <c r="Y42" s="178">
        <f t="shared" si="33"/>
        <v>0.53341465176244662</v>
      </c>
      <c r="AA42" s="310">
        <v>1</v>
      </c>
      <c r="AB42" s="82" t="str">
        <f>IF('MASTER PubCo Inputs'!B50=0,"",'MASTER PubCo Inputs'!B50)</f>
        <v>NasdaqGM:MNOV</v>
      </c>
      <c r="AC42" s="311">
        <f>'Capital IQ Sheet-GPC'!H35</f>
        <v>264.44821999999999</v>
      </c>
      <c r="AD42" s="83">
        <f t="shared" si="34"/>
        <v>0</v>
      </c>
      <c r="AJ42" s="84"/>
    </row>
    <row r="43" spans="2:36" ht="12.75" customHeight="1">
      <c r="B43" s="310" t="str">
        <f>Comp.1!B38</f>
        <v>AVEO Pharmaceuticals, Inc.</v>
      </c>
      <c r="D43" s="311">
        <f>'Capital IQ Sheet-GPC'!J36</f>
        <v>268.64048000000003</v>
      </c>
      <c r="E43" s="311">
        <f>'Capital IQ Sheet-GPC'!K36</f>
        <v>18.588000000000001</v>
      </c>
      <c r="F43" s="311" t="str">
        <f>'Capital IQ Sheet-GPC'!L36</f>
        <v>n/a</v>
      </c>
      <c r="G43" s="311" t="str">
        <f>'Capital IQ Sheet-GPC'!M36</f>
        <v>n/a</v>
      </c>
      <c r="H43" s="311">
        <f t="shared" si="24"/>
        <v>18.588000000000001</v>
      </c>
      <c r="I43" s="311">
        <f t="shared" si="25"/>
        <v>287.22848000000005</v>
      </c>
      <c r="J43" s="311">
        <f>'Capital IQ Sheet-GPC'!N36</f>
        <v>26.995000000000001</v>
      </c>
      <c r="K43" s="311">
        <f t="shared" si="26"/>
        <v>260.23348000000004</v>
      </c>
      <c r="M43" s="51">
        <f>IFERROR('Capital IQ Sheet-GPC'!AT36,"n/a")</f>
        <v>0</v>
      </c>
      <c r="N43" s="311">
        <f t="shared" si="3"/>
        <v>2.7123287671232879</v>
      </c>
      <c r="O43" s="176">
        <f t="shared" si="3"/>
        <v>2.5983561643835616E-2</v>
      </c>
      <c r="P43" s="177"/>
      <c r="Q43" s="178">
        <f>IFERROR(HLOOKUP($Q$6,'Equity Vol'!$B$8:$H36,ROWS('Equity Vol'!$C$8:$C36),FALSE),"n/a")</f>
        <v>0.78126941231523839</v>
      </c>
      <c r="R43" s="43"/>
      <c r="S43" s="179">
        <f t="shared" si="27"/>
        <v>0.61038189461939796</v>
      </c>
      <c r="T43" s="179">
        <f t="shared" si="28"/>
        <v>2.749172651363903</v>
      </c>
      <c r="U43" s="180">
        <f t="shared" si="29"/>
        <v>1.4624883965028248</v>
      </c>
      <c r="V43" s="180">
        <f t="shared" si="30"/>
        <v>0.99701270465395808</v>
      </c>
      <c r="W43" s="180">
        <f t="shared" si="31"/>
        <v>0.92819628911300467</v>
      </c>
      <c r="X43" s="81">
        <f t="shared" si="32"/>
        <v>243.37685859279259</v>
      </c>
      <c r="Y43" s="178">
        <f t="shared" si="33"/>
        <v>0.7328519381008638</v>
      </c>
      <c r="AA43" s="310">
        <v>1</v>
      </c>
      <c r="AB43" s="82" t="str">
        <f>IF('MASTER PubCo Inputs'!B51=0,"",'MASTER PubCo Inputs'!B51)</f>
        <v>NasdaqCM:AVEO</v>
      </c>
      <c r="AC43" s="311">
        <f>'Capital IQ Sheet-GPC'!H36</f>
        <v>260.23347999999999</v>
      </c>
      <c r="AD43" s="83">
        <f t="shared" si="34"/>
        <v>0</v>
      </c>
      <c r="AJ43" s="84"/>
    </row>
    <row r="44" spans="2:36" ht="12.75" customHeight="1">
      <c r="B44" s="310" t="str">
        <f>Comp.1!B39</f>
        <v>BioTime, Inc.</v>
      </c>
      <c r="D44" s="311">
        <f>'Capital IQ Sheet-GPC'!J37</f>
        <v>261.35887000000002</v>
      </c>
      <c r="E44" s="311">
        <f>'Capital IQ Sheet-GPC'!K37</f>
        <v>1.4319999999999999</v>
      </c>
      <c r="F44" s="311" t="str">
        <f>'Capital IQ Sheet-GPC'!L37</f>
        <v>n/a</v>
      </c>
      <c r="G44" s="311">
        <f>'Capital IQ Sheet-GPC'!M37</f>
        <v>2.4870000000000001</v>
      </c>
      <c r="H44" s="311">
        <f t="shared" si="24"/>
        <v>3.919</v>
      </c>
      <c r="I44" s="311">
        <f t="shared" si="25"/>
        <v>265.27787000000006</v>
      </c>
      <c r="J44" s="311">
        <f>'Capital IQ Sheet-GPC'!N37</f>
        <v>31.379000000000001</v>
      </c>
      <c r="K44" s="311">
        <f t="shared" si="26"/>
        <v>233.89887000000007</v>
      </c>
      <c r="M44" s="51">
        <f>IFERROR('Capital IQ Sheet-GPC'!AT37,"n/a")</f>
        <v>0</v>
      </c>
      <c r="N44" s="311">
        <f t="shared" si="3"/>
        <v>2.7123287671232879</v>
      </c>
      <c r="O44" s="176">
        <f t="shared" si="3"/>
        <v>2.5983561643835616E-2</v>
      </c>
      <c r="P44" s="177"/>
      <c r="Q44" s="178">
        <f>IFERROR(HLOOKUP($Q$6,'Equity Vol'!$B$8:$H37,ROWS('Equity Vol'!$C$8:$C37),FALSE),"n/a")</f>
        <v>0.5704375475118042</v>
      </c>
      <c r="R44" s="43"/>
      <c r="S44" s="179">
        <f t="shared" si="27"/>
        <v>0.32539899561128188</v>
      </c>
      <c r="T44" s="179">
        <f t="shared" si="28"/>
        <v>4.8972946998801312</v>
      </c>
      <c r="U44" s="180">
        <f t="shared" si="29"/>
        <v>3.9578325896332602</v>
      </c>
      <c r="V44" s="180">
        <f t="shared" si="30"/>
        <v>0.99999951417468458</v>
      </c>
      <c r="W44" s="180">
        <f t="shared" si="31"/>
        <v>0.99996218353252064</v>
      </c>
      <c r="X44" s="81">
        <f t="shared" si="32"/>
        <v>230.24658187810516</v>
      </c>
      <c r="Y44" s="178">
        <f t="shared" si="33"/>
        <v>0.56153054223168919</v>
      </c>
      <c r="AA44" s="310">
        <v>1</v>
      </c>
      <c r="AB44" s="82" t="str">
        <f>IF('MASTER PubCo Inputs'!B52=0,"",'MASTER PubCo Inputs'!B52)</f>
        <v>AMEX:BTX</v>
      </c>
      <c r="AC44" s="311">
        <f>'Capital IQ Sheet-GPC'!H37</f>
        <v>233.89886999999999</v>
      </c>
      <c r="AD44" s="83">
        <f t="shared" si="34"/>
        <v>0</v>
      </c>
      <c r="AJ44" s="84"/>
    </row>
    <row r="45" spans="2:36" ht="12.75" customHeight="1">
      <c r="B45" s="310" t="str">
        <f>Comp.1!B40</f>
        <v>Cytokinetics, Incorporated</v>
      </c>
      <c r="D45" s="311">
        <f>'Capital IQ Sheet-GPC'!J38</f>
        <v>449.83963</v>
      </c>
      <c r="E45" s="311">
        <f>'Capital IQ Sheet-GPC'!K38</f>
        <v>31.954000000000001</v>
      </c>
      <c r="F45" s="311" t="str">
        <f>'Capital IQ Sheet-GPC'!L38</f>
        <v>n/a</v>
      </c>
      <c r="G45" s="311" t="str">
        <f>'Capital IQ Sheet-GPC'!M38</f>
        <v>n/a</v>
      </c>
      <c r="H45" s="311">
        <f t="shared" si="24"/>
        <v>31.954000000000001</v>
      </c>
      <c r="I45" s="311">
        <f t="shared" si="25"/>
        <v>481.79363000000001</v>
      </c>
      <c r="J45" s="311">
        <f>'Capital IQ Sheet-GPC'!N38</f>
        <v>251.45400000000001</v>
      </c>
      <c r="K45" s="311">
        <f t="shared" si="26"/>
        <v>230.33963</v>
      </c>
      <c r="M45" s="51">
        <f>IFERROR('Capital IQ Sheet-GPC'!AT38,"n/a")</f>
        <v>0</v>
      </c>
      <c r="N45" s="311">
        <f t="shared" si="3"/>
        <v>2.7123287671232879</v>
      </c>
      <c r="O45" s="176">
        <f t="shared" si="3"/>
        <v>2.5983561643835616E-2</v>
      </c>
      <c r="P45" s="177"/>
      <c r="Q45" s="178">
        <f>IFERROR(HLOOKUP($Q$6,'Equity Vol'!$B$8:$H38,ROWS('Equity Vol'!$C$8:$C38),FALSE),"n/a")</f>
        <v>0.58226071681264757</v>
      </c>
      <c r="R45" s="43"/>
      <c r="S45" s="179">
        <f t="shared" si="27"/>
        <v>0.33902754234317817</v>
      </c>
      <c r="T45" s="179">
        <f t="shared" si="28"/>
        <v>2.6128084912787628</v>
      </c>
      <c r="U45" s="180">
        <f t="shared" si="29"/>
        <v>1.6538746270605307</v>
      </c>
      <c r="V45" s="180">
        <f t="shared" si="30"/>
        <v>0.99550991966777902</v>
      </c>
      <c r="W45" s="180">
        <f t="shared" si="31"/>
        <v>0.95092350551573324</v>
      </c>
      <c r="X45" s="81">
        <f t="shared" si="32"/>
        <v>200.98732690535405</v>
      </c>
      <c r="Y45" s="178">
        <f t="shared" si="33"/>
        <v>0.51035445259708245</v>
      </c>
      <c r="AA45" s="310">
        <v>1</v>
      </c>
      <c r="AB45" s="82" t="str">
        <f>IF('MASTER PubCo Inputs'!B53=0,"",'MASTER PubCo Inputs'!B53)</f>
        <v>NasdaqGS:CYTK</v>
      </c>
      <c r="AC45" s="311">
        <f>'Capital IQ Sheet-GPC'!H38</f>
        <v>230.33963</v>
      </c>
      <c r="AD45" s="83">
        <f t="shared" si="34"/>
        <v>0</v>
      </c>
      <c r="AJ45" s="84"/>
    </row>
    <row r="46" spans="2:36" ht="12.75" customHeight="1">
      <c r="B46" s="310" t="str">
        <f>Comp.1!B41</f>
        <v>Emisphere Technologies, Inc.</v>
      </c>
      <c r="D46" s="311">
        <f>'Capital IQ Sheet-GPC'!J39</f>
        <v>146.04595</v>
      </c>
      <c r="E46" s="311">
        <f>'Capital IQ Sheet-GPC'!K39</f>
        <v>68.088999999999999</v>
      </c>
      <c r="F46" s="311" t="str">
        <f>'Capital IQ Sheet-GPC'!L39</f>
        <v>n/a</v>
      </c>
      <c r="G46" s="311" t="str">
        <f>'Capital IQ Sheet-GPC'!M39</f>
        <v>n/a</v>
      </c>
      <c r="H46" s="311">
        <f t="shared" si="24"/>
        <v>68.088999999999999</v>
      </c>
      <c r="I46" s="311">
        <f t="shared" si="25"/>
        <v>214.13495</v>
      </c>
      <c r="J46" s="311">
        <f>'Capital IQ Sheet-GPC'!N39</f>
        <v>4.6390000000000002</v>
      </c>
      <c r="K46" s="311">
        <f t="shared" si="26"/>
        <v>209.49594999999999</v>
      </c>
      <c r="M46" s="51">
        <f>IFERROR('Capital IQ Sheet-GPC'!AT39,"n/a")</f>
        <v>0</v>
      </c>
      <c r="N46" s="311">
        <f t="shared" si="3"/>
        <v>2.7123287671232879</v>
      </c>
      <c r="O46" s="176">
        <f t="shared" si="3"/>
        <v>2.5983561643835616E-2</v>
      </c>
      <c r="P46" s="177"/>
      <c r="Q46" s="178">
        <f>IFERROR(HLOOKUP($Q$6,'Equity Vol'!$B$8:$H39,ROWS('Equity Vol'!$C$8:$C39),FALSE),"n/a")</f>
        <v>0.98986301930255416</v>
      </c>
      <c r="R46" s="43"/>
      <c r="S46" s="179">
        <f t="shared" si="27"/>
        <v>0.9798287969827687</v>
      </c>
      <c r="T46" s="179">
        <f t="shared" si="28"/>
        <v>1.5477502025457148</v>
      </c>
      <c r="U46" s="180">
        <f t="shared" si="29"/>
        <v>-8.2469976728289707E-2</v>
      </c>
      <c r="V46" s="180">
        <f t="shared" si="30"/>
        <v>0.93915877497131006</v>
      </c>
      <c r="W46" s="180">
        <f t="shared" si="31"/>
        <v>0.46713649604340263</v>
      </c>
      <c r="X46" s="81">
        <f t="shared" si="32"/>
        <v>167.1075549867968</v>
      </c>
      <c r="Y46" s="178">
        <f t="shared" si="33"/>
        <v>0.84072997588600396</v>
      </c>
      <c r="AA46" s="310">
        <v>1</v>
      </c>
      <c r="AB46" s="82" t="str">
        <f>IF('MASTER PubCo Inputs'!B54=0,"",'MASTER PubCo Inputs'!B54)</f>
        <v>OTCPK:EMIS</v>
      </c>
      <c r="AC46" s="311">
        <f>'Capital IQ Sheet-GPC'!H39</f>
        <v>209.49594999999999</v>
      </c>
      <c r="AD46" s="83">
        <f t="shared" si="34"/>
        <v>0</v>
      </c>
      <c r="AJ46" s="84"/>
    </row>
    <row r="47" spans="2:36" ht="12.75" customHeight="1">
      <c r="B47" s="310" t="str">
        <f>Comp.1!B42</f>
        <v>CohBar, Inc.</v>
      </c>
      <c r="D47" s="311">
        <f>'Capital IQ Sheet-GPC'!J40</f>
        <v>199.81565000000001</v>
      </c>
      <c r="E47" s="311">
        <f>'Capital IQ Sheet-GPC'!K40</f>
        <v>1.40126</v>
      </c>
      <c r="F47" s="311" t="str">
        <f>'Capital IQ Sheet-GPC'!L40</f>
        <v>n/a</v>
      </c>
      <c r="G47" s="311" t="str">
        <f>'Capital IQ Sheet-GPC'!M40</f>
        <v>n/a</v>
      </c>
      <c r="H47" s="311">
        <f t="shared" ref="H47:H52" si="35">SUM(E47:G47)</f>
        <v>1.40126</v>
      </c>
      <c r="I47" s="311">
        <f t="shared" ref="I47:I52" si="36">SUM(D47:G47)</f>
        <v>201.21691000000001</v>
      </c>
      <c r="J47" s="311">
        <f>'Capital IQ Sheet-GPC'!N40</f>
        <v>8.4566599999999994</v>
      </c>
      <c r="K47" s="311">
        <f t="shared" ref="K47:K52" si="37">I47-J47</f>
        <v>192.76025000000001</v>
      </c>
      <c r="M47" s="51">
        <f>IFERROR('Capital IQ Sheet-GPC'!AT40,"n/a")</f>
        <v>0</v>
      </c>
      <c r="N47" s="311">
        <f t="shared" si="3"/>
        <v>2.7123287671232879</v>
      </c>
      <c r="O47" s="176">
        <f t="shared" si="3"/>
        <v>2.5983561643835616E-2</v>
      </c>
      <c r="P47" s="177"/>
      <c r="Q47" s="178">
        <f>IFERROR(HLOOKUP($Q$6,'Equity Vol'!$B$8:$H40,ROWS('Equity Vol'!$C$8:$C40),FALSE),"n/a")</f>
        <v>0.90299942668231514</v>
      </c>
      <c r="R47" s="43"/>
      <c r="S47" s="179">
        <f t="shared" si="27"/>
        <v>0.81540796458858988</v>
      </c>
      <c r="T47" s="179">
        <f t="shared" si="28"/>
        <v>4.1020235210348002</v>
      </c>
      <c r="U47" s="180">
        <f t="shared" si="29"/>
        <v>2.6148602888053722</v>
      </c>
      <c r="V47" s="180">
        <f t="shared" si="30"/>
        <v>0.99997952236861065</v>
      </c>
      <c r="W47" s="180">
        <f t="shared" si="31"/>
        <v>0.99553680199017847</v>
      </c>
      <c r="X47" s="81">
        <f t="shared" si="32"/>
        <v>191.45622678121225</v>
      </c>
      <c r="Y47" s="178">
        <f t="shared" si="33"/>
        <v>0.89690900153527253</v>
      </c>
      <c r="AA47" s="310">
        <v>1</v>
      </c>
      <c r="AB47" s="82" t="str">
        <f>IF('MASTER PubCo Inputs'!B55=0,"",'MASTER PubCo Inputs'!B55)</f>
        <v>TSXV:COB.U</v>
      </c>
      <c r="AC47" s="311">
        <f>'Capital IQ Sheet-GPC'!H40</f>
        <v>204.76295999999999</v>
      </c>
      <c r="AD47" s="83">
        <f t="shared" ref="AD47:AD52" si="38">K47-AC47</f>
        <v>-12.002709999999979</v>
      </c>
      <c r="AJ47" s="84"/>
    </row>
    <row r="48" spans="2:36" ht="12.75" customHeight="1">
      <c r="B48" s="310" t="str">
        <f>Comp.1!B43</f>
        <v>vTv Therapeutics Inc.</v>
      </c>
      <c r="D48" s="311">
        <f>'Capital IQ Sheet-GPC'!J41</f>
        <v>16.74211</v>
      </c>
      <c r="E48" s="311">
        <f>'Capital IQ Sheet-GPC'!K41</f>
        <v>19.861999999999998</v>
      </c>
      <c r="F48" s="311" t="str">
        <f>'Capital IQ Sheet-GPC'!L41</f>
        <v>n/a</v>
      </c>
      <c r="G48" s="311">
        <f>'Capital IQ Sheet-GPC'!M41</f>
        <v>120.39700000000001</v>
      </c>
      <c r="H48" s="311">
        <f t="shared" si="35"/>
        <v>140.25900000000001</v>
      </c>
      <c r="I48" s="311">
        <f t="shared" si="36"/>
        <v>157.00111000000001</v>
      </c>
      <c r="J48" s="311">
        <f>'Capital IQ Sheet-GPC'!N41</f>
        <v>6.5350000000000001</v>
      </c>
      <c r="K48" s="311">
        <f t="shared" si="37"/>
        <v>150.46611000000001</v>
      </c>
      <c r="M48" s="51">
        <f>IFERROR('Capital IQ Sheet-GPC'!AT41,"n/a")</f>
        <v>0</v>
      </c>
      <c r="N48" s="311">
        <f t="shared" ref="N48:O53" si="39">N$6</f>
        <v>2.7123287671232879</v>
      </c>
      <c r="O48" s="176">
        <f t="shared" si="39"/>
        <v>2.5983561643835616E-2</v>
      </c>
      <c r="P48" s="177"/>
      <c r="Q48" s="178" t="str">
        <f>IFERROR(HLOOKUP($Q$6,'Equity Vol'!$B$8:$H41,ROWS('Equity Vol'!$C$8:$C41),FALSE),"n/a")</f>
        <v>NM</v>
      </c>
      <c r="R48" s="43"/>
      <c r="S48" s="179" t="str">
        <f t="shared" si="27"/>
        <v>n/a</v>
      </c>
      <c r="T48" s="179" t="str">
        <f t="shared" si="28"/>
        <v>n/a</v>
      </c>
      <c r="U48" s="180" t="str">
        <f t="shared" si="29"/>
        <v>n/a</v>
      </c>
      <c r="V48" s="180" t="str">
        <f t="shared" si="30"/>
        <v>n/a</v>
      </c>
      <c r="W48" s="180" t="str">
        <f t="shared" si="31"/>
        <v>n/a</v>
      </c>
      <c r="X48" s="81" t="str">
        <f t="shared" si="32"/>
        <v>n/a</v>
      </c>
      <c r="Y48" s="178" t="str">
        <f t="shared" si="33"/>
        <v>n/a</v>
      </c>
      <c r="AA48" s="310">
        <v>1</v>
      </c>
      <c r="AB48" s="82" t="str">
        <f>IF('MASTER PubCo Inputs'!B56=0,"",'MASTER PubCo Inputs'!B56)</f>
        <v>NasdaqGM:VTVT</v>
      </c>
      <c r="AC48" s="311">
        <f>'Capital IQ Sheet-GPC'!H41</f>
        <v>148.21010999999999</v>
      </c>
      <c r="AD48" s="83">
        <f t="shared" si="38"/>
        <v>2.2560000000000286</v>
      </c>
      <c r="AJ48" s="84"/>
    </row>
    <row r="49" spans="2:36" ht="12.75" customHeight="1">
      <c r="B49" s="310" t="str">
        <f>Comp.1!B44</f>
        <v>Rezolute, Inc.</v>
      </c>
      <c r="D49" s="311">
        <f>'Capital IQ Sheet-GPC'!J42</f>
        <v>29.46659</v>
      </c>
      <c r="E49" s="311">
        <f>'Capital IQ Sheet-GPC'!K42</f>
        <v>0.92469999999999997</v>
      </c>
      <c r="F49" s="311" t="str">
        <f>'Capital IQ Sheet-GPC'!L42</f>
        <v>n/a</v>
      </c>
      <c r="G49" s="311" t="str">
        <f>'Capital IQ Sheet-GPC'!M42</f>
        <v>n/a</v>
      </c>
      <c r="H49" s="311">
        <f t="shared" si="35"/>
        <v>0.92469999999999997</v>
      </c>
      <c r="I49" s="311">
        <f t="shared" si="36"/>
        <v>30.391290000000001</v>
      </c>
      <c r="J49" s="311">
        <f>'Capital IQ Sheet-GPC'!N42</f>
        <v>7.8119999999999995E-2</v>
      </c>
      <c r="K49" s="311">
        <f t="shared" si="37"/>
        <v>30.313170000000003</v>
      </c>
      <c r="M49" s="51">
        <f>IFERROR('Capital IQ Sheet-GPC'!AT42,"n/a")</f>
        <v>0</v>
      </c>
      <c r="N49" s="311">
        <f t="shared" si="39"/>
        <v>2.7123287671232879</v>
      </c>
      <c r="O49" s="176">
        <f t="shared" si="39"/>
        <v>2.5983561643835616E-2</v>
      </c>
      <c r="P49" s="177"/>
      <c r="Q49" s="178" t="str">
        <f>IFERROR(HLOOKUP($Q$6,'Equity Vol'!$B$8:$H42,ROWS('Equity Vol'!$C$8:$C42),FALSE),"n/a")</f>
        <v>NM</v>
      </c>
      <c r="R49" s="43"/>
      <c r="S49" s="179" t="str">
        <f t="shared" si="27"/>
        <v>n/a</v>
      </c>
      <c r="T49" s="179" t="str">
        <f t="shared" si="28"/>
        <v>n/a</v>
      </c>
      <c r="U49" s="180" t="str">
        <f t="shared" si="29"/>
        <v>n/a</v>
      </c>
      <c r="V49" s="180" t="str">
        <f t="shared" si="30"/>
        <v>n/a</v>
      </c>
      <c r="W49" s="180" t="str">
        <f t="shared" si="31"/>
        <v>n/a</v>
      </c>
      <c r="X49" s="81" t="str">
        <f t="shared" si="32"/>
        <v>n/a</v>
      </c>
      <c r="Y49" s="178" t="str">
        <f t="shared" si="33"/>
        <v>n/a</v>
      </c>
      <c r="AA49" s="310">
        <v>1</v>
      </c>
      <c r="AB49" s="82" t="str">
        <f>IF('MASTER PubCo Inputs'!B57=0,"",'MASTER PubCo Inputs'!B57)</f>
        <v>OTCPK:RZLT</v>
      </c>
      <c r="AC49" s="311">
        <f>'Capital IQ Sheet-GPC'!H42</f>
        <v>28.82142</v>
      </c>
      <c r="AD49" s="83">
        <f t="shared" si="38"/>
        <v>1.4917500000000032</v>
      </c>
      <c r="AJ49" s="84"/>
    </row>
    <row r="50" spans="2:36" ht="12.75" customHeight="1">
      <c r="B50" s="310" t="str">
        <f>Comp.1!B45</f>
        <v>Boston Therapeutics, Inc.</v>
      </c>
      <c r="D50" s="311">
        <f>'Capital IQ Sheet-GPC'!J44</f>
        <v>8.1007300000000004</v>
      </c>
      <c r="E50" s="311">
        <f>'Capital IQ Sheet-GPC'!K44</f>
        <v>1.99634</v>
      </c>
      <c r="F50" s="311">
        <f>'Capital IQ Sheet-GPC'!L44</f>
        <v>8.0000000000000007E-5</v>
      </c>
      <c r="G50" s="311" t="str">
        <f>'Capital IQ Sheet-GPC'!M44</f>
        <v>n/a</v>
      </c>
      <c r="H50" s="311">
        <f t="shared" si="35"/>
        <v>1.9964200000000001</v>
      </c>
      <c r="I50" s="311">
        <f t="shared" si="36"/>
        <v>10.097150000000001</v>
      </c>
      <c r="J50" s="311">
        <f>'Capital IQ Sheet-GPC'!N44</f>
        <v>0.20532</v>
      </c>
      <c r="K50" s="311">
        <f t="shared" si="37"/>
        <v>9.8918300000000006</v>
      </c>
      <c r="M50" s="51">
        <f>IFERROR('Capital IQ Sheet-GPC'!AT44,"n/a")</f>
        <v>0</v>
      </c>
      <c r="N50" s="311">
        <f t="shared" si="39"/>
        <v>2.7123287671232879</v>
      </c>
      <c r="O50" s="176">
        <f t="shared" si="39"/>
        <v>2.5983561643835616E-2</v>
      </c>
      <c r="P50" s="177"/>
      <c r="Q50" s="178" t="str">
        <f>IFERROR(HLOOKUP($Q$6,'Equity Vol'!$B$8:$H43,ROWS('Equity Vol'!$C$8:$C43),FALSE),"n/a")</f>
        <v>NM</v>
      </c>
      <c r="R50" s="43"/>
      <c r="S50" s="179" t="str">
        <f t="shared" si="27"/>
        <v>n/a</v>
      </c>
      <c r="T50" s="179" t="str">
        <f t="shared" si="28"/>
        <v>n/a</v>
      </c>
      <c r="U50" s="180" t="str">
        <f t="shared" si="29"/>
        <v>n/a</v>
      </c>
      <c r="V50" s="180" t="str">
        <f t="shared" si="30"/>
        <v>n/a</v>
      </c>
      <c r="W50" s="180" t="str">
        <f t="shared" si="31"/>
        <v>n/a</v>
      </c>
      <c r="X50" s="81" t="str">
        <f t="shared" si="32"/>
        <v>n/a</v>
      </c>
      <c r="Y50" s="178" t="str">
        <f t="shared" si="33"/>
        <v>n/a</v>
      </c>
      <c r="AA50" s="310">
        <v>1</v>
      </c>
      <c r="AB50" s="82" t="str">
        <f>IF('MASTER PubCo Inputs'!B58=0,"",'MASTER PubCo Inputs'!B58)</f>
        <v>OTCPK:BTHE</v>
      </c>
      <c r="AC50" s="311">
        <f>'Capital IQ Sheet-GPC'!H44</f>
        <v>9.8918400000000002</v>
      </c>
      <c r="AD50" s="83">
        <f t="shared" si="38"/>
        <v>-9.9999999996214228E-6</v>
      </c>
      <c r="AJ50" s="84"/>
    </row>
    <row r="51" spans="2:36" ht="12.75" customHeight="1">
      <c r="B51" s="310" t="str">
        <f>Comp.1!B46</f>
        <v>Neuralstem, Inc.</v>
      </c>
      <c r="D51" s="311">
        <f>'Capital IQ Sheet-GPC'!J45</f>
        <v>16.82762</v>
      </c>
      <c r="E51" s="311">
        <f>'Capital IQ Sheet-GPC'!K45</f>
        <v>0</v>
      </c>
      <c r="F51" s="311">
        <f>'Capital IQ Sheet-GPC'!L45</f>
        <v>0.01</v>
      </c>
      <c r="G51" s="311" t="str">
        <f>'Capital IQ Sheet-GPC'!M45</f>
        <v>n/a</v>
      </c>
      <c r="H51" s="311">
        <f t="shared" si="35"/>
        <v>0.01</v>
      </c>
      <c r="I51" s="311">
        <f t="shared" si="36"/>
        <v>16.837620000000001</v>
      </c>
      <c r="J51" s="311">
        <f>'Capital IQ Sheet-GPC'!N45</f>
        <v>9.7242499999999996</v>
      </c>
      <c r="K51" s="311">
        <f t="shared" si="37"/>
        <v>7.1133700000000015</v>
      </c>
      <c r="M51" s="51">
        <f>IFERROR('Capital IQ Sheet-GPC'!AT45,"n/a")</f>
        <v>0</v>
      </c>
      <c r="N51" s="311">
        <f t="shared" si="39"/>
        <v>2.7123287671232879</v>
      </c>
      <c r="O51" s="176">
        <f t="shared" si="39"/>
        <v>2.5983561643835616E-2</v>
      </c>
      <c r="P51" s="177"/>
      <c r="Q51" s="178" t="str">
        <f>IFERROR(HLOOKUP($Q$6,'Equity Vol'!$B$8:$H44,ROWS('Equity Vol'!$C$8:$C44),FALSE),"n/a")</f>
        <v>NM</v>
      </c>
      <c r="R51" s="43"/>
      <c r="S51" s="179" t="str">
        <f t="shared" si="27"/>
        <v>n/a</v>
      </c>
      <c r="T51" s="179" t="str">
        <f t="shared" si="28"/>
        <v>n/a</v>
      </c>
      <c r="U51" s="180" t="str">
        <f t="shared" si="29"/>
        <v>n/a</v>
      </c>
      <c r="V51" s="180" t="str">
        <f t="shared" si="30"/>
        <v>n/a</v>
      </c>
      <c r="W51" s="180" t="str">
        <f t="shared" si="31"/>
        <v>n/a</v>
      </c>
      <c r="X51" s="81" t="str">
        <f t="shared" si="32"/>
        <v>n/a</v>
      </c>
      <c r="Y51" s="178" t="str">
        <f t="shared" si="33"/>
        <v>n/a</v>
      </c>
      <c r="AA51" s="310">
        <v>1</v>
      </c>
      <c r="AB51" s="82" t="str">
        <f>IF('MASTER PubCo Inputs'!B59=0,"",'MASTER PubCo Inputs'!B59)</f>
        <v>NasdaqCM:CUR</v>
      </c>
      <c r="AC51" s="311">
        <f>'Capital IQ Sheet-GPC'!H45</f>
        <v>7.1133699999999997</v>
      </c>
      <c r="AD51" s="83">
        <f t="shared" si="38"/>
        <v>0</v>
      </c>
      <c r="AJ51" s="84"/>
    </row>
    <row r="52" spans="2:36" ht="12.75" customHeight="1">
      <c r="B52" s="310" t="str">
        <f>Comp.1!B47</f>
        <v>Nexus BioPharma, Inc.</v>
      </c>
      <c r="D52" s="311">
        <f>'Capital IQ Sheet-GPC'!J46</f>
        <v>3.8515700000000002</v>
      </c>
      <c r="E52" s="311">
        <f>'Capital IQ Sheet-GPC'!K46</f>
        <v>0.36752000000000001</v>
      </c>
      <c r="F52" s="311" t="str">
        <f>'Capital IQ Sheet-GPC'!L46</f>
        <v>n/a</v>
      </c>
      <c r="G52" s="311" t="str">
        <f>'Capital IQ Sheet-GPC'!M46</f>
        <v>n/a</v>
      </c>
      <c r="H52" s="311">
        <f t="shared" si="35"/>
        <v>0.36752000000000001</v>
      </c>
      <c r="I52" s="311">
        <f t="shared" si="36"/>
        <v>4.2190900000000005</v>
      </c>
      <c r="J52" s="311">
        <f>'Capital IQ Sheet-GPC'!N46</f>
        <v>8.43E-3</v>
      </c>
      <c r="K52" s="311">
        <f t="shared" si="37"/>
        <v>4.2106600000000007</v>
      </c>
      <c r="M52" s="51">
        <f>IFERROR('Capital IQ Sheet-GPC'!AT46,"n/a")</f>
        <v>0</v>
      </c>
      <c r="N52" s="311">
        <f t="shared" si="39"/>
        <v>2.7123287671232879</v>
      </c>
      <c r="O52" s="176">
        <f t="shared" si="39"/>
        <v>2.5983561643835616E-2</v>
      </c>
      <c r="P52" s="177"/>
      <c r="Q52" s="178" t="str">
        <f>IFERROR(HLOOKUP($Q$6,'Equity Vol'!$B$8:$H45,ROWS('Equity Vol'!$C$8:$C45),FALSE),"n/a")</f>
        <v>NM</v>
      </c>
      <c r="R52" s="43"/>
      <c r="S52" s="179" t="str">
        <f t="shared" si="27"/>
        <v>n/a</v>
      </c>
      <c r="T52" s="179" t="str">
        <f t="shared" si="28"/>
        <v>n/a</v>
      </c>
      <c r="U52" s="180" t="str">
        <f t="shared" si="29"/>
        <v>n/a</v>
      </c>
      <c r="V52" s="180" t="str">
        <f t="shared" si="30"/>
        <v>n/a</v>
      </c>
      <c r="W52" s="180" t="str">
        <f t="shared" si="31"/>
        <v>n/a</v>
      </c>
      <c r="X52" s="81" t="str">
        <f t="shared" si="32"/>
        <v>n/a</v>
      </c>
      <c r="Y52" s="178" t="str">
        <f t="shared" si="33"/>
        <v>n/a</v>
      </c>
      <c r="AA52" s="310">
        <v>1</v>
      </c>
      <c r="AB52" s="82" t="str">
        <f>IF('MASTER PubCo Inputs'!B60=0,"",'MASTER PubCo Inputs'!B60)</f>
        <v>OTCPK:NEXS</v>
      </c>
      <c r="AC52" s="311">
        <f>'Capital IQ Sheet-GPC'!H46</f>
        <v>4.2106599999999998</v>
      </c>
      <c r="AD52" s="83">
        <f t="shared" si="38"/>
        <v>0</v>
      </c>
      <c r="AJ52" s="84"/>
    </row>
    <row r="53" spans="2:36" ht="12.75" customHeight="1">
      <c r="B53" s="310" t="str">
        <f>Comp.1!B48</f>
        <v>ERYTECH Pharma S.A.</v>
      </c>
      <c r="D53" s="311">
        <f>'Capital IQ Sheet-GPC'!J47</f>
        <v>201.74755999999999</v>
      </c>
      <c r="E53" s="311">
        <f>'Capital IQ Sheet-GPC'!K47</f>
        <v>3.4137900000000001</v>
      </c>
      <c r="F53" s="311" t="str">
        <f>'Capital IQ Sheet-GPC'!L47</f>
        <v>n/a</v>
      </c>
      <c r="G53" s="311" t="str">
        <f>'Capital IQ Sheet-GPC'!M47</f>
        <v>n/a</v>
      </c>
      <c r="H53" s="311">
        <f>SUM(E53:G53)</f>
        <v>3.4137900000000001</v>
      </c>
      <c r="I53" s="311">
        <f>SUM(D53:G53)</f>
        <v>205.16135</v>
      </c>
      <c r="J53" s="311">
        <f>'Capital IQ Sheet-GPC'!N47</f>
        <v>222.77257</v>
      </c>
      <c r="K53" s="311">
        <f>I53-J53</f>
        <v>-17.611220000000003</v>
      </c>
      <c r="M53" s="51">
        <f>IFERROR('Capital IQ Sheet-GPC'!AT47,"n/a")</f>
        <v>0</v>
      </c>
      <c r="N53" s="311">
        <f t="shared" si="39"/>
        <v>2.7123287671232879</v>
      </c>
      <c r="O53" s="176">
        <f t="shared" si="39"/>
        <v>2.5983561643835616E-2</v>
      </c>
      <c r="P53" s="177"/>
      <c r="Q53" s="178">
        <f>IFERROR(HLOOKUP($Q$6,'Equity Vol'!$B$8:$H46,ROWS('Equity Vol'!$C$8:$C46),FALSE),"n/a")</f>
        <v>0.64744564628689616</v>
      </c>
      <c r="R53" s="43"/>
      <c r="S53" s="179">
        <f>IFERROR(IF(Q53="n/a","n/a",Q53^2),"n/a")</f>
        <v>0.41918586489585663</v>
      </c>
      <c r="T53" s="179" t="e">
        <f>IF(OR(K53="n/a",S53="n/a"),"n/a",IF(H53=0,0,IF(M53=0,(LN(K53/H53)+((O53+(S53/2))*N53))/((S53*N53)^0.5),(LN(K53/H53)+((O53-M53+(S53/2))*N53))/((S53*N53)^0.5))))</f>
        <v>#NUM!</v>
      </c>
      <c r="U53" s="180" t="e">
        <f>IF(T53="n/a","n/a",IF(H53=0,0,T53-(S53*N53)^0.5))</f>
        <v>#NUM!</v>
      </c>
      <c r="V53" s="180" t="e">
        <f>IF(OR(T53="n/a",S53="n/a"),"n/a",IF(H53=0,0,NORMSDIST(T53)))</f>
        <v>#NUM!</v>
      </c>
      <c r="W53" s="180" t="e">
        <f>IF(OR(U53="n/a",S53="n/a"),"n/a",IF(H53=0,0,NORMSDIST(U53)))</f>
        <v>#NUM!</v>
      </c>
      <c r="X53" s="81" t="str">
        <f>IFERROR(IF(OR(K53="n/a",S53="n/a"),"n/a",IF(M53=0,(K53*V53)-((H53*EXP(1)^(-O53*N53))*W53),(K53*(2.718^(-M53*N53))*V53)-(H53*(2.718^(-O53*N53))*W53))),"n/a")</f>
        <v>n/a</v>
      </c>
      <c r="Y53" s="178" t="str">
        <f>IFERROR(IF(LEN(B53)&gt;0,IF(H53=0,Q53,IF(ISERROR(Q53/((K53/X53)*V53)),"n/a",Q53/((K53/X53)*V53)))),"n/a")</f>
        <v>n/a</v>
      </c>
      <c r="AA53" s="310">
        <v>1</v>
      </c>
      <c r="AB53" s="82" t="str">
        <f>IF('MASTER PubCo Inputs'!B61=0,"",'MASTER PubCo Inputs'!B61)</f>
        <v>ENXTPA:ERYP</v>
      </c>
      <c r="AC53" s="311">
        <f>'Capital IQ Sheet-GPC'!H47</f>
        <v>-11.39209</v>
      </c>
      <c r="AD53" s="83">
        <f>K53-AC53</f>
        <v>-6.2191300000000034</v>
      </c>
      <c r="AJ53" s="84"/>
    </row>
    <row r="54" spans="2:36" ht="12.75" customHeight="1">
      <c r="D54" s="311"/>
      <c r="E54" s="311"/>
      <c r="F54" s="311"/>
      <c r="G54" s="311"/>
      <c r="H54" s="311"/>
      <c r="I54" s="311"/>
      <c r="J54" s="311"/>
      <c r="K54" s="311"/>
      <c r="R54" s="20"/>
    </row>
    <row r="55" spans="2:36" ht="12.75" customHeight="1">
      <c r="B55" s="599" t="s">
        <v>41</v>
      </c>
      <c r="C55" s="624"/>
      <c r="D55" s="623">
        <f>MAX(D29:D54)</f>
        <v>2943.9233800000002</v>
      </c>
      <c r="E55" s="623">
        <f>MAX(E29:E46)</f>
        <v>245.39599999999999</v>
      </c>
      <c r="F55" s="623">
        <f>MAX(F29:F46)</f>
        <v>132.386</v>
      </c>
      <c r="G55" s="623">
        <f>MAX(G29:G46)</f>
        <v>2.4870000000000001</v>
      </c>
      <c r="H55" s="623">
        <f>MAX(H29:H54)</f>
        <v>245.39599999999999</v>
      </c>
      <c r="I55" s="623">
        <f>MAX(I29:I54)</f>
        <v>3110.6913800000002</v>
      </c>
      <c r="J55" s="623">
        <f>MAX(J29:J54)</f>
        <v>562.52</v>
      </c>
      <c r="K55" s="623">
        <f>MAX(K29:K54)</f>
        <v>2548.1713800000002</v>
      </c>
      <c r="L55" s="624"/>
      <c r="M55" s="627">
        <f>MAX(M29:M54)</f>
        <v>0</v>
      </c>
      <c r="N55" s="623">
        <f>MAX(N29:N54)</f>
        <v>2.7123287671232879</v>
      </c>
      <c r="O55" s="628">
        <f>MAX(O29:O54)</f>
        <v>2.5983561643835616E-2</v>
      </c>
      <c r="P55" s="629"/>
      <c r="Q55" s="630">
        <f>MAX(Q29:Q54)</f>
        <v>1.1302394832325817</v>
      </c>
      <c r="R55" s="631"/>
      <c r="S55" s="632">
        <f t="shared" ref="S55:Y55" si="40">MAX(S29:S54)</f>
        <v>1.2774412894578533</v>
      </c>
      <c r="T55" s="632" t="e">
        <f t="shared" si="40"/>
        <v>#NUM!</v>
      </c>
      <c r="U55" s="633" t="e">
        <f t="shared" si="40"/>
        <v>#NUM!</v>
      </c>
      <c r="V55" s="633" t="e">
        <f t="shared" si="40"/>
        <v>#NUM!</v>
      </c>
      <c r="W55" s="633" t="e">
        <f t="shared" si="40"/>
        <v>#NUM!</v>
      </c>
      <c r="X55" s="623">
        <f t="shared" si="40"/>
        <v>2397.6115906678715</v>
      </c>
      <c r="Y55" s="634">
        <f t="shared" si="40"/>
        <v>1.0788186785108123</v>
      </c>
      <c r="AC55" s="654">
        <f>Y70</f>
        <v>0.76</v>
      </c>
      <c r="AD55" s="655" t="s">
        <v>950</v>
      </c>
      <c r="AE55" s="655"/>
      <c r="AF55" s="655"/>
      <c r="AG55" s="643"/>
    </row>
    <row r="56" spans="2:36" ht="12.75" customHeight="1">
      <c r="B56" s="278" t="s">
        <v>45</v>
      </c>
      <c r="C56" s="73"/>
      <c r="D56" s="89">
        <f>QUARTILE(D29:D54,3)</f>
        <v>788.67728</v>
      </c>
      <c r="E56" s="89">
        <f>QUARTILE(E29:E46,3)</f>
        <v>29.005500000000001</v>
      </c>
      <c r="F56" s="89">
        <f>QUARTILE(F29:F46,3)</f>
        <v>124.8625</v>
      </c>
      <c r="G56" s="89">
        <f>QUARTILE(G29:G46,3)</f>
        <v>2.00725</v>
      </c>
      <c r="H56" s="89">
        <f>QUARTILE(H29:H54,3)</f>
        <v>43.624000000000002</v>
      </c>
      <c r="I56" s="89">
        <f>QUARTILE(I29:I54,3)</f>
        <v>794.03827999999999</v>
      </c>
      <c r="J56" s="89">
        <f>QUARTILE(J29:J54,3)</f>
        <v>195.24600000000001</v>
      </c>
      <c r="K56" s="89">
        <f>QUARTILE(K29:K54,3)</f>
        <v>564.50227999999993</v>
      </c>
      <c r="L56" s="73"/>
      <c r="M56" s="116">
        <f>QUARTILE(M29:M54,3)</f>
        <v>0</v>
      </c>
      <c r="N56" s="89">
        <f>QUARTILE(N29:N54,3)</f>
        <v>2.7123287671232879</v>
      </c>
      <c r="O56" s="181">
        <f>QUARTILE(O29:O54,3)</f>
        <v>2.5983561643835616E-2</v>
      </c>
      <c r="P56" s="182"/>
      <c r="Q56" s="183">
        <f>QUARTILE(Q29:Q54,3)</f>
        <v>0.92884143833985744</v>
      </c>
      <c r="R56" s="184"/>
      <c r="S56" s="185">
        <f t="shared" ref="S56:Y56" si="41">QUARTILE(S29:S54,3)</f>
        <v>0.8634142271437637</v>
      </c>
      <c r="T56" s="185" t="e">
        <f t="shared" si="41"/>
        <v>#NUM!</v>
      </c>
      <c r="U56" s="186" t="e">
        <f t="shared" si="41"/>
        <v>#NUM!</v>
      </c>
      <c r="V56" s="186" t="e">
        <f t="shared" si="41"/>
        <v>#NUM!</v>
      </c>
      <c r="W56" s="186" t="e">
        <f t="shared" si="41"/>
        <v>#NUM!</v>
      </c>
      <c r="X56" s="89">
        <f t="shared" si="41"/>
        <v>584.52552552457223</v>
      </c>
      <c r="Y56" s="187">
        <f t="shared" si="41"/>
        <v>0.88286424512295536</v>
      </c>
      <c r="AC56" s="656">
        <f>Y72</f>
        <v>0.56726274258865528</v>
      </c>
      <c r="AD56" s="16" t="s">
        <v>951</v>
      </c>
      <c r="AE56" s="16"/>
      <c r="AF56" s="16"/>
      <c r="AG56" s="168"/>
    </row>
    <row r="57" spans="2:36" ht="12.75" customHeight="1">
      <c r="B57" s="278" t="s">
        <v>43</v>
      </c>
      <c r="C57" s="73"/>
      <c r="D57" s="89">
        <f>AVERAGE(D29:D54)</f>
        <v>569.31687600000009</v>
      </c>
      <c r="E57" s="89">
        <f>AVERAGE(E29:E46)</f>
        <v>34.61911111111111</v>
      </c>
      <c r="F57" s="89">
        <f>AVERAGE(F29:F46)</f>
        <v>117.339</v>
      </c>
      <c r="G57" s="89">
        <f>AVERAGE(G29:G46)</f>
        <v>1.5275000000000001</v>
      </c>
      <c r="H57" s="89">
        <f>AVERAGE(H29:H54)</f>
        <v>40.369987599999988</v>
      </c>
      <c r="I57" s="89">
        <f>AVERAGE(I29:I54)</f>
        <v>609.68686360000004</v>
      </c>
      <c r="J57" s="89">
        <f>AVERAGE(J29:J54)</f>
        <v>120.30624239999999</v>
      </c>
      <c r="K57" s="89">
        <f>AVERAGE(K29:K54)</f>
        <v>489.38062120000001</v>
      </c>
      <c r="L57" s="73"/>
      <c r="M57" s="116">
        <f>AVERAGE(M29:M54)</f>
        <v>0</v>
      </c>
      <c r="N57" s="89">
        <f>AVERAGE(N29:N54)</f>
        <v>2.7123287671232879</v>
      </c>
      <c r="O57" s="181">
        <f>AVERAGE(O29:O54)</f>
        <v>2.5983561643835629E-2</v>
      </c>
      <c r="P57" s="182"/>
      <c r="Q57" s="183">
        <f>AVERAGE(Q29:Q54)</f>
        <v>0.7791450035376416</v>
      </c>
      <c r="R57" s="184"/>
      <c r="S57" s="185">
        <f t="shared" ref="S57:Y57" si="42">AVERAGE(S29:S54)</f>
        <v>0.64126635934295195</v>
      </c>
      <c r="T57" s="185" t="e">
        <f t="shared" si="42"/>
        <v>#NUM!</v>
      </c>
      <c r="U57" s="186" t="e">
        <f t="shared" si="42"/>
        <v>#NUM!</v>
      </c>
      <c r="V57" s="186" t="e">
        <f t="shared" si="42"/>
        <v>#NUM!</v>
      </c>
      <c r="W57" s="186" t="e">
        <f t="shared" si="42"/>
        <v>#NUM!</v>
      </c>
      <c r="X57" s="89">
        <f t="shared" si="42"/>
        <v>554.39694228811254</v>
      </c>
      <c r="Y57" s="187">
        <f t="shared" si="42"/>
        <v>0.7519283833209921</v>
      </c>
      <c r="AC57" s="656">
        <f>Y58</f>
        <v>0.76022299748208888</v>
      </c>
      <c r="AD57" s="16" t="s">
        <v>949</v>
      </c>
      <c r="AE57" s="16"/>
      <c r="AF57" s="16"/>
      <c r="AG57" s="657" t="s">
        <v>1063</v>
      </c>
    </row>
    <row r="58" spans="2:36" ht="12.75" customHeight="1">
      <c r="B58" s="278" t="s">
        <v>3</v>
      </c>
      <c r="C58" s="73"/>
      <c r="D58" s="89">
        <f>MEDIAN(D29:D54)</f>
        <v>374.58265999999998</v>
      </c>
      <c r="E58" s="89">
        <f>MEDIAN(E29:E46)</f>
        <v>4.5410000000000004</v>
      </c>
      <c r="F58" s="89">
        <f>MEDIAN(F29:F46)</f>
        <v>117.339</v>
      </c>
      <c r="G58" s="89">
        <f>MEDIAN(G29:G46)</f>
        <v>1.5274999999999999</v>
      </c>
      <c r="H58" s="89">
        <f>MEDIAN(H29:H54)</f>
        <v>3.7210000000000001</v>
      </c>
      <c r="I58" s="89">
        <f>MEDIAN(I29:I54)</f>
        <v>462.47541999999999</v>
      </c>
      <c r="J58" s="89">
        <f>MEDIAN(J29:J54)</f>
        <v>77.468000000000004</v>
      </c>
      <c r="K58" s="89">
        <f>MEDIAN(K29:K54)</f>
        <v>294.85737000000006</v>
      </c>
      <c r="L58" s="73"/>
      <c r="M58" s="116">
        <f>MEDIAN(M29:M54)</f>
        <v>0</v>
      </c>
      <c r="N58" s="89">
        <f>MEDIAN(N29:N54)</f>
        <v>2.7123287671232879</v>
      </c>
      <c r="O58" s="181">
        <f>MEDIAN(O29:O54)</f>
        <v>2.5983561643835616E-2</v>
      </c>
      <c r="P58" s="182"/>
      <c r="Q58" s="183">
        <f>MEDIAN(Q29:Q54)</f>
        <v>0.78126941231523839</v>
      </c>
      <c r="R58" s="184"/>
      <c r="S58" s="185">
        <f t="shared" ref="S58:Y58" si="43">MEDIAN(S29:S54)</f>
        <v>0.61038189461939796</v>
      </c>
      <c r="T58" s="185" t="e">
        <f t="shared" si="43"/>
        <v>#NUM!</v>
      </c>
      <c r="U58" s="186" t="e">
        <f t="shared" si="43"/>
        <v>#NUM!</v>
      </c>
      <c r="V58" s="186" t="e">
        <f t="shared" si="43"/>
        <v>#NUM!</v>
      </c>
      <c r="W58" s="186" t="e">
        <f t="shared" si="43"/>
        <v>#NUM!</v>
      </c>
      <c r="X58" s="89">
        <f t="shared" si="43"/>
        <v>261.28683690170726</v>
      </c>
      <c r="Y58" s="187">
        <f t="shared" si="43"/>
        <v>0.76022299748208888</v>
      </c>
      <c r="AC58" s="658" t="str">
        <f>IF(ROUND(AC55,3)=ROUND(AC57,3),"","Update Volatility - OPM")</f>
        <v/>
      </c>
      <c r="AD58" s="16"/>
      <c r="AE58" s="16"/>
      <c r="AF58" s="16"/>
      <c r="AG58" s="168"/>
    </row>
    <row r="59" spans="2:36" ht="12.75" customHeight="1">
      <c r="B59" s="278" t="s">
        <v>44</v>
      </c>
      <c r="C59" s="73"/>
      <c r="D59" s="89">
        <f>QUARTILE(D29:D54,1)</f>
        <v>199.81565000000001</v>
      </c>
      <c r="E59" s="89">
        <f>QUARTILE(E29:E46,1)</f>
        <v>0</v>
      </c>
      <c r="F59" s="89">
        <f>QUARTILE(F29:F46,1)</f>
        <v>109.8155</v>
      </c>
      <c r="G59" s="89">
        <f>QUARTILE(G29:G46,1)</f>
        <v>1.04775</v>
      </c>
      <c r="H59" s="89">
        <f>QUARTILE(H29:H54,1)</f>
        <v>0.36752000000000001</v>
      </c>
      <c r="I59" s="89">
        <f>QUARTILE(I29:I54,1)</f>
        <v>205.16135</v>
      </c>
      <c r="J59" s="89">
        <f>QUARTILE(J29:J54,1)</f>
        <v>9.7242499999999996</v>
      </c>
      <c r="K59" s="89">
        <f>QUARTILE(K29:K54,1)</f>
        <v>192.76025000000001</v>
      </c>
      <c r="L59" s="73"/>
      <c r="M59" s="116">
        <f>QUARTILE(M29:M54,1)</f>
        <v>0</v>
      </c>
      <c r="N59" s="89">
        <f>QUARTILE(N29:N54,1)</f>
        <v>2.7123287671232879</v>
      </c>
      <c r="O59" s="181">
        <f>QUARTILE(O29:O54,1)</f>
        <v>2.5983561643835616E-2</v>
      </c>
      <c r="P59" s="182"/>
      <c r="Q59" s="183">
        <f>QUARTILE(Q29:Q54,1)</f>
        <v>0.59367843165168255</v>
      </c>
      <c r="R59" s="184"/>
      <c r="S59" s="185">
        <f t="shared" ref="S59:Y59" si="44">QUARTILE(S29:S54,1)</f>
        <v>0.35258091801393349</v>
      </c>
      <c r="T59" s="185" t="e">
        <f t="shared" si="44"/>
        <v>#NUM!</v>
      </c>
      <c r="U59" s="186" t="e">
        <f t="shared" si="44"/>
        <v>#NUM!</v>
      </c>
      <c r="V59" s="186" t="e">
        <f t="shared" si="44"/>
        <v>#NUM!</v>
      </c>
      <c r="W59" s="186" t="e">
        <f t="shared" si="44"/>
        <v>#NUM!</v>
      </c>
      <c r="X59" s="89">
        <f t="shared" si="44"/>
        <v>193.83900181224772</v>
      </c>
      <c r="Y59" s="187">
        <f t="shared" si="44"/>
        <v>0.56258196462124188</v>
      </c>
      <c r="AC59" s="659"/>
      <c r="AD59" s="5"/>
      <c r="AE59" s="5"/>
      <c r="AF59" s="5"/>
      <c r="AG59" s="336"/>
    </row>
    <row r="60" spans="2:36" ht="12.75" customHeight="1">
      <c r="B60" s="90" t="s">
        <v>42</v>
      </c>
      <c r="C60" s="67"/>
      <c r="D60" s="70">
        <f>MIN(D29:D54)</f>
        <v>3.8515700000000002</v>
      </c>
      <c r="E60" s="70">
        <f>MIN(E29:E46)</f>
        <v>0</v>
      </c>
      <c r="F60" s="70">
        <f>MIN(F29:F46)</f>
        <v>102.292</v>
      </c>
      <c r="G60" s="70">
        <f>MIN(G29:G46)</f>
        <v>0.56799999999999995</v>
      </c>
      <c r="H60" s="70">
        <f>MIN(H29:H54)</f>
        <v>0</v>
      </c>
      <c r="I60" s="70">
        <f>MIN(I29:I54)</f>
        <v>4.2190900000000005</v>
      </c>
      <c r="J60" s="70">
        <f>MIN(J29:J54)</f>
        <v>8.43E-3</v>
      </c>
      <c r="K60" s="70">
        <f>MIN(K29:K54)</f>
        <v>-17.611220000000003</v>
      </c>
      <c r="L60" s="67"/>
      <c r="M60" s="118">
        <f>MIN(M29:M54)</f>
        <v>0</v>
      </c>
      <c r="N60" s="70">
        <f>MIN(N29:N54)</f>
        <v>2.7123287671232879</v>
      </c>
      <c r="O60" s="635">
        <f>MIN(O29:O54)</f>
        <v>2.5983561643835616E-2</v>
      </c>
      <c r="P60" s="636"/>
      <c r="Q60" s="637">
        <f>MIN(Q29:Q54)</f>
        <v>0.53341465176244662</v>
      </c>
      <c r="R60" s="638"/>
      <c r="S60" s="639">
        <f t="shared" ref="S60:Y60" si="45">MIN(S29:S54)</f>
        <v>0.28453119071485222</v>
      </c>
      <c r="T60" s="639" t="e">
        <f t="shared" si="45"/>
        <v>#NUM!</v>
      </c>
      <c r="U60" s="640" t="e">
        <f t="shared" si="45"/>
        <v>#NUM!</v>
      </c>
      <c r="V60" s="640" t="e">
        <f t="shared" si="45"/>
        <v>#NUM!</v>
      </c>
      <c r="W60" s="640" t="e">
        <f t="shared" si="45"/>
        <v>#NUM!</v>
      </c>
      <c r="X60" s="70">
        <f t="shared" si="45"/>
        <v>0</v>
      </c>
      <c r="Y60" s="641">
        <f t="shared" si="45"/>
        <v>0.50568413354441044</v>
      </c>
    </row>
    <row r="61" spans="2:36" ht="12.75" customHeight="1">
      <c r="AC61" s="798" t="str">
        <f>IF(AND(AC58=$AG$59,AC59=$AG$59),"","Check")</f>
        <v/>
      </c>
    </row>
    <row r="62" spans="2:36" ht="12.75" customHeight="1">
      <c r="B62" s="1" t="s">
        <v>1696</v>
      </c>
      <c r="AC62" s="16"/>
      <c r="AD62" s="1216"/>
    </row>
    <row r="63" spans="2:36" ht="12.75" customHeight="1">
      <c r="B63" s="599" t="s">
        <v>41</v>
      </c>
      <c r="C63" s="624"/>
      <c r="D63" s="623">
        <f t="array" ref="D63">MAX(IF($AA$11:$AA$54=1,D$11:D$54,""))</f>
        <v>112194.50996</v>
      </c>
      <c r="E63" s="623">
        <f t="array" ref="E63">MAX(IF($AA$11:$AA$54=1,E$11:E$54,""))</f>
        <v>746.46118999999999</v>
      </c>
      <c r="F63" s="623">
        <f t="array" ref="F63">MAX(IF($AA$11:$AA$54=1,F$11:F$54,""))</f>
        <v>132.386</v>
      </c>
      <c r="G63" s="623">
        <f t="array" ref="G63">MAX(IF($AA$11:$AA$54=1,G$11:G$54,""))</f>
        <v>120.39700000000001</v>
      </c>
      <c r="H63" s="623">
        <f t="array" ref="H63">MAX(IF($AA$11:$AA$54=1,H$11:H$54,""))</f>
        <v>746.46118999999999</v>
      </c>
      <c r="I63" s="623">
        <f t="array" ref="I63">MAX(IF($AA$11:$AA$54=1,I$11:I$54,""))</f>
        <v>112232.19422999999</v>
      </c>
      <c r="J63" s="623">
        <f t="array" ref="J63">MAX(IF($AA$11:$AA$54=1,J$11:J$54,""))</f>
        <v>1737.6084000000001</v>
      </c>
      <c r="K63" s="623">
        <f t="array" ref="K63">MAX(IF($AA$11:$AA$54=1,K$11:K$54,""))</f>
        <v>110494.58583</v>
      </c>
      <c r="L63" s="624"/>
      <c r="M63" s="627">
        <f t="array" ref="M63">MAX(IF($AA$11:$AA$54=1,M$11:M$54,""))</f>
        <v>2.6520000000000002E-2</v>
      </c>
      <c r="N63" s="623">
        <f t="array" ref="N63">MAX(IF($AA$11:$AA$54=1,N$11:N$54,""))</f>
        <v>2.7123287671232879</v>
      </c>
      <c r="O63" s="628">
        <f t="array" ref="O63">MAX(IF($AA$11:$AA$54=1,O$11:O$54,""))</f>
        <v>2.5983561643835616E-2</v>
      </c>
      <c r="P63" s="629"/>
      <c r="Q63" s="630">
        <f t="array" ref="Q63">MAX(IF($AA$11:$AA$54=1,Q$11:Q$54,""))</f>
        <v>1.1302394832325817</v>
      </c>
      <c r="R63" s="631"/>
      <c r="S63" s="632">
        <f t="array" ref="S63">MAX(IF($AA$11:$AA$54=1,S$11:S$54,""))</f>
        <v>1.2774412894578533</v>
      </c>
      <c r="T63" s="632" t="e">
        <f t="array" ref="T63">MAX(IF($AA$11:$AA$54=1,T$11:T$54,""))</f>
        <v>#NUM!</v>
      </c>
      <c r="U63" s="633" t="e">
        <f t="array" ref="U63">MAX(IF($AA$11:$AA$54=1,U$11:U$54,""))</f>
        <v>#NUM!</v>
      </c>
      <c r="V63" s="633" t="e">
        <f t="array" ref="V63">MAX(IF($AA$11:$AA$54=1,V$11:V$54,""))</f>
        <v>#NUM!</v>
      </c>
      <c r="W63" s="633" t="e">
        <f t="array" ref="W63">MAX(IF($AA$11:$AA$54=1,W$11:W$54,""))</f>
        <v>#NUM!</v>
      </c>
      <c r="X63" s="623">
        <f t="array" ref="X63">MAX(IF($AA$11:$AA$54=1,X$11:X$54,""))</f>
        <v>102791.37166127743</v>
      </c>
      <c r="Y63" s="634">
        <f t="array" ref="Y63">MAX(IF($AA$11:$AA$54=1,Y$11:Y$54,""))</f>
        <v>1.0788186785108123</v>
      </c>
      <c r="AD63" s="1217"/>
      <c r="AE63" s="16"/>
      <c r="AF63" s="16"/>
      <c r="AG63" s="16"/>
      <c r="AH63" s="16"/>
    </row>
    <row r="64" spans="2:36" ht="12.75" customHeight="1">
      <c r="B64" s="278" t="s">
        <v>45</v>
      </c>
      <c r="C64" s="73"/>
      <c r="D64" s="89">
        <f t="array" ref="D64">QUARTILE(IF($AA$11:$AA$54=1,D$11:D$54,""),3)</f>
        <v>1430.2640425</v>
      </c>
      <c r="E64" s="89">
        <f t="array" ref="E64">QUARTILE(IF($AA$11:$AA$54=1,E$11:E$54,""),3)</f>
        <v>42.139067500000003</v>
      </c>
      <c r="F64" s="89">
        <f t="array" ref="F64">QUARTILE(IF($AA$11:$AA$54=1,F$11:F$54,""),3)</f>
        <v>109.8155</v>
      </c>
      <c r="G64" s="89">
        <f t="array" ref="G64">QUARTILE(IF($AA$11:$AA$54=1,G$11:G$54,""),3)</f>
        <v>31.73986</v>
      </c>
      <c r="H64" s="89">
        <f t="array" ref="H64">QUARTILE(IF($AA$11:$AA$54=1,H$11:H$54,""),3)</f>
        <v>129.37524999999999</v>
      </c>
      <c r="I64" s="89">
        <f t="array" ref="I64">QUARTILE(IF($AA$11:$AA$54=1,I$11:I$54,""),3)</f>
        <v>1524.3310425</v>
      </c>
      <c r="J64" s="89">
        <f t="array" ref="J64">QUARTILE(IF($AA$11:$AA$54=1,J$11:J$54,""),3)</f>
        <v>241.09094999999999</v>
      </c>
      <c r="K64" s="89">
        <f t="array" ref="K64">QUARTILE(IF($AA$11:$AA$54=1,K$11:K$54,""),3)</f>
        <v>1377.2950425000001</v>
      </c>
      <c r="L64" s="73"/>
      <c r="M64" s="116">
        <f t="array" ref="M64">QUARTILE(IF($AA$11:$AA$54=1,M$11:M$54,""),3)</f>
        <v>0</v>
      </c>
      <c r="N64" s="89">
        <f t="array" ref="N64">QUARTILE(IF($AA$11:$AA$54=1,N$11:N$54,""),3)</f>
        <v>2.7123287671232879</v>
      </c>
      <c r="O64" s="181">
        <f t="array" ref="O64">QUARTILE(IF($AA$11:$AA$54=1,O$11:O$54,""),3)</f>
        <v>2.5983561643835616E-2</v>
      </c>
      <c r="P64" s="182"/>
      <c r="Q64" s="183">
        <f t="array" ref="Q64">QUARTILE(IF($AA$11:$AA$54=1,Q$11:Q$54,""),3)</f>
        <v>0.83860113416605564</v>
      </c>
      <c r="R64" s="184"/>
      <c r="S64" s="185">
        <f t="array" ref="S64">QUARTILE(IF($AA$11:$AA$54=1,S$11:S$54,""),3)</f>
        <v>0.70463424225093141</v>
      </c>
      <c r="T64" s="185" t="e">
        <f t="array" ref="T64">QUARTILE(IF($AA$11:$AA$54=1,T$11:T$54,""),3)</f>
        <v>#NUM!</v>
      </c>
      <c r="U64" s="186" t="e">
        <f t="array" ref="U64">QUARTILE(IF($AA$11:$AA$54=1,U$11:U$54,""),3)</f>
        <v>#NUM!</v>
      </c>
      <c r="V64" s="186" t="e">
        <f t="array" ref="V64">QUARTILE(IF($AA$11:$AA$54=1,V$11:V$54,""),3)</f>
        <v>#NUM!</v>
      </c>
      <c r="W64" s="186" t="e">
        <f t="array" ref="W64">QUARTILE(IF($AA$11:$AA$54=1,W$11:W$54,""),3)</f>
        <v>#NUM!</v>
      </c>
      <c r="X64" s="89">
        <f t="array" ref="X64">QUARTILE(IF($AA$11:$AA$54=1,X$11:X$54,""),3)</f>
        <v>1841.1276980486061</v>
      </c>
      <c r="Y64" s="187">
        <f t="array" ref="Y64">QUARTILE(IF($AA$11:$AA$54=1,Y$11:Y$54,""),3)</f>
        <v>0.81762223443698301</v>
      </c>
      <c r="AD64" s="1217"/>
      <c r="AE64" s="16"/>
      <c r="AF64" s="16"/>
      <c r="AG64" s="16"/>
      <c r="AH64" s="16"/>
    </row>
    <row r="65" spans="1:34" ht="12.75" customHeight="1">
      <c r="B65" s="278" t="s">
        <v>43</v>
      </c>
      <c r="C65" s="73"/>
      <c r="D65" s="89">
        <f t="array" ref="D65">AVERAGE(IF($AA$11:$AA$54=1,D$11:D$54,""))</f>
        <v>4401.7166832352923</v>
      </c>
      <c r="E65" s="89">
        <f t="array" ref="E65">AVERAGE(IF($AA$11:$AA$54=1,E$11:E$54,""))</f>
        <v>90.41378676470589</v>
      </c>
      <c r="F65" s="89">
        <f t="array" ref="F65">AVERAGE(IF($AA$11:$AA$54=1,F$11:F$54,""))</f>
        <v>58.672019999999996</v>
      </c>
      <c r="G65" s="89">
        <f t="array" ref="G65">AVERAGE(IF($AA$11:$AA$54=1,G$11:G$54,""))</f>
        <v>30.055398333333333</v>
      </c>
      <c r="H65" s="89">
        <f t="array" ref="H65">AVERAGE(IF($AA$11:$AA$54=1,H$11:H$54,""))</f>
        <v>102.62027117647058</v>
      </c>
      <c r="I65" s="89">
        <f t="array" ref="I65">AVERAGE(IF($AA$11:$AA$54=1,I$11:I$54,""))</f>
        <v>4504.3369544117659</v>
      </c>
      <c r="J65" s="89">
        <f t="array" ref="J65">AVERAGE(IF($AA$11:$AA$54=1,J$11:J$54,""))</f>
        <v>192.15958705882352</v>
      </c>
      <c r="K65" s="89">
        <f t="array" ref="K65">AVERAGE(IF($AA$11:$AA$54=1,K$11:K$54,""))</f>
        <v>4312.1773673529433</v>
      </c>
      <c r="L65" s="73"/>
      <c r="M65" s="116">
        <f t="array" ref="M65">AVERAGE(IF($AA$11:$AA$54=1,M$11:M$54,""))</f>
        <v>1.4473235294117648E-3</v>
      </c>
      <c r="N65" s="89">
        <f t="array" ref="N65">AVERAGE(IF($AA$11:$AA$54=1,N$11:N$54,""))</f>
        <v>2.7123287671232861</v>
      </c>
      <c r="O65" s="181">
        <f t="array" ref="O65">AVERAGE(IF($AA$11:$AA$54=1,O$11:O$54,""))</f>
        <v>2.5983561643835633E-2</v>
      </c>
      <c r="P65" s="182"/>
      <c r="Q65" s="183">
        <f t="array" ref="Q65">AVERAGE(IF($AA$11:$AA$54=1,Q$11:Q$54,""))</f>
        <v>0.67890938299098591</v>
      </c>
      <c r="R65" s="184"/>
      <c r="S65" s="185">
        <f t="array" ref="S65">AVERAGE(IF($AA$11:$AA$54=1,S$11:S$54,""))</f>
        <v>0.51932140688939588</v>
      </c>
      <c r="T65" s="185" t="e">
        <f t="array" ref="T65">AVERAGE(IF($AA$11:$AA$54=1,T$11:T$54,""))</f>
        <v>#NUM!</v>
      </c>
      <c r="U65" s="186" t="e">
        <f t="array" ref="U65">AVERAGE(IF($AA$11:$AA$54=1,U$11:U$54,""))</f>
        <v>#NUM!</v>
      </c>
      <c r="V65" s="186" t="e">
        <f t="array" ref="V65">AVERAGE(IF($AA$11:$AA$54=1,V$11:V$54,""))</f>
        <v>#NUM!</v>
      </c>
      <c r="W65" s="186" t="e">
        <f t="array" ref="W65">AVERAGE(IF($AA$11:$AA$54=1,W$11:W$54,""))</f>
        <v>#NUM!</v>
      </c>
      <c r="X65" s="89">
        <f t="array" ref="X65">AVERAGE(IF($AA$11:$AA$54=1,X$11:X$54,""))</f>
        <v>5667.3157174510197</v>
      </c>
      <c r="Y65" s="187">
        <f t="array" ref="Y65">AVERAGE(IF($AA$11:$AA$54=1,Y$11:Y$54,""))</f>
        <v>0.63532052573986353</v>
      </c>
      <c r="AD65" s="1217"/>
      <c r="AE65" s="16"/>
      <c r="AF65" s="16"/>
      <c r="AG65" s="16"/>
      <c r="AH65" s="1218"/>
    </row>
    <row r="66" spans="1:34" ht="12.75" customHeight="1">
      <c r="B66" s="278" t="s">
        <v>3</v>
      </c>
      <c r="C66" s="73"/>
      <c r="D66" s="89">
        <f t="array" ref="D66">MEDIAN(IF($AA$11:$AA$54=1,D$11:D$54,""))</f>
        <v>513.84134500000005</v>
      </c>
      <c r="E66" s="89">
        <f t="array" ref="E66">MEDIAN(IF($AA$11:$AA$54=1,E$11:E$54,""))</f>
        <v>4.5410000000000004</v>
      </c>
      <c r="F66" s="89">
        <f t="array" ref="F66">MEDIAN(IF($AA$11:$AA$54=1,F$11:F$54,""))</f>
        <v>51.150999999999996</v>
      </c>
      <c r="G66" s="89">
        <f t="array" ref="G66">MEDIAN(IF($AA$11:$AA$54=1,G$11:G$54,""))</f>
        <v>11.04209</v>
      </c>
      <c r="H66" s="89">
        <f t="array" ref="H66">MEDIAN(IF($AA$11:$AA$54=1,H$11:H$54,""))</f>
        <v>11.974499999999999</v>
      </c>
      <c r="I66" s="89">
        <f t="array" ref="I66">MEDIAN(IF($AA$11:$AA$54=1,I$11:I$54,""))</f>
        <v>531.926965</v>
      </c>
      <c r="J66" s="89">
        <f t="array" ref="J66">MEDIAN(IF($AA$11:$AA$54=1,J$11:J$54,""))</f>
        <v>90.904499999999999</v>
      </c>
      <c r="K66" s="89">
        <f t="array" ref="K66">MEDIAN(IF($AA$11:$AA$54=1,K$11:K$54,""))</f>
        <v>417.62723499999998</v>
      </c>
      <c r="L66" s="73"/>
      <c r="M66" s="116">
        <f t="array" ref="M66">MEDIAN(IF($AA$11:$AA$54=1,M$11:M$54,""))</f>
        <v>0</v>
      </c>
      <c r="N66" s="89">
        <f t="array" ref="N66">MEDIAN(IF($AA$11:$AA$54=1,N$11:N$54,""))</f>
        <v>2.7123287671232879</v>
      </c>
      <c r="O66" s="181">
        <f t="array" ref="O66">MEDIAN(IF($AA$11:$AA$54=1,O$11:O$54,""))</f>
        <v>2.5983561643835616E-2</v>
      </c>
      <c r="P66" s="182"/>
      <c r="Q66" s="183">
        <f t="array" ref="Q66">MEDIAN(IF($AA$11:$AA$54=1,Q$11:Q$54,""))</f>
        <v>0.60471906841904466</v>
      </c>
      <c r="R66" s="184"/>
      <c r="S66" s="185">
        <f t="array" ref="S66">MEDIAN(IF($AA$11:$AA$54=1,S$11:S$54,""))</f>
        <v>0.36568520081278333</v>
      </c>
      <c r="T66" s="185" t="e">
        <f t="array" ref="T66">MEDIAN(IF($AA$11:$AA$54=1,T$11:T$54,""))</f>
        <v>#NUM!</v>
      </c>
      <c r="U66" s="186" t="e">
        <f t="array" ref="U66">MEDIAN(IF($AA$11:$AA$54=1,U$11:U$54,""))</f>
        <v>#NUM!</v>
      </c>
      <c r="V66" s="186" t="e">
        <f t="array" ref="V66">MEDIAN(IF($AA$11:$AA$54=1,V$11:V$54,""))</f>
        <v>#NUM!</v>
      </c>
      <c r="W66" s="186" t="e">
        <f t="array" ref="W66">MEDIAN(IF($AA$11:$AA$54=1,W$11:W$54,""))</f>
        <v>#NUM!</v>
      </c>
      <c r="X66" s="89">
        <f t="array" ref="X66">MEDIAN(IF($AA$11:$AA$54=1,X$11:X$54,""))</f>
        <v>488.02078318711187</v>
      </c>
      <c r="Y66" s="187">
        <f t="array" ref="Y66">MEDIAN(IF($AA$11:$AA$54=1,Y$11:Y$54,""))</f>
        <v>0.56573623178989996</v>
      </c>
      <c r="AD66" s="1219"/>
      <c r="AE66" s="16"/>
      <c r="AF66" s="16"/>
      <c r="AG66" s="16"/>
      <c r="AH66" s="16"/>
    </row>
    <row r="67" spans="1:34" ht="12.75" customHeight="1">
      <c r="B67" s="278" t="s">
        <v>44</v>
      </c>
      <c r="C67" s="73"/>
      <c r="D67" s="89">
        <f t="array" ref="D67">QUARTILE(IF($AA$11:$AA$54=1,D$11:D$54,""),1)</f>
        <v>262.53121500000003</v>
      </c>
      <c r="E67" s="89">
        <f t="array" ref="E67">QUARTILE(IF($AA$11:$AA$54=1,E$11:E$54,""),1)</f>
        <v>0</v>
      </c>
      <c r="F67" s="89">
        <f t="array" ref="F67">QUARTILE(IF($AA$11:$AA$54=1,F$11:F$54,""),1)</f>
        <v>7.5200000000000006E-3</v>
      </c>
      <c r="G67" s="89">
        <f t="array" ref="G67">QUARTILE(IF($AA$11:$AA$54=1,G$11:G$54,""),1)</f>
        <v>1.7435925000000001</v>
      </c>
      <c r="H67" s="89">
        <f t="array" ref="H67">QUARTILE(IF($AA$11:$AA$54=1,H$11:H$54,""),1)</f>
        <v>0.65717499999999995</v>
      </c>
      <c r="I67" s="89">
        <f t="array" ref="I67">QUARTILE(IF($AA$11:$AA$54=1,I$11:I$54,""),1)</f>
        <v>270.76552250000009</v>
      </c>
      <c r="J67" s="89">
        <f t="array" ref="J67">QUARTILE(IF($AA$11:$AA$54=1,J$11:J$54,""),1)</f>
        <v>26.77825</v>
      </c>
      <c r="K67" s="89">
        <f t="array" ref="K67">QUARTILE(IF($AA$11:$AA$54=1,K$11:K$54,""),1)</f>
        <v>231.22944000000001</v>
      </c>
      <c r="L67" s="73"/>
      <c r="M67" s="116">
        <f t="array" ref="M67">QUARTILE(IF($AA$11:$AA$54=1,M$11:M$54,""),1)</f>
        <v>0</v>
      </c>
      <c r="N67" s="89">
        <f t="array" ref="N67">QUARTILE(IF($AA$11:$AA$54=1,N$11:N$54,""),1)</f>
        <v>2.7123287671232879</v>
      </c>
      <c r="O67" s="181">
        <f t="array" ref="O67">QUARTILE(IF($AA$11:$AA$54=1,O$11:O$54,""),1)</f>
        <v>2.5983561643835616E-2</v>
      </c>
      <c r="P67" s="182"/>
      <c r="Q67" s="183">
        <f t="array" ref="Q67">QUARTILE(IF($AA$11:$AA$54=1,Q$11:Q$54,""),1)</f>
        <v>0.51594335718345119</v>
      </c>
      <c r="R67" s="184"/>
      <c r="S67" s="185">
        <f t="array" ref="S67">QUARTILE(IF($AA$11:$AA$54=1,S$11:S$54,""),1)</f>
        <v>0.2671132862245284</v>
      </c>
      <c r="T67" s="185" t="e">
        <f t="array" ref="T67">QUARTILE(IF($AA$11:$AA$54=1,T$11:T$54,""),1)</f>
        <v>#NUM!</v>
      </c>
      <c r="U67" s="186" t="e">
        <f t="array" ref="U67">QUARTILE(IF($AA$11:$AA$54=1,U$11:U$54,""),1)</f>
        <v>#NUM!</v>
      </c>
      <c r="V67" s="186" t="e">
        <f t="array" ref="V67">QUARTILE(IF($AA$11:$AA$54=1,V$11:V$54,""),1)</f>
        <v>#NUM!</v>
      </c>
      <c r="W67" s="186" t="e">
        <f t="array" ref="W67">QUARTILE(IF($AA$11:$AA$54=1,W$11:W$54,""),1)</f>
        <v>#NUM!</v>
      </c>
      <c r="X67" s="89">
        <f t="array" ref="X67">QUARTILE(IF($AA$11:$AA$54=1,X$11:X$54,""),1)</f>
        <v>215.61695439172962</v>
      </c>
      <c r="Y67" s="187">
        <f t="array" ref="Y67">QUARTILE(IF($AA$11:$AA$54=1,Y$11:Y$54,""),1)</f>
        <v>0.45651351527521655</v>
      </c>
      <c r="AD67" s="1219"/>
      <c r="AE67" s="16"/>
      <c r="AF67" s="16"/>
      <c r="AG67" s="16"/>
      <c r="AH67" s="16"/>
    </row>
    <row r="68" spans="1:34" ht="12.75" customHeight="1">
      <c r="B68" s="90" t="s">
        <v>42</v>
      </c>
      <c r="C68" s="67"/>
      <c r="D68" s="70">
        <f t="array" ref="D68">MIN(IF($AA$11:$AA$54=1,D$11:D$54,""))</f>
        <v>3.8515700000000002</v>
      </c>
      <c r="E68" s="70">
        <f t="array" ref="E68">MIN(IF($AA$11:$AA$54=1,E$11:E$54,""))</f>
        <v>0</v>
      </c>
      <c r="F68" s="70">
        <f t="array" ref="F68">MIN(IF($AA$11:$AA$54=1,F$11:F$54,""))</f>
        <v>8.0000000000000007E-5</v>
      </c>
      <c r="G68" s="70">
        <f t="array" ref="G68">MIN(IF($AA$11:$AA$54=1,G$11:G$54,""))</f>
        <v>0.56799999999999995</v>
      </c>
      <c r="H68" s="70">
        <f t="array" ref="H68">MIN(IF($AA$11:$AA$54=1,H$11:H$54,""))</f>
        <v>0</v>
      </c>
      <c r="I68" s="70">
        <f t="array" ref="I68">MIN(IF($AA$11:$AA$54=1,I$11:I$54,""))</f>
        <v>4.2190900000000005</v>
      </c>
      <c r="J68" s="70">
        <f t="array" ref="J68">MIN(IF($AA$11:$AA$54=1,J$11:J$54,""))</f>
        <v>8.43E-3</v>
      </c>
      <c r="K68" s="70">
        <f t="array" ref="K68">MIN(IF($AA$11:$AA$54=1,K$11:K$54,""))</f>
        <v>-17.611220000000003</v>
      </c>
      <c r="L68" s="67"/>
      <c r="M68" s="118">
        <f t="array" ref="M68">MIN(IF($AA$11:$AA$54=1,M$11:M$54,""))</f>
        <v>0</v>
      </c>
      <c r="N68" s="70">
        <f t="array" ref="N68">MIN(IF($AA$11:$AA$54=1,N$11:N$54,""))</f>
        <v>2.7123287671232879</v>
      </c>
      <c r="O68" s="635">
        <f t="array" ref="O68">MIN(IF($AA$11:$AA$54=1,O$11:O$54,""))</f>
        <v>2.5983561643835616E-2</v>
      </c>
      <c r="P68" s="636"/>
      <c r="Q68" s="637">
        <f t="array" ref="Q68">MIN(IF($AA$11:$AA$54=1,Q$11:Q$54,""))</f>
        <v>0.27509605137080317</v>
      </c>
      <c r="R68" s="638"/>
      <c r="S68" s="639">
        <f t="array" ref="S68">MIN(IF($AA$11:$AA$54=1,S$11:S$54,""))</f>
        <v>7.567783747980758E-2</v>
      </c>
      <c r="T68" s="639" t="e">
        <f t="array" ref="T68">MIN(IF($AA$11:$AA$54=1,T$11:T$54,""))</f>
        <v>#NUM!</v>
      </c>
      <c r="U68" s="640" t="e">
        <f t="array" ref="U68">MIN(IF($AA$11:$AA$54=1,U$11:U$54,""))</f>
        <v>#NUM!</v>
      </c>
      <c r="V68" s="640" t="e">
        <f t="array" ref="V68">MIN(IF($AA$11:$AA$54=1,V$11:V$54,""))</f>
        <v>#NUM!</v>
      </c>
      <c r="W68" s="640" t="e">
        <f t="array" ref="W68">MIN(IF($AA$11:$AA$54=1,W$11:W$54,""))</f>
        <v>#NUM!</v>
      </c>
      <c r="X68" s="70">
        <f t="array" ref="X68">MIN(IF($AA$11:$AA$54=1,X$11:X$54,""))</f>
        <v>0</v>
      </c>
      <c r="Y68" s="641">
        <f t="array" ref="Y68">MIN(IF($AA$11:$AA$54=1,Y$11:Y$54,""))</f>
        <v>0.25591752072370388</v>
      </c>
      <c r="AD68" s="16"/>
      <c r="AE68" s="16"/>
      <c r="AF68" s="16"/>
      <c r="AG68" s="16"/>
      <c r="AH68" s="16"/>
    </row>
    <row r="69" spans="1:34" ht="12.75" customHeight="1">
      <c r="AD69" s="1215"/>
      <c r="AE69" s="16"/>
      <c r="AF69" s="16"/>
      <c r="AG69" s="16"/>
      <c r="AH69" s="16"/>
    </row>
    <row r="70" spans="1:34" ht="12.75" customHeight="1">
      <c r="B70" s="188" t="str">
        <f>B2</f>
        <v>Hua Medicine</v>
      </c>
      <c r="C70" s="364" t="s">
        <v>127</v>
      </c>
      <c r="D70" s="1108">
        <f>'OPM Hybrid (Redemption)'!D9/1000</f>
        <v>262.85000000000002</v>
      </c>
      <c r="E70" s="1106">
        <f>'Hist BS'!I62/1000</f>
        <v>0</v>
      </c>
      <c r="F70" s="1106"/>
      <c r="G70" s="1106"/>
      <c r="H70" s="1107">
        <f>SUM(E70:G70)</f>
        <v>0</v>
      </c>
      <c r="I70" s="1106">
        <f>SUM(D70:G70)</f>
        <v>262.85000000000002</v>
      </c>
      <c r="J70" s="1106">
        <f>'Hist BS'!I60/1000</f>
        <v>0</v>
      </c>
      <c r="K70" s="1107">
        <f>I70-J70</f>
        <v>262.85000000000002</v>
      </c>
      <c r="L70" s="189"/>
      <c r="M70" s="190">
        <f>'OPM Hybrid (Redemption)'!D13</f>
        <v>0</v>
      </c>
      <c r="N70" s="191">
        <f>N$6</f>
        <v>2.7123287671232879</v>
      </c>
      <c r="O70" s="192">
        <f>O$6</f>
        <v>2.5983561643835616E-2</v>
      </c>
      <c r="P70" s="193"/>
      <c r="Q70" s="194">
        <v>0.76</v>
      </c>
      <c r="R70" s="189"/>
      <c r="S70" s="195">
        <f>IF(Q70="n/a","n/a",Q70^2)</f>
        <v>0.5776</v>
      </c>
      <c r="T70" s="195">
        <f>IF(OR(K70="n/a",S70="n/a"),"n/a",IF(H70=0,0,IF(M70=0,(LN(K70/H70)+((O70+(S70/2))*N70))/((S70*N70)^0.5),(LN(K70/H70)+((O70-M70+(S70/2))*N70))/((S70*N70)^0.5))))</f>
        <v>0</v>
      </c>
      <c r="U70" s="196">
        <f>IF(T70="n/a","n/a",IF(H70=0,0,T70-(S70*N70)^0.5))</f>
        <v>0</v>
      </c>
      <c r="V70" s="196">
        <f>IF(OR(T70="n/a",S70="n/a"),"n/a",IF(H70=0,0,NORMSDIST(T70)))</f>
        <v>0</v>
      </c>
      <c r="W70" s="196">
        <f>IF(OR(U70="n/a",S70="n/a"),"n/a",IF(H70=0,0,NORMSDIST(U70)))</f>
        <v>0</v>
      </c>
      <c r="X70" s="196">
        <f>IF(OR(K70="n/a",S70="n/a"),"n/a",IF(M70=0,(K70*V70)-((H70*EXP(1)^(-O70*N70))*W70),(K70*(2.718^(-M70*N70))*V70)-(H70*(2.718^(-O70*N70))*W70)))</f>
        <v>0</v>
      </c>
      <c r="Y70" s="197">
        <f>IF(LEN(B70)&gt;0,IF(H70=0,Q70,IF(ISERROR(Q70/((K70/X70)*V70)),"n/a",Q70/((K70/X70)*V70))))</f>
        <v>0.76</v>
      </c>
    </row>
    <row r="71" spans="1:34" ht="12.75" hidden="1" customHeight="1" outlineLevel="1">
      <c r="C71" s="72"/>
      <c r="D71" s="72"/>
      <c r="E71" s="72"/>
      <c r="F71" s="72"/>
      <c r="G71" s="72"/>
      <c r="H71" s="72"/>
      <c r="I71" s="72"/>
      <c r="J71" s="72"/>
    </row>
    <row r="72" spans="1:34" ht="12.75" hidden="1" customHeight="1" outlineLevel="1">
      <c r="B72" s="188" t="str">
        <f>B70</f>
        <v>Hua Medicine</v>
      </c>
      <c r="C72" s="364" t="s">
        <v>144</v>
      </c>
      <c r="D72" s="1109">
        <f>D70</f>
        <v>262.85000000000002</v>
      </c>
      <c r="E72" s="1148">
        <f>SUM('OPM Hybrid (Redemption)'!D76:H76)/1000+E70</f>
        <v>131.00021636778399</v>
      </c>
      <c r="F72" s="189"/>
      <c r="G72" s="189"/>
      <c r="H72" s="1107">
        <f>SUM(E72:G72)</f>
        <v>131.00021636778399</v>
      </c>
      <c r="I72" s="1106">
        <f>SUM(D72:G72)</f>
        <v>393.85021636778401</v>
      </c>
      <c r="J72" s="1109">
        <f>J70</f>
        <v>0</v>
      </c>
      <c r="K72" s="198">
        <f>K70</f>
        <v>262.85000000000002</v>
      </c>
      <c r="L72" s="189"/>
      <c r="M72" s="199">
        <f>M70</f>
        <v>0</v>
      </c>
      <c r="N72" s="191">
        <f>N$6</f>
        <v>2.7123287671232879</v>
      </c>
      <c r="O72" s="192">
        <f>O$6</f>
        <v>2.5983561643835616E-2</v>
      </c>
      <c r="P72" s="193"/>
      <c r="Q72" s="194">
        <v>0.76300000000000001</v>
      </c>
      <c r="R72" s="189"/>
      <c r="S72" s="195">
        <f>IF(Q72="n/a","n/a",Q72^2)</f>
        <v>0.58216900000000005</v>
      </c>
      <c r="T72" s="195">
        <f>IF(OR(K72="n/a",S72="n/a"),"n/a",IF(H72=0,0,IF(M72=0,(LN(K72/H72)+((O72+(S72/2))*N72))/((S72*N72)^0.5),(LN(K72/H72)+((O72-M72+(S72/2))*N72))/((S72*N72)^0.5))))</f>
        <v>1.2385661495817815</v>
      </c>
      <c r="U72" s="196">
        <f>IF(T72="n/a","n/a",IF(H72=0,0,T72-(S72*N72)^0.5))</f>
        <v>-1.8029937483349245E-2</v>
      </c>
      <c r="V72" s="196">
        <f>IF(OR(T72="n/a",S72="n/a"),"n/a",IF(H72=0,0,NORMSDIST(T72)))</f>
        <v>0.89224689474408803</v>
      </c>
      <c r="W72" s="196">
        <f>IF(OR(U72="n/a",S72="n/a"),"n/a",IF(H72=0,0,NORMSDIST(U72)))</f>
        <v>0.49280748531583057</v>
      </c>
      <c r="X72" s="196">
        <f>IF(OR(K72="n/a",S72="n/a"),"n/a",IF(M72=0,(K72*V72)-((H72*EXP(1)^(-O72*N72))*W72),(K72*(2.718^(-M72*N72))*V72)-(H72*(2.718^(-O72*N72))*W72)))</f>
        <v>174.36236415350263</v>
      </c>
      <c r="Y72" s="197">
        <f>IF(LEN(B72)&gt;0,IF(H72=0,Q72,IF(ISERROR(Q72/((K72/X72)*V72)),"n/a",Q72/((K72/X72)*V72))))</f>
        <v>0.56726274258865528</v>
      </c>
    </row>
    <row r="73" spans="1:34" ht="12.75" customHeight="1" collapsed="1"/>
    <row r="74" spans="1:34" ht="12.75" customHeight="1">
      <c r="B74" s="8" t="s">
        <v>16</v>
      </c>
    </row>
    <row r="75" spans="1:34" ht="12.75" customHeight="1">
      <c r="A75" s="586" t="s">
        <v>128</v>
      </c>
      <c r="B75" s="17" t="s">
        <v>630</v>
      </c>
    </row>
    <row r="76" spans="1:34" s="72" customFormat="1" ht="12.75" customHeight="1">
      <c r="A76" s="587" t="s">
        <v>127</v>
      </c>
      <c r="B76" s="270" t="s">
        <v>631</v>
      </c>
      <c r="P76" s="20"/>
    </row>
    <row r="77" spans="1:34" s="72" customFormat="1" ht="12.75" hidden="1" customHeight="1" outlineLevel="1">
      <c r="A77" s="587" t="s">
        <v>144</v>
      </c>
      <c r="B77" s="270" t="s">
        <v>632</v>
      </c>
      <c r="P77" s="20"/>
    </row>
    <row r="78" spans="1:34" ht="12.75" customHeight="1" collapsed="1"/>
    <row r="79" spans="1:34" ht="12.75" customHeight="1">
      <c r="B79" s="8" t="s">
        <v>46</v>
      </c>
    </row>
    <row r="80" spans="1:34" ht="12.75" customHeight="1"/>
    <row r="81" spans="2:2" ht="12.75" customHeight="1">
      <c r="B81" s="310" t="s">
        <v>975</v>
      </c>
    </row>
    <row r="82" spans="2:2">
      <c r="B82" s="310" t="s">
        <v>976</v>
      </c>
    </row>
    <row r="83" spans="2:2">
      <c r="B83" s="310" t="s">
        <v>977</v>
      </c>
    </row>
    <row r="84" spans="2:2">
      <c r="B84" s="310" t="s">
        <v>978</v>
      </c>
    </row>
    <row r="85" spans="2:2">
      <c r="B85" s="310" t="s">
        <v>979</v>
      </c>
    </row>
    <row r="86" spans="2:2">
      <c r="B86" s="310" t="s">
        <v>980</v>
      </c>
    </row>
    <row r="87" spans="2:2">
      <c r="B87" s="310" t="s">
        <v>981</v>
      </c>
    </row>
    <row r="89" spans="2:2">
      <c r="B89" s="310" t="s">
        <v>982</v>
      </c>
    </row>
    <row r="90" spans="2:2">
      <c r="B90" s="310" t="s">
        <v>983</v>
      </c>
    </row>
    <row r="91" spans="2:2">
      <c r="B91" s="310" t="s">
        <v>984</v>
      </c>
    </row>
    <row r="92" spans="2:2">
      <c r="B92" s="310" t="s">
        <v>985</v>
      </c>
    </row>
    <row r="93" spans="2:2">
      <c r="B93" s="310" t="s">
        <v>986</v>
      </c>
    </row>
    <row r="94" spans="2:2">
      <c r="B94" s="310" t="s">
        <v>987</v>
      </c>
    </row>
  </sheetData>
  <conditionalFormatting sqref="B11:B20 B28:B53">
    <cfRule type="cellIs" dxfId="113" priority="9" operator="equal">
      <formula>"(Invalid Identifier)"</formula>
    </cfRule>
  </conditionalFormatting>
  <conditionalFormatting sqref="B4:I4">
    <cfRule type="cellIs" dxfId="112" priority="8" stopIfTrue="1" operator="equal">
      <formula>"input"</formula>
    </cfRule>
  </conditionalFormatting>
  <conditionalFormatting sqref="J4">
    <cfRule type="cellIs" dxfId="111" priority="6" stopIfTrue="1" operator="equal">
      <formula>"input"</formula>
    </cfRule>
  </conditionalFormatting>
  <conditionalFormatting sqref="J4">
    <cfRule type="cellIs" dxfId="110" priority="7" stopIfTrue="1" operator="equal">
      <formula>"input"</formula>
    </cfRule>
  </conditionalFormatting>
  <conditionalFormatting sqref="K4:X4">
    <cfRule type="cellIs" dxfId="109" priority="4" stopIfTrue="1" operator="equal">
      <formula>"input"</formula>
    </cfRule>
  </conditionalFormatting>
  <conditionalFormatting sqref="K4:X4">
    <cfRule type="cellIs" dxfId="108" priority="5" stopIfTrue="1" operator="equal">
      <formula>"input"</formula>
    </cfRule>
  </conditionalFormatting>
  <conditionalFormatting sqref="Y4">
    <cfRule type="cellIs" dxfId="107" priority="2" stopIfTrue="1" operator="equal">
      <formula>"input"</formula>
    </cfRule>
  </conditionalFormatting>
  <conditionalFormatting sqref="Y4">
    <cfRule type="cellIs" dxfId="106" priority="3" stopIfTrue="1" operator="equal">
      <formula>"input"</formula>
    </cfRule>
  </conditionalFormatting>
  <conditionalFormatting sqref="B10">
    <cfRule type="cellIs" dxfId="105" priority="1" operator="equal">
      <formula>"(Invalid Identifier)"</formula>
    </cfRule>
  </conditionalFormatting>
  <pageMargins left="0.5" right="0.5" top="0.5" bottom="0.5" header="0.5" footer="0.5"/>
  <pageSetup scale="79" fitToWidth="0" fitToHeight="0" orientation="landscape" r:id="rId1"/>
  <rowBreaks count="1" manualBreakCount="1">
    <brk id="49" max="25" man="1"/>
  </rowBreaks>
  <legacyDrawingHF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dimension ref="A1:AJ98"/>
  <sheetViews>
    <sheetView showGridLines="0" view="pageBreakPreview" topLeftCell="A46" zoomScale="85" zoomScaleNormal="100" zoomScaleSheetLayoutView="85" workbookViewId="0">
      <selection activeCell="I9" sqref="I9"/>
    </sheetView>
  </sheetViews>
  <sheetFormatPr defaultColWidth="9.33203125" defaultRowHeight="12.75" outlineLevelRow="1" outlineLevelCol="1"/>
  <cols>
    <col min="1" max="1" width="4.5" style="310" customWidth="1"/>
    <col min="2" max="2" width="52.83203125" style="310" customWidth="1"/>
    <col min="3" max="3" width="2.83203125" style="310" customWidth="1"/>
    <col min="4" max="4" width="12.1640625" style="310" customWidth="1"/>
    <col min="5" max="5" width="10.83203125" style="310" hidden="1" customWidth="1" outlineLevel="1"/>
    <col min="6" max="7" width="9.83203125" style="310" hidden="1" customWidth="1" outlineLevel="1"/>
    <col min="8" max="8" width="12.1640625" style="310" customWidth="1" collapsed="1"/>
    <col min="9" max="9" width="12.1640625" style="310" customWidth="1"/>
    <col min="10" max="10" width="10.6640625" style="310" customWidth="1"/>
    <col min="11" max="11" width="12.1640625" style="310" customWidth="1"/>
    <col min="12" max="12" width="2.83203125" style="310" customWidth="1"/>
    <col min="13" max="13" width="10" style="310" customWidth="1"/>
    <col min="14" max="14" width="8.1640625" style="310" customWidth="1"/>
    <col min="15" max="15" width="11.1640625" style="310" customWidth="1"/>
    <col min="16" max="16" width="2.83203125" style="20" customWidth="1"/>
    <col min="17" max="17" width="9.33203125" style="310" customWidth="1"/>
    <col min="18" max="18" width="2.83203125" style="310" customWidth="1"/>
    <col min="19" max="19" width="11.6640625" style="310" hidden="1" customWidth="1" outlineLevel="1"/>
    <col min="20" max="23" width="8.83203125" style="310" hidden="1" customWidth="1" outlineLevel="1"/>
    <col min="24" max="24" width="12" style="310" customWidth="1" collapsed="1"/>
    <col min="25" max="25" width="9.33203125" style="310" customWidth="1"/>
    <col min="26" max="27" width="4.5" style="310" customWidth="1"/>
    <col min="28" max="28" width="17.5" style="310" bestFit="1" customWidth="1"/>
    <col min="29" max="29" width="12.33203125" style="310" bestFit="1" customWidth="1"/>
    <col min="30" max="30" width="9.5" style="310" bestFit="1" customWidth="1"/>
    <col min="31" max="31" width="10.1640625" style="310" bestFit="1" customWidth="1"/>
    <col min="32" max="16384" width="9.33203125" style="310"/>
  </cols>
  <sheetData>
    <row r="1" spans="2:36" ht="10.7" customHeight="1" thickBot="1">
      <c r="P1" s="310"/>
    </row>
    <row r="2" spans="2:36" ht="16.5" customHeight="1" thickTop="1">
      <c r="B2" s="10" t="str">
        <f>'MASTER PubCo Inputs'!$C$5</f>
        <v>Hua Medicine</v>
      </c>
      <c r="C2" s="10"/>
      <c r="D2" s="10"/>
      <c r="E2" s="10"/>
      <c r="F2" s="10"/>
      <c r="G2" s="10"/>
      <c r="H2" s="10"/>
      <c r="I2" s="10"/>
      <c r="J2" s="10"/>
      <c r="K2" s="10"/>
      <c r="L2" s="10"/>
      <c r="M2" s="10"/>
      <c r="N2" s="10"/>
      <c r="O2" s="10"/>
      <c r="P2" s="10"/>
      <c r="Q2" s="10"/>
      <c r="R2" s="10"/>
      <c r="S2" s="10"/>
      <c r="T2" s="10"/>
      <c r="U2" s="10"/>
      <c r="V2" s="10"/>
      <c r="W2" s="10"/>
      <c r="X2" s="10"/>
      <c r="Y2" s="10"/>
      <c r="AB2" s="234" t="s">
        <v>17</v>
      </c>
      <c r="AC2" s="235">
        <f>+Comp.1!$AL$2</f>
        <v>43281</v>
      </c>
    </row>
    <row r="3" spans="2:36" ht="15.75" customHeight="1">
      <c r="B3" s="11" t="str">
        <f>VLOOKUP(B4,Outline!$E$8:$G$81,COLUMNS(Outline!$E$8:$G$8),FALSE)</f>
        <v>Exhibit H.4</v>
      </c>
      <c r="C3" s="11"/>
      <c r="D3" s="11"/>
      <c r="E3" s="11"/>
      <c r="F3" s="11"/>
      <c r="G3" s="11"/>
      <c r="H3" s="11"/>
      <c r="I3" s="11"/>
      <c r="J3" s="11"/>
      <c r="K3" s="11"/>
      <c r="L3" s="11"/>
      <c r="M3" s="11"/>
      <c r="N3" s="11"/>
      <c r="O3" s="11"/>
      <c r="P3" s="11"/>
      <c r="Q3" s="11"/>
      <c r="R3" s="11"/>
      <c r="S3" s="11"/>
      <c r="T3" s="11"/>
      <c r="U3" s="11"/>
      <c r="V3" s="11"/>
      <c r="W3" s="11"/>
      <c r="X3" s="11"/>
      <c r="Y3" s="11"/>
      <c r="AB3" s="164" t="s">
        <v>273</v>
      </c>
      <c r="AC3" s="239" t="str">
        <f>+Comp.1!$AL$3</f>
        <v>F</v>
      </c>
    </row>
    <row r="4" spans="2:36" ht="16.5" customHeight="1" thickBot="1">
      <c r="B4" s="12" t="s">
        <v>2566</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B4" s="164" t="s">
        <v>274</v>
      </c>
      <c r="AC4" s="239" t="str">
        <f>+Comp.1!$AL$4</f>
        <v>USD</v>
      </c>
    </row>
    <row r="5" spans="2:36" ht="12.75" customHeight="1" thickTop="1">
      <c r="B5" s="20"/>
      <c r="AB5" s="76" t="s">
        <v>19</v>
      </c>
      <c r="AC5" s="238" t="str">
        <f>+Comp.1!$AL$5</f>
        <v>H</v>
      </c>
    </row>
    <row r="6" spans="2:36" ht="12.75" hidden="1" customHeight="1" outlineLevel="1">
      <c r="N6" s="173">
        <f>'Hybrid OPM'!I9</f>
        <v>1.2333561643835615</v>
      </c>
      <c r="O6" s="174">
        <f>'Risk-Free Rates'!E50</f>
        <v>2.3743376712328769E-2</v>
      </c>
      <c r="Q6" s="211">
        <f>HLOOKUP(ROUND(N6,0),'Equity Vol'!$D$8:$H$8,1,TRUE)</f>
        <v>1</v>
      </c>
    </row>
    <row r="7" spans="2:36" ht="25.5" collapsed="1">
      <c r="D7" s="160" t="s">
        <v>21</v>
      </c>
      <c r="E7" s="161"/>
      <c r="F7" s="161"/>
      <c r="G7" s="161"/>
      <c r="H7" s="161"/>
      <c r="I7" s="161"/>
      <c r="J7" s="161"/>
      <c r="K7" s="162"/>
      <c r="M7" s="160" t="s">
        <v>22</v>
      </c>
      <c r="N7" s="161"/>
      <c r="O7" s="161"/>
      <c r="P7" s="175"/>
      <c r="Q7" s="162"/>
      <c r="S7" s="160" t="s">
        <v>23</v>
      </c>
      <c r="T7" s="161"/>
      <c r="U7" s="161"/>
      <c r="V7" s="161"/>
      <c r="W7" s="161"/>
      <c r="X7" s="1172" t="s">
        <v>23</v>
      </c>
      <c r="Y7" s="162"/>
    </row>
    <row r="8" spans="2:36" s="6" customFormat="1" ht="25.5">
      <c r="B8" s="365" t="s">
        <v>455</v>
      </c>
      <c r="D8" s="479" t="s">
        <v>24</v>
      </c>
      <c r="E8" s="480" t="s">
        <v>25</v>
      </c>
      <c r="F8" s="480" t="s">
        <v>26</v>
      </c>
      <c r="G8" s="480" t="s">
        <v>27</v>
      </c>
      <c r="H8" s="480" t="s">
        <v>28</v>
      </c>
      <c r="I8" s="480" t="s">
        <v>29</v>
      </c>
      <c r="J8" s="480" t="s">
        <v>30</v>
      </c>
      <c r="K8" s="481" t="s">
        <v>31</v>
      </c>
      <c r="L8" s="260"/>
      <c r="M8" s="479" t="s">
        <v>7</v>
      </c>
      <c r="N8" s="480" t="s">
        <v>32</v>
      </c>
      <c r="O8" s="481" t="s">
        <v>6</v>
      </c>
      <c r="P8" s="469"/>
      <c r="Q8" s="482" t="s">
        <v>33</v>
      </c>
      <c r="R8" s="469"/>
      <c r="S8" s="479" t="s">
        <v>34</v>
      </c>
      <c r="T8" s="480" t="s">
        <v>14</v>
      </c>
      <c r="U8" s="480" t="s">
        <v>15</v>
      </c>
      <c r="V8" s="480" t="s">
        <v>35</v>
      </c>
      <c r="W8" s="480" t="s">
        <v>36</v>
      </c>
      <c r="X8" s="483" t="s">
        <v>37</v>
      </c>
      <c r="Y8" s="481" t="s">
        <v>463</v>
      </c>
      <c r="AB8" s="77" t="s">
        <v>38</v>
      </c>
      <c r="AC8" s="78" t="s">
        <v>39</v>
      </c>
      <c r="AD8" s="78" t="s">
        <v>40</v>
      </c>
      <c r="AE8" s="79"/>
    </row>
    <row r="9" spans="2:36" ht="12.75" customHeight="1"/>
    <row r="10" spans="2:36" ht="12.75" customHeight="1">
      <c r="B10" s="1" t="str">
        <f>Comp.1!B12</f>
        <v>Tier 1</v>
      </c>
    </row>
    <row r="11" spans="2:36" ht="12.75" customHeight="1">
      <c r="B11" s="310" t="str">
        <f>Comp.1!B13</f>
        <v>Novo Nordisk A/S</v>
      </c>
      <c r="D11" s="311">
        <f>'Capital IQ Sheet-GPC'!J13</f>
        <v>112194.50996</v>
      </c>
      <c r="E11" s="311">
        <f>'Capital IQ Sheet-GPC'!K13</f>
        <v>37.684269999999998</v>
      </c>
      <c r="F11" s="81" t="str">
        <f>'Capital IQ Sheet-GPC'!L13</f>
        <v>n/a</v>
      </c>
      <c r="G11" s="81" t="str">
        <f>'Capital IQ Sheet-GPC'!M13</f>
        <v>n/a</v>
      </c>
      <c r="H11" s="311">
        <f t="shared" ref="H11:H19" si="0">SUM(E11:G11)</f>
        <v>37.684269999999998</v>
      </c>
      <c r="I11" s="311">
        <f t="shared" ref="I11:I19" si="1">SUM(D11:G11)</f>
        <v>112232.19422999999</v>
      </c>
      <c r="J11" s="311">
        <f>'Capital IQ Sheet-GPC'!N13</f>
        <v>1737.6084000000001</v>
      </c>
      <c r="K11" s="311">
        <f t="shared" ref="K11:K19" si="2">I11-J11</f>
        <v>110494.58583</v>
      </c>
      <c r="M11" s="51">
        <f>IFERROR('Capital IQ Sheet-GPC'!AT13,"n/a")</f>
        <v>2.6520000000000002E-2</v>
      </c>
      <c r="N11" s="311">
        <f t="shared" ref="N11:O46" si="3">N$6</f>
        <v>1.2333561643835615</v>
      </c>
      <c r="O11" s="176">
        <f t="shared" si="3"/>
        <v>2.3743376712328769E-2</v>
      </c>
      <c r="P11" s="177"/>
      <c r="Q11" s="178">
        <f>IFERROR(HLOOKUP($Q$6,'Equity Vol'!$B$8:$H11,ROWS('Equity Vol'!$C$8:$C11),FALSE),"n/a")</f>
        <v>0.23337104782440229</v>
      </c>
      <c r="R11" s="43"/>
      <c r="S11" s="179">
        <f t="shared" ref="S11:S19" si="4">IFERROR(IF(Q11="n/a","n/a",Q11^2),"n/a")</f>
        <v>5.446204596265946E-2</v>
      </c>
      <c r="T11" s="179">
        <f t="shared" ref="T11:T19" si="5">IF(OR(K11="n/a",S11="n/a"),"n/a",IF(H11=0,0,IF(M11=0,(LN(K11/H11)+((O11+(S11/2))*N11))/((S11*N11)^0.5),(LN(K11/H11)+((O11-M11+(S11/2))*N11))/((S11*N11)^0.5))))</f>
        <v>30.919936908838071</v>
      </c>
      <c r="U11" s="180">
        <f t="shared" ref="U11:U19" si="6">IF(T11="n/a","n/a",IF(H11=0,0,T11-(S11*N11)^0.5))</f>
        <v>30.660763028763348</v>
      </c>
      <c r="V11" s="180">
        <f t="shared" ref="V11:V19" si="7">IF(OR(T11="n/a",S11="n/a"),"n/a",IF(H11=0,0,NORMSDIST(T11)))</f>
        <v>1</v>
      </c>
      <c r="W11" s="180">
        <f t="shared" ref="W11:W19" si="8">IF(OR(U11="n/a",S11="n/a"),"n/a",IF(H11=0,0,NORMSDIST(U11)))</f>
        <v>1</v>
      </c>
      <c r="X11" s="81">
        <f t="shared" ref="X11:X19" si="9">IF(OR(K11="n/a",S11="n/a"),"n/a",IF(M11=0,(K11*V11)-((H11*EXP(1)^(-O11*N11))*W11),(K11*(2.718^(-M11*N11))*V11)-(H11*(2.718^(-O11*N11))*W11)))</f>
        <v>106902.69512951412</v>
      </c>
      <c r="Y11" s="178">
        <f t="shared" ref="Y11:Y19" si="10">IFERROR(IF(LEN(B11)&gt;0,IF(H11=0,Q11,IF(ISERROR(Q11/((K11/X11)*V11)),"n/a",Q11/((K11/X11)*V11)))),"n/a")</f>
        <v>0.22578476393414199</v>
      </c>
      <c r="AA11" s="310">
        <v>1</v>
      </c>
      <c r="AB11" s="82" t="str">
        <f>IF('MASTER PubCo Inputs'!B28=0,"",'MASTER PubCo Inputs'!B28)</f>
        <v>CPSE:NOVO B</v>
      </c>
      <c r="AC11" s="311">
        <f>'Capital IQ Sheet-GPC'!H13</f>
        <v>110584.08422999999</v>
      </c>
      <c r="AD11" s="83">
        <f t="shared" ref="AD11:AD19" si="11">K11-AC11</f>
        <v>-89.498399999996764</v>
      </c>
      <c r="AJ11" s="84"/>
    </row>
    <row r="12" spans="2:36" ht="12.75" customHeight="1">
      <c r="B12" s="310" t="str">
        <f>Comp.1!B14</f>
        <v>Tonghua Dongbao Pharmaceutical Co., Ltd.</v>
      </c>
      <c r="D12" s="311">
        <f>'Capital IQ Sheet-GPC'!J14</f>
        <v>7436.2830000000004</v>
      </c>
      <c r="E12" s="311">
        <f>'Capital IQ Sheet-GPC'!K14</f>
        <v>0</v>
      </c>
      <c r="F12" s="81" t="str">
        <f>'Capital IQ Sheet-GPC'!L14</f>
        <v>n/a</v>
      </c>
      <c r="G12" s="81">
        <f>'Capital IQ Sheet-GPC'!M14</f>
        <v>1.49579</v>
      </c>
      <c r="H12" s="311">
        <f t="shared" si="0"/>
        <v>1.49579</v>
      </c>
      <c r="I12" s="311">
        <f t="shared" si="1"/>
        <v>7437.7787900000003</v>
      </c>
      <c r="J12" s="311">
        <f>'Capital IQ Sheet-GPC'!N14</f>
        <v>75.958299999999994</v>
      </c>
      <c r="K12" s="311">
        <f t="shared" si="2"/>
        <v>7361.8204900000001</v>
      </c>
      <c r="M12" s="51">
        <f>IFERROR('Capital IQ Sheet-GPC'!AT14,"n/a")</f>
        <v>6.96E-4</v>
      </c>
      <c r="N12" s="311">
        <f t="shared" si="3"/>
        <v>1.2333561643835615</v>
      </c>
      <c r="O12" s="176">
        <f t="shared" si="3"/>
        <v>2.3743376712328769E-2</v>
      </c>
      <c r="P12" s="177"/>
      <c r="Q12" s="178">
        <f>IFERROR(HLOOKUP($Q$6,'Equity Vol'!$B$8:$H12,ROWS('Equity Vol'!$C$8:$C12),FALSE),"n/a")</f>
        <v>0.3812640752848403</v>
      </c>
      <c r="R12" s="43"/>
      <c r="S12" s="179">
        <f t="shared" si="4"/>
        <v>0.14536229510280438</v>
      </c>
      <c r="T12" s="179">
        <f t="shared" si="5"/>
        <v>20.356855527886921</v>
      </c>
      <c r="U12" s="180">
        <f t="shared" si="6"/>
        <v>19.933436724886882</v>
      </c>
      <c r="V12" s="180">
        <f t="shared" si="7"/>
        <v>1</v>
      </c>
      <c r="W12" s="180">
        <f t="shared" si="8"/>
        <v>1</v>
      </c>
      <c r="X12" s="81">
        <f t="shared" si="9"/>
        <v>7354.0517258027421</v>
      </c>
      <c r="Y12" s="178">
        <f t="shared" si="10"/>
        <v>0.38086173584966976</v>
      </c>
      <c r="AA12" s="310">
        <v>1</v>
      </c>
      <c r="AB12" s="82" t="str">
        <f>IF('MASTER PubCo Inputs'!B29=0,"",'MASTER PubCo Inputs'!B29)</f>
        <v>SHSE:600867</v>
      </c>
      <c r="AC12" s="311">
        <f>'Capital IQ Sheet-GPC'!H14</f>
        <v>6000.97145</v>
      </c>
      <c r="AD12" s="83">
        <f t="shared" si="11"/>
        <v>1360.8490400000001</v>
      </c>
      <c r="AJ12" s="84"/>
    </row>
    <row r="13" spans="2:36" ht="12.75" customHeight="1">
      <c r="B13" s="310" t="str">
        <f>Comp.1!B15</f>
        <v>3SBio Inc.</v>
      </c>
      <c r="D13" s="311">
        <f>'Capital IQ Sheet-GPC'!J15</f>
        <v>5765.9263099999998</v>
      </c>
      <c r="E13" s="311">
        <f>'Capital IQ Sheet-GPC'!K15</f>
        <v>677.16830000000004</v>
      </c>
      <c r="F13" s="81" t="str">
        <f>'Capital IQ Sheet-GPC'!L15</f>
        <v>n/a</v>
      </c>
      <c r="G13" s="81">
        <f>'Capital IQ Sheet-GPC'!M15</f>
        <v>35.787419999999997</v>
      </c>
      <c r="H13" s="311">
        <f t="shared" si="0"/>
        <v>712.95572000000004</v>
      </c>
      <c r="I13" s="311">
        <f t="shared" si="1"/>
        <v>6478.8820299999998</v>
      </c>
      <c r="J13" s="311">
        <f>'Capital IQ Sheet-GPC'!N15</f>
        <v>476.92147999999997</v>
      </c>
      <c r="K13" s="311">
        <f t="shared" si="2"/>
        <v>6001.9605499999998</v>
      </c>
      <c r="M13" s="51">
        <f>IFERROR('Capital IQ Sheet-GPC'!AT15,"n/a")</f>
        <v>3.8429999999999996E-3</v>
      </c>
      <c r="N13" s="311">
        <f t="shared" si="3"/>
        <v>1.2333561643835615</v>
      </c>
      <c r="O13" s="176">
        <f t="shared" si="3"/>
        <v>2.3743376712328769E-2</v>
      </c>
      <c r="P13" s="177"/>
      <c r="Q13" s="178">
        <f>IFERROR(HLOOKUP($Q$6,'Equity Vol'!$B$8:$H13,ROWS('Equity Vol'!$C$8:$C13),FALSE),"n/a")</f>
        <v>0.4165407869412846</v>
      </c>
      <c r="R13" s="43"/>
      <c r="S13" s="179">
        <f t="shared" si="4"/>
        <v>0.17350622718566466</v>
      </c>
      <c r="T13" s="179">
        <f t="shared" si="5"/>
        <v>4.8897187265537987</v>
      </c>
      <c r="U13" s="180">
        <f t="shared" si="6"/>
        <v>4.4271228177323154</v>
      </c>
      <c r="V13" s="180">
        <f t="shared" si="7"/>
        <v>0.99999949509918518</v>
      </c>
      <c r="W13" s="180">
        <f t="shared" si="8"/>
        <v>0.99999522508188177</v>
      </c>
      <c r="X13" s="81">
        <f t="shared" si="9"/>
        <v>5281.2007335524204</v>
      </c>
      <c r="Y13" s="178">
        <f t="shared" si="10"/>
        <v>0.36651967335042157</v>
      </c>
      <c r="AA13" s="310">
        <v>1</v>
      </c>
      <c r="AB13" s="82" t="str">
        <f>IF('MASTER PubCo Inputs'!B30=0,"",'MASTER PubCo Inputs'!B30)</f>
        <v>SEHK:1530</v>
      </c>
      <c r="AC13" s="311">
        <f>'Capital IQ Sheet-GPC'!H15</f>
        <v>3399.7200899999998</v>
      </c>
      <c r="AD13" s="83">
        <f t="shared" si="11"/>
        <v>2602.24046</v>
      </c>
      <c r="AJ13" s="84"/>
    </row>
    <row r="14" spans="2:36" ht="12.75" customHeight="1">
      <c r="B14" s="310" t="str">
        <f>Comp.1!B16</f>
        <v>Luye Pharma Group Ltd.</v>
      </c>
      <c r="D14" s="311">
        <f>'Capital IQ Sheet-GPC'!J16</f>
        <v>3359.9747900000002</v>
      </c>
      <c r="E14" s="311">
        <f>'Capital IQ Sheet-GPC'!K16</f>
        <v>439.75547999999998</v>
      </c>
      <c r="F14" s="81" t="str">
        <f>'Capital IQ Sheet-GPC'!L16</f>
        <v>n/a</v>
      </c>
      <c r="G14" s="81">
        <f>'Capital IQ Sheet-GPC'!M16</f>
        <v>19.597180000000002</v>
      </c>
      <c r="H14" s="311">
        <f t="shared" si="0"/>
        <v>459.35265999999996</v>
      </c>
      <c r="I14" s="311">
        <f t="shared" si="1"/>
        <v>3819.3274500000002</v>
      </c>
      <c r="J14" s="311">
        <f>'Capital IQ Sheet-GPC'!N16</f>
        <v>419.44011999999998</v>
      </c>
      <c r="K14" s="311">
        <f t="shared" si="2"/>
        <v>3399.8873300000005</v>
      </c>
      <c r="M14" s="51">
        <f>IFERROR('Capital IQ Sheet-GPC'!AT16,"n/a")</f>
        <v>1.0895999999999999E-2</v>
      </c>
      <c r="N14" s="311">
        <f t="shared" si="3"/>
        <v>1.2333561643835615</v>
      </c>
      <c r="O14" s="176">
        <f t="shared" si="3"/>
        <v>2.3743376712328769E-2</v>
      </c>
      <c r="P14" s="177"/>
      <c r="Q14" s="178">
        <f>IFERROR(HLOOKUP($Q$6,'Equity Vol'!$B$8:$H14,ROWS('Equity Vol'!$C$8:$C14),FALSE),"n/a")</f>
        <v>0.43677110001721992</v>
      </c>
      <c r="R14" s="43"/>
      <c r="S14" s="179">
        <f t="shared" si="4"/>
        <v>0.19076899381025234</v>
      </c>
      <c r="T14" s="179">
        <f t="shared" si="5"/>
        <v>4.4018360099135521</v>
      </c>
      <c r="U14" s="180">
        <f t="shared" si="6"/>
        <v>3.9167730093774114</v>
      </c>
      <c r="V14" s="180">
        <f t="shared" si="7"/>
        <v>0.99999463306621372</v>
      </c>
      <c r="W14" s="180">
        <f t="shared" si="8"/>
        <v>0.99995512891271221</v>
      </c>
      <c r="X14" s="81">
        <f t="shared" si="9"/>
        <v>2908.4123961525147</v>
      </c>
      <c r="Y14" s="178">
        <f t="shared" si="10"/>
        <v>0.37363511669078897</v>
      </c>
      <c r="AA14" s="310">
        <v>1</v>
      </c>
      <c r="AB14" s="82" t="str">
        <f>IF('MASTER PubCo Inputs'!B31=0,"",'MASTER PubCo Inputs'!B31)</f>
        <v>SEHK:2186</v>
      </c>
      <c r="AC14" s="311">
        <f>'Capital IQ Sheet-GPC'!H16</f>
        <v>2515.66275</v>
      </c>
      <c r="AD14" s="83">
        <f t="shared" si="11"/>
        <v>884.22458000000051</v>
      </c>
      <c r="AJ14" s="84"/>
    </row>
    <row r="15" spans="2:36">
      <c r="B15" s="122" t="str">
        <f>Comp.1!B17</f>
        <v>Intercept Pharmaceuticals, Inc.</v>
      </c>
      <c r="C15" s="1128"/>
      <c r="D15" s="1222">
        <f>'Capital IQ Sheet-GPC'!J17</f>
        <v>2482.30575</v>
      </c>
      <c r="E15" s="1222">
        <f>'Capital IQ Sheet-GPC'!K17</f>
        <v>359.44900000000001</v>
      </c>
      <c r="F15" s="125" t="str">
        <f>'Capital IQ Sheet-GPC'!L17</f>
        <v>n/a</v>
      </c>
      <c r="G15" s="125" t="str">
        <f>'Capital IQ Sheet-GPC'!M17</f>
        <v>n/a</v>
      </c>
      <c r="H15" s="1222">
        <f t="shared" si="0"/>
        <v>359.44900000000001</v>
      </c>
      <c r="I15" s="1222">
        <f t="shared" si="1"/>
        <v>2841.7547500000001</v>
      </c>
      <c r="J15" s="1222">
        <f>'Capital IQ Sheet-GPC'!N17</f>
        <v>326.09199999999998</v>
      </c>
      <c r="K15" s="1222">
        <f t="shared" si="2"/>
        <v>2515.66275</v>
      </c>
      <c r="L15" s="1128"/>
      <c r="M15" s="1223">
        <f>IFERROR('Capital IQ Sheet-GPC'!AT17,"n/a")</f>
        <v>0</v>
      </c>
      <c r="N15" s="1222">
        <f t="shared" si="3"/>
        <v>1.2333561643835615</v>
      </c>
      <c r="O15" s="1224">
        <f t="shared" si="3"/>
        <v>2.3743376712328769E-2</v>
      </c>
      <c r="P15" s="1225"/>
      <c r="Q15" s="178">
        <f>IFERROR(HLOOKUP($Q$6,'Equity Vol'!$B$8:$H15,ROWS('Equity Vol'!$C$8:$C15),FALSE),"n/a")</f>
        <v>0.63494375623135568</v>
      </c>
      <c r="R15" s="1227"/>
      <c r="S15" s="1228">
        <f t="shared" si="4"/>
        <v>0.40315357357718323</v>
      </c>
      <c r="T15" s="1228">
        <f t="shared" si="5"/>
        <v>3.1534134734602128</v>
      </c>
      <c r="U15" s="1229">
        <f t="shared" si="6"/>
        <v>2.4482667191142253</v>
      </c>
      <c r="V15" s="1229">
        <f t="shared" si="7"/>
        <v>0.99919313469996096</v>
      </c>
      <c r="W15" s="1229">
        <f t="shared" si="8"/>
        <v>0.99282273246549513</v>
      </c>
      <c r="X15" s="125">
        <f t="shared" si="9"/>
        <v>2167.0628461202409</v>
      </c>
      <c r="Y15" s="1226">
        <f t="shared" si="10"/>
        <v>0.54740013813123278</v>
      </c>
      <c r="AA15" s="310">
        <v>1</v>
      </c>
      <c r="AB15" s="82" t="str">
        <f>IF('MASTER PubCo Inputs'!B32=0,"",'MASTER PubCo Inputs'!B32)</f>
        <v>NasdaqGS:ICPT</v>
      </c>
      <c r="AC15" s="311">
        <f>'Capital IQ Sheet-GPC'!H17</f>
        <v>2204.7008599999999</v>
      </c>
      <c r="AD15" s="83">
        <f t="shared" si="11"/>
        <v>310.96189000000004</v>
      </c>
      <c r="AJ15" s="84"/>
    </row>
    <row r="16" spans="2:36" ht="12.75" customHeight="1">
      <c r="B16" s="310" t="str">
        <f>Comp.1!B18</f>
        <v>The United Laboratories International Holdings Limited</v>
      </c>
      <c r="D16" s="311">
        <f>'Capital IQ Sheet-GPC'!J18</f>
        <v>1705.28388</v>
      </c>
      <c r="E16" s="311">
        <f>'Capital IQ Sheet-GPC'!K18</f>
        <v>746.46118999999999</v>
      </c>
      <c r="F16" s="81" t="str">
        <f>'Capital IQ Sheet-GPC'!L18</f>
        <v>n/a</v>
      </c>
      <c r="G16" s="81" t="str">
        <f>'Capital IQ Sheet-GPC'!M18</f>
        <v>n/a</v>
      </c>
      <c r="H16" s="311">
        <f t="shared" si="0"/>
        <v>746.46118999999999</v>
      </c>
      <c r="I16" s="311">
        <f t="shared" si="1"/>
        <v>2451.7450699999999</v>
      </c>
      <c r="J16" s="311">
        <f>'Capital IQ Sheet-GPC'!N18</f>
        <v>244.9426</v>
      </c>
      <c r="K16" s="311">
        <f t="shared" si="2"/>
        <v>2206.8024700000001</v>
      </c>
      <c r="M16" s="51">
        <f>IFERROR('Capital IQ Sheet-GPC'!AT18,"n/a")</f>
        <v>7.254E-3</v>
      </c>
      <c r="N16" s="311">
        <f t="shared" si="3"/>
        <v>1.2333561643835615</v>
      </c>
      <c r="O16" s="176">
        <f t="shared" si="3"/>
        <v>2.3743376712328769E-2</v>
      </c>
      <c r="P16" s="177"/>
      <c r="Q16" s="178">
        <f>IFERROR(HLOOKUP($Q$6,'Equity Vol'!$B$8:$H16,ROWS('Equity Vol'!$C$8:$C16),FALSE),"n/a")</f>
        <v>0.40902947159122122</v>
      </c>
      <c r="R16" s="43"/>
      <c r="S16" s="179">
        <f t="shared" si="4"/>
        <v>0.16730510863019366</v>
      </c>
      <c r="T16" s="179">
        <f t="shared" si="5"/>
        <v>2.6581310838118202</v>
      </c>
      <c r="U16" s="180">
        <f t="shared" si="6"/>
        <v>2.2038769841474246</v>
      </c>
      <c r="V16" s="180">
        <f t="shared" si="7"/>
        <v>0.99607123377982398</v>
      </c>
      <c r="W16" s="180">
        <f t="shared" si="8"/>
        <v>0.98623350170160706</v>
      </c>
      <c r="X16" s="81">
        <f t="shared" si="9"/>
        <v>1463.6146837423939</v>
      </c>
      <c r="Y16" s="178">
        <f t="shared" si="10"/>
        <v>0.27235007528905231</v>
      </c>
      <c r="AA16" s="310">
        <v>1</v>
      </c>
      <c r="AB16" s="82" t="str">
        <f>IF('MASTER PubCo Inputs'!B33=0,"",'MASTER PubCo Inputs'!B33)</f>
        <v>SEHK:3933</v>
      </c>
      <c r="AC16" s="311">
        <f>'Capital IQ Sheet-GPC'!H18</f>
        <v>379.61124999999998</v>
      </c>
      <c r="AD16" s="83">
        <f t="shared" si="11"/>
        <v>1827.1912200000002</v>
      </c>
      <c r="AJ16" s="84"/>
    </row>
    <row r="17" spans="2:36" ht="12.75" customHeight="1">
      <c r="B17" s="310" t="str">
        <f>Comp.1!B19</f>
        <v>Corcept Therapeutics Incorporated</v>
      </c>
      <c r="D17" s="311">
        <f>'Capital IQ Sheet-GPC'!J19</f>
        <v>1811.4944</v>
      </c>
      <c r="E17" s="311">
        <f>'Capital IQ Sheet-GPC'!K19</f>
        <v>0</v>
      </c>
      <c r="F17" s="81" t="str">
        <f>'Capital IQ Sheet-GPC'!L19</f>
        <v>n/a</v>
      </c>
      <c r="G17" s="81" t="str">
        <f>'Capital IQ Sheet-GPC'!M19</f>
        <v>n/a</v>
      </c>
      <c r="H17" s="311">
        <f t="shared" si="0"/>
        <v>0</v>
      </c>
      <c r="I17" s="311">
        <f t="shared" si="1"/>
        <v>1811.4944</v>
      </c>
      <c r="J17" s="311">
        <f>'Capital IQ Sheet-GPC'!N19</f>
        <v>125.36199999999999</v>
      </c>
      <c r="K17" s="311">
        <f t="shared" si="2"/>
        <v>1686.1324</v>
      </c>
      <c r="M17" s="51">
        <f>IFERROR('Capital IQ Sheet-GPC'!AT19,"n/a")</f>
        <v>0</v>
      </c>
      <c r="N17" s="311">
        <f t="shared" si="3"/>
        <v>1.2333561643835615</v>
      </c>
      <c r="O17" s="176">
        <f t="shared" si="3"/>
        <v>2.3743376712328769E-2</v>
      </c>
      <c r="P17" s="177"/>
      <c r="Q17" s="178">
        <f>IFERROR(HLOOKUP($Q$6,'Equity Vol'!$B$8:$H17,ROWS('Equity Vol'!$C$8:$C17),FALSE),"n/a")</f>
        <v>0.61814359218294024</v>
      </c>
      <c r="R17" s="43"/>
      <c r="S17" s="179">
        <f t="shared" si="4"/>
        <v>0.38210150055682912</v>
      </c>
      <c r="T17" s="179">
        <f t="shared" si="5"/>
        <v>0</v>
      </c>
      <c r="U17" s="180">
        <f t="shared" si="6"/>
        <v>0</v>
      </c>
      <c r="V17" s="180">
        <f t="shared" si="7"/>
        <v>0</v>
      </c>
      <c r="W17" s="180">
        <f t="shared" si="8"/>
        <v>0</v>
      </c>
      <c r="X17" s="81">
        <f t="shared" si="9"/>
        <v>0</v>
      </c>
      <c r="Y17" s="178">
        <f t="shared" si="10"/>
        <v>0.61814359218294024</v>
      </c>
      <c r="AA17" s="310">
        <v>1</v>
      </c>
      <c r="AB17" s="82" t="str">
        <f>IF('MASTER PubCo Inputs'!B34=0,"",'MASTER PubCo Inputs'!B34)</f>
        <v>NasdaqCM:CORT</v>
      </c>
      <c r="AC17" s="311">
        <f>'Capital IQ Sheet-GPC'!H19</f>
        <v>336.76713999999998</v>
      </c>
      <c r="AD17" s="83">
        <f t="shared" si="11"/>
        <v>1349.36526</v>
      </c>
      <c r="AJ17" s="84"/>
    </row>
    <row r="18" spans="2:36" ht="12.75" customHeight="1">
      <c r="B18" s="310" t="str">
        <f>Comp.1!B20</f>
        <v>MannKind Corporation</v>
      </c>
      <c r="D18" s="311">
        <f>'Capital IQ Sheet-GPC'!J20</f>
        <v>266.04825</v>
      </c>
      <c r="E18" s="311">
        <f>'Capital IQ Sheet-GPC'!K20</f>
        <v>140.26900000000001</v>
      </c>
      <c r="F18" s="81" t="str">
        <f>'Capital IQ Sheet-GPC'!L20</f>
        <v>n/a</v>
      </c>
      <c r="G18" s="81" t="str">
        <f>'Capital IQ Sheet-GPC'!M20</f>
        <v>n/a</v>
      </c>
      <c r="H18" s="311">
        <f t="shared" si="0"/>
        <v>140.26900000000001</v>
      </c>
      <c r="I18" s="311">
        <f t="shared" si="1"/>
        <v>406.31725</v>
      </c>
      <c r="J18" s="311">
        <f>'Capital IQ Sheet-GPC'!N20</f>
        <v>26.706</v>
      </c>
      <c r="K18" s="311">
        <f t="shared" si="2"/>
        <v>379.61124999999998</v>
      </c>
      <c r="M18" s="51">
        <f>IFERROR('Capital IQ Sheet-GPC'!AT20,"n/a")</f>
        <v>0</v>
      </c>
      <c r="N18" s="311">
        <f t="shared" si="3"/>
        <v>1.2333561643835615</v>
      </c>
      <c r="O18" s="176">
        <f t="shared" si="3"/>
        <v>2.3743376712328769E-2</v>
      </c>
      <c r="P18" s="177"/>
      <c r="Q18" s="178">
        <f>IFERROR(HLOOKUP($Q$6,'Equity Vol'!$B$8:$H18,ROWS('Equity Vol'!$C$8:$C18),FALSE),"n/a")</f>
        <v>1.051397553941015</v>
      </c>
      <c r="R18" s="43"/>
      <c r="S18" s="179">
        <f t="shared" si="4"/>
        <v>1.1054368164331494</v>
      </c>
      <c r="T18" s="179">
        <f t="shared" si="5"/>
        <v>1.4615459731932829</v>
      </c>
      <c r="U18" s="180">
        <f t="shared" si="6"/>
        <v>0.2938999172823471</v>
      </c>
      <c r="V18" s="180">
        <f t="shared" si="7"/>
        <v>0.92806716566199443</v>
      </c>
      <c r="W18" s="180">
        <f t="shared" si="8"/>
        <v>0.61558280934243914</v>
      </c>
      <c r="X18" s="81">
        <f t="shared" si="9"/>
        <v>268.44948122272939</v>
      </c>
      <c r="Y18" s="178">
        <f t="shared" si="10"/>
        <v>0.80114485670900537</v>
      </c>
      <c r="AA18" s="310">
        <v>1</v>
      </c>
      <c r="AB18" s="82" t="str">
        <f>IF('MASTER PubCo Inputs'!B35=0,"",'MASTER PubCo Inputs'!B35)</f>
        <v>NasdaqGM:MNKD</v>
      </c>
      <c r="AC18" s="311">
        <f>'Capital IQ Sheet-GPC'!H20</f>
        <v>7365.7138199999999</v>
      </c>
      <c r="AD18" s="83">
        <f t="shared" si="11"/>
        <v>-6986.10257</v>
      </c>
      <c r="AJ18" s="84"/>
    </row>
    <row r="19" spans="2:36" ht="12.75" customHeight="1">
      <c r="B19" s="310" t="str">
        <f>Comp.1!B21</f>
        <v>Zealand Pharma A/S</v>
      </c>
      <c r="D19" s="311">
        <f>'Capital IQ Sheet-GPC'!J21</f>
        <v>403.61899</v>
      </c>
      <c r="E19" s="311">
        <f>'Capital IQ Sheet-GPC'!K21</f>
        <v>22.171900000000001</v>
      </c>
      <c r="F19" s="81" t="str">
        <f>'Capital IQ Sheet-GPC'!L21</f>
        <v>n/a</v>
      </c>
      <c r="G19" s="81" t="str">
        <f>'Capital IQ Sheet-GPC'!M21</f>
        <v>n/a</v>
      </c>
      <c r="H19" s="311">
        <f t="shared" si="0"/>
        <v>22.171900000000001</v>
      </c>
      <c r="I19" s="311">
        <f t="shared" si="1"/>
        <v>425.79088999999999</v>
      </c>
      <c r="J19" s="311">
        <f>'Capital IQ Sheet-GPC'!N21</f>
        <v>92.739000000000004</v>
      </c>
      <c r="K19" s="311">
        <f t="shared" si="2"/>
        <v>333.05188999999996</v>
      </c>
      <c r="M19" s="51">
        <f>IFERROR('Capital IQ Sheet-GPC'!AT21,"n/a")</f>
        <v>0</v>
      </c>
      <c r="N19" s="311">
        <f t="shared" si="3"/>
        <v>1.2333561643835615</v>
      </c>
      <c r="O19" s="176">
        <f t="shared" si="3"/>
        <v>2.3743376712328769E-2</v>
      </c>
      <c r="P19" s="177"/>
      <c r="Q19" s="178">
        <f>IFERROR(HLOOKUP($Q$6,'Equity Vol'!$B$8:$H19,ROWS('Equity Vol'!$C$8:$C19),FALSE),"n/a")</f>
        <v>0.34590003503636213</v>
      </c>
      <c r="R19" s="43"/>
      <c r="S19" s="179">
        <f t="shared" si="4"/>
        <v>0.11964683423815654</v>
      </c>
      <c r="T19" s="179">
        <f t="shared" si="5"/>
        <v>7.3215642624996242</v>
      </c>
      <c r="U19" s="180">
        <f t="shared" si="6"/>
        <v>6.9374195494595918</v>
      </c>
      <c r="V19" s="180">
        <f t="shared" si="7"/>
        <v>0.99999999999987743</v>
      </c>
      <c r="W19" s="180">
        <f t="shared" si="8"/>
        <v>0.99999999999800337</v>
      </c>
      <c r="X19" s="81">
        <f t="shared" si="9"/>
        <v>311.51985811917808</v>
      </c>
      <c r="Y19" s="178">
        <f t="shared" si="10"/>
        <v>0.32353736181457937</v>
      </c>
      <c r="AA19" s="310">
        <v>1</v>
      </c>
      <c r="AB19" s="82" t="str">
        <f>IF('MASTER PubCo Inputs'!B36=0,"",'MASTER PubCo Inputs'!B36)</f>
        <v>CPSE:ZEAL</v>
      </c>
      <c r="AC19" s="311">
        <f>'Capital IQ Sheet-GPC'!H21</f>
        <v>1686.1324</v>
      </c>
      <c r="AD19" s="83">
        <f t="shared" si="11"/>
        <v>-1353.08051</v>
      </c>
      <c r="AJ19" s="84"/>
    </row>
    <row r="20" spans="2:36" ht="12.75" customHeight="1">
      <c r="D20" s="311"/>
      <c r="E20" s="311"/>
      <c r="F20" s="311"/>
      <c r="G20" s="311"/>
      <c r="H20" s="311"/>
      <c r="I20" s="311"/>
      <c r="J20" s="311"/>
      <c r="K20" s="311"/>
      <c r="M20" s="51"/>
      <c r="N20" s="311"/>
      <c r="O20" s="176"/>
      <c r="P20" s="177"/>
      <c r="Q20" s="178"/>
      <c r="R20" s="43"/>
      <c r="S20" s="179"/>
      <c r="T20" s="179"/>
      <c r="U20" s="180"/>
      <c r="V20" s="180"/>
      <c r="W20" s="180"/>
      <c r="X20" s="81"/>
      <c r="Y20" s="178"/>
      <c r="AB20" s="82"/>
      <c r="AC20" s="311"/>
      <c r="AD20" s="83"/>
      <c r="AJ20" s="84"/>
    </row>
    <row r="21" spans="2:36" ht="12.75" customHeight="1">
      <c r="B21" s="599" t="s">
        <v>41</v>
      </c>
      <c r="C21" s="624"/>
      <c r="D21" s="623">
        <f t="shared" ref="D21:K21" si="12">MAX(D11:D19)</f>
        <v>112194.50996</v>
      </c>
      <c r="E21" s="623">
        <f t="shared" si="12"/>
        <v>746.46118999999999</v>
      </c>
      <c r="F21" s="623">
        <f>IFERROR(MAX(F11:F19),0)</f>
        <v>0</v>
      </c>
      <c r="G21" s="623">
        <f t="shared" si="12"/>
        <v>35.787419999999997</v>
      </c>
      <c r="H21" s="623">
        <f t="shared" si="12"/>
        <v>746.46118999999999</v>
      </c>
      <c r="I21" s="623">
        <f t="shared" si="12"/>
        <v>112232.19422999999</v>
      </c>
      <c r="J21" s="623">
        <f t="shared" si="12"/>
        <v>1737.6084000000001</v>
      </c>
      <c r="K21" s="623">
        <f t="shared" si="12"/>
        <v>110494.58583</v>
      </c>
      <c r="L21" s="624"/>
      <c r="M21" s="627">
        <f>MAX(M11:M19)</f>
        <v>2.6520000000000002E-2</v>
      </c>
      <c r="N21" s="623">
        <f>MAX(N11:N19)</f>
        <v>1.2333561643835615</v>
      </c>
      <c r="O21" s="628">
        <f>MAX(O11:O19)</f>
        <v>2.3743376712328769E-2</v>
      </c>
      <c r="P21" s="629"/>
      <c r="Q21" s="630">
        <f>MAX(Q11:Q19)</f>
        <v>1.051397553941015</v>
      </c>
      <c r="R21" s="631"/>
      <c r="S21" s="632">
        <f t="shared" ref="S21:Y21" si="13">MAX(S11:S19)</f>
        <v>1.1054368164331494</v>
      </c>
      <c r="T21" s="632">
        <f t="shared" si="13"/>
        <v>30.919936908838071</v>
      </c>
      <c r="U21" s="633">
        <f t="shared" si="13"/>
        <v>30.660763028763348</v>
      </c>
      <c r="V21" s="633">
        <f t="shared" si="13"/>
        <v>1</v>
      </c>
      <c r="W21" s="633">
        <f t="shared" si="13"/>
        <v>1</v>
      </c>
      <c r="X21" s="623">
        <f t="shared" si="13"/>
        <v>106902.69512951412</v>
      </c>
      <c r="Y21" s="634">
        <f t="shared" si="13"/>
        <v>0.80114485670900537</v>
      </c>
      <c r="AE21" s="1217"/>
      <c r="AF21" s="16"/>
      <c r="AG21" s="16"/>
      <c r="AH21" s="16"/>
      <c r="AI21" s="16"/>
    </row>
    <row r="22" spans="2:36" ht="12.75" customHeight="1">
      <c r="B22" s="278" t="s">
        <v>45</v>
      </c>
      <c r="C22" s="73"/>
      <c r="D22" s="89">
        <f t="shared" ref="D22:K22" si="14">QUARTILE(D11:D19,3)</f>
        <v>5765.9263099999998</v>
      </c>
      <c r="E22" s="89">
        <f t="shared" si="14"/>
        <v>439.75547999999998</v>
      </c>
      <c r="F22" s="89">
        <f>IFERROR(QUARTILE(F11:F19,3),0)</f>
        <v>0</v>
      </c>
      <c r="G22" s="89">
        <f t="shared" si="14"/>
        <v>27.692299999999999</v>
      </c>
      <c r="H22" s="89">
        <f t="shared" si="14"/>
        <v>459.35265999999996</v>
      </c>
      <c r="I22" s="89">
        <f t="shared" si="14"/>
        <v>6478.8820299999998</v>
      </c>
      <c r="J22" s="89">
        <f t="shared" si="14"/>
        <v>419.44011999999998</v>
      </c>
      <c r="K22" s="89">
        <f t="shared" si="14"/>
        <v>6001.9605499999998</v>
      </c>
      <c r="L22" s="73"/>
      <c r="M22" s="116">
        <f>QUARTILE(M11:M19,3)</f>
        <v>7.254E-3</v>
      </c>
      <c r="N22" s="89">
        <f>QUARTILE(N11:N19,3)</f>
        <v>1.2333561643835615</v>
      </c>
      <c r="O22" s="181">
        <f>QUARTILE(O11:O19,3)</f>
        <v>2.3743376712328769E-2</v>
      </c>
      <c r="P22" s="182"/>
      <c r="Q22" s="183">
        <f>QUARTILE(Q11:Q19,3)</f>
        <v>0.61814359218294024</v>
      </c>
      <c r="R22" s="184"/>
      <c r="S22" s="185">
        <f t="shared" ref="S22:Y22" si="15">QUARTILE(S11:S19,3)</f>
        <v>0.38210150055682912</v>
      </c>
      <c r="T22" s="185">
        <f t="shared" si="15"/>
        <v>7.3215642624996242</v>
      </c>
      <c r="U22" s="186">
        <f t="shared" si="15"/>
        <v>6.9374195494595918</v>
      </c>
      <c r="V22" s="186">
        <f t="shared" si="15"/>
        <v>0.99999999999987743</v>
      </c>
      <c r="W22" s="186">
        <f t="shared" si="15"/>
        <v>0.99999999999800337</v>
      </c>
      <c r="X22" s="89">
        <f t="shared" si="15"/>
        <v>5281.2007335524204</v>
      </c>
      <c r="Y22" s="187">
        <f t="shared" si="15"/>
        <v>0.54740013813123278</v>
      </c>
      <c r="AE22" s="1217"/>
      <c r="AF22" s="16"/>
      <c r="AG22" s="16"/>
      <c r="AH22" s="16"/>
      <c r="AI22" s="16"/>
    </row>
    <row r="23" spans="2:36" ht="12.75" customHeight="1">
      <c r="B23" s="278" t="s">
        <v>43</v>
      </c>
      <c r="C23" s="73"/>
      <c r="D23" s="89">
        <f t="shared" ref="D23:K23" si="16">AVERAGE(D11:D19)</f>
        <v>15047.271703333328</v>
      </c>
      <c r="E23" s="89">
        <f t="shared" si="16"/>
        <v>269.21768222222227</v>
      </c>
      <c r="F23" s="89">
        <f>IFERROR(AVERAGE(F11:F19),0)</f>
        <v>0</v>
      </c>
      <c r="G23" s="89">
        <f t="shared" si="16"/>
        <v>18.960129999999999</v>
      </c>
      <c r="H23" s="89">
        <f t="shared" si="16"/>
        <v>275.53772555555554</v>
      </c>
      <c r="I23" s="89">
        <f t="shared" si="16"/>
        <v>15322.809428888888</v>
      </c>
      <c r="J23" s="89">
        <f t="shared" si="16"/>
        <v>391.75221111111119</v>
      </c>
      <c r="K23" s="89">
        <f t="shared" si="16"/>
        <v>14931.057217777778</v>
      </c>
      <c r="L23" s="73"/>
      <c r="M23" s="116">
        <f>AVERAGE(M11:M19)</f>
        <v>5.4676666666666667E-3</v>
      </c>
      <c r="N23" s="89">
        <f>AVERAGE(N11:N19)</f>
        <v>1.2333561643835615</v>
      </c>
      <c r="O23" s="181">
        <f>AVERAGE(O11:O19)</f>
        <v>2.3743376712328765E-2</v>
      </c>
      <c r="P23" s="182"/>
      <c r="Q23" s="183">
        <f>AVERAGE(Q11:Q19)</f>
        <v>0.50304015767229338</v>
      </c>
      <c r="R23" s="184"/>
      <c r="S23" s="185">
        <f t="shared" ref="S23:Y23" si="17">AVERAGE(S11:S19)</f>
        <v>0.30463815505521036</v>
      </c>
      <c r="T23" s="185">
        <f t="shared" si="17"/>
        <v>8.3514446629063634</v>
      </c>
      <c r="U23" s="186">
        <f t="shared" si="17"/>
        <v>7.8690620834181715</v>
      </c>
      <c r="V23" s="186">
        <f t="shared" si="17"/>
        <v>0.88036951803411734</v>
      </c>
      <c r="W23" s="186">
        <f t="shared" si="17"/>
        <v>0.84384326638912643</v>
      </c>
      <c r="X23" s="89">
        <f t="shared" si="17"/>
        <v>14073.000761580704</v>
      </c>
      <c r="Y23" s="187">
        <f t="shared" si="17"/>
        <v>0.43437525710575919</v>
      </c>
      <c r="AE23" s="1217"/>
      <c r="AF23" s="16"/>
      <c r="AG23" s="16"/>
      <c r="AH23" s="16"/>
      <c r="AI23" s="1218"/>
    </row>
    <row r="24" spans="2:36" ht="12.75" customHeight="1">
      <c r="B24" s="278" t="s">
        <v>3</v>
      </c>
      <c r="C24" s="73"/>
      <c r="D24" s="89">
        <f t="shared" ref="D24:K24" si="18">MEDIAN(D11:D19)</f>
        <v>2482.30575</v>
      </c>
      <c r="E24" s="89">
        <f t="shared" si="18"/>
        <v>140.26900000000001</v>
      </c>
      <c r="F24" s="89">
        <f>IFERROR(MEDIAN(F11:F19),0)</f>
        <v>0</v>
      </c>
      <c r="G24" s="89">
        <f t="shared" si="18"/>
        <v>19.597180000000002</v>
      </c>
      <c r="H24" s="89">
        <f t="shared" si="18"/>
        <v>140.26900000000001</v>
      </c>
      <c r="I24" s="89">
        <f t="shared" si="18"/>
        <v>2841.7547500000001</v>
      </c>
      <c r="J24" s="89">
        <f t="shared" si="18"/>
        <v>244.9426</v>
      </c>
      <c r="K24" s="89">
        <f t="shared" si="18"/>
        <v>2515.66275</v>
      </c>
      <c r="L24" s="73"/>
      <c r="M24" s="116">
        <f>MEDIAN(M11:M19)</f>
        <v>6.96E-4</v>
      </c>
      <c r="N24" s="89">
        <f>MEDIAN(N11:N19)</f>
        <v>1.2333561643835615</v>
      </c>
      <c r="O24" s="181">
        <f>MEDIAN(O11:O19)</f>
        <v>2.3743376712328769E-2</v>
      </c>
      <c r="P24" s="182"/>
      <c r="Q24" s="183">
        <f>MEDIAN(Q11:Q19)</f>
        <v>0.4165407869412846</v>
      </c>
      <c r="R24" s="184"/>
      <c r="S24" s="185">
        <f t="shared" ref="S24:Y24" si="19">MEDIAN(S11:S19)</f>
        <v>0.17350622718566466</v>
      </c>
      <c r="T24" s="185">
        <f t="shared" si="19"/>
        <v>4.4018360099135521</v>
      </c>
      <c r="U24" s="186">
        <f t="shared" si="19"/>
        <v>3.9167730093774114</v>
      </c>
      <c r="V24" s="186">
        <f t="shared" si="19"/>
        <v>0.99999463306621372</v>
      </c>
      <c r="W24" s="186">
        <f t="shared" si="19"/>
        <v>0.99995512891271221</v>
      </c>
      <c r="X24" s="89">
        <f t="shared" si="19"/>
        <v>2167.0628461202409</v>
      </c>
      <c r="Y24" s="187">
        <f t="shared" si="19"/>
        <v>0.37363511669078897</v>
      </c>
      <c r="AE24" s="1219"/>
      <c r="AF24" s="16"/>
      <c r="AG24" s="16"/>
      <c r="AH24" s="16"/>
      <c r="AI24" s="16"/>
    </row>
    <row r="25" spans="2:36" ht="12.75" customHeight="1">
      <c r="B25" s="278" t="s">
        <v>44</v>
      </c>
      <c r="C25" s="73"/>
      <c r="D25" s="89">
        <f t="shared" ref="D25:K25" si="20">QUARTILE(D11:D19,1)</f>
        <v>1705.28388</v>
      </c>
      <c r="E25" s="89">
        <f t="shared" si="20"/>
        <v>22.171900000000001</v>
      </c>
      <c r="F25" s="89">
        <f>IFERROR(QUARTILE(F11:F19,1),0)</f>
        <v>0</v>
      </c>
      <c r="G25" s="89">
        <f t="shared" si="20"/>
        <v>10.546485000000001</v>
      </c>
      <c r="H25" s="89">
        <f t="shared" si="20"/>
        <v>22.171900000000001</v>
      </c>
      <c r="I25" s="89">
        <f t="shared" si="20"/>
        <v>1811.4944</v>
      </c>
      <c r="J25" s="89">
        <f t="shared" si="20"/>
        <v>92.739000000000004</v>
      </c>
      <c r="K25" s="89">
        <f t="shared" si="20"/>
        <v>1686.1324</v>
      </c>
      <c r="L25" s="73"/>
      <c r="M25" s="116">
        <f>QUARTILE(M11:M19,1)</f>
        <v>0</v>
      </c>
      <c r="N25" s="89">
        <f>QUARTILE(N11:N19,1)</f>
        <v>1.2333561643835615</v>
      </c>
      <c r="O25" s="181">
        <f>QUARTILE(O11:O19,1)</f>
        <v>2.3743376712328769E-2</v>
      </c>
      <c r="P25" s="182"/>
      <c r="Q25" s="183">
        <f>QUARTILE(Q11:Q19,1)</f>
        <v>0.3812640752848403</v>
      </c>
      <c r="R25" s="184"/>
      <c r="S25" s="185">
        <f t="shared" ref="S25:Y25" si="21">QUARTILE(S11:S19,1)</f>
        <v>0.14536229510280438</v>
      </c>
      <c r="T25" s="185">
        <f t="shared" si="21"/>
        <v>2.6581310838118202</v>
      </c>
      <c r="U25" s="186">
        <f t="shared" si="21"/>
        <v>2.2038769841474246</v>
      </c>
      <c r="V25" s="186">
        <f t="shared" si="21"/>
        <v>0.99607123377982398</v>
      </c>
      <c r="W25" s="186">
        <f t="shared" si="21"/>
        <v>0.98623350170160706</v>
      </c>
      <c r="X25" s="89">
        <f t="shared" si="21"/>
        <v>311.51985811917808</v>
      </c>
      <c r="Y25" s="187">
        <f t="shared" si="21"/>
        <v>0.32353736181457937</v>
      </c>
      <c r="AE25" s="1219"/>
      <c r="AF25" s="16"/>
      <c r="AG25" s="16"/>
      <c r="AH25" s="16"/>
      <c r="AI25" s="16"/>
    </row>
    <row r="26" spans="2:36" ht="12.75" customHeight="1">
      <c r="B26" s="90" t="s">
        <v>42</v>
      </c>
      <c r="C26" s="67"/>
      <c r="D26" s="70">
        <f t="shared" ref="D26:K26" si="22">MIN(D11:D19)</f>
        <v>266.04825</v>
      </c>
      <c r="E26" s="70">
        <f t="shared" si="22"/>
        <v>0</v>
      </c>
      <c r="F26" s="70">
        <f>IFERROR(MIN(F11:F19),0)</f>
        <v>0</v>
      </c>
      <c r="G26" s="70">
        <f t="shared" si="22"/>
        <v>1.49579</v>
      </c>
      <c r="H26" s="70">
        <f t="shared" si="22"/>
        <v>0</v>
      </c>
      <c r="I26" s="70">
        <f t="shared" si="22"/>
        <v>406.31725</v>
      </c>
      <c r="J26" s="70">
        <f t="shared" si="22"/>
        <v>26.706</v>
      </c>
      <c r="K26" s="70">
        <f t="shared" si="22"/>
        <v>333.05188999999996</v>
      </c>
      <c r="L26" s="67"/>
      <c r="M26" s="118">
        <f>MIN(M11:M19)</f>
        <v>0</v>
      </c>
      <c r="N26" s="70">
        <f>MIN(N11:N19)</f>
        <v>1.2333561643835615</v>
      </c>
      <c r="O26" s="635">
        <f>MIN(O11:O19)</f>
        <v>2.3743376712328769E-2</v>
      </c>
      <c r="P26" s="636"/>
      <c r="Q26" s="637">
        <f>MIN(Q11:Q19)</f>
        <v>0.23337104782440229</v>
      </c>
      <c r="R26" s="638"/>
      <c r="S26" s="639">
        <f t="shared" ref="S26:Y26" si="23">MIN(S11:S19)</f>
        <v>5.446204596265946E-2</v>
      </c>
      <c r="T26" s="639">
        <f t="shared" si="23"/>
        <v>0</v>
      </c>
      <c r="U26" s="640">
        <f t="shared" si="23"/>
        <v>0</v>
      </c>
      <c r="V26" s="640">
        <f t="shared" si="23"/>
        <v>0</v>
      </c>
      <c r="W26" s="640">
        <f t="shared" si="23"/>
        <v>0</v>
      </c>
      <c r="X26" s="70">
        <f t="shared" si="23"/>
        <v>0</v>
      </c>
      <c r="Y26" s="641">
        <f t="shared" si="23"/>
        <v>0.22578476393414199</v>
      </c>
      <c r="AE26" s="16"/>
      <c r="AF26" s="16"/>
      <c r="AG26" s="16"/>
      <c r="AH26" s="16"/>
      <c r="AI26" s="16"/>
    </row>
    <row r="27" spans="2:36" ht="12.75" customHeight="1">
      <c r="AE27" s="1215"/>
      <c r="AF27" s="16"/>
      <c r="AG27" s="16"/>
      <c r="AH27" s="16"/>
      <c r="AI27" s="16"/>
    </row>
    <row r="28" spans="2:36" ht="12.75" customHeight="1">
      <c r="B28" s="1" t="str">
        <f>Comp.1!B23</f>
        <v>Tier 2</v>
      </c>
      <c r="D28" s="311"/>
      <c r="E28" s="311"/>
      <c r="F28" s="311"/>
      <c r="G28" s="311"/>
      <c r="H28" s="311"/>
      <c r="I28" s="311"/>
      <c r="J28" s="311"/>
      <c r="K28" s="311"/>
      <c r="M28" s="51"/>
      <c r="N28" s="311"/>
      <c r="O28" s="176"/>
      <c r="P28" s="177"/>
      <c r="Q28" s="178"/>
      <c r="R28" s="43"/>
      <c r="S28" s="179"/>
      <c r="T28" s="179"/>
      <c r="U28" s="180"/>
      <c r="V28" s="180"/>
      <c r="W28" s="180"/>
      <c r="X28" s="81"/>
      <c r="Y28" s="178"/>
      <c r="AB28" s="82"/>
      <c r="AC28" s="311"/>
      <c r="AD28" s="83"/>
      <c r="AJ28" s="84"/>
    </row>
    <row r="29" spans="2:36" ht="12.75" customHeight="1">
      <c r="B29" s="310" t="str">
        <f>Comp.1!B24</f>
        <v>Amicus Therapeutics, Inc.</v>
      </c>
      <c r="D29" s="311">
        <f>'Capital IQ Sheet-GPC'!J22</f>
        <v>2943.9233800000002</v>
      </c>
      <c r="E29" s="311">
        <f>'Capital IQ Sheet-GPC'!K22</f>
        <v>166.768</v>
      </c>
      <c r="F29" s="81" t="str">
        <f>'Capital IQ Sheet-GPC'!L22</f>
        <v>n/a</v>
      </c>
      <c r="G29" s="81" t="str">
        <f>'Capital IQ Sheet-GPC'!M22</f>
        <v>n/a</v>
      </c>
      <c r="H29" s="311">
        <f>SUM(E29:G29)</f>
        <v>166.768</v>
      </c>
      <c r="I29" s="311">
        <f>SUM(D29:G29)</f>
        <v>3110.6913800000002</v>
      </c>
      <c r="J29" s="311">
        <f>'Capital IQ Sheet-GPC'!N22</f>
        <v>562.52</v>
      </c>
      <c r="K29" s="311">
        <f>I29-J29</f>
        <v>2548.1713800000002</v>
      </c>
      <c r="M29" s="51">
        <f>IFERROR('Capital IQ Sheet-GPC'!AT22,"n/a")</f>
        <v>0</v>
      </c>
      <c r="N29" s="311">
        <f t="shared" si="3"/>
        <v>1.2333561643835615</v>
      </c>
      <c r="O29" s="176">
        <f t="shared" si="3"/>
        <v>2.3743376712328769E-2</v>
      </c>
      <c r="P29" s="177"/>
      <c r="Q29" s="178">
        <f>IFERROR(HLOOKUP($Q$6,'Equity Vol'!$B$8:$H22,ROWS('Equity Vol'!$C$8:$C22),FALSE),"n/a")</f>
        <v>0.55801884982157191</v>
      </c>
      <c r="R29" s="43"/>
      <c r="S29" s="179">
        <f>IFERROR(IF(Q29="n/a","n/a",Q29^2),"n/a")</f>
        <v>0.31138503675619</v>
      </c>
      <c r="T29" s="179">
        <f>IF(OR(K29="n/a",S29="n/a"),"n/a",IF(H29=0,0,IF(M29=0,(LN(K29/H29)+((O29+(S29/2))*N29))/((S29*N29)^0.5),(LN(K29/H29)+((O29-M29+(S29/2))*N29))/((S29*N29)^0.5))))</f>
        <v>4.7567485762275048</v>
      </c>
      <c r="U29" s="180">
        <f>IF(T29="n/a","n/a",IF(H29=0,0,T29-(S29*N29)^0.5))</f>
        <v>4.1370319840823138</v>
      </c>
      <c r="V29" s="180">
        <f>IF(OR(T29="n/a",S29="n/a"),"n/a",IF(H29=0,0,NORMSDIST(T29)))</f>
        <v>0.99999901632026778</v>
      </c>
      <c r="W29" s="180">
        <f>IF(OR(U29="n/a",S29="n/a"),"n/a",IF(H29=0,0,NORMSDIST(U29)))</f>
        <v>0.99998240864579013</v>
      </c>
      <c r="X29" s="81">
        <f>IF(OR(K29="n/a",S29="n/a"),"n/a",IF(M29=0,(K29*V29)-((H29*EXP(1)^(-O29*N29))*W29),(K29*(2.718^(-M29*N29))*V29)-(H29*(2.718^(-O29*N29))*W29)))</f>
        <v>2386.2165497662222</v>
      </c>
      <c r="Y29" s="178">
        <f>IFERROR(IF(LEN(B29)&gt;0,IF(H29=0,Q29,IF(ISERROR(Q29/((K29/X29)*V29)),"n/a",Q29/((K29/X29)*V29)))),"n/a")</f>
        <v>0.5225532061150201</v>
      </c>
      <c r="AA29" s="310">
        <v>1</v>
      </c>
      <c r="AB29" s="82" t="str">
        <f>IF('MASTER PubCo Inputs'!B37=0,"",'MASTER PubCo Inputs'!B37)</f>
        <v>NasdaqGM:FOLD</v>
      </c>
      <c r="AC29" s="311">
        <f>'Capital IQ Sheet-GPC'!H22</f>
        <v>2548.1713800000002</v>
      </c>
      <c r="AD29" s="83">
        <f>K29-AC29</f>
        <v>0</v>
      </c>
      <c r="AJ29" s="84"/>
    </row>
    <row r="30" spans="2:36" ht="12.75" customHeight="1">
      <c r="B30" s="310" t="str">
        <f>Comp.1!B25</f>
        <v>Myovant Sciences Ltd.</v>
      </c>
      <c r="D30" s="311">
        <f>'Capital IQ Sheet-GPC'!J23</f>
        <v>1483.6912500000001</v>
      </c>
      <c r="E30" s="311">
        <f>'Capital IQ Sheet-GPC'!K23</f>
        <v>43.624000000000002</v>
      </c>
      <c r="F30" s="81" t="str">
        <f>'Capital IQ Sheet-GPC'!L23</f>
        <v>n/a</v>
      </c>
      <c r="G30" s="81" t="str">
        <f>'Capital IQ Sheet-GPC'!M23</f>
        <v>n/a</v>
      </c>
      <c r="H30" s="311">
        <f t="shared" ref="H30:H49" si="24">SUM(E30:G30)</f>
        <v>43.624000000000002</v>
      </c>
      <c r="I30" s="311">
        <f t="shared" ref="I30:I49" si="25">SUM(D30:G30)</f>
        <v>1527.3152500000001</v>
      </c>
      <c r="J30" s="311">
        <f>'Capital IQ Sheet-GPC'!N23</f>
        <v>108.624</v>
      </c>
      <c r="K30" s="311">
        <f t="shared" ref="K30:K49" si="26">I30-J30</f>
        <v>1418.6912500000001</v>
      </c>
      <c r="M30" s="51">
        <f>IFERROR('Capital IQ Sheet-GPC'!AT23,"n/a")</f>
        <v>0</v>
      </c>
      <c r="N30" s="311">
        <f t="shared" si="3"/>
        <v>1.2333561643835615</v>
      </c>
      <c r="O30" s="176">
        <f t="shared" si="3"/>
        <v>2.3743376712328769E-2</v>
      </c>
      <c r="P30" s="177"/>
      <c r="Q30" s="178">
        <f>IFERROR(HLOOKUP($Q$6,'Equity Vol'!$B$8:$H23,ROWS('Equity Vol'!$C$8:$C23),FALSE),"n/a")</f>
        <v>0.56623364830270728</v>
      </c>
      <c r="R30" s="43"/>
      <c r="S30" s="179">
        <f t="shared" ref="S30:S49" si="27">IFERROR(IF(Q30="n/a","n/a",Q30^2),"n/a")</f>
        <v>0.320620544470194</v>
      </c>
      <c r="T30" s="179">
        <f t="shared" ref="T30:T49" si="28">IF(OR(K30="n/a",S30="n/a"),"n/a",IF(H30=0,0,IF(M30=0,(LN(K30/H30)+((O30+(S30/2))*N30))/((S30*N30)^0.5),(LN(K30/H30)+((O30-M30+(S30/2))*N30))/((S30*N30)^0.5))))</f>
        <v>5.8979840471853118</v>
      </c>
      <c r="U30" s="180">
        <f t="shared" ref="U30:U49" si="29">IF(T30="n/a","n/a",IF(H30=0,0,T30-(S30*N30)^0.5))</f>
        <v>5.2691443816501868</v>
      </c>
      <c r="V30" s="180">
        <f t="shared" ref="V30:V49" si="30">IF(OR(T30="n/a",S30="n/a"),"n/a",IF(H30=0,0,NORMSDIST(T30)))</f>
        <v>0.99999999816015228</v>
      </c>
      <c r="W30" s="180">
        <f t="shared" ref="W30:W49" si="31">IF(OR(U30="n/a",S30="n/a"),"n/a",IF(H30=0,0,NORMSDIST(U30)))</f>
        <v>0.999999931469436</v>
      </c>
      <c r="X30" s="81">
        <f t="shared" ref="X30:X49" si="32">IF(OR(K30="n/a",S30="n/a"),"n/a",IF(M30=0,(K30*V30)-((H30*EXP(1)^(-O30*N30))*W30),(K30*(2.718^(-M30*N30))*V30)-(H30*(2.718^(-O30*N30))*W30)))</f>
        <v>1376.3262135227494</v>
      </c>
      <c r="Y30" s="178">
        <f t="shared" ref="Y30:Y49" si="33">IFERROR(IF(LEN(B30)&gt;0,IF(H30=0,Q30,IF(ISERROR(Q30/((K30/X30)*V30)),"n/a",Q30/((K30/X30)*V30)))),"n/a")</f>
        <v>0.54932474882852167</v>
      </c>
      <c r="AA30" s="310">
        <v>1</v>
      </c>
      <c r="AB30" s="82" t="str">
        <f>IF('MASTER PubCo Inputs'!B38=0,"",'MASTER PubCo Inputs'!B38)</f>
        <v>NYSE:MYOV</v>
      </c>
      <c r="AC30" s="311">
        <f>'Capital IQ Sheet-GPC'!H23</f>
        <v>1418.6912500000001</v>
      </c>
      <c r="AD30" s="83">
        <f t="shared" ref="AD30:AD50" si="34">K30-AC30</f>
        <v>0</v>
      </c>
      <c r="AJ30" s="84"/>
    </row>
    <row r="31" spans="2:36" ht="12.75" customHeight="1">
      <c r="B31" s="310" t="str">
        <f>Comp.1!B26</f>
        <v>Lexicon Pharmaceuticals, Inc.</v>
      </c>
      <c r="D31" s="311">
        <f>'Capital IQ Sheet-GPC'!J24</f>
        <v>1269.98242</v>
      </c>
      <c r="E31" s="311">
        <f>'Capital IQ Sheet-GPC'!K24</f>
        <v>245.39599999999999</v>
      </c>
      <c r="F31" s="81" t="str">
        <f>'Capital IQ Sheet-GPC'!L24</f>
        <v>n/a</v>
      </c>
      <c r="G31" s="81" t="str">
        <f>'Capital IQ Sheet-GPC'!M24</f>
        <v>n/a</v>
      </c>
      <c r="H31" s="311">
        <f t="shared" si="24"/>
        <v>245.39599999999999</v>
      </c>
      <c r="I31" s="311">
        <f t="shared" si="25"/>
        <v>1515.37842</v>
      </c>
      <c r="J31" s="311">
        <f>'Capital IQ Sheet-GPC'!N24</f>
        <v>262.27199999999999</v>
      </c>
      <c r="K31" s="311">
        <f t="shared" si="26"/>
        <v>1253.1064200000001</v>
      </c>
      <c r="M31" s="51">
        <f>IFERROR('Capital IQ Sheet-GPC'!AT24,"n/a")</f>
        <v>0</v>
      </c>
      <c r="N31" s="311">
        <f t="shared" si="3"/>
        <v>1.2333561643835615</v>
      </c>
      <c r="O31" s="176">
        <f t="shared" si="3"/>
        <v>2.3743376712328769E-2</v>
      </c>
      <c r="P31" s="177"/>
      <c r="Q31" s="178">
        <f>IFERROR(HLOOKUP($Q$6,'Equity Vol'!$B$8:$H24,ROWS('Equity Vol'!$C$8:$C24),FALSE),"n/a")</f>
        <v>0.47847696610761248</v>
      </c>
      <c r="R31" s="43"/>
      <c r="S31" s="179">
        <f t="shared" si="27"/>
        <v>0.22894020709554533</v>
      </c>
      <c r="T31" s="179">
        <f t="shared" si="28"/>
        <v>3.3892388576381678</v>
      </c>
      <c r="U31" s="180">
        <f t="shared" si="29"/>
        <v>2.8578587529141197</v>
      </c>
      <c r="V31" s="180">
        <f t="shared" si="30"/>
        <v>0.99964956534648686</v>
      </c>
      <c r="W31" s="180">
        <f t="shared" si="31"/>
        <v>0.99786744900581215</v>
      </c>
      <c r="X31" s="81">
        <f t="shared" si="32"/>
        <v>1014.8614904944224</v>
      </c>
      <c r="Y31" s="178">
        <f t="shared" si="33"/>
        <v>0.38764311290766718</v>
      </c>
      <c r="AA31" s="310">
        <v>1</v>
      </c>
      <c r="AB31" s="82" t="str">
        <f>IF('MASTER PubCo Inputs'!B39=0,"",'MASTER PubCo Inputs'!B39)</f>
        <v>NasdaqGS:LXRX</v>
      </c>
      <c r="AC31" s="311">
        <f>'Capital IQ Sheet-GPC'!H24</f>
        <v>1253.1064200000001</v>
      </c>
      <c r="AD31" s="83">
        <f t="shared" si="34"/>
        <v>0</v>
      </c>
      <c r="AJ31" s="84"/>
    </row>
    <row r="32" spans="2:36" ht="12.75" customHeight="1">
      <c r="B32" s="310" t="str">
        <f>Comp.1!B27</f>
        <v>Rhythm Pharmaceuticals, Inc.</v>
      </c>
      <c r="D32" s="311">
        <f>'Capital IQ Sheet-GPC'!J25</f>
        <v>1066.6532199999999</v>
      </c>
      <c r="E32" s="311">
        <f>'Capital IQ Sheet-GPC'!K25</f>
        <v>0</v>
      </c>
      <c r="F32" s="81" t="str">
        <f>'Capital IQ Sheet-GPC'!L25</f>
        <v>n/a</v>
      </c>
      <c r="G32" s="81" t="str">
        <f>'Capital IQ Sheet-GPC'!M25</f>
        <v>n/a</v>
      </c>
      <c r="H32" s="311">
        <f t="shared" si="24"/>
        <v>0</v>
      </c>
      <c r="I32" s="311">
        <f t="shared" si="25"/>
        <v>1066.6532199999999</v>
      </c>
      <c r="J32" s="311">
        <f>'Capital IQ Sheet-GPC'!N25</f>
        <v>136.453</v>
      </c>
      <c r="K32" s="311">
        <f t="shared" si="26"/>
        <v>930.20021999999994</v>
      </c>
      <c r="M32" s="51">
        <f>IFERROR('Capital IQ Sheet-GPC'!AT25,"n/a")</f>
        <v>0</v>
      </c>
      <c r="N32" s="311">
        <f t="shared" si="3"/>
        <v>1.2333561643835615</v>
      </c>
      <c r="O32" s="176">
        <f t="shared" si="3"/>
        <v>2.3743376712328769E-2</v>
      </c>
      <c r="P32" s="177"/>
      <c r="Q32" s="178" t="str">
        <f>IFERROR(HLOOKUP($Q$6,'Equity Vol'!$B$8:$H25,ROWS('Equity Vol'!$C$8:$C25),FALSE),"n/a")</f>
        <v>NM</v>
      </c>
      <c r="R32" s="43"/>
      <c r="S32" s="179" t="str">
        <f t="shared" si="27"/>
        <v>n/a</v>
      </c>
      <c r="T32" s="179" t="str">
        <f t="shared" si="28"/>
        <v>n/a</v>
      </c>
      <c r="U32" s="180" t="str">
        <f t="shared" si="29"/>
        <v>n/a</v>
      </c>
      <c r="V32" s="180" t="str">
        <f t="shared" si="30"/>
        <v>n/a</v>
      </c>
      <c r="W32" s="180" t="str">
        <f t="shared" si="31"/>
        <v>n/a</v>
      </c>
      <c r="X32" s="81" t="str">
        <f t="shared" si="32"/>
        <v>n/a</v>
      </c>
      <c r="Y32" s="178" t="str">
        <f t="shared" si="33"/>
        <v>NM</v>
      </c>
      <c r="AA32" s="310">
        <v>1</v>
      </c>
      <c r="AB32" s="82" t="str">
        <f>IF('MASTER PubCo Inputs'!B40=0,"",'MASTER PubCo Inputs'!B40)</f>
        <v>NasdaqGM:RYTM</v>
      </c>
      <c r="AC32" s="311">
        <f>'Capital IQ Sheet-GPC'!H25</f>
        <v>930.20021999999994</v>
      </c>
      <c r="AD32" s="83">
        <f t="shared" si="34"/>
        <v>0</v>
      </c>
      <c r="AJ32" s="84"/>
    </row>
    <row r="33" spans="2:36" ht="12.75" customHeight="1">
      <c r="B33" s="310" t="str">
        <f>Comp.1!B28</f>
        <v>Aptinyx Inc.</v>
      </c>
      <c r="D33" s="311">
        <f>'Capital IQ Sheet-GPC'!J26</f>
        <v>809.60373000000004</v>
      </c>
      <c r="E33" s="311">
        <f>'Capital IQ Sheet-GPC'!K26</f>
        <v>0</v>
      </c>
      <c r="F33" s="81">
        <f>'Capital IQ Sheet-GPC'!L26</f>
        <v>132.386</v>
      </c>
      <c r="G33" s="81" t="str">
        <f>'Capital IQ Sheet-GPC'!M26</f>
        <v>n/a</v>
      </c>
      <c r="H33" s="311">
        <f t="shared" si="24"/>
        <v>132.386</v>
      </c>
      <c r="I33" s="311">
        <f t="shared" si="25"/>
        <v>941.98973000000001</v>
      </c>
      <c r="J33" s="311">
        <f>'Capital IQ Sheet-GPC'!N26</f>
        <v>82.35</v>
      </c>
      <c r="K33" s="311">
        <f t="shared" si="26"/>
        <v>859.63972999999999</v>
      </c>
      <c r="M33" s="51">
        <f>IFERROR('Capital IQ Sheet-GPC'!AT26,"n/a")</f>
        <v>0</v>
      </c>
      <c r="N33" s="311">
        <f t="shared" si="3"/>
        <v>1.2333561643835615</v>
      </c>
      <c r="O33" s="176">
        <f t="shared" si="3"/>
        <v>2.3743376712328769E-2</v>
      </c>
      <c r="P33" s="177"/>
      <c r="Q33" s="178" t="str">
        <f>IFERROR(HLOOKUP($Q$6,'Equity Vol'!$B$8:$H26,ROWS('Equity Vol'!$C$8:$C26),FALSE),"n/a")</f>
        <v>NM</v>
      </c>
      <c r="R33" s="43"/>
      <c r="S33" s="179" t="str">
        <f t="shared" si="27"/>
        <v>n/a</v>
      </c>
      <c r="T33" s="179" t="str">
        <f t="shared" si="28"/>
        <v>n/a</v>
      </c>
      <c r="U33" s="180" t="str">
        <f t="shared" si="29"/>
        <v>n/a</v>
      </c>
      <c r="V33" s="180" t="str">
        <f t="shared" si="30"/>
        <v>n/a</v>
      </c>
      <c r="W33" s="180" t="str">
        <f t="shared" si="31"/>
        <v>n/a</v>
      </c>
      <c r="X33" s="81" t="str">
        <f t="shared" si="32"/>
        <v>n/a</v>
      </c>
      <c r="Y33" s="178" t="str">
        <f t="shared" si="33"/>
        <v>n/a</v>
      </c>
      <c r="AA33" s="310">
        <v>1</v>
      </c>
      <c r="AB33" s="82" t="str">
        <f>IF('MASTER PubCo Inputs'!B41=0,"",'MASTER PubCo Inputs'!B41)</f>
        <v>NasdaqGS:APTX</v>
      </c>
      <c r="AC33" s="311">
        <f>'Capital IQ Sheet-GPC'!H26</f>
        <v>859.63972999999999</v>
      </c>
      <c r="AD33" s="83">
        <f t="shared" si="34"/>
        <v>0</v>
      </c>
      <c r="AJ33" s="84"/>
    </row>
    <row r="34" spans="2:36" ht="12.75" customHeight="1">
      <c r="B34" s="310" t="str">
        <f>Comp.1!B29</f>
        <v>BeyondSpring Inc.</v>
      </c>
      <c r="D34" s="311">
        <f>'Capital IQ Sheet-GPC'!J27</f>
        <v>614.36387000000002</v>
      </c>
      <c r="E34" s="311">
        <f>'Capital IQ Sheet-GPC'!K27</f>
        <v>0</v>
      </c>
      <c r="F34" s="81" t="str">
        <f>'Capital IQ Sheet-GPC'!L27</f>
        <v>n/a</v>
      </c>
      <c r="G34" s="81">
        <f>'Capital IQ Sheet-GPC'!M27</f>
        <v>0.56799999999999995</v>
      </c>
      <c r="H34" s="311">
        <f t="shared" si="24"/>
        <v>0.56799999999999995</v>
      </c>
      <c r="I34" s="311">
        <f t="shared" si="25"/>
        <v>614.93187</v>
      </c>
      <c r="J34" s="311">
        <f>'Capital IQ Sheet-GPC'!N27</f>
        <v>21.538</v>
      </c>
      <c r="K34" s="311">
        <f t="shared" si="26"/>
        <v>593.39386999999999</v>
      </c>
      <c r="M34" s="51">
        <f>IFERROR('Capital IQ Sheet-GPC'!AT27,"n/a")</f>
        <v>0</v>
      </c>
      <c r="N34" s="311">
        <f t="shared" si="3"/>
        <v>1.2333561643835615</v>
      </c>
      <c r="O34" s="176">
        <f t="shared" si="3"/>
        <v>2.3743376712328769E-2</v>
      </c>
      <c r="P34" s="177"/>
      <c r="Q34" s="178">
        <f>IFERROR(HLOOKUP($Q$6,'Equity Vol'!$B$8:$H27,ROWS('Equity Vol'!$C$8:$C27),FALSE),"n/a")</f>
        <v>0.76402375856046234</v>
      </c>
      <c r="R34" s="43"/>
      <c r="S34" s="179">
        <f t="shared" si="27"/>
        <v>0.58373230364485562</v>
      </c>
      <c r="T34" s="179">
        <f t="shared" si="28"/>
        <v>8.6514596428567661</v>
      </c>
      <c r="U34" s="180">
        <f t="shared" si="29"/>
        <v>7.8029610659279651</v>
      </c>
      <c r="V34" s="180">
        <f t="shared" si="30"/>
        <v>1</v>
      </c>
      <c r="W34" s="180">
        <f t="shared" si="31"/>
        <v>0.999999999999997</v>
      </c>
      <c r="X34" s="81">
        <f t="shared" si="32"/>
        <v>592.84226214914793</v>
      </c>
      <c r="Y34" s="178">
        <f t="shared" si="33"/>
        <v>0.76331353635432564</v>
      </c>
      <c r="AA34" s="310">
        <v>1</v>
      </c>
      <c r="AB34" s="82" t="str">
        <f>IF('MASTER PubCo Inputs'!B42=0,"",'MASTER PubCo Inputs'!B42)</f>
        <v>NasdaqCM:BYSI</v>
      </c>
      <c r="AC34" s="311">
        <f>'Capital IQ Sheet-GPC'!H27</f>
        <v>593.39386999999999</v>
      </c>
      <c r="AD34" s="83">
        <f t="shared" si="34"/>
        <v>0</v>
      </c>
      <c r="AJ34" s="84"/>
    </row>
    <row r="35" spans="2:36" ht="12.75" customHeight="1">
      <c r="B35" s="310" t="str">
        <f>Comp.1!B30</f>
        <v>CymaBay Therapeutics, Inc.</v>
      </c>
      <c r="D35" s="311">
        <f>'Capital IQ Sheet-GPC'!J28</f>
        <v>788.67728</v>
      </c>
      <c r="E35" s="311">
        <f>'Capital IQ Sheet-GPC'!K28</f>
        <v>5.3609999999999998</v>
      </c>
      <c r="F35" s="81" t="str">
        <f>'Capital IQ Sheet-GPC'!L28</f>
        <v>n/a</v>
      </c>
      <c r="G35" s="81" t="str">
        <f>'Capital IQ Sheet-GPC'!M28</f>
        <v>n/a</v>
      </c>
      <c r="H35" s="311">
        <f t="shared" si="24"/>
        <v>5.3609999999999998</v>
      </c>
      <c r="I35" s="311">
        <f t="shared" si="25"/>
        <v>794.03827999999999</v>
      </c>
      <c r="J35" s="311">
        <f>'Capital IQ Sheet-GPC'!N28</f>
        <v>229.536</v>
      </c>
      <c r="K35" s="311">
        <f t="shared" si="26"/>
        <v>564.50227999999993</v>
      </c>
      <c r="M35" s="51">
        <f>IFERROR('Capital IQ Sheet-GPC'!AT28,"n/a")</f>
        <v>0</v>
      </c>
      <c r="N35" s="311">
        <f t="shared" si="3"/>
        <v>1.2333561643835615</v>
      </c>
      <c r="O35" s="176">
        <f t="shared" si="3"/>
        <v>2.3743376712328769E-2</v>
      </c>
      <c r="P35" s="177"/>
      <c r="Q35" s="178">
        <f>IFERROR(HLOOKUP($Q$6,'Equity Vol'!$B$8:$H28,ROWS('Equity Vol'!$C$8:$C28),FALSE),"n/a")</f>
        <v>0.61574222287267066</v>
      </c>
      <c r="R35" s="43"/>
      <c r="S35" s="179">
        <f t="shared" si="27"/>
        <v>0.37913848502817765</v>
      </c>
      <c r="T35" s="179">
        <f t="shared" si="28"/>
        <v>7.194683651459524</v>
      </c>
      <c r="U35" s="180">
        <f t="shared" si="29"/>
        <v>6.5108614613658213</v>
      </c>
      <c r="V35" s="180">
        <f t="shared" si="30"/>
        <v>0.99999999999968692</v>
      </c>
      <c r="W35" s="180">
        <f t="shared" si="31"/>
        <v>0.99999999996263944</v>
      </c>
      <c r="X35" s="81">
        <f t="shared" si="32"/>
        <v>559.29599533730959</v>
      </c>
      <c r="Y35" s="178">
        <f t="shared" si="33"/>
        <v>0.61006336309728582</v>
      </c>
      <c r="AA35" s="310">
        <v>1</v>
      </c>
      <c r="AB35" s="82" t="str">
        <f>IF('MASTER PubCo Inputs'!B43=0,"",'MASTER PubCo Inputs'!B43)</f>
        <v>NasdaqGS:CBAY</v>
      </c>
      <c r="AC35" s="311">
        <f>'Capital IQ Sheet-GPC'!H28</f>
        <v>564.50228000000004</v>
      </c>
      <c r="AD35" s="83">
        <f t="shared" si="34"/>
        <v>0</v>
      </c>
      <c r="AJ35" s="84"/>
    </row>
    <row r="36" spans="2:36" ht="12.75" customHeight="1">
      <c r="B36" s="310" t="str">
        <f>Comp.1!B31</f>
        <v>Intra-Cellular Therapies, Inc.</v>
      </c>
      <c r="D36" s="311">
        <f>'Capital IQ Sheet-GPC'!J29</f>
        <v>966.48504000000003</v>
      </c>
      <c r="E36" s="311">
        <f>'Capital IQ Sheet-GPC'!K29</f>
        <v>0</v>
      </c>
      <c r="F36" s="81" t="str">
        <f>'Capital IQ Sheet-GPC'!L29</f>
        <v>n/a</v>
      </c>
      <c r="G36" s="81" t="str">
        <f>'Capital IQ Sheet-GPC'!M29</f>
        <v>n/a</v>
      </c>
      <c r="H36" s="311">
        <f t="shared" si="24"/>
        <v>0</v>
      </c>
      <c r="I36" s="311">
        <f t="shared" si="25"/>
        <v>966.48504000000003</v>
      </c>
      <c r="J36" s="311">
        <f>'Capital IQ Sheet-GPC'!N29</f>
        <v>437.00551000000002</v>
      </c>
      <c r="K36" s="311">
        <f t="shared" si="26"/>
        <v>529.47953000000007</v>
      </c>
      <c r="M36" s="51">
        <f>IFERROR('Capital IQ Sheet-GPC'!AT29,"n/a")</f>
        <v>0</v>
      </c>
      <c r="N36" s="311">
        <f t="shared" si="3"/>
        <v>1.2333561643835615</v>
      </c>
      <c r="O36" s="176">
        <f t="shared" si="3"/>
        <v>2.3743376712328769E-2</v>
      </c>
      <c r="P36" s="177"/>
      <c r="Q36" s="178">
        <f>IFERROR(HLOOKUP($Q$6,'Equity Vol'!$B$8:$H29,ROWS('Equity Vol'!$C$8:$C29),FALSE),"n/a")</f>
        <v>0.61291654484815106</v>
      </c>
      <c r="R36" s="43"/>
      <c r="S36" s="179">
        <f t="shared" si="27"/>
        <v>0.37566669094859556</v>
      </c>
      <c r="T36" s="179">
        <f t="shared" si="28"/>
        <v>0</v>
      </c>
      <c r="U36" s="180">
        <f t="shared" si="29"/>
        <v>0</v>
      </c>
      <c r="V36" s="180">
        <f t="shared" si="30"/>
        <v>0</v>
      </c>
      <c r="W36" s="180">
        <f t="shared" si="31"/>
        <v>0</v>
      </c>
      <c r="X36" s="81">
        <f t="shared" si="32"/>
        <v>0</v>
      </c>
      <c r="Y36" s="178">
        <f t="shared" si="33"/>
        <v>0.61291654484815106</v>
      </c>
      <c r="AA36" s="310">
        <v>1</v>
      </c>
      <c r="AB36" s="82" t="str">
        <f>IF('MASTER PubCo Inputs'!B44=0,"",'MASTER PubCo Inputs'!B44)</f>
        <v>NasdaqGS:ITCI</v>
      </c>
      <c r="AC36" s="311">
        <f>'Capital IQ Sheet-GPC'!H29</f>
        <v>529.47951999999998</v>
      </c>
      <c r="AD36" s="83">
        <f t="shared" si="34"/>
        <v>1.0000000088439265E-5</v>
      </c>
      <c r="AJ36" s="84"/>
    </row>
    <row r="37" spans="2:36" ht="12.75" customHeight="1">
      <c r="B37" s="310" t="str">
        <f>Comp.1!B32</f>
        <v>Viking Therapeutics, Inc.</v>
      </c>
      <c r="D37" s="311">
        <f>'Capital IQ Sheet-GPC'!J30</f>
        <v>565.20726999999999</v>
      </c>
      <c r="E37" s="311">
        <f>'Capital IQ Sheet-GPC'!K30</f>
        <v>3.7210000000000001</v>
      </c>
      <c r="F37" s="81" t="str">
        <f>'Capital IQ Sheet-GPC'!L30</f>
        <v>n/a</v>
      </c>
      <c r="G37" s="81" t="str">
        <f>'Capital IQ Sheet-GPC'!M30</f>
        <v>n/a</v>
      </c>
      <c r="H37" s="311">
        <f t="shared" si="24"/>
        <v>3.7210000000000001</v>
      </c>
      <c r="I37" s="311">
        <f t="shared" si="25"/>
        <v>568.92827</v>
      </c>
      <c r="J37" s="311">
        <f>'Capital IQ Sheet-GPC'!N30</f>
        <v>77.468000000000004</v>
      </c>
      <c r="K37" s="311">
        <f t="shared" si="26"/>
        <v>491.46026999999998</v>
      </c>
      <c r="M37" s="51">
        <f>IFERROR('Capital IQ Sheet-GPC'!AT30,"n/a")</f>
        <v>0</v>
      </c>
      <c r="N37" s="311">
        <f t="shared" si="3"/>
        <v>1.2333561643835615</v>
      </c>
      <c r="O37" s="176">
        <f t="shared" si="3"/>
        <v>2.3743376712328769E-2</v>
      </c>
      <c r="P37" s="177"/>
      <c r="Q37" s="178">
        <f>IFERROR(HLOOKUP($Q$6,'Equity Vol'!$B$8:$H30,ROWS('Equity Vol'!$C$8:$C30),FALSE),"n/a")</f>
        <v>1.108049474673342</v>
      </c>
      <c r="R37" s="43"/>
      <c r="S37" s="179">
        <f t="shared" si="27"/>
        <v>1.2277736383238693</v>
      </c>
      <c r="T37" s="179">
        <f t="shared" si="28"/>
        <v>4.6075004781190145</v>
      </c>
      <c r="U37" s="180">
        <f t="shared" si="29"/>
        <v>3.3769387424493336</v>
      </c>
      <c r="V37" s="180">
        <f t="shared" si="30"/>
        <v>0.99999796230866289</v>
      </c>
      <c r="W37" s="180">
        <f t="shared" si="31"/>
        <v>0.99963351314020921</v>
      </c>
      <c r="X37" s="81">
        <f t="shared" si="32"/>
        <v>487.84697879032115</v>
      </c>
      <c r="Y37" s="178">
        <f t="shared" si="33"/>
        <v>1.0999051664204513</v>
      </c>
      <c r="AA37" s="310">
        <v>1</v>
      </c>
      <c r="AB37" s="82" t="str">
        <f>IF('MASTER PubCo Inputs'!B45=0,"",'MASTER PubCo Inputs'!B45)</f>
        <v>NasdaqCM:VKTX</v>
      </c>
      <c r="AC37" s="311">
        <f>'Capital IQ Sheet-GPC'!H30</f>
        <v>491.46026999999998</v>
      </c>
      <c r="AD37" s="83">
        <f t="shared" si="34"/>
        <v>0</v>
      </c>
      <c r="AJ37" s="84"/>
    </row>
    <row r="38" spans="2:36" ht="12.75" customHeight="1">
      <c r="B38" s="310" t="str">
        <f>Comp.1!B33</f>
        <v>Xeris Pharmaceuticals, Inc.</v>
      </c>
      <c r="D38" s="311">
        <f>'Capital IQ Sheet-GPC'!J31</f>
        <v>374.58265999999998</v>
      </c>
      <c r="E38" s="311">
        <f>'Capital IQ Sheet-GPC'!K31</f>
        <v>18.050999999999998</v>
      </c>
      <c r="F38" s="81">
        <f>'Capital IQ Sheet-GPC'!L31</f>
        <v>102.292</v>
      </c>
      <c r="G38" s="81" t="str">
        <f>'Capital IQ Sheet-GPC'!M31</f>
        <v>n/a</v>
      </c>
      <c r="H38" s="311">
        <f t="shared" si="24"/>
        <v>120.343</v>
      </c>
      <c r="I38" s="311">
        <f t="shared" si="25"/>
        <v>494.92565999999999</v>
      </c>
      <c r="J38" s="311">
        <f>'Capital IQ Sheet-GPC'!N31</f>
        <v>58.11</v>
      </c>
      <c r="K38" s="311">
        <f t="shared" si="26"/>
        <v>436.81565999999998</v>
      </c>
      <c r="M38" s="51">
        <f>IFERROR('Capital IQ Sheet-GPC'!AT31,"n/a")</f>
        <v>0</v>
      </c>
      <c r="N38" s="311">
        <f t="shared" si="3"/>
        <v>1.2333561643835615</v>
      </c>
      <c r="O38" s="176">
        <f t="shared" si="3"/>
        <v>2.3743376712328769E-2</v>
      </c>
      <c r="P38" s="177"/>
      <c r="Q38" s="178" t="str">
        <f>IFERROR(HLOOKUP($Q$6,'Equity Vol'!$B$8:$H31,ROWS('Equity Vol'!$C$8:$C31),FALSE),"n/a")</f>
        <v>NM</v>
      </c>
      <c r="R38" s="43"/>
      <c r="S38" s="179" t="str">
        <f t="shared" si="27"/>
        <v>n/a</v>
      </c>
      <c r="T38" s="179" t="str">
        <f t="shared" si="28"/>
        <v>n/a</v>
      </c>
      <c r="U38" s="180" t="str">
        <f t="shared" si="29"/>
        <v>n/a</v>
      </c>
      <c r="V38" s="180" t="str">
        <f t="shared" si="30"/>
        <v>n/a</v>
      </c>
      <c r="W38" s="180" t="str">
        <f t="shared" si="31"/>
        <v>n/a</v>
      </c>
      <c r="X38" s="81" t="str">
        <f t="shared" si="32"/>
        <v>n/a</v>
      </c>
      <c r="Y38" s="178" t="str">
        <f t="shared" si="33"/>
        <v>n/a</v>
      </c>
      <c r="AA38" s="310">
        <v>1</v>
      </c>
      <c r="AB38" s="82" t="str">
        <f>IF('MASTER PubCo Inputs'!B46=0,"",'MASTER PubCo Inputs'!B46)</f>
        <v>NasdaqGS:XERS</v>
      </c>
      <c r="AC38" s="311">
        <f>'Capital IQ Sheet-GPC'!H31</f>
        <v>436.81565999999998</v>
      </c>
      <c r="AD38" s="83">
        <f t="shared" si="34"/>
        <v>0</v>
      </c>
      <c r="AJ38" s="84"/>
    </row>
    <row r="39" spans="2:36" ht="12.75" customHeight="1">
      <c r="B39" s="310" t="str">
        <f>Comp.1!B34</f>
        <v>Odonate Therapeutics, Inc.</v>
      </c>
      <c r="D39" s="311">
        <f>'Capital IQ Sheet-GPC'!J32</f>
        <v>593.68480999999997</v>
      </c>
      <c r="E39" s="311">
        <f>'Capital IQ Sheet-GPC'!K32</f>
        <v>0</v>
      </c>
      <c r="F39" s="81" t="str">
        <f>'Capital IQ Sheet-GPC'!L32</f>
        <v>n/a</v>
      </c>
      <c r="G39" s="81" t="str">
        <f>'Capital IQ Sheet-GPC'!M32</f>
        <v>n/a</v>
      </c>
      <c r="H39" s="311">
        <f t="shared" si="24"/>
        <v>0</v>
      </c>
      <c r="I39" s="311">
        <f t="shared" si="25"/>
        <v>593.68480999999997</v>
      </c>
      <c r="J39" s="311">
        <f>'Capital IQ Sheet-GPC'!N32</f>
        <v>195.24600000000001</v>
      </c>
      <c r="K39" s="311">
        <f t="shared" si="26"/>
        <v>398.43880999999999</v>
      </c>
      <c r="M39" s="51">
        <f>IFERROR('Capital IQ Sheet-GPC'!AT32,"n/a")</f>
        <v>0</v>
      </c>
      <c r="N39" s="311">
        <f t="shared" si="3"/>
        <v>1.2333561643835615</v>
      </c>
      <c r="O39" s="176">
        <f t="shared" si="3"/>
        <v>2.3743376712328769E-2</v>
      </c>
      <c r="P39" s="177"/>
      <c r="Q39" s="178" t="str">
        <f>IFERROR(HLOOKUP($Q$6,'Equity Vol'!$B$8:$H32,ROWS('Equity Vol'!$C$8:$C32),FALSE),"n/a")</f>
        <v>NM</v>
      </c>
      <c r="R39" s="43"/>
      <c r="S39" s="179" t="str">
        <f t="shared" si="27"/>
        <v>n/a</v>
      </c>
      <c r="T39" s="179" t="str">
        <f t="shared" si="28"/>
        <v>n/a</v>
      </c>
      <c r="U39" s="180" t="str">
        <f t="shared" si="29"/>
        <v>n/a</v>
      </c>
      <c r="V39" s="180" t="str">
        <f t="shared" si="30"/>
        <v>n/a</v>
      </c>
      <c r="W39" s="180" t="str">
        <f t="shared" si="31"/>
        <v>n/a</v>
      </c>
      <c r="X39" s="81" t="str">
        <f t="shared" si="32"/>
        <v>n/a</v>
      </c>
      <c r="Y39" s="178" t="str">
        <f t="shared" si="33"/>
        <v>NM</v>
      </c>
      <c r="AA39" s="310">
        <v>1</v>
      </c>
      <c r="AB39" s="82" t="str">
        <f>IF('MASTER PubCo Inputs'!B47=0,"",'MASTER PubCo Inputs'!B47)</f>
        <v>NasdaqGS:ODT</v>
      </c>
      <c r="AC39" s="311">
        <f>'Capital IQ Sheet-GPC'!H32</f>
        <v>398.43880999999999</v>
      </c>
      <c r="AD39" s="83">
        <f t="shared" si="34"/>
        <v>0</v>
      </c>
      <c r="AJ39" s="84"/>
    </row>
    <row r="40" spans="2:36" ht="12.75" customHeight="1">
      <c r="B40" s="310" t="str">
        <f>Comp.1!B35</f>
        <v>Nightstar Therapeutics plc</v>
      </c>
      <c r="D40" s="311">
        <f>'Capital IQ Sheet-GPC'!J33</f>
        <v>462.47541999999999</v>
      </c>
      <c r="E40" s="311">
        <f>'Capital IQ Sheet-GPC'!K33</f>
        <v>0</v>
      </c>
      <c r="F40" s="81" t="str">
        <f>'Capital IQ Sheet-GPC'!L33</f>
        <v>n/a</v>
      </c>
      <c r="G40" s="81" t="str">
        <f>'Capital IQ Sheet-GPC'!M33</f>
        <v>n/a</v>
      </c>
      <c r="H40" s="311">
        <f t="shared" si="24"/>
        <v>0</v>
      </c>
      <c r="I40" s="311">
        <f t="shared" si="25"/>
        <v>462.47541999999999</v>
      </c>
      <c r="J40" s="311">
        <f>'Capital IQ Sheet-GPC'!N33</f>
        <v>122.277</v>
      </c>
      <c r="K40" s="311">
        <f t="shared" si="26"/>
        <v>340.19842</v>
      </c>
      <c r="M40" s="51">
        <f>IFERROR('Capital IQ Sheet-GPC'!AT33,"n/a")</f>
        <v>0</v>
      </c>
      <c r="N40" s="311">
        <f t="shared" si="3"/>
        <v>1.2333561643835615</v>
      </c>
      <c r="O40" s="176">
        <f t="shared" si="3"/>
        <v>2.3743376712328769E-2</v>
      </c>
      <c r="P40" s="177"/>
      <c r="Q40" s="178" t="str">
        <f>IFERROR(HLOOKUP($Q$6,'Equity Vol'!$B$8:$H33,ROWS('Equity Vol'!$C$8:$C33),FALSE),"n/a")</f>
        <v>NM</v>
      </c>
      <c r="R40" s="43"/>
      <c r="S40" s="179" t="str">
        <f t="shared" si="27"/>
        <v>n/a</v>
      </c>
      <c r="T40" s="179" t="str">
        <f t="shared" si="28"/>
        <v>n/a</v>
      </c>
      <c r="U40" s="180" t="str">
        <f t="shared" si="29"/>
        <v>n/a</v>
      </c>
      <c r="V40" s="180" t="str">
        <f t="shared" si="30"/>
        <v>n/a</v>
      </c>
      <c r="W40" s="180" t="str">
        <f t="shared" si="31"/>
        <v>n/a</v>
      </c>
      <c r="X40" s="81" t="str">
        <f t="shared" si="32"/>
        <v>n/a</v>
      </c>
      <c r="Y40" s="178" t="str">
        <f t="shared" si="33"/>
        <v>NM</v>
      </c>
      <c r="AA40" s="310">
        <v>1</v>
      </c>
      <c r="AB40" s="82" t="str">
        <f>IF('MASTER PubCo Inputs'!B48=0,"",'MASTER PubCo Inputs'!B48)</f>
        <v>NasdaqGS:NITE</v>
      </c>
      <c r="AC40" s="311">
        <f>'Capital IQ Sheet-GPC'!H33</f>
        <v>340.19842</v>
      </c>
      <c r="AD40" s="83">
        <f t="shared" si="34"/>
        <v>0</v>
      </c>
      <c r="AJ40" s="84"/>
    </row>
    <row r="41" spans="2:36" ht="12.75" customHeight="1">
      <c r="B41" s="310" t="str">
        <f>Comp.1!B36</f>
        <v>Zafgen, Inc.</v>
      </c>
      <c r="D41" s="311">
        <f>'Capital IQ Sheet-GPC'!J34</f>
        <v>363.76737000000003</v>
      </c>
      <c r="E41" s="311">
        <f>'Capital IQ Sheet-GPC'!K34</f>
        <v>20.16</v>
      </c>
      <c r="F41" s="81" t="str">
        <f>'Capital IQ Sheet-GPC'!L34</f>
        <v>n/a</v>
      </c>
      <c r="G41" s="81" t="str">
        <f>'Capital IQ Sheet-GPC'!M34</f>
        <v>n/a</v>
      </c>
      <c r="H41" s="311">
        <f t="shared" si="24"/>
        <v>20.16</v>
      </c>
      <c r="I41" s="311">
        <f t="shared" si="25"/>
        <v>383.92737000000005</v>
      </c>
      <c r="J41" s="311">
        <f>'Capital IQ Sheet-GPC'!N34</f>
        <v>89.07</v>
      </c>
      <c r="K41" s="311">
        <f t="shared" si="26"/>
        <v>294.85737000000006</v>
      </c>
      <c r="M41" s="51">
        <f>IFERROR('Capital IQ Sheet-GPC'!AT34,"n/a")</f>
        <v>0</v>
      </c>
      <c r="N41" s="311">
        <f t="shared" si="3"/>
        <v>1.2333561643835615</v>
      </c>
      <c r="O41" s="176">
        <f t="shared" si="3"/>
        <v>2.3743376712328769E-2</v>
      </c>
      <c r="P41" s="177"/>
      <c r="Q41" s="178">
        <f>IFERROR(HLOOKUP($Q$6,'Equity Vol'!$B$8:$H34,ROWS('Equity Vol'!$C$8:$C34),FALSE),"n/a")</f>
        <v>0.62800291493254212</v>
      </c>
      <c r="R41" s="43"/>
      <c r="S41" s="179">
        <f t="shared" si="27"/>
        <v>0.39438766116376972</v>
      </c>
      <c r="T41" s="179">
        <f t="shared" si="28"/>
        <v>4.2373422118907813</v>
      </c>
      <c r="U41" s="180">
        <f t="shared" si="29"/>
        <v>3.5399037177902972</v>
      </c>
      <c r="V41" s="180">
        <f t="shared" si="30"/>
        <v>0.99998869093673171</v>
      </c>
      <c r="W41" s="180">
        <f t="shared" si="31"/>
        <v>0.99979986348316841</v>
      </c>
      <c r="X41" s="81">
        <f t="shared" si="32"/>
        <v>275.27975960800904</v>
      </c>
      <c r="Y41" s="178">
        <f t="shared" si="33"/>
        <v>0.58631210930575972</v>
      </c>
      <c r="AA41" s="310">
        <v>1</v>
      </c>
      <c r="AB41" s="82" t="str">
        <f>IF('MASTER PubCo Inputs'!B49=0,"",'MASTER PubCo Inputs'!B49)</f>
        <v>NasdaqGS:ZFGN</v>
      </c>
      <c r="AC41" s="311">
        <f>'Capital IQ Sheet-GPC'!H34</f>
        <v>294.85737</v>
      </c>
      <c r="AD41" s="83">
        <f t="shared" si="34"/>
        <v>0</v>
      </c>
      <c r="AJ41" s="84"/>
    </row>
    <row r="42" spans="2:36" ht="12.75" customHeight="1">
      <c r="B42" s="310" t="str">
        <f>Comp.1!B37</f>
        <v>MediciNova, Inc.</v>
      </c>
      <c r="D42" s="311">
        <f>'Capital IQ Sheet-GPC'!J35</f>
        <v>327.38742000000002</v>
      </c>
      <c r="E42" s="311">
        <f>'Capital IQ Sheet-GPC'!K35</f>
        <v>0</v>
      </c>
      <c r="F42" s="81" t="str">
        <f>'Capital IQ Sheet-GPC'!L35</f>
        <v>n/a</v>
      </c>
      <c r="G42" s="81" t="str">
        <f>'Capital IQ Sheet-GPC'!M35</f>
        <v>n/a</v>
      </c>
      <c r="H42" s="311">
        <f t="shared" si="24"/>
        <v>0</v>
      </c>
      <c r="I42" s="311">
        <f t="shared" si="25"/>
        <v>327.38742000000002</v>
      </c>
      <c r="J42" s="311">
        <f>'Capital IQ Sheet-GPC'!N35</f>
        <v>62.9392</v>
      </c>
      <c r="K42" s="311">
        <f t="shared" si="26"/>
        <v>264.44821999999999</v>
      </c>
      <c r="M42" s="51">
        <f>IFERROR('Capital IQ Sheet-GPC'!AT35,"n/a")</f>
        <v>0</v>
      </c>
      <c r="N42" s="311">
        <f t="shared" si="3"/>
        <v>1.2333561643835615</v>
      </c>
      <c r="O42" s="176">
        <f t="shared" si="3"/>
        <v>2.3743376712328769E-2</v>
      </c>
      <c r="P42" s="177"/>
      <c r="Q42" s="178">
        <f>IFERROR(HLOOKUP($Q$6,'Equity Vol'!$B$8:$H35,ROWS('Equity Vol'!$C$8:$C35),FALSE),"n/a")</f>
        <v>0.61146508834167079</v>
      </c>
      <c r="R42" s="43"/>
      <c r="S42" s="179">
        <f t="shared" si="27"/>
        <v>0.37388955426068726</v>
      </c>
      <c r="T42" s="179">
        <f t="shared" si="28"/>
        <v>0</v>
      </c>
      <c r="U42" s="180">
        <f t="shared" si="29"/>
        <v>0</v>
      </c>
      <c r="V42" s="180">
        <f t="shared" si="30"/>
        <v>0</v>
      </c>
      <c r="W42" s="180">
        <f t="shared" si="31"/>
        <v>0</v>
      </c>
      <c r="X42" s="81">
        <f t="shared" si="32"/>
        <v>0</v>
      </c>
      <c r="Y42" s="178">
        <f t="shared" si="33"/>
        <v>0.61146508834167079</v>
      </c>
      <c r="AA42" s="310">
        <v>1</v>
      </c>
      <c r="AB42" s="82" t="str">
        <f>IF('MASTER PubCo Inputs'!B50=0,"",'MASTER PubCo Inputs'!B50)</f>
        <v>NasdaqGM:MNOV</v>
      </c>
      <c r="AC42" s="311">
        <f>'Capital IQ Sheet-GPC'!H35</f>
        <v>264.44821999999999</v>
      </c>
      <c r="AD42" s="83">
        <f t="shared" si="34"/>
        <v>0</v>
      </c>
      <c r="AJ42" s="84"/>
    </row>
    <row r="43" spans="2:36" ht="12.75" customHeight="1">
      <c r="B43" s="310" t="str">
        <f>Comp.1!B38</f>
        <v>AVEO Pharmaceuticals, Inc.</v>
      </c>
      <c r="D43" s="311">
        <f>'Capital IQ Sheet-GPC'!J36</f>
        <v>268.64048000000003</v>
      </c>
      <c r="E43" s="311">
        <f>'Capital IQ Sheet-GPC'!K36</f>
        <v>18.588000000000001</v>
      </c>
      <c r="F43" s="81" t="str">
        <f>'Capital IQ Sheet-GPC'!L36</f>
        <v>n/a</v>
      </c>
      <c r="G43" s="81" t="str">
        <f>'Capital IQ Sheet-GPC'!M36</f>
        <v>n/a</v>
      </c>
      <c r="H43" s="311">
        <f t="shared" si="24"/>
        <v>18.588000000000001</v>
      </c>
      <c r="I43" s="311">
        <f t="shared" si="25"/>
        <v>287.22848000000005</v>
      </c>
      <c r="J43" s="311">
        <f>'Capital IQ Sheet-GPC'!N36</f>
        <v>26.995000000000001</v>
      </c>
      <c r="K43" s="311">
        <f t="shared" si="26"/>
        <v>260.23348000000004</v>
      </c>
      <c r="M43" s="51">
        <f>IFERROR('Capital IQ Sheet-GPC'!AT36,"n/a")</f>
        <v>0</v>
      </c>
      <c r="N43" s="311">
        <f t="shared" si="3"/>
        <v>1.2333561643835615</v>
      </c>
      <c r="O43" s="176">
        <f t="shared" si="3"/>
        <v>2.3743376712328769E-2</v>
      </c>
      <c r="P43" s="177"/>
      <c r="Q43" s="178">
        <f>IFERROR(HLOOKUP($Q$6,'Equity Vol'!$B$8:$H36,ROWS('Equity Vol'!$C$8:$C36),FALSE),"n/a")</f>
        <v>0.64238582139805211</v>
      </c>
      <c r="R43" s="43"/>
      <c r="S43" s="179">
        <f t="shared" si="27"/>
        <v>0.41265954353325013</v>
      </c>
      <c r="T43" s="179">
        <f t="shared" si="28"/>
        <v>4.0969685953757731</v>
      </c>
      <c r="U43" s="180">
        <f t="shared" si="29"/>
        <v>3.3835569387507634</v>
      </c>
      <c r="V43" s="180">
        <f t="shared" si="30"/>
        <v>0.99997907021677945</v>
      </c>
      <c r="W43" s="180">
        <f t="shared" si="31"/>
        <v>0.99964223315481016</v>
      </c>
      <c r="X43" s="81">
        <f t="shared" si="32"/>
        <v>242.18293047250725</v>
      </c>
      <c r="Y43" s="178">
        <f t="shared" si="33"/>
        <v>0.5978405889082713</v>
      </c>
      <c r="AA43" s="310">
        <v>1</v>
      </c>
      <c r="AB43" s="82" t="str">
        <f>IF('MASTER PubCo Inputs'!B51=0,"",'MASTER PubCo Inputs'!B51)</f>
        <v>NasdaqCM:AVEO</v>
      </c>
      <c r="AC43" s="311">
        <f>'Capital IQ Sheet-GPC'!H36</f>
        <v>260.23347999999999</v>
      </c>
      <c r="AD43" s="83">
        <f t="shared" si="34"/>
        <v>0</v>
      </c>
      <c r="AJ43" s="84"/>
    </row>
    <row r="44" spans="2:36" ht="12.75" customHeight="1">
      <c r="B44" s="310" t="str">
        <f>Comp.1!B39</f>
        <v>BioTime, Inc.</v>
      </c>
      <c r="D44" s="311">
        <f>'Capital IQ Sheet-GPC'!J37</f>
        <v>261.35887000000002</v>
      </c>
      <c r="E44" s="311">
        <f>'Capital IQ Sheet-GPC'!K37</f>
        <v>1.4319999999999999</v>
      </c>
      <c r="F44" s="81" t="str">
        <f>'Capital IQ Sheet-GPC'!L37</f>
        <v>n/a</v>
      </c>
      <c r="G44" s="81">
        <f>'Capital IQ Sheet-GPC'!M37</f>
        <v>2.4870000000000001</v>
      </c>
      <c r="H44" s="311">
        <f t="shared" si="24"/>
        <v>3.919</v>
      </c>
      <c r="I44" s="311">
        <f t="shared" si="25"/>
        <v>265.27787000000006</v>
      </c>
      <c r="J44" s="311">
        <f>'Capital IQ Sheet-GPC'!N37</f>
        <v>31.379000000000001</v>
      </c>
      <c r="K44" s="311">
        <f t="shared" si="26"/>
        <v>233.89887000000007</v>
      </c>
      <c r="M44" s="51">
        <f>IFERROR('Capital IQ Sheet-GPC'!AT37,"n/a")</f>
        <v>0</v>
      </c>
      <c r="N44" s="311">
        <f t="shared" si="3"/>
        <v>1.2333561643835615</v>
      </c>
      <c r="O44" s="176">
        <f t="shared" si="3"/>
        <v>2.3743376712328769E-2</v>
      </c>
      <c r="P44" s="177"/>
      <c r="Q44" s="178">
        <f>IFERROR(HLOOKUP($Q$6,'Equity Vol'!$B$8:$H37,ROWS('Equity Vol'!$C$8:$C37),FALSE),"n/a")</f>
        <v>0.4733738040280821</v>
      </c>
      <c r="R44" s="43"/>
      <c r="S44" s="179">
        <f t="shared" si="27"/>
        <v>0.22408275834001709</v>
      </c>
      <c r="T44" s="179">
        <f t="shared" si="28"/>
        <v>8.096671859609053</v>
      </c>
      <c r="U44" s="180">
        <f t="shared" si="29"/>
        <v>7.5709591516299399</v>
      </c>
      <c r="V44" s="180">
        <f t="shared" si="30"/>
        <v>0.99999999999999967</v>
      </c>
      <c r="W44" s="180">
        <f t="shared" si="31"/>
        <v>0.99999999999998146</v>
      </c>
      <c r="X44" s="81">
        <f t="shared" si="32"/>
        <v>230.09297005723695</v>
      </c>
      <c r="Y44" s="178">
        <f t="shared" si="33"/>
        <v>0.46567127287153576</v>
      </c>
      <c r="AA44" s="310">
        <v>1</v>
      </c>
      <c r="AB44" s="82" t="str">
        <f>IF('MASTER PubCo Inputs'!B52=0,"",'MASTER PubCo Inputs'!B52)</f>
        <v>AMEX:BTX</v>
      </c>
      <c r="AC44" s="311">
        <f>'Capital IQ Sheet-GPC'!H37</f>
        <v>233.89886999999999</v>
      </c>
      <c r="AD44" s="83">
        <f t="shared" si="34"/>
        <v>0</v>
      </c>
      <c r="AJ44" s="84"/>
    </row>
    <row r="45" spans="2:36" ht="12.75" customHeight="1">
      <c r="B45" s="310" t="str">
        <f>Comp.1!B40</f>
        <v>Cytokinetics, Incorporated</v>
      </c>
      <c r="D45" s="311">
        <f>'Capital IQ Sheet-GPC'!J38</f>
        <v>449.83963</v>
      </c>
      <c r="E45" s="311">
        <f>'Capital IQ Sheet-GPC'!K38</f>
        <v>31.954000000000001</v>
      </c>
      <c r="F45" s="81" t="str">
        <f>'Capital IQ Sheet-GPC'!L38</f>
        <v>n/a</v>
      </c>
      <c r="G45" s="81" t="str">
        <f>'Capital IQ Sheet-GPC'!M38</f>
        <v>n/a</v>
      </c>
      <c r="H45" s="311">
        <f t="shared" si="24"/>
        <v>31.954000000000001</v>
      </c>
      <c r="I45" s="311">
        <f t="shared" si="25"/>
        <v>481.79363000000001</v>
      </c>
      <c r="J45" s="311">
        <f>'Capital IQ Sheet-GPC'!N38</f>
        <v>251.45400000000001</v>
      </c>
      <c r="K45" s="311">
        <f t="shared" si="26"/>
        <v>230.33963</v>
      </c>
      <c r="M45" s="51">
        <f>IFERROR('Capital IQ Sheet-GPC'!AT38,"n/a")</f>
        <v>0</v>
      </c>
      <c r="N45" s="311">
        <f t="shared" si="3"/>
        <v>1.2333561643835615</v>
      </c>
      <c r="O45" s="176">
        <f t="shared" si="3"/>
        <v>2.3743376712328769E-2</v>
      </c>
      <c r="P45" s="177"/>
      <c r="Q45" s="178">
        <f>IFERROR(HLOOKUP($Q$6,'Equity Vol'!$B$8:$H38,ROWS('Equity Vol'!$C$8:$C38),FALSE),"n/a")</f>
        <v>0.63990529213013903</v>
      </c>
      <c r="R45" s="43"/>
      <c r="S45" s="179">
        <f t="shared" si="27"/>
        <v>0.40947878289615858</v>
      </c>
      <c r="T45" s="179">
        <f t="shared" si="28"/>
        <v>3.1760167841049833</v>
      </c>
      <c r="U45" s="180">
        <f t="shared" si="29"/>
        <v>2.4653599181920063</v>
      </c>
      <c r="V45" s="180">
        <f t="shared" si="30"/>
        <v>0.99925343843928027</v>
      </c>
      <c r="W45" s="180">
        <f t="shared" si="31"/>
        <v>0.99315621579581981</v>
      </c>
      <c r="X45" s="81">
        <f t="shared" si="32"/>
        <v>199.34821623535805</v>
      </c>
      <c r="Y45" s="178">
        <f t="shared" si="33"/>
        <v>0.55422197239813731</v>
      </c>
      <c r="AA45" s="310">
        <v>1</v>
      </c>
      <c r="AB45" s="82" t="str">
        <f>IF('MASTER PubCo Inputs'!B53=0,"",'MASTER PubCo Inputs'!B53)</f>
        <v>NasdaqGS:CYTK</v>
      </c>
      <c r="AC45" s="311">
        <f>'Capital IQ Sheet-GPC'!H38</f>
        <v>230.33963</v>
      </c>
      <c r="AD45" s="83">
        <f t="shared" si="34"/>
        <v>0</v>
      </c>
      <c r="AJ45" s="84"/>
    </row>
    <row r="46" spans="2:36" ht="12.75" customHeight="1">
      <c r="B46" s="310" t="str">
        <f>Comp.1!B41</f>
        <v>Emisphere Technologies, Inc.</v>
      </c>
      <c r="D46" s="311">
        <f>'Capital IQ Sheet-GPC'!J39</f>
        <v>146.04595</v>
      </c>
      <c r="E46" s="311">
        <f>'Capital IQ Sheet-GPC'!K39</f>
        <v>68.088999999999999</v>
      </c>
      <c r="F46" s="81" t="str">
        <f>'Capital IQ Sheet-GPC'!L39</f>
        <v>n/a</v>
      </c>
      <c r="G46" s="81" t="str">
        <f>'Capital IQ Sheet-GPC'!M39</f>
        <v>n/a</v>
      </c>
      <c r="H46" s="311">
        <f t="shared" si="24"/>
        <v>68.088999999999999</v>
      </c>
      <c r="I46" s="311">
        <f t="shared" si="25"/>
        <v>214.13495</v>
      </c>
      <c r="J46" s="311">
        <f>'Capital IQ Sheet-GPC'!N39</f>
        <v>4.6390000000000002</v>
      </c>
      <c r="K46" s="311">
        <f t="shared" si="26"/>
        <v>209.49594999999999</v>
      </c>
      <c r="M46" s="51">
        <f>IFERROR('Capital IQ Sheet-GPC'!AT39,"n/a")</f>
        <v>0</v>
      </c>
      <c r="N46" s="311">
        <f t="shared" si="3"/>
        <v>1.2333561643835615</v>
      </c>
      <c r="O46" s="176">
        <f t="shared" si="3"/>
        <v>2.3743376712328769E-2</v>
      </c>
      <c r="P46" s="177"/>
      <c r="Q46" s="178" t="str">
        <f>IFERROR(HLOOKUP($Q$6,'Equity Vol'!$B$8:$H39,ROWS('Equity Vol'!$C$8:$C39),FALSE),"n/a")</f>
        <v>NM</v>
      </c>
      <c r="R46" s="43"/>
      <c r="S46" s="179" t="str">
        <f t="shared" si="27"/>
        <v>n/a</v>
      </c>
      <c r="T46" s="179" t="str">
        <f t="shared" si="28"/>
        <v>n/a</v>
      </c>
      <c r="U46" s="180" t="str">
        <f t="shared" si="29"/>
        <v>n/a</v>
      </c>
      <c r="V46" s="180" t="str">
        <f t="shared" si="30"/>
        <v>n/a</v>
      </c>
      <c r="W46" s="180" t="str">
        <f t="shared" si="31"/>
        <v>n/a</v>
      </c>
      <c r="X46" s="81" t="str">
        <f t="shared" si="32"/>
        <v>n/a</v>
      </c>
      <c r="Y46" s="178" t="str">
        <f t="shared" si="33"/>
        <v>n/a</v>
      </c>
      <c r="AA46" s="310">
        <v>1</v>
      </c>
      <c r="AB46" s="82" t="str">
        <f>IF('MASTER PubCo Inputs'!B54=0,"",'MASTER PubCo Inputs'!B54)</f>
        <v>OTCPK:EMIS</v>
      </c>
      <c r="AC46" s="311">
        <f>'Capital IQ Sheet-GPC'!H39</f>
        <v>209.49594999999999</v>
      </c>
      <c r="AD46" s="83">
        <f t="shared" si="34"/>
        <v>0</v>
      </c>
      <c r="AJ46" s="84"/>
    </row>
    <row r="47" spans="2:36" ht="12.75" customHeight="1">
      <c r="B47" s="310" t="str">
        <f>Comp.1!B42</f>
        <v>CohBar, Inc.</v>
      </c>
      <c r="D47" s="311">
        <f>'Capital IQ Sheet-GPC'!J40</f>
        <v>199.81565000000001</v>
      </c>
      <c r="E47" s="311">
        <f>'Capital IQ Sheet-GPC'!K40</f>
        <v>1.40126</v>
      </c>
      <c r="F47" s="81" t="str">
        <f>'Capital IQ Sheet-GPC'!L40</f>
        <v>n/a</v>
      </c>
      <c r="G47" s="81" t="str">
        <f>'Capital IQ Sheet-GPC'!M40</f>
        <v>n/a</v>
      </c>
      <c r="H47" s="311">
        <f t="shared" si="24"/>
        <v>1.40126</v>
      </c>
      <c r="I47" s="311">
        <f t="shared" si="25"/>
        <v>201.21691000000001</v>
      </c>
      <c r="J47" s="311">
        <f>'Capital IQ Sheet-GPC'!N40</f>
        <v>8.4566599999999994</v>
      </c>
      <c r="K47" s="311">
        <f t="shared" si="26"/>
        <v>192.76025000000001</v>
      </c>
      <c r="M47" s="51">
        <f>IFERROR('Capital IQ Sheet-GPC'!AT40,"n/a")</f>
        <v>0</v>
      </c>
      <c r="N47" s="311">
        <f t="shared" ref="N47:O53" si="35">N$6</f>
        <v>1.2333561643835615</v>
      </c>
      <c r="O47" s="176">
        <f t="shared" si="35"/>
        <v>2.3743376712328769E-2</v>
      </c>
      <c r="P47" s="177"/>
      <c r="Q47" s="178">
        <f>IFERROR(HLOOKUP($Q$6,'Equity Vol'!$B$8:$H40,ROWS('Equity Vol'!$C$8:$C40),FALSE),"n/a")</f>
        <v>1.1006050499094084</v>
      </c>
      <c r="R47" s="43"/>
      <c r="S47" s="179">
        <f t="shared" si="27"/>
        <v>1.2113314758860914</v>
      </c>
      <c r="T47" s="179">
        <f t="shared" si="28"/>
        <v>4.6636570051313893</v>
      </c>
      <c r="U47" s="180">
        <f t="shared" si="29"/>
        <v>3.4413627922284773</v>
      </c>
      <c r="V47" s="180">
        <f t="shared" si="30"/>
        <v>0.99999844680510463</v>
      </c>
      <c r="W47" s="180">
        <f t="shared" si="31"/>
        <v>0.99971060403516765</v>
      </c>
      <c r="X47" s="81">
        <f t="shared" si="32"/>
        <v>191.39952396909703</v>
      </c>
      <c r="Y47" s="178">
        <f t="shared" si="33"/>
        <v>1.0928373968173568</v>
      </c>
      <c r="AA47" s="310">
        <v>1</v>
      </c>
      <c r="AB47" s="82" t="str">
        <f>IF('MASTER PubCo Inputs'!B55=0,"",'MASTER PubCo Inputs'!B55)</f>
        <v>TSXV:COB.U</v>
      </c>
      <c r="AC47" s="311">
        <f>'Capital IQ Sheet-GPC'!H40</f>
        <v>204.76295999999999</v>
      </c>
      <c r="AD47" s="83">
        <f t="shared" si="34"/>
        <v>-12.002709999999979</v>
      </c>
      <c r="AJ47" s="84"/>
    </row>
    <row r="48" spans="2:36" ht="12.75" customHeight="1">
      <c r="B48" s="310" t="str">
        <f>Comp.1!B43</f>
        <v>vTv Therapeutics Inc.</v>
      </c>
      <c r="D48" s="311">
        <f>'Capital IQ Sheet-GPC'!J41</f>
        <v>16.74211</v>
      </c>
      <c r="E48" s="311">
        <f>'Capital IQ Sheet-GPC'!K41</f>
        <v>19.861999999999998</v>
      </c>
      <c r="F48" s="81" t="str">
        <f>'Capital IQ Sheet-GPC'!L41</f>
        <v>n/a</v>
      </c>
      <c r="G48" s="81">
        <f>'Capital IQ Sheet-GPC'!M41</f>
        <v>120.39700000000001</v>
      </c>
      <c r="H48" s="311">
        <f t="shared" si="24"/>
        <v>140.25900000000001</v>
      </c>
      <c r="I48" s="311">
        <f t="shared" si="25"/>
        <v>157.00111000000001</v>
      </c>
      <c r="J48" s="311">
        <f>'Capital IQ Sheet-GPC'!N41</f>
        <v>6.5350000000000001</v>
      </c>
      <c r="K48" s="311">
        <f t="shared" si="26"/>
        <v>150.46611000000001</v>
      </c>
      <c r="M48" s="51">
        <f>IFERROR('Capital IQ Sheet-GPC'!AT41,"n/a")</f>
        <v>0</v>
      </c>
      <c r="N48" s="311">
        <f t="shared" si="35"/>
        <v>1.2333561643835615</v>
      </c>
      <c r="O48" s="176">
        <f t="shared" si="35"/>
        <v>2.3743376712328769E-2</v>
      </c>
      <c r="P48" s="177"/>
      <c r="Q48" s="178" t="str">
        <f>IFERROR(HLOOKUP($Q$6,'Equity Vol'!$B$8:$H41,ROWS('Equity Vol'!$C$8:$C41),FALSE),"n/a")</f>
        <v>NM</v>
      </c>
      <c r="R48" s="43"/>
      <c r="S48" s="179" t="str">
        <f t="shared" si="27"/>
        <v>n/a</v>
      </c>
      <c r="T48" s="179" t="str">
        <f t="shared" si="28"/>
        <v>n/a</v>
      </c>
      <c r="U48" s="180" t="str">
        <f t="shared" si="29"/>
        <v>n/a</v>
      </c>
      <c r="V48" s="180" t="str">
        <f t="shared" si="30"/>
        <v>n/a</v>
      </c>
      <c r="W48" s="180" t="str">
        <f t="shared" si="31"/>
        <v>n/a</v>
      </c>
      <c r="X48" s="81" t="str">
        <f t="shared" si="32"/>
        <v>n/a</v>
      </c>
      <c r="Y48" s="178" t="str">
        <f t="shared" si="33"/>
        <v>n/a</v>
      </c>
      <c r="AA48" s="310">
        <v>1</v>
      </c>
      <c r="AB48" s="82" t="str">
        <f>IF('MASTER PubCo Inputs'!B56=0,"",'MASTER PubCo Inputs'!B56)</f>
        <v>NasdaqGM:VTVT</v>
      </c>
      <c r="AC48" s="311">
        <f>'Capital IQ Sheet-GPC'!H41</f>
        <v>148.21010999999999</v>
      </c>
      <c r="AD48" s="83">
        <f t="shared" si="34"/>
        <v>2.2560000000000286</v>
      </c>
      <c r="AJ48" s="84"/>
    </row>
    <row r="49" spans="2:36" ht="12.75" customHeight="1">
      <c r="B49" s="310" t="str">
        <f>Comp.1!B44</f>
        <v>Rezolute, Inc.</v>
      </c>
      <c r="D49" s="311">
        <f>'Capital IQ Sheet-GPC'!J42</f>
        <v>29.46659</v>
      </c>
      <c r="E49" s="311">
        <f>'Capital IQ Sheet-GPC'!K42</f>
        <v>0.92469999999999997</v>
      </c>
      <c r="F49" s="81" t="str">
        <f>'Capital IQ Sheet-GPC'!L42</f>
        <v>n/a</v>
      </c>
      <c r="G49" s="81" t="str">
        <f>'Capital IQ Sheet-GPC'!M42</f>
        <v>n/a</v>
      </c>
      <c r="H49" s="311">
        <f t="shared" si="24"/>
        <v>0.92469999999999997</v>
      </c>
      <c r="I49" s="311">
        <f t="shared" si="25"/>
        <v>30.391290000000001</v>
      </c>
      <c r="J49" s="311">
        <f>'Capital IQ Sheet-GPC'!N42</f>
        <v>7.8119999999999995E-2</v>
      </c>
      <c r="K49" s="311">
        <f t="shared" si="26"/>
        <v>30.313170000000003</v>
      </c>
      <c r="M49" s="51">
        <f>IFERROR('Capital IQ Sheet-GPC'!AT42,"n/a")</f>
        <v>0</v>
      </c>
      <c r="N49" s="311">
        <f t="shared" si="35"/>
        <v>1.2333561643835615</v>
      </c>
      <c r="O49" s="176">
        <f t="shared" si="35"/>
        <v>2.3743376712328769E-2</v>
      </c>
      <c r="P49" s="177"/>
      <c r="Q49" s="178" t="str">
        <f>IFERROR(HLOOKUP($Q$6,'Equity Vol'!$B$8:$H42,ROWS('Equity Vol'!$C$8:$C42),FALSE),"n/a")</f>
        <v>NM</v>
      </c>
      <c r="R49" s="43"/>
      <c r="S49" s="179" t="str">
        <f t="shared" si="27"/>
        <v>n/a</v>
      </c>
      <c r="T49" s="179" t="str">
        <f t="shared" si="28"/>
        <v>n/a</v>
      </c>
      <c r="U49" s="180" t="str">
        <f t="shared" si="29"/>
        <v>n/a</v>
      </c>
      <c r="V49" s="180" t="str">
        <f t="shared" si="30"/>
        <v>n/a</v>
      </c>
      <c r="W49" s="180" t="str">
        <f t="shared" si="31"/>
        <v>n/a</v>
      </c>
      <c r="X49" s="81" t="str">
        <f t="shared" si="32"/>
        <v>n/a</v>
      </c>
      <c r="Y49" s="178" t="str">
        <f t="shared" si="33"/>
        <v>n/a</v>
      </c>
      <c r="AA49" s="310">
        <v>1</v>
      </c>
      <c r="AB49" s="82" t="str">
        <f>IF('MASTER PubCo Inputs'!B57=0,"",'MASTER PubCo Inputs'!B57)</f>
        <v>OTCPK:RZLT</v>
      </c>
      <c r="AC49" s="311">
        <f>'Capital IQ Sheet-GPC'!H42</f>
        <v>28.82142</v>
      </c>
      <c r="AD49" s="83">
        <f t="shared" si="34"/>
        <v>1.4917500000000032</v>
      </c>
      <c r="AJ49" s="84"/>
    </row>
    <row r="50" spans="2:36" ht="12.75" customHeight="1">
      <c r="B50" s="310" t="str">
        <f>Comp.1!B45</f>
        <v>Boston Therapeutics, Inc.</v>
      </c>
      <c r="D50" s="311">
        <f>'Capital IQ Sheet-GPC'!J44</f>
        <v>8.1007300000000004</v>
      </c>
      <c r="E50" s="311">
        <f>'Capital IQ Sheet-GPC'!K44</f>
        <v>1.99634</v>
      </c>
      <c r="F50" s="81">
        <f>'Capital IQ Sheet-GPC'!L44</f>
        <v>8.0000000000000007E-5</v>
      </c>
      <c r="G50" s="81" t="str">
        <f>'Capital IQ Sheet-GPC'!M44</f>
        <v>n/a</v>
      </c>
      <c r="H50" s="311">
        <f>SUM(E50:G50)</f>
        <v>1.9964200000000001</v>
      </c>
      <c r="I50" s="311">
        <f>SUM(D50:G50)</f>
        <v>10.097150000000001</v>
      </c>
      <c r="J50" s="311">
        <f>'Capital IQ Sheet-GPC'!N44</f>
        <v>0.20532</v>
      </c>
      <c r="K50" s="311">
        <f>I50-J50</f>
        <v>9.8918300000000006</v>
      </c>
      <c r="M50" s="51">
        <f>IFERROR('Capital IQ Sheet-GPC'!AT44,"n/a")</f>
        <v>0</v>
      </c>
      <c r="N50" s="311">
        <f t="shared" si="35"/>
        <v>1.2333561643835615</v>
      </c>
      <c r="O50" s="176">
        <f t="shared" si="35"/>
        <v>2.3743376712328769E-2</v>
      </c>
      <c r="P50" s="177"/>
      <c r="Q50" s="178" t="str">
        <f>IFERROR(HLOOKUP($Q$6,'Equity Vol'!$B$8:$H43,ROWS('Equity Vol'!$C$8:$C43),FALSE),"n/a")</f>
        <v>NM</v>
      </c>
      <c r="R50" s="43"/>
      <c r="S50" s="179" t="str">
        <f>IFERROR(IF(Q50="n/a","n/a",Q50^2),"n/a")</f>
        <v>n/a</v>
      </c>
      <c r="T50" s="179" t="str">
        <f>IF(OR(K50="n/a",S50="n/a"),"n/a",IF(H50=0,0,IF(M50=0,(LN(K50/H50)+((O50+(S50/2))*N50))/((S50*N50)^0.5),(LN(K50/H50)+((O50-M50+(S50/2))*N50))/((S50*N50)^0.5))))</f>
        <v>n/a</v>
      </c>
      <c r="U50" s="180" t="str">
        <f>IF(T50="n/a","n/a",IF(H50=0,0,T50-(S50*N50)^0.5))</f>
        <v>n/a</v>
      </c>
      <c r="V50" s="180" t="str">
        <f>IF(OR(T50="n/a",S50="n/a"),"n/a",IF(H50=0,0,NORMSDIST(T50)))</f>
        <v>n/a</v>
      </c>
      <c r="W50" s="180" t="str">
        <f>IF(OR(U50="n/a",S50="n/a"),"n/a",IF(H50=0,0,NORMSDIST(U50)))</f>
        <v>n/a</v>
      </c>
      <c r="X50" s="81" t="str">
        <f>IF(OR(K50="n/a",S50="n/a"),"n/a",IF(M50=0,(K50*V50)-((H50*EXP(1)^(-O50*N50))*W50),(K50*(2.718^(-M50*N50))*V50)-(H50*(2.718^(-O50*N50))*W50)))</f>
        <v>n/a</v>
      </c>
      <c r="Y50" s="178" t="str">
        <f>IFERROR(IF(LEN(B50)&gt;0,IF(H50=0,Q50,IF(ISERROR(Q50/((K50/X50)*V50)),"n/a",Q50/((K50/X50)*V50)))),"n/a")</f>
        <v>n/a</v>
      </c>
      <c r="AA50" s="310">
        <v>1</v>
      </c>
      <c r="AB50" s="82" t="str">
        <f>IF('MASTER PubCo Inputs'!B58=0,"",'MASTER PubCo Inputs'!B58)</f>
        <v>OTCPK:BTHE</v>
      </c>
      <c r="AC50" s="311">
        <f>'Capital IQ Sheet-GPC'!H44</f>
        <v>9.8918400000000002</v>
      </c>
      <c r="AD50" s="83">
        <f t="shared" si="34"/>
        <v>-9.9999999996214228E-6</v>
      </c>
      <c r="AJ50" s="84"/>
    </row>
    <row r="51" spans="2:36" ht="12.75" customHeight="1">
      <c r="B51" s="310" t="str">
        <f>Comp.1!B46</f>
        <v>Neuralstem, Inc.</v>
      </c>
      <c r="D51" s="311">
        <f>'Capital IQ Sheet-GPC'!J45</f>
        <v>16.82762</v>
      </c>
      <c r="E51" s="311">
        <f>'Capital IQ Sheet-GPC'!K45</f>
        <v>0</v>
      </c>
      <c r="F51" s="81">
        <f>'Capital IQ Sheet-GPC'!L45</f>
        <v>0.01</v>
      </c>
      <c r="G51" s="81" t="str">
        <f>'Capital IQ Sheet-GPC'!M45</f>
        <v>n/a</v>
      </c>
      <c r="H51" s="311">
        <f>SUM(E51:G51)</f>
        <v>0.01</v>
      </c>
      <c r="I51" s="311">
        <f>SUM(D51:G51)</f>
        <v>16.837620000000001</v>
      </c>
      <c r="J51" s="311">
        <f>'Capital IQ Sheet-GPC'!N45</f>
        <v>9.7242499999999996</v>
      </c>
      <c r="K51" s="311">
        <f>I51-J51</f>
        <v>7.1133700000000015</v>
      </c>
      <c r="M51" s="51">
        <f>IFERROR('Capital IQ Sheet-GPC'!AT45,"n/a")</f>
        <v>0</v>
      </c>
      <c r="N51" s="311">
        <f t="shared" si="35"/>
        <v>1.2333561643835615</v>
      </c>
      <c r="O51" s="176">
        <f t="shared" si="35"/>
        <v>2.3743376712328769E-2</v>
      </c>
      <c r="P51" s="177"/>
      <c r="Q51" s="178" t="str">
        <f>IFERROR(HLOOKUP($Q$6,'Equity Vol'!$B$8:$H44,ROWS('Equity Vol'!$C$8:$C44),FALSE),"n/a")</f>
        <v>NM</v>
      </c>
      <c r="R51" s="43"/>
      <c r="S51" s="179" t="str">
        <f>IFERROR(IF(Q51="n/a","n/a",Q51^2),"n/a")</f>
        <v>n/a</v>
      </c>
      <c r="T51" s="179" t="str">
        <f>IF(OR(K51="n/a",S51="n/a"),"n/a",IF(H51=0,0,IF(M51=0,(LN(K51/H51)+((O51+(S51/2))*N51))/((S51*N51)^0.5),(LN(K51/H51)+((O51-M51+(S51/2))*N51))/((S51*N51)^0.5))))</f>
        <v>n/a</v>
      </c>
      <c r="U51" s="180" t="str">
        <f>IF(T51="n/a","n/a",IF(H51=0,0,T51-(S51*N51)^0.5))</f>
        <v>n/a</v>
      </c>
      <c r="V51" s="180" t="str">
        <f>IF(OR(T51="n/a",S51="n/a"),"n/a",IF(H51=0,0,NORMSDIST(T51)))</f>
        <v>n/a</v>
      </c>
      <c r="W51" s="180" t="str">
        <f>IF(OR(U51="n/a",S51="n/a"),"n/a",IF(H51=0,0,NORMSDIST(U51)))</f>
        <v>n/a</v>
      </c>
      <c r="X51" s="81" t="str">
        <f>IF(OR(K51="n/a",S51="n/a"),"n/a",IF(M51=0,(K51*V51)-((H51*EXP(1)^(-O51*N51))*W51),(K51*(2.718^(-M51*N51))*V51)-(H51*(2.718^(-O51*N51))*W51)))</f>
        <v>n/a</v>
      </c>
      <c r="Y51" s="178" t="str">
        <f>IFERROR(IF(LEN(B51)&gt;0,IF(H51=0,Q51,IF(ISERROR(Q51/((K51/X51)*V51)),"n/a",Q51/((K51/X51)*V51)))),"n/a")</f>
        <v>n/a</v>
      </c>
      <c r="AA51" s="310">
        <v>1</v>
      </c>
      <c r="AB51" s="82" t="str">
        <f>IF('MASTER PubCo Inputs'!B59=0,"",'MASTER PubCo Inputs'!B59)</f>
        <v>NasdaqCM:CUR</v>
      </c>
      <c r="AC51" s="311">
        <f>'Capital IQ Sheet-GPC'!H45</f>
        <v>7.1133699999999997</v>
      </c>
      <c r="AD51" s="83">
        <f>K51-AC51</f>
        <v>0</v>
      </c>
      <c r="AJ51" s="84"/>
    </row>
    <row r="52" spans="2:36" ht="12.75" customHeight="1">
      <c r="B52" s="310" t="str">
        <f>Comp.1!B47</f>
        <v>Nexus BioPharma, Inc.</v>
      </c>
      <c r="D52" s="311">
        <f>'Capital IQ Sheet-GPC'!J46</f>
        <v>3.8515700000000002</v>
      </c>
      <c r="E52" s="311">
        <f>'Capital IQ Sheet-GPC'!K46</f>
        <v>0.36752000000000001</v>
      </c>
      <c r="F52" s="81" t="str">
        <f>'Capital IQ Sheet-GPC'!L46</f>
        <v>n/a</v>
      </c>
      <c r="G52" s="81" t="str">
        <f>'Capital IQ Sheet-GPC'!M46</f>
        <v>n/a</v>
      </c>
      <c r="H52" s="311">
        <f>SUM(E52:G52)</f>
        <v>0.36752000000000001</v>
      </c>
      <c r="I52" s="311">
        <f>SUM(D52:G52)</f>
        <v>4.2190900000000005</v>
      </c>
      <c r="J52" s="311">
        <f>'Capital IQ Sheet-GPC'!N46</f>
        <v>8.43E-3</v>
      </c>
      <c r="K52" s="311">
        <f>I52-J52</f>
        <v>4.2106600000000007</v>
      </c>
      <c r="M52" s="51">
        <f>IFERROR('Capital IQ Sheet-GPC'!AT46,"n/a")</f>
        <v>0</v>
      </c>
      <c r="N52" s="311">
        <f t="shared" si="35"/>
        <v>1.2333561643835615</v>
      </c>
      <c r="O52" s="176">
        <f t="shared" si="35"/>
        <v>2.3743376712328769E-2</v>
      </c>
      <c r="P52" s="177"/>
      <c r="Q52" s="178" t="str">
        <f>IFERROR(HLOOKUP($Q$6,'Equity Vol'!$B$8:$H45,ROWS('Equity Vol'!$C$8:$C45),FALSE),"n/a")</f>
        <v>NM</v>
      </c>
      <c r="R52" s="43"/>
      <c r="S52" s="179" t="str">
        <f>IFERROR(IF(Q52="n/a","n/a",Q52^2),"n/a")</f>
        <v>n/a</v>
      </c>
      <c r="T52" s="179" t="str">
        <f>IF(OR(K52="n/a",S52="n/a"),"n/a",IF(H52=0,0,IF(M52=0,(LN(K52/H52)+((O52+(S52/2))*N52))/((S52*N52)^0.5),(LN(K52/H52)+((O52-M52+(S52/2))*N52))/((S52*N52)^0.5))))</f>
        <v>n/a</v>
      </c>
      <c r="U52" s="180" t="str">
        <f>IF(T52="n/a","n/a",IF(H52=0,0,T52-(S52*N52)^0.5))</f>
        <v>n/a</v>
      </c>
      <c r="V52" s="180" t="str">
        <f>IF(OR(T52="n/a",S52="n/a"),"n/a",IF(H52=0,0,NORMSDIST(T52)))</f>
        <v>n/a</v>
      </c>
      <c r="W52" s="180" t="str">
        <f>IF(OR(U52="n/a",S52="n/a"),"n/a",IF(H52=0,0,NORMSDIST(U52)))</f>
        <v>n/a</v>
      </c>
      <c r="X52" s="81" t="str">
        <f>IF(OR(K52="n/a",S52="n/a"),"n/a",IF(M52=0,(K52*V52)-((H52*EXP(1)^(-O52*N52))*W52),(K52*(2.718^(-M52*N52))*V52)-(H52*(2.718^(-O52*N52))*W52)))</f>
        <v>n/a</v>
      </c>
      <c r="Y52" s="178" t="str">
        <f>IFERROR(IF(LEN(B52)&gt;0,IF(H52=0,Q52,IF(ISERROR(Q52/((K52/X52)*V52)),"n/a",Q52/((K52/X52)*V52)))),"n/a")</f>
        <v>n/a</v>
      </c>
      <c r="AA52" s="310">
        <v>1</v>
      </c>
      <c r="AB52" s="82" t="str">
        <f>IF('MASTER PubCo Inputs'!B60=0,"",'MASTER PubCo Inputs'!B60)</f>
        <v>OTCPK:NEXS</v>
      </c>
      <c r="AC52" s="311">
        <f>'Capital IQ Sheet-GPC'!H46</f>
        <v>4.2106599999999998</v>
      </c>
      <c r="AD52" s="83">
        <f>K52-AC52</f>
        <v>0</v>
      </c>
      <c r="AJ52" s="84"/>
    </row>
    <row r="53" spans="2:36" ht="12.75" customHeight="1">
      <c r="B53" s="310" t="str">
        <f>Comp.1!B48</f>
        <v>ERYTECH Pharma S.A.</v>
      </c>
      <c r="D53" s="311">
        <f>'Capital IQ Sheet-GPC'!J47</f>
        <v>201.74755999999999</v>
      </c>
      <c r="E53" s="311">
        <f>'Capital IQ Sheet-GPC'!K47</f>
        <v>3.4137900000000001</v>
      </c>
      <c r="F53" s="81" t="str">
        <f>'Capital IQ Sheet-GPC'!L47</f>
        <v>n/a</v>
      </c>
      <c r="G53" s="81" t="str">
        <f>'Capital IQ Sheet-GPC'!M47</f>
        <v>n/a</v>
      </c>
      <c r="H53" s="311">
        <f>SUM(E53:G53)</f>
        <v>3.4137900000000001</v>
      </c>
      <c r="I53" s="311">
        <f>SUM(D53:G53)</f>
        <v>205.16135</v>
      </c>
      <c r="J53" s="311">
        <f>'Capital IQ Sheet-GPC'!N47</f>
        <v>222.77257</v>
      </c>
      <c r="K53" s="311">
        <f>I53-J53</f>
        <v>-17.611220000000003</v>
      </c>
      <c r="M53" s="51">
        <f>IFERROR('Capital IQ Sheet-GPC'!AT47,"n/a")</f>
        <v>0</v>
      </c>
      <c r="N53" s="311">
        <f t="shared" si="35"/>
        <v>1.2333561643835615</v>
      </c>
      <c r="O53" s="176">
        <f t="shared" si="35"/>
        <v>2.3743376712328769E-2</v>
      </c>
      <c r="P53" s="177"/>
      <c r="Q53" s="178">
        <f>IFERROR(HLOOKUP($Q$6,'Equity Vol'!$B$8:$H46,ROWS('Equity Vol'!$C$8:$C46),FALSE),"n/a")</f>
        <v>0.62607883629659888</v>
      </c>
      <c r="R53" s="43"/>
      <c r="S53" s="179">
        <f>IFERROR(IF(Q53="n/a","n/a",Q53^2),"n/a")</f>
        <v>0.39197470925850347</v>
      </c>
      <c r="T53" s="179" t="e">
        <f>IF(OR(K53="n/a",S53="n/a"),"n/a",IF(H53=0,0,IF(M53=0,(LN(K53/H53)+((O53+(S53/2))*N53))/((S53*N53)^0.5),(LN(K53/H53)+((O53-M53+(S53/2))*N53))/((S53*N53)^0.5))))</f>
        <v>#NUM!</v>
      </c>
      <c r="U53" s="180" t="e">
        <f>IF(T53="n/a","n/a",IF(H53=0,0,T53-(S53*N53)^0.5))</f>
        <v>#NUM!</v>
      </c>
      <c r="V53" s="180" t="e">
        <f>IF(OR(T53="n/a",S53="n/a"),"n/a",IF(H53=0,0,NORMSDIST(T53)))</f>
        <v>#NUM!</v>
      </c>
      <c r="W53" s="180" t="e">
        <f>IF(OR(U53="n/a",S53="n/a"),"n/a",IF(H53=0,0,NORMSDIST(U53)))</f>
        <v>#NUM!</v>
      </c>
      <c r="X53" s="81" t="str">
        <f>IFERROR(IF(OR(K53="n/a",S53="n/a"),"n/a",IF(M53=0,(K53*V53)-((H53*EXP(1)^(-O53*N53))*W53),(K53*(2.718^(-M53*N53))*V53)-(H53*(2.718^(-O53*N53))*W53))),"n/a")</f>
        <v>n/a</v>
      </c>
      <c r="Y53" s="178" t="str">
        <f>IFERROR(IF(LEN(B53)&gt;0,IF(H53=0,Q53,IF(ISERROR(Q53/((K53/X53)*V53)),"n/a",Q53/((K53/X53)*V53)))),"n/a")</f>
        <v>n/a</v>
      </c>
      <c r="AA53" s="310">
        <v>1</v>
      </c>
      <c r="AB53" s="82" t="str">
        <f>IF('MASTER PubCo Inputs'!B61=0,"",'MASTER PubCo Inputs'!B61)</f>
        <v>ENXTPA:ERYP</v>
      </c>
      <c r="AC53" s="311">
        <f>'Capital IQ Sheet-GPC'!H47</f>
        <v>-11.39209</v>
      </c>
      <c r="AD53" s="83">
        <f>K53-AC53</f>
        <v>-6.2191300000000034</v>
      </c>
      <c r="AJ53" s="84"/>
    </row>
    <row r="54" spans="2:36" ht="12.75" customHeight="1">
      <c r="D54" s="311"/>
      <c r="E54" s="311"/>
      <c r="F54" s="311"/>
      <c r="G54" s="311"/>
      <c r="H54" s="311"/>
      <c r="I54" s="311"/>
      <c r="J54" s="311"/>
      <c r="K54" s="311"/>
      <c r="R54" s="20"/>
    </row>
    <row r="55" spans="2:36" ht="12.75" customHeight="1">
      <c r="B55" s="599" t="s">
        <v>41</v>
      </c>
      <c r="C55" s="624"/>
      <c r="D55" s="623">
        <f>MAX(D29:D54)</f>
        <v>2943.9233800000002</v>
      </c>
      <c r="E55" s="623">
        <f>MAX(E29:E46)</f>
        <v>245.39599999999999</v>
      </c>
      <c r="F55" s="623">
        <f>MAX(F29:F46)</f>
        <v>132.386</v>
      </c>
      <c r="G55" s="623">
        <f>MAX(G29:G46)</f>
        <v>2.4870000000000001</v>
      </c>
      <c r="H55" s="623">
        <f>MAX(H29:H54)</f>
        <v>245.39599999999999</v>
      </c>
      <c r="I55" s="623">
        <f>MAX(I29:I54)</f>
        <v>3110.6913800000002</v>
      </c>
      <c r="J55" s="623">
        <f>MAX(J29:J54)</f>
        <v>562.52</v>
      </c>
      <c r="K55" s="623">
        <f>MAX(K29:K54)</f>
        <v>2548.1713800000002</v>
      </c>
      <c r="L55" s="624"/>
      <c r="M55" s="627">
        <f>MAX(M29:M54)</f>
        <v>0</v>
      </c>
      <c r="N55" s="623">
        <f>MAX(N29:N54)</f>
        <v>1.2333561643835615</v>
      </c>
      <c r="O55" s="628">
        <f>MAX(O29:O54)</f>
        <v>2.3743376712328769E-2</v>
      </c>
      <c r="P55" s="629"/>
      <c r="Q55" s="630">
        <f>MAX(Q29:Q54)</f>
        <v>1.108049474673342</v>
      </c>
      <c r="R55" s="631"/>
      <c r="S55" s="632">
        <f t="shared" ref="S55:Y55" si="36">MAX(S29:S54)</f>
        <v>1.2277736383238693</v>
      </c>
      <c r="T55" s="632" t="e">
        <f t="shared" si="36"/>
        <v>#NUM!</v>
      </c>
      <c r="U55" s="633" t="e">
        <f t="shared" si="36"/>
        <v>#NUM!</v>
      </c>
      <c r="V55" s="633" t="e">
        <f t="shared" si="36"/>
        <v>#NUM!</v>
      </c>
      <c r="W55" s="633" t="e">
        <f t="shared" si="36"/>
        <v>#NUM!</v>
      </c>
      <c r="X55" s="623">
        <f t="shared" si="36"/>
        <v>2386.2165497662222</v>
      </c>
      <c r="Y55" s="634">
        <f t="shared" si="36"/>
        <v>1.0999051664204513</v>
      </c>
      <c r="AC55" s="654">
        <f>Y70</f>
        <v>0.76400000000000001</v>
      </c>
      <c r="AD55" s="655" t="s">
        <v>950</v>
      </c>
      <c r="AE55" s="655"/>
      <c r="AF55" s="655"/>
      <c r="AG55" s="643"/>
    </row>
    <row r="56" spans="2:36" ht="12.75" customHeight="1">
      <c r="B56" s="278" t="s">
        <v>45</v>
      </c>
      <c r="C56" s="73"/>
      <c r="D56" s="89">
        <f>QUARTILE(D29:D54,3)</f>
        <v>788.67728</v>
      </c>
      <c r="E56" s="89">
        <f>QUARTILE(E29:E46,3)</f>
        <v>29.005500000000001</v>
      </c>
      <c r="F56" s="89">
        <f>QUARTILE(F29:F46,3)</f>
        <v>124.8625</v>
      </c>
      <c r="G56" s="89">
        <f>QUARTILE(G29:G46,3)</f>
        <v>2.00725</v>
      </c>
      <c r="H56" s="89">
        <f>QUARTILE(H29:H54,3)</f>
        <v>43.624000000000002</v>
      </c>
      <c r="I56" s="89">
        <f>QUARTILE(I29:I54,3)</f>
        <v>794.03827999999999</v>
      </c>
      <c r="J56" s="89">
        <f>QUARTILE(J29:J54,3)</f>
        <v>195.24600000000001</v>
      </c>
      <c r="K56" s="89">
        <f>QUARTILE(K29:K54,3)</f>
        <v>564.50227999999993</v>
      </c>
      <c r="L56" s="73"/>
      <c r="M56" s="116">
        <f>QUARTILE(M29:M54,3)</f>
        <v>0</v>
      </c>
      <c r="N56" s="89">
        <f>QUARTILE(N29:N54,3)</f>
        <v>1.2333561643835615</v>
      </c>
      <c r="O56" s="181">
        <f>QUARTILE(O29:O54,3)</f>
        <v>2.3743376712328769E-2</v>
      </c>
      <c r="P56" s="182"/>
      <c r="Q56" s="183">
        <f>QUARTILE(Q29:Q54,3)</f>
        <v>0.6417656890810739</v>
      </c>
      <c r="R56" s="184"/>
      <c r="S56" s="185">
        <f t="shared" ref="S56:Y56" si="37">QUARTILE(S29:S54,3)</f>
        <v>0.41186435337397725</v>
      </c>
      <c r="T56" s="185" t="e">
        <f t="shared" si="37"/>
        <v>#NUM!</v>
      </c>
      <c r="U56" s="186" t="e">
        <f t="shared" si="37"/>
        <v>#NUM!</v>
      </c>
      <c r="V56" s="186" t="e">
        <f t="shared" si="37"/>
        <v>#NUM!</v>
      </c>
      <c r="W56" s="186" t="e">
        <f t="shared" si="37"/>
        <v>#NUM!</v>
      </c>
      <c r="X56" s="89">
        <f t="shared" si="37"/>
        <v>592.84226214914793</v>
      </c>
      <c r="Y56" s="187">
        <f t="shared" si="37"/>
        <v>0.61291654484815106</v>
      </c>
      <c r="AC56" s="656">
        <f>Y72</f>
        <v>0.59825101647093859</v>
      </c>
      <c r="AD56" s="16" t="s">
        <v>951</v>
      </c>
      <c r="AE56" s="16"/>
      <c r="AF56" s="16"/>
      <c r="AG56" s="168"/>
    </row>
    <row r="57" spans="2:36" ht="12.75" customHeight="1">
      <c r="B57" s="278" t="s">
        <v>43</v>
      </c>
      <c r="C57" s="73"/>
      <c r="D57" s="89">
        <f>AVERAGE(D29:D54)</f>
        <v>569.31687600000009</v>
      </c>
      <c r="E57" s="89">
        <f>AVERAGE(E29:E46)</f>
        <v>34.61911111111111</v>
      </c>
      <c r="F57" s="89">
        <f>AVERAGE(F29:F46)</f>
        <v>117.339</v>
      </c>
      <c r="G57" s="89">
        <f>AVERAGE(G29:G46)</f>
        <v>1.5275000000000001</v>
      </c>
      <c r="H57" s="89">
        <f>AVERAGE(H29:H54)</f>
        <v>40.369987599999988</v>
      </c>
      <c r="I57" s="89">
        <f>AVERAGE(I29:I54)</f>
        <v>609.68686360000004</v>
      </c>
      <c r="J57" s="89">
        <f>AVERAGE(J29:J54)</f>
        <v>120.30624239999999</v>
      </c>
      <c r="K57" s="89">
        <f>AVERAGE(K29:K54)</f>
        <v>489.38062120000001</v>
      </c>
      <c r="L57" s="73"/>
      <c r="M57" s="116">
        <f>AVERAGE(M29:M54)</f>
        <v>0</v>
      </c>
      <c r="N57" s="89">
        <f>AVERAGE(N29:N54)</f>
        <v>1.2333561643835615</v>
      </c>
      <c r="O57" s="181">
        <f>AVERAGE(O29:O54)</f>
        <v>2.3743376712328769E-2</v>
      </c>
      <c r="P57" s="182"/>
      <c r="Q57" s="183">
        <f>AVERAGE(Q29:Q54)</f>
        <v>0.67323416230164379</v>
      </c>
      <c r="R57" s="184"/>
      <c r="S57" s="185">
        <f t="shared" ref="S57:Y57" si="38">AVERAGE(S29:S54)</f>
        <v>0.4889329565432789</v>
      </c>
      <c r="T57" s="185" t="e">
        <f t="shared" si="38"/>
        <v>#NUM!</v>
      </c>
      <c r="U57" s="186" t="e">
        <f t="shared" si="38"/>
        <v>#NUM!</v>
      </c>
      <c r="V57" s="186" t="e">
        <f t="shared" si="38"/>
        <v>#NUM!</v>
      </c>
      <c r="W57" s="186" t="e">
        <f t="shared" si="38"/>
        <v>#NUM!</v>
      </c>
      <c r="X57" s="89">
        <f t="shared" si="38"/>
        <v>581.20714541556777</v>
      </c>
      <c r="Y57" s="187">
        <f t="shared" si="38"/>
        <v>0.65031293132416568</v>
      </c>
      <c r="AC57" s="656">
        <f>Y58</f>
        <v>0.5978405889082713</v>
      </c>
      <c r="AD57" s="16" t="s">
        <v>949</v>
      </c>
      <c r="AE57" s="16"/>
      <c r="AF57" s="16"/>
      <c r="AG57" s="657" t="s">
        <v>1063</v>
      </c>
    </row>
    <row r="58" spans="2:36" ht="12.75" customHeight="1">
      <c r="B58" s="278" t="s">
        <v>3</v>
      </c>
      <c r="C58" s="73"/>
      <c r="D58" s="89">
        <f>MEDIAN(D29:D54)</f>
        <v>374.58265999999998</v>
      </c>
      <c r="E58" s="89">
        <f>MEDIAN(E29:E46)</f>
        <v>4.5410000000000004</v>
      </c>
      <c r="F58" s="89">
        <f>MEDIAN(F29:F46)</f>
        <v>117.339</v>
      </c>
      <c r="G58" s="89">
        <f>MEDIAN(G29:G46)</f>
        <v>1.5274999999999999</v>
      </c>
      <c r="H58" s="89">
        <f>MEDIAN(H29:H54)</f>
        <v>3.7210000000000001</v>
      </c>
      <c r="I58" s="89">
        <f>MEDIAN(I29:I54)</f>
        <v>462.47541999999999</v>
      </c>
      <c r="J58" s="89">
        <f>MEDIAN(J29:J54)</f>
        <v>77.468000000000004</v>
      </c>
      <c r="K58" s="89">
        <f>MEDIAN(K29:K54)</f>
        <v>294.85737000000006</v>
      </c>
      <c r="L58" s="73"/>
      <c r="M58" s="116">
        <f>MEDIAN(M29:M54)</f>
        <v>0</v>
      </c>
      <c r="N58" s="89">
        <f>MEDIAN(N29:N54)</f>
        <v>1.2333561643835615</v>
      </c>
      <c r="O58" s="181">
        <f>MEDIAN(O29:O54)</f>
        <v>2.3743376712328769E-2</v>
      </c>
      <c r="P58" s="182"/>
      <c r="Q58" s="183">
        <f>MEDIAN(Q29:Q54)</f>
        <v>0.62091052958463477</v>
      </c>
      <c r="R58" s="184"/>
      <c r="S58" s="185">
        <f t="shared" ref="S58:Y58" si="39">MEDIAN(S29:S54)</f>
        <v>0.38555659714334056</v>
      </c>
      <c r="T58" s="185" t="e">
        <f t="shared" si="39"/>
        <v>#NUM!</v>
      </c>
      <c r="U58" s="186" t="e">
        <f t="shared" si="39"/>
        <v>#NUM!</v>
      </c>
      <c r="V58" s="186" t="e">
        <f t="shared" si="39"/>
        <v>#NUM!</v>
      </c>
      <c r="W58" s="186" t="e">
        <f t="shared" si="39"/>
        <v>#NUM!</v>
      </c>
      <c r="X58" s="89">
        <f t="shared" si="39"/>
        <v>275.27975960800904</v>
      </c>
      <c r="Y58" s="187">
        <f t="shared" si="39"/>
        <v>0.5978405889082713</v>
      </c>
      <c r="AC58" s="658"/>
      <c r="AD58" s="16"/>
      <c r="AE58" s="16"/>
      <c r="AF58" s="16"/>
      <c r="AG58" s="168"/>
    </row>
    <row r="59" spans="2:36" ht="12.75" customHeight="1">
      <c r="B59" s="278" t="s">
        <v>44</v>
      </c>
      <c r="C59" s="73"/>
      <c r="D59" s="89">
        <f>QUARTILE(D29:D54,1)</f>
        <v>199.81565000000001</v>
      </c>
      <c r="E59" s="89">
        <f>QUARTILE(E29:E46,1)</f>
        <v>0</v>
      </c>
      <c r="F59" s="89">
        <f>QUARTILE(F29:F46,1)</f>
        <v>109.8155</v>
      </c>
      <c r="G59" s="89">
        <f>QUARTILE(G29:G46,1)</f>
        <v>1.04775</v>
      </c>
      <c r="H59" s="89">
        <f>QUARTILE(H29:H54,1)</f>
        <v>0.36752000000000001</v>
      </c>
      <c r="I59" s="89">
        <f>QUARTILE(I29:I54,1)</f>
        <v>205.16135</v>
      </c>
      <c r="J59" s="89">
        <f>QUARTILE(J29:J54,1)</f>
        <v>9.7242499999999996</v>
      </c>
      <c r="K59" s="89">
        <f>QUARTILE(K29:K54,1)</f>
        <v>192.76025000000001</v>
      </c>
      <c r="L59" s="73"/>
      <c r="M59" s="116">
        <f>QUARTILE(M29:M54,1)</f>
        <v>0</v>
      </c>
      <c r="N59" s="89">
        <f>QUARTILE(N29:N54,1)</f>
        <v>1.2333561643835615</v>
      </c>
      <c r="O59" s="181">
        <f>QUARTILE(O29:O54,1)</f>
        <v>2.3743376712328769E-2</v>
      </c>
      <c r="P59" s="182"/>
      <c r="Q59" s="183">
        <f>QUARTILE(Q29:Q54,1)</f>
        <v>0.57754150831244822</v>
      </c>
      <c r="R59" s="184"/>
      <c r="S59" s="185">
        <f t="shared" ref="S59:Y59" si="40">QUARTILE(S29:S54,1)</f>
        <v>0.33393779691781733</v>
      </c>
      <c r="T59" s="185" t="e">
        <f t="shared" si="40"/>
        <v>#NUM!</v>
      </c>
      <c r="U59" s="186" t="e">
        <f t="shared" si="40"/>
        <v>#NUM!</v>
      </c>
      <c r="V59" s="186" t="e">
        <f t="shared" si="40"/>
        <v>#NUM!</v>
      </c>
      <c r="W59" s="186" t="e">
        <f t="shared" si="40"/>
        <v>#NUM!</v>
      </c>
      <c r="X59" s="89">
        <f t="shared" si="40"/>
        <v>199.34821623535805</v>
      </c>
      <c r="Y59" s="187">
        <f t="shared" si="40"/>
        <v>0.54932474882852167</v>
      </c>
      <c r="AC59" s="659" t="str">
        <f>IF(ROUND(AC56,3)=ROUND(AC57,3),"","Update Volatility - DLOM")</f>
        <v/>
      </c>
      <c r="AD59" s="5"/>
      <c r="AE59" s="5"/>
      <c r="AF59" s="5"/>
      <c r="AG59" s="336"/>
    </row>
    <row r="60" spans="2:36" ht="12.75" customHeight="1">
      <c r="B60" s="90" t="s">
        <v>42</v>
      </c>
      <c r="C60" s="67"/>
      <c r="D60" s="70">
        <f>MIN(D29:D54)</f>
        <v>3.8515700000000002</v>
      </c>
      <c r="E60" s="70">
        <f>MIN(E29:E46)</f>
        <v>0</v>
      </c>
      <c r="F60" s="70">
        <f>MIN(F29:F46)</f>
        <v>102.292</v>
      </c>
      <c r="G60" s="70">
        <f>MIN(G29:G46)</f>
        <v>0.56799999999999995</v>
      </c>
      <c r="H60" s="70">
        <f>MIN(H29:H54)</f>
        <v>0</v>
      </c>
      <c r="I60" s="70">
        <f>MIN(I29:I54)</f>
        <v>4.2190900000000005</v>
      </c>
      <c r="J60" s="70">
        <f>MIN(J29:J54)</f>
        <v>8.43E-3</v>
      </c>
      <c r="K60" s="70">
        <f>MIN(K29:K54)</f>
        <v>-17.611220000000003</v>
      </c>
      <c r="L60" s="67"/>
      <c r="M60" s="118">
        <f>MIN(M29:M54)</f>
        <v>0</v>
      </c>
      <c r="N60" s="70">
        <f>MIN(N29:N54)</f>
        <v>1.2333561643835615</v>
      </c>
      <c r="O60" s="635">
        <f>MIN(O29:O54)</f>
        <v>2.3743376712328769E-2</v>
      </c>
      <c r="P60" s="636"/>
      <c r="Q60" s="637">
        <f>MIN(Q29:Q54)</f>
        <v>0.4733738040280821</v>
      </c>
      <c r="R60" s="638"/>
      <c r="S60" s="639">
        <f t="shared" ref="S60:Y60" si="41">MIN(S29:S54)</f>
        <v>0.22408275834001709</v>
      </c>
      <c r="T60" s="639" t="e">
        <f t="shared" si="41"/>
        <v>#NUM!</v>
      </c>
      <c r="U60" s="640" t="e">
        <f t="shared" si="41"/>
        <v>#NUM!</v>
      </c>
      <c r="V60" s="640" t="e">
        <f t="shared" si="41"/>
        <v>#NUM!</v>
      </c>
      <c r="W60" s="640" t="e">
        <f t="shared" si="41"/>
        <v>#NUM!</v>
      </c>
      <c r="X60" s="70">
        <f t="shared" si="41"/>
        <v>0</v>
      </c>
      <c r="Y60" s="641">
        <f t="shared" si="41"/>
        <v>0.38764311290766718</v>
      </c>
    </row>
    <row r="61" spans="2:36" ht="12.75" customHeight="1">
      <c r="AC61" s="798" t="str">
        <f>IF(AND(AC58=$AH$59,AC59=$AH$59),"","Check")</f>
        <v/>
      </c>
      <c r="AE61" s="16"/>
    </row>
    <row r="62" spans="2:36" ht="12.75" customHeight="1">
      <c r="B62" s="1" t="s">
        <v>1696</v>
      </c>
      <c r="AD62" s="16"/>
      <c r="AE62" s="1215"/>
    </row>
    <row r="63" spans="2:36" ht="12.75" customHeight="1">
      <c r="B63" s="599" t="s">
        <v>41</v>
      </c>
      <c r="C63" s="624"/>
      <c r="D63" s="623">
        <f t="array" ref="D63">MAX(IF($AA$11:$AA$54=1,D$11:D$54,""))</f>
        <v>112194.50996</v>
      </c>
      <c r="E63" s="623">
        <f t="array" ref="E63">MAX(IF($AA$11:$AA$54=1,E$11:E$54,""))</f>
        <v>746.46118999999999</v>
      </c>
      <c r="F63" s="623">
        <f t="array" ref="F63">MAX(IF($AA$11:$AA$54=1,F$11:F$54,""))</f>
        <v>132.386</v>
      </c>
      <c r="G63" s="623">
        <f t="array" ref="G63">MAX(IF($AA$11:$AA$54=1,G$11:G$54,""))</f>
        <v>120.39700000000001</v>
      </c>
      <c r="H63" s="623">
        <f t="array" ref="H63">MAX(IF($AA$11:$AA$54=1,H$11:H$54,""))</f>
        <v>746.46118999999999</v>
      </c>
      <c r="I63" s="623">
        <f t="array" ref="I63">MAX(IF($AA$11:$AA$54=1,I$11:I$54,""))</f>
        <v>112232.19422999999</v>
      </c>
      <c r="J63" s="623">
        <f t="array" ref="J63">MAX(IF($AA$11:$AA$54=1,J$11:J$54,""))</f>
        <v>1737.6084000000001</v>
      </c>
      <c r="K63" s="623">
        <f t="array" ref="K63">MAX(IF($AA$11:$AA$54=1,K$11:K$54,""))</f>
        <v>110494.58583</v>
      </c>
      <c r="L63" s="624"/>
      <c r="M63" s="627">
        <f t="array" ref="M63">MAX(IF($AA$11:$AA$54=1,M$11:M$54,""))</f>
        <v>2.6520000000000002E-2</v>
      </c>
      <c r="N63" s="623">
        <f t="array" ref="N63">MAX(IF($AA$11:$AA$54=1,N$11:N$54,""))</f>
        <v>1.2333561643835615</v>
      </c>
      <c r="O63" s="628">
        <f t="array" ref="O63">MAX(IF($AA$11:$AA$54=1,O$11:O$54,""))</f>
        <v>2.3743376712328769E-2</v>
      </c>
      <c r="P63" s="629"/>
      <c r="Q63" s="630">
        <f t="array" ref="Q63">MAX(IF($AA$11:$AA$54=1,Q$11:Q$54,""))</f>
        <v>1.108049474673342</v>
      </c>
      <c r="R63" s="631"/>
      <c r="S63" s="632">
        <f t="array" ref="S63">MAX(IF($AA$11:$AA$54=1,S$11:S$54,""))</f>
        <v>1.2277736383238693</v>
      </c>
      <c r="T63" s="632" t="e">
        <f t="array" ref="T63">MAX(IF($AA$11:$AA$54=1,T$11:T$54,""))</f>
        <v>#NUM!</v>
      </c>
      <c r="U63" s="633" t="e">
        <f t="array" ref="U63">MAX(IF($AA$11:$AA$54=1,U$11:U$54,""))</f>
        <v>#NUM!</v>
      </c>
      <c r="V63" s="633" t="e">
        <f t="array" ref="V63">MAX(IF($AA$11:$AA$54=1,V$11:V$54,""))</f>
        <v>#NUM!</v>
      </c>
      <c r="W63" s="633" t="e">
        <f t="array" ref="W63">MAX(IF($AA$11:$AA$54=1,W$11:W$54,""))</f>
        <v>#NUM!</v>
      </c>
      <c r="X63" s="623">
        <f t="array" ref="X63">MAX(IF($AA$11:$AA$54=1,X$11:X$54,""))</f>
        <v>106902.69512951412</v>
      </c>
      <c r="Y63" s="634">
        <f t="array" ref="Y63">MAX(IF($AA$11:$AA$54=1,Y$11:Y$54,""))</f>
        <v>1.0999051664204513</v>
      </c>
      <c r="AE63" s="1217"/>
      <c r="AF63" s="16"/>
      <c r="AG63" s="16"/>
      <c r="AH63" s="16"/>
      <c r="AI63" s="16"/>
    </row>
    <row r="64" spans="2:36" ht="12.75" customHeight="1">
      <c r="B64" s="278" t="s">
        <v>45</v>
      </c>
      <c r="C64" s="73"/>
      <c r="D64" s="89">
        <f t="array" ref="D64">QUARTILE(IF($AA$11:$AA$54=1,D$11:D$54,""),3)</f>
        <v>1430.2640425</v>
      </c>
      <c r="E64" s="89">
        <f t="array" ref="E64">QUARTILE(IF($AA$11:$AA$54=1,E$11:E$54,""),3)</f>
        <v>42.139067500000003</v>
      </c>
      <c r="F64" s="89">
        <f t="array" ref="F64">QUARTILE(IF($AA$11:$AA$54=1,F$11:F$54,""),3)</f>
        <v>109.8155</v>
      </c>
      <c r="G64" s="89">
        <f t="array" ref="G64">QUARTILE(IF($AA$11:$AA$54=1,G$11:G$54,""),3)</f>
        <v>31.73986</v>
      </c>
      <c r="H64" s="89">
        <f t="array" ref="H64">QUARTILE(IF($AA$11:$AA$54=1,H$11:H$54,""),3)</f>
        <v>129.37524999999999</v>
      </c>
      <c r="I64" s="89">
        <f t="array" ref="I64">QUARTILE(IF($AA$11:$AA$54=1,I$11:I$54,""),3)</f>
        <v>1524.3310425</v>
      </c>
      <c r="J64" s="89">
        <f t="array" ref="J64">QUARTILE(IF($AA$11:$AA$54=1,J$11:J$54,""),3)</f>
        <v>241.09094999999999</v>
      </c>
      <c r="K64" s="89">
        <f t="array" ref="K64">QUARTILE(IF($AA$11:$AA$54=1,K$11:K$54,""),3)</f>
        <v>1377.2950425000001</v>
      </c>
      <c r="L64" s="73"/>
      <c r="M64" s="116">
        <f t="array" ref="M64">QUARTILE(IF($AA$11:$AA$54=1,M$11:M$54,""),3)</f>
        <v>0</v>
      </c>
      <c r="N64" s="89">
        <f t="array" ref="N64">QUARTILE(IF($AA$11:$AA$54=1,N$11:N$54,""),3)</f>
        <v>1.2333561643835615</v>
      </c>
      <c r="O64" s="181">
        <f t="array" ref="O64">QUARTILE(IF($AA$11:$AA$54=1,O$11:O$54,""),3)</f>
        <v>2.3743376712328769E-2</v>
      </c>
      <c r="P64" s="182"/>
      <c r="Q64" s="183">
        <f t="array" ref="Q64">QUARTILE(IF($AA$11:$AA$54=1,Q$11:Q$54,""),3)</f>
        <v>0.63742452418074735</v>
      </c>
      <c r="R64" s="184"/>
      <c r="S64" s="185">
        <f t="array" ref="S64">QUARTILE(IF($AA$11:$AA$54=1,S$11:S$54,""),3)</f>
        <v>0.40631617823667088</v>
      </c>
      <c r="T64" s="185" t="e">
        <f t="array" ref="T64">QUARTILE(IF($AA$11:$AA$54=1,T$11:T$54,""),3)</f>
        <v>#NUM!</v>
      </c>
      <c r="U64" s="186" t="e">
        <f t="array" ref="U64">QUARTILE(IF($AA$11:$AA$54=1,U$11:U$54,""),3)</f>
        <v>#NUM!</v>
      </c>
      <c r="V64" s="186" t="e">
        <f t="array" ref="V64">QUARTILE(IF($AA$11:$AA$54=1,V$11:V$54,""),3)</f>
        <v>#NUM!</v>
      </c>
      <c r="W64" s="186" t="e">
        <f t="array" ref="W64">QUARTILE(IF($AA$11:$AA$54=1,W$11:W$54,""),3)</f>
        <v>#NUM!</v>
      </c>
      <c r="X64" s="89">
        <f t="array" ref="X64">QUARTILE(IF($AA$11:$AA$54=1,X$11:X$54,""),3)</f>
        <v>1991.2008055257793</v>
      </c>
      <c r="Y64" s="187">
        <f t="array" ref="Y64">QUARTILE(IF($AA$11:$AA$54=1,Y$11:Y$54,""),3)</f>
        <v>0.61255368072153105</v>
      </c>
      <c r="AE64" s="1217"/>
      <c r="AF64" s="16"/>
      <c r="AG64" s="16"/>
      <c r="AH64" s="16"/>
      <c r="AI64" s="16"/>
    </row>
    <row r="65" spans="1:35" ht="12.75" customHeight="1">
      <c r="B65" s="278" t="s">
        <v>43</v>
      </c>
      <c r="C65" s="73"/>
      <c r="D65" s="89">
        <f t="array" ref="D65">AVERAGE(IF($AA$11:$AA$54=1,D$11:D$54,""))</f>
        <v>4401.7166832352923</v>
      </c>
      <c r="E65" s="89">
        <f t="array" ref="E65">AVERAGE(IF($AA$11:$AA$54=1,E$11:E$54,""))</f>
        <v>90.41378676470589</v>
      </c>
      <c r="F65" s="89">
        <f t="array" ref="F65">AVERAGE(IF($AA$11:$AA$54=1,F$11:F$54,""))</f>
        <v>58.672019999999996</v>
      </c>
      <c r="G65" s="89">
        <f t="array" ref="G65">AVERAGE(IF($AA$11:$AA$54=1,G$11:G$54,""))</f>
        <v>30.055398333333333</v>
      </c>
      <c r="H65" s="89">
        <f t="array" ref="H65">AVERAGE(IF($AA$11:$AA$54=1,H$11:H$54,""))</f>
        <v>102.62027117647058</v>
      </c>
      <c r="I65" s="89">
        <f t="array" ref="I65">AVERAGE(IF($AA$11:$AA$54=1,I$11:I$54,""))</f>
        <v>4504.3369544117659</v>
      </c>
      <c r="J65" s="89">
        <f t="array" ref="J65">AVERAGE(IF($AA$11:$AA$54=1,J$11:J$54,""))</f>
        <v>192.15958705882352</v>
      </c>
      <c r="K65" s="89">
        <f t="array" ref="K65">AVERAGE(IF($AA$11:$AA$54=1,K$11:K$54,""))</f>
        <v>4312.1773673529433</v>
      </c>
      <c r="L65" s="73"/>
      <c r="M65" s="116">
        <f t="array" ref="M65">AVERAGE(IF($AA$11:$AA$54=1,M$11:M$54,""))</f>
        <v>1.4473235294117648E-3</v>
      </c>
      <c r="N65" s="89">
        <f t="array" ref="N65">AVERAGE(IF($AA$11:$AA$54=1,N$11:N$54,""))</f>
        <v>1.2333561643835622</v>
      </c>
      <c r="O65" s="181">
        <f t="array" ref="O65">AVERAGE(IF($AA$11:$AA$54=1,O$11:O$54,""))</f>
        <v>2.3743376712328762E-2</v>
      </c>
      <c r="P65" s="182"/>
      <c r="Q65" s="183">
        <f t="array" ref="Q65">AVERAGE(IF($AA$11:$AA$54=1,Q$11:Q$54,""))</f>
        <v>0.60663650831624583</v>
      </c>
      <c r="R65" s="184"/>
      <c r="S65" s="185">
        <f t="array" ref="S65">AVERAGE(IF($AA$11:$AA$54=1,S$11:S$54,""))</f>
        <v>0.41681759943925217</v>
      </c>
      <c r="T65" s="185" t="e">
        <f t="array" ref="T65">AVERAGE(IF($AA$11:$AA$54=1,T$11:T$54,""))</f>
        <v>#NUM!</v>
      </c>
      <c r="U65" s="186" t="e">
        <f t="array" ref="U65">AVERAGE(IF($AA$11:$AA$54=1,U$11:U$54,""))</f>
        <v>#NUM!</v>
      </c>
      <c r="V65" s="186" t="e">
        <f t="array" ref="V65">AVERAGE(IF($AA$11:$AA$54=1,V$11:V$54,""))</f>
        <v>#NUM!</v>
      </c>
      <c r="W65" s="186" t="e">
        <f t="array" ref="W65">AVERAGE(IF($AA$11:$AA$54=1,W$11:W$54,""))</f>
        <v>#NUM!</v>
      </c>
      <c r="X65" s="89">
        <f t="array" ref="X65">AVERAGE(IF($AA$11:$AA$54=1,X$11:X$54,""))</f>
        <v>6100.577261119488</v>
      </c>
      <c r="Y65" s="187">
        <f t="array" ref="Y65">AVERAGE(IF($AA$11:$AA$54=1,Y$11:Y$54,""))</f>
        <v>0.56197479187118127</v>
      </c>
      <c r="AE65" s="1217"/>
      <c r="AF65" s="16"/>
      <c r="AG65" s="16"/>
      <c r="AH65" s="16"/>
      <c r="AI65" s="1218"/>
    </row>
    <row r="66" spans="1:35" ht="12.75" customHeight="1">
      <c r="B66" s="278" t="s">
        <v>3</v>
      </c>
      <c r="C66" s="73"/>
      <c r="D66" s="89">
        <f t="array" ref="D66">MEDIAN(IF($AA$11:$AA$54=1,D$11:D$54,""))</f>
        <v>513.84134500000005</v>
      </c>
      <c r="E66" s="89">
        <f t="array" ref="E66">MEDIAN(IF($AA$11:$AA$54=1,E$11:E$54,""))</f>
        <v>4.5410000000000004</v>
      </c>
      <c r="F66" s="89">
        <f t="array" ref="F66">MEDIAN(IF($AA$11:$AA$54=1,F$11:F$54,""))</f>
        <v>51.150999999999996</v>
      </c>
      <c r="G66" s="89">
        <f t="array" ref="G66">MEDIAN(IF($AA$11:$AA$54=1,G$11:G$54,""))</f>
        <v>11.04209</v>
      </c>
      <c r="H66" s="89">
        <f t="array" ref="H66">MEDIAN(IF($AA$11:$AA$54=1,H$11:H$54,""))</f>
        <v>11.974499999999999</v>
      </c>
      <c r="I66" s="89">
        <f t="array" ref="I66">MEDIAN(IF($AA$11:$AA$54=1,I$11:I$54,""))</f>
        <v>531.926965</v>
      </c>
      <c r="J66" s="89">
        <f t="array" ref="J66">MEDIAN(IF($AA$11:$AA$54=1,J$11:J$54,""))</f>
        <v>90.904499999999999</v>
      </c>
      <c r="K66" s="89">
        <f t="array" ref="K66">MEDIAN(IF($AA$11:$AA$54=1,K$11:K$54,""))</f>
        <v>417.62723499999998</v>
      </c>
      <c r="L66" s="73"/>
      <c r="M66" s="116">
        <f t="array" ref="M66">MEDIAN(IF($AA$11:$AA$54=1,M$11:M$54,""))</f>
        <v>0</v>
      </c>
      <c r="N66" s="89">
        <f t="array" ref="N66">MEDIAN(IF($AA$11:$AA$54=1,N$11:N$54,""))</f>
        <v>1.2333561643835615</v>
      </c>
      <c r="O66" s="181">
        <f t="array" ref="O66">MEDIAN(IF($AA$11:$AA$54=1,O$11:O$54,""))</f>
        <v>2.3743376712328769E-2</v>
      </c>
      <c r="P66" s="182"/>
      <c r="Q66" s="183">
        <f t="array" ref="Q66">MEDIAN(IF($AA$11:$AA$54=1,Q$11:Q$54,""))</f>
        <v>0.61291654484815106</v>
      </c>
      <c r="R66" s="184"/>
      <c r="S66" s="185">
        <f t="array" ref="S66">MEDIAN(IF($AA$11:$AA$54=1,S$11:S$54,""))</f>
        <v>0.37566669094859556</v>
      </c>
      <c r="T66" s="185" t="e">
        <f t="array" ref="T66">MEDIAN(IF($AA$11:$AA$54=1,T$11:T$54,""))</f>
        <v>#NUM!</v>
      </c>
      <c r="U66" s="186" t="e">
        <f t="array" ref="U66">MEDIAN(IF($AA$11:$AA$54=1,U$11:U$54,""))</f>
        <v>#NUM!</v>
      </c>
      <c r="V66" s="186" t="e">
        <f t="array" ref="V66">MEDIAN(IF($AA$11:$AA$54=1,V$11:V$54,""))</f>
        <v>#NUM!</v>
      </c>
      <c r="W66" s="186" t="e">
        <f t="array" ref="W66">MEDIAN(IF($AA$11:$AA$54=1,W$11:W$54,""))</f>
        <v>#NUM!</v>
      </c>
      <c r="X66" s="89">
        <f t="array" ref="X66">MEDIAN(IF($AA$11:$AA$54=1,X$11:X$54,""))</f>
        <v>523.57148706381531</v>
      </c>
      <c r="Y66" s="187">
        <f t="array" ref="Y66">MEDIAN(IF($AA$11:$AA$54=1,Y$11:Y$54,""))</f>
        <v>0.55177336061332949</v>
      </c>
      <c r="AE66" s="1219"/>
      <c r="AF66" s="16"/>
      <c r="AG66" s="16"/>
      <c r="AH66" s="16"/>
      <c r="AI66" s="16"/>
    </row>
    <row r="67" spans="1:35" ht="12.75" customHeight="1">
      <c r="B67" s="278" t="s">
        <v>44</v>
      </c>
      <c r="C67" s="73"/>
      <c r="D67" s="89">
        <f t="array" ref="D67">QUARTILE(IF($AA$11:$AA$54=1,D$11:D$54,""),1)</f>
        <v>262.53121500000003</v>
      </c>
      <c r="E67" s="89">
        <f t="array" ref="E67">QUARTILE(IF($AA$11:$AA$54=1,E$11:E$54,""),1)</f>
        <v>0</v>
      </c>
      <c r="F67" s="89">
        <f t="array" ref="F67">QUARTILE(IF($AA$11:$AA$54=1,F$11:F$54,""),1)</f>
        <v>7.5200000000000006E-3</v>
      </c>
      <c r="G67" s="89">
        <f t="array" ref="G67">QUARTILE(IF($AA$11:$AA$54=1,G$11:G$54,""),1)</f>
        <v>1.7435925000000001</v>
      </c>
      <c r="H67" s="89">
        <f t="array" ref="H67">QUARTILE(IF($AA$11:$AA$54=1,H$11:H$54,""),1)</f>
        <v>0.65717499999999995</v>
      </c>
      <c r="I67" s="89">
        <f t="array" ref="I67">QUARTILE(IF($AA$11:$AA$54=1,I$11:I$54,""),1)</f>
        <v>270.76552250000009</v>
      </c>
      <c r="J67" s="89">
        <f t="array" ref="J67">QUARTILE(IF($AA$11:$AA$54=1,J$11:J$54,""),1)</f>
        <v>26.77825</v>
      </c>
      <c r="K67" s="89">
        <f t="array" ref="K67">QUARTILE(IF($AA$11:$AA$54=1,K$11:K$54,""),1)</f>
        <v>231.22944000000001</v>
      </c>
      <c r="L67" s="73"/>
      <c r="M67" s="116">
        <f t="array" ref="M67">QUARTILE(IF($AA$11:$AA$54=1,M$11:M$54,""),1)</f>
        <v>0</v>
      </c>
      <c r="N67" s="89">
        <f t="array" ref="N67">QUARTILE(IF($AA$11:$AA$54=1,N$11:N$54,""),1)</f>
        <v>1.2333561643835615</v>
      </c>
      <c r="O67" s="181">
        <f t="array" ref="O67">QUARTILE(IF($AA$11:$AA$54=1,O$11:O$54,""),1)</f>
        <v>2.3743376712328769E-2</v>
      </c>
      <c r="P67" s="182"/>
      <c r="Q67" s="183">
        <f t="array" ref="Q67">QUARTILE(IF($AA$11:$AA$54=1,Q$11:Q$54,""),1)</f>
        <v>0.45507245202265101</v>
      </c>
      <c r="R67" s="184"/>
      <c r="S67" s="185">
        <f t="array" ref="S67">QUARTILE(IF($AA$11:$AA$54=1,S$11:S$54,""),1)</f>
        <v>0.20742587607513471</v>
      </c>
      <c r="T67" s="185" t="e">
        <f t="array" ref="T67">QUARTILE(IF($AA$11:$AA$54=1,T$11:T$54,""),1)</f>
        <v>#NUM!</v>
      </c>
      <c r="U67" s="186" t="e">
        <f t="array" ref="U67">QUARTILE(IF($AA$11:$AA$54=1,U$11:U$54,""),1)</f>
        <v>#NUM!</v>
      </c>
      <c r="V67" s="186" t="e">
        <f t="array" ref="V67">QUARTILE(IF($AA$11:$AA$54=1,V$11:V$54,""),1)</f>
        <v>#NUM!</v>
      </c>
      <c r="W67" s="186" t="e">
        <f t="array" ref="W67">QUARTILE(IF($AA$11:$AA$54=1,W$11:W$54,""),1)</f>
        <v>#NUM!</v>
      </c>
      <c r="X67" s="89">
        <f t="array" ref="X67">QUARTILE(IF($AA$11:$AA$54=1,X$11:X$54,""),1)</f>
        <v>233.11546016105453</v>
      </c>
      <c r="Y67" s="187">
        <f t="array" ref="Y67">QUARTILE(IF($AA$11:$AA$54=1,Y$11:Y$54,""),1)</f>
        <v>0.38255708011416911</v>
      </c>
      <c r="AE67" s="1219"/>
      <c r="AF67" s="16"/>
      <c r="AG67" s="16"/>
      <c r="AH67" s="16"/>
      <c r="AI67" s="16"/>
    </row>
    <row r="68" spans="1:35" ht="12.75" customHeight="1">
      <c r="B68" s="90" t="s">
        <v>42</v>
      </c>
      <c r="C68" s="67"/>
      <c r="D68" s="70">
        <f t="array" ref="D68">MIN(IF($AA$11:$AA$54=1,D$11:D$54,""))</f>
        <v>3.8515700000000002</v>
      </c>
      <c r="E68" s="70">
        <f t="array" ref="E68">MIN(IF($AA$11:$AA$54=1,E$11:E$54,""))</f>
        <v>0</v>
      </c>
      <c r="F68" s="70">
        <f t="array" ref="F68">MIN(IF($AA$11:$AA$54=1,F$11:F$54,""))</f>
        <v>8.0000000000000007E-5</v>
      </c>
      <c r="G68" s="70">
        <f t="array" ref="G68">MIN(IF($AA$11:$AA$54=1,G$11:G$54,""))</f>
        <v>0.56799999999999995</v>
      </c>
      <c r="H68" s="70">
        <f t="array" ref="H68">MIN(IF($AA$11:$AA$54=1,H$11:H$54,""))</f>
        <v>0</v>
      </c>
      <c r="I68" s="70">
        <f t="array" ref="I68">MIN(IF($AA$11:$AA$54=1,I$11:I$54,""))</f>
        <v>4.2190900000000005</v>
      </c>
      <c r="J68" s="70">
        <f t="array" ref="J68">MIN(IF($AA$11:$AA$54=1,J$11:J$54,""))</f>
        <v>8.43E-3</v>
      </c>
      <c r="K68" s="70">
        <f t="array" ref="K68">MIN(IF($AA$11:$AA$54=1,K$11:K$54,""))</f>
        <v>-17.611220000000003</v>
      </c>
      <c r="L68" s="67"/>
      <c r="M68" s="118">
        <f t="array" ref="M68">MIN(IF($AA$11:$AA$54=1,M$11:M$54,""))</f>
        <v>0</v>
      </c>
      <c r="N68" s="70">
        <f t="array" ref="N68">MIN(IF($AA$11:$AA$54=1,N$11:N$54,""))</f>
        <v>1.2333561643835615</v>
      </c>
      <c r="O68" s="635">
        <f t="array" ref="O68">MIN(IF($AA$11:$AA$54=1,O$11:O$54,""))</f>
        <v>2.3743376712328769E-2</v>
      </c>
      <c r="P68" s="636"/>
      <c r="Q68" s="637">
        <f t="array" ref="Q68">MIN(IF($AA$11:$AA$54=1,Q$11:Q$54,""))</f>
        <v>0.23337104782440229</v>
      </c>
      <c r="R68" s="638"/>
      <c r="S68" s="639">
        <f t="array" ref="S68">MIN(IF($AA$11:$AA$54=1,S$11:S$54,""))</f>
        <v>5.446204596265946E-2</v>
      </c>
      <c r="T68" s="639" t="e">
        <f t="array" ref="T68">MIN(IF($AA$11:$AA$54=1,T$11:T$54,""))</f>
        <v>#NUM!</v>
      </c>
      <c r="U68" s="640" t="e">
        <f t="array" ref="U68">MIN(IF($AA$11:$AA$54=1,U$11:U$54,""))</f>
        <v>#NUM!</v>
      </c>
      <c r="V68" s="640" t="e">
        <f t="array" ref="V68">MIN(IF($AA$11:$AA$54=1,V$11:V$54,""))</f>
        <v>#NUM!</v>
      </c>
      <c r="W68" s="640" t="e">
        <f t="array" ref="W68">MIN(IF($AA$11:$AA$54=1,W$11:W$54,""))</f>
        <v>#NUM!</v>
      </c>
      <c r="X68" s="70">
        <f t="array" ref="X68">MIN(IF($AA$11:$AA$54=1,X$11:X$54,""))</f>
        <v>0</v>
      </c>
      <c r="Y68" s="641">
        <f t="array" ref="Y68">MIN(IF($AA$11:$AA$54=1,Y$11:Y$54,""))</f>
        <v>0.22578476393414199</v>
      </c>
      <c r="AE68" s="16"/>
      <c r="AF68" s="16"/>
      <c r="AG68" s="16"/>
      <c r="AH68" s="16"/>
      <c r="AI68" s="16"/>
    </row>
    <row r="69" spans="1:35" ht="12.75" customHeight="1">
      <c r="AC69" s="1215"/>
    </row>
    <row r="70" spans="1:35" ht="12.75" hidden="1" customHeight="1" outlineLevel="1">
      <c r="B70" s="188" t="str">
        <f>B2</f>
        <v>Hua Medicine</v>
      </c>
      <c r="C70" s="364" t="s">
        <v>127</v>
      </c>
      <c r="D70" s="1108">
        <f>'Hybrid OPM'!C42/1000</f>
        <v>617</v>
      </c>
      <c r="E70" s="1148">
        <f>'Hist BS'!I62/1000</f>
        <v>0</v>
      </c>
      <c r="F70" s="1106"/>
      <c r="G70" s="1106"/>
      <c r="H70" s="1107">
        <f>SUM(E70:G70)</f>
        <v>0</v>
      </c>
      <c r="I70" s="1106">
        <f>SUM(D70:G70)</f>
        <v>617</v>
      </c>
      <c r="J70" s="1148">
        <f>'Hist BS'!I60/1000</f>
        <v>0</v>
      </c>
      <c r="K70" s="1107">
        <f>I70-J70</f>
        <v>617</v>
      </c>
      <c r="L70" s="189"/>
      <c r="M70" s="190">
        <f>DLOM!D11</f>
        <v>0</v>
      </c>
      <c r="N70" s="191">
        <f>N$6</f>
        <v>1.2333561643835615</v>
      </c>
      <c r="O70" s="192">
        <f>O$6</f>
        <v>2.3743376712328769E-2</v>
      </c>
      <c r="P70" s="193"/>
      <c r="Q70" s="194">
        <v>0.76400000000000001</v>
      </c>
      <c r="R70" s="189"/>
      <c r="S70" s="195">
        <f>IF(Q70="n/a","n/a",Q70^2)</f>
        <v>0.58369599999999999</v>
      </c>
      <c r="T70" s="195">
        <f>IF(OR(K70="n/a",S70="n/a"),"n/a",IF(H70=0,0,IF(M70=0,(LN(K70/H70)+((O70+(S70/2))*N70))/((S70*N70)^0.5),(LN(K70/H70)+((O70-M70+(S70/2))*N70))/((S70*N70)^0.5))))</f>
        <v>0</v>
      </c>
      <c r="U70" s="196">
        <f>IF(T70="n/a","n/a",IF(H70=0,0,T70-(S70*N70)^0.5))</f>
        <v>0</v>
      </c>
      <c r="V70" s="196">
        <f>IF(OR(T70="n/a",S70="n/a"),"n/a",IF(H70=0,0,NORMSDIST(T70)))</f>
        <v>0</v>
      </c>
      <c r="W70" s="196">
        <f>IF(OR(U70="n/a",S70="n/a"),"n/a",IF(H70=0,0,NORMSDIST(U70)))</f>
        <v>0</v>
      </c>
      <c r="X70" s="196">
        <f>IF(OR(K70="n/a",S70="n/a"),"n/a",IF(M70=0,(K70*V70)-((H70*EXP(1)^(-O70*N70))*W70),(K70*(2.718^(-M70*N70))*V70)-(H70*(2.718^(-O70*N70))*W70)))</f>
        <v>0</v>
      </c>
      <c r="Y70" s="197">
        <f>IF(LEN(B70)&gt;0,IF(H70=0,Q70,IF(ISERROR(Q70/((K70/X70)*V70)),"n/a",Q70/((K70/X70)*V70))))</f>
        <v>0.76400000000000001</v>
      </c>
    </row>
    <row r="71" spans="1:35" ht="12.75" hidden="1" customHeight="1" outlineLevel="1">
      <c r="C71" s="72"/>
      <c r="D71" s="72"/>
      <c r="E71" s="72"/>
      <c r="F71" s="72"/>
      <c r="G71" s="72"/>
      <c r="H71" s="72"/>
      <c r="I71" s="72"/>
      <c r="J71" s="72"/>
    </row>
    <row r="72" spans="1:35" ht="12.75" customHeight="1" collapsed="1">
      <c r="B72" s="188" t="str">
        <f>B70</f>
        <v>Hua Medicine</v>
      </c>
      <c r="C72" s="364" t="s">
        <v>127</v>
      </c>
      <c r="D72" s="1109">
        <f>D70</f>
        <v>617</v>
      </c>
      <c r="E72" s="1148">
        <f>AB75+E70</f>
        <v>181.35887643354403</v>
      </c>
      <c r="F72" s="189"/>
      <c r="G72" s="189"/>
      <c r="H72" s="1107">
        <f>SUM(E72:G72)</f>
        <v>181.35887643354403</v>
      </c>
      <c r="I72" s="1106">
        <f>SUM(D72:G72)</f>
        <v>798.35887643354408</v>
      </c>
      <c r="J72" s="1109">
        <f>J70</f>
        <v>0</v>
      </c>
      <c r="K72" s="198">
        <f>K70</f>
        <v>617</v>
      </c>
      <c r="L72" s="189"/>
      <c r="M72" s="199">
        <f>M70</f>
        <v>0</v>
      </c>
      <c r="N72" s="191">
        <f>N$6</f>
        <v>1.2333561643835615</v>
      </c>
      <c r="O72" s="192">
        <f>O$6</f>
        <v>2.3743376712328769E-2</v>
      </c>
      <c r="P72" s="193"/>
      <c r="Q72" s="194">
        <v>0.79400000000000004</v>
      </c>
      <c r="R72" s="189"/>
      <c r="S72" s="195">
        <f>IF(Q72="n/a","n/a",Q72^2)</f>
        <v>0.63043600000000011</v>
      </c>
      <c r="T72" s="195">
        <f>IF(OR(K72="n/a",S72="n/a"),"n/a",IF(H72=0,0,IF(M72=0,(LN(K72/H72)+((O72+(S72/2))*N72))/((S72*N72)^0.5),(LN(K72/H72)+((O72-M72+(S72/2))*N72))/((S72*N72)^0.5))))</f>
        <v>1.8626349546184511</v>
      </c>
      <c r="U72" s="196">
        <f>IF(T72="n/a","n/a",IF(H72=0,0,T72-(S72*N72)^0.5))</f>
        <v>0.98084579226198665</v>
      </c>
      <c r="V72" s="196">
        <f>IF(OR(T72="n/a",S72="n/a"),"n/a",IF(H72=0,0,NORMSDIST(T72)))</f>
        <v>0.9687431785070123</v>
      </c>
      <c r="W72" s="196">
        <f>IF(OR(U72="n/a",S72="n/a"),"n/a",IF(H72=0,0,NORMSDIST(U72)))</f>
        <v>0.83666560371484655</v>
      </c>
      <c r="X72" s="1521">
        <f>IF(OR(K72="n/a",S72="n/a"),"n/a",IF(M72=0,(K72*V72)-((H72*EXP(1)^(-O72*N72))*W72),(K72*(2.718^(-M72*N72))*V72)-(H72*(2.718^(-O72*N72))*W72)))</f>
        <v>450.35684105259907</v>
      </c>
      <c r="Y72" s="197">
        <f>IF(LEN(B72)&gt;0,IF(H72=0,Q72,IF(ISERROR(Q72/((K72/X72)*V72)),"n/a",Q72/((K72/X72)*V72))))</f>
        <v>0.59825101647093859</v>
      </c>
      <c r="AB72" s="144" t="str">
        <f>'Hybrid OPM'!D7</f>
        <v>OPM (Liquidation)</v>
      </c>
      <c r="AC72" s="144" t="str">
        <f>'Hybrid OPM'!E7</f>
        <v>OPM (Redemption)</v>
      </c>
      <c r="AD72" s="144" t="str">
        <f>'Hybrid OPM'!F7</f>
        <v>IPO</v>
      </c>
    </row>
    <row r="73" spans="1:35" ht="12.75" customHeight="1">
      <c r="AB73" s="312">
        <f>SUM('OPM Hybrid (Liquidation)'!D76:H76)/1000</f>
        <v>143.01848207860155</v>
      </c>
      <c r="AC73" s="312">
        <f>SUM('OPM Hybrid (Redemption)'!D76:H76)/1000</f>
        <v>131.00021636778399</v>
      </c>
      <c r="AD73" s="1523">
        <f>'IPO Waterfall'!D114/1000</f>
        <v>220.9010973595683</v>
      </c>
    </row>
    <row r="74" spans="1:35" ht="12.75" customHeight="1">
      <c r="B74" s="8" t="s">
        <v>16</v>
      </c>
      <c r="AB74" s="1524">
        <f>'Hybrid OPM'!D9</f>
        <v>0.44999999999999996</v>
      </c>
      <c r="AC74" s="1524">
        <f>'Hybrid OPM'!E9</f>
        <v>0.05</v>
      </c>
      <c r="AD74" s="1524">
        <f>'Hybrid OPM'!F9</f>
        <v>0.5</v>
      </c>
    </row>
    <row r="75" spans="1:35" ht="12.75" customHeight="1">
      <c r="A75" s="586" t="s">
        <v>128</v>
      </c>
      <c r="B75" s="17" t="s">
        <v>630</v>
      </c>
      <c r="AA75" s="310" t="s">
        <v>2568</v>
      </c>
      <c r="AB75" s="312">
        <f>SUMPRODUCT(AB73:AD73,AB74:AD74)</f>
        <v>181.35887643354403</v>
      </c>
    </row>
    <row r="76" spans="1:35" s="72" customFormat="1" ht="12.75" customHeight="1">
      <c r="A76" s="587" t="s">
        <v>127</v>
      </c>
      <c r="B76" s="270" t="s">
        <v>1577</v>
      </c>
      <c r="P76" s="20"/>
    </row>
    <row r="77" spans="1:35" ht="12.75" customHeight="1">
      <c r="AA77" s="72"/>
    </row>
    <row r="78" spans="1:35" ht="12.75" customHeight="1">
      <c r="B78" s="8" t="s">
        <v>46</v>
      </c>
    </row>
    <row r="79" spans="1:35" ht="12.75" customHeight="1"/>
    <row r="80" spans="1:35" ht="12.75" customHeight="1"/>
    <row r="81" spans="2:2" ht="12.75" customHeight="1"/>
    <row r="82" spans="2:2" ht="12.75" customHeight="1"/>
    <row r="83" spans="2:2" ht="12.75" customHeight="1"/>
    <row r="84" spans="2:2" ht="12.75" customHeight="1"/>
    <row r="85" spans="2:2" ht="12.75" customHeight="1">
      <c r="B85" s="310" t="s">
        <v>975</v>
      </c>
    </row>
    <row r="86" spans="2:2">
      <c r="B86" s="310" t="s">
        <v>976</v>
      </c>
    </row>
    <row r="87" spans="2:2">
      <c r="B87" s="310" t="s">
        <v>977</v>
      </c>
    </row>
    <row r="88" spans="2:2">
      <c r="B88" s="310" t="s">
        <v>978</v>
      </c>
    </row>
    <row r="89" spans="2:2">
      <c r="B89" s="310" t="s">
        <v>979</v>
      </c>
    </row>
    <row r="90" spans="2:2">
      <c r="B90" s="310" t="s">
        <v>980</v>
      </c>
    </row>
    <row r="91" spans="2:2">
      <c r="B91" s="310" t="s">
        <v>981</v>
      </c>
    </row>
    <row r="93" spans="2:2">
      <c r="B93" s="310" t="s">
        <v>982</v>
      </c>
    </row>
    <row r="94" spans="2:2">
      <c r="B94" s="310" t="s">
        <v>983</v>
      </c>
    </row>
    <row r="95" spans="2:2">
      <c r="B95" s="310" t="s">
        <v>984</v>
      </c>
    </row>
    <row r="96" spans="2:2">
      <c r="B96" s="310" t="s">
        <v>985</v>
      </c>
    </row>
    <row r="97" spans="2:2">
      <c r="B97" s="310" t="s">
        <v>986</v>
      </c>
    </row>
    <row r="98" spans="2:2">
      <c r="B98" s="310" t="s">
        <v>987</v>
      </c>
    </row>
  </sheetData>
  <conditionalFormatting sqref="B11:B20 B28:B53">
    <cfRule type="cellIs" dxfId="104" priority="9" operator="equal">
      <formula>"(Invalid Identifier)"</formula>
    </cfRule>
  </conditionalFormatting>
  <conditionalFormatting sqref="B4:I4">
    <cfRule type="cellIs" dxfId="103" priority="8" stopIfTrue="1" operator="equal">
      <formula>"input"</formula>
    </cfRule>
  </conditionalFormatting>
  <conditionalFormatting sqref="J4">
    <cfRule type="cellIs" dxfId="102" priority="6" stopIfTrue="1" operator="equal">
      <formula>"input"</formula>
    </cfRule>
  </conditionalFormatting>
  <conditionalFormatting sqref="J4">
    <cfRule type="cellIs" dxfId="101" priority="7" stopIfTrue="1" operator="equal">
      <formula>"input"</formula>
    </cfRule>
  </conditionalFormatting>
  <conditionalFormatting sqref="K4:X4">
    <cfRule type="cellIs" dxfId="100" priority="4" stopIfTrue="1" operator="equal">
      <formula>"input"</formula>
    </cfRule>
  </conditionalFormatting>
  <conditionalFormatting sqref="K4:X4">
    <cfRule type="cellIs" dxfId="99" priority="5" stopIfTrue="1" operator="equal">
      <formula>"input"</formula>
    </cfRule>
  </conditionalFormatting>
  <conditionalFormatting sqref="Y4">
    <cfRule type="cellIs" dxfId="98" priority="2" stopIfTrue="1" operator="equal">
      <formula>"input"</formula>
    </cfRule>
  </conditionalFormatting>
  <conditionalFormatting sqref="Y4">
    <cfRule type="cellIs" dxfId="97" priority="3" stopIfTrue="1" operator="equal">
      <formula>"input"</formula>
    </cfRule>
  </conditionalFormatting>
  <conditionalFormatting sqref="B10">
    <cfRule type="cellIs" dxfId="96" priority="1" operator="equal">
      <formula>"(Invalid Identifier)"</formula>
    </cfRule>
  </conditionalFormatting>
  <pageMargins left="0.5" right="0.5" top="0.5" bottom="0.5" header="0.5" footer="0.5"/>
  <pageSetup scale="79" fitToWidth="0" fitToHeight="0" orientation="landscape" r:id="rId1"/>
  <rowBreaks count="1" manualBreakCount="1">
    <brk id="49" max="25" man="1"/>
  </rowBreaks>
  <legacyDrawing r:id="rId2"/>
  <legacyDrawingHF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R60"/>
  <sheetViews>
    <sheetView showGridLines="0" view="pageBreakPreview" topLeftCell="A4" zoomScale="85" zoomScaleNormal="100" zoomScaleSheetLayoutView="85" workbookViewId="0">
      <selection activeCell="I9" sqref="I9"/>
    </sheetView>
  </sheetViews>
  <sheetFormatPr defaultColWidth="9.33203125" defaultRowHeight="12.75" outlineLevelCol="1"/>
  <cols>
    <col min="1" max="1" width="4.5" style="310" customWidth="1"/>
    <col min="2" max="2" width="53.6640625" style="310" customWidth="1"/>
    <col min="3" max="3" width="2.83203125" style="310" customWidth="1"/>
    <col min="4" max="8" width="22.83203125" style="310" customWidth="1"/>
    <col min="9" max="11" width="14.83203125" style="310" hidden="1" customWidth="1" outlineLevel="1"/>
    <col min="12" max="12" width="4.5" style="310" customWidth="1" collapsed="1"/>
    <col min="13" max="13" width="9.5" style="310" bestFit="1" customWidth="1"/>
    <col min="14" max="14" width="10.33203125" style="310" bestFit="1" customWidth="1"/>
    <col min="15" max="15" width="14.1640625" style="316" customWidth="1"/>
    <col min="16" max="16" width="9.33203125" style="310"/>
    <col min="17" max="17" width="14.1640625" style="310" bestFit="1" customWidth="1"/>
    <col min="18" max="16384" width="9.33203125" style="310"/>
  </cols>
  <sheetData>
    <row r="1" spans="2:18" ht="10.7" customHeight="1" thickBot="1"/>
    <row r="2" spans="2:18" ht="16.5" customHeight="1" thickTop="1">
      <c r="B2" s="10" t="str">
        <f>'MASTER PubCo Inputs'!$C$5</f>
        <v>Hua Medicine</v>
      </c>
      <c r="C2" s="10"/>
      <c r="D2" s="10"/>
      <c r="E2" s="10"/>
      <c r="F2" s="10"/>
      <c r="G2" s="10"/>
      <c r="H2" s="10"/>
      <c r="I2" s="10"/>
      <c r="J2" s="10"/>
      <c r="K2" s="10"/>
    </row>
    <row r="3" spans="2:18" ht="15.75" customHeight="1">
      <c r="B3" s="11" t="str">
        <f>VLOOKUP(B4,Outline!$E$8:$G$81,COLUMNS(Outline!$E$8:$G$8),FALSE)</f>
        <v>Exhibit H.5</v>
      </c>
      <c r="C3" s="11"/>
      <c r="D3" s="11"/>
      <c r="E3" s="11"/>
      <c r="F3" s="11"/>
      <c r="G3" s="11"/>
      <c r="H3" s="11"/>
      <c r="I3" s="11"/>
      <c r="J3" s="11"/>
      <c r="K3" s="11"/>
      <c r="O3" s="1193" t="s">
        <v>628</v>
      </c>
      <c r="P3" s="1194">
        <v>1.2</v>
      </c>
      <c r="Q3" s="1193" t="s">
        <v>629</v>
      </c>
      <c r="R3" s="1194">
        <v>0</v>
      </c>
    </row>
    <row r="4" spans="2:18" ht="16.5" customHeight="1" thickBot="1">
      <c r="B4" s="12" t="s">
        <v>47</v>
      </c>
      <c r="C4" s="12"/>
      <c r="D4" s="12"/>
      <c r="E4" s="12"/>
      <c r="F4" s="12"/>
      <c r="G4" s="12"/>
      <c r="H4" s="12"/>
      <c r="I4" s="12"/>
      <c r="J4" s="12"/>
      <c r="K4" s="12"/>
    </row>
    <row r="5" spans="2:18" s="16" customFormat="1" ht="12.75" customHeight="1" thickTop="1">
      <c r="B5" s="310"/>
      <c r="C5" s="310"/>
      <c r="D5" s="310"/>
      <c r="E5" s="310"/>
      <c r="F5" s="310"/>
      <c r="G5" s="310"/>
      <c r="H5" s="310"/>
      <c r="I5" s="310"/>
      <c r="J5" s="310"/>
      <c r="K5" s="310"/>
      <c r="L5" s="310"/>
      <c r="O5" s="280"/>
    </row>
    <row r="6" spans="2:18" ht="12.75" customHeight="1">
      <c r="D6" s="200" t="s">
        <v>945</v>
      </c>
      <c r="E6" s="200"/>
      <c r="F6" s="200"/>
      <c r="G6" s="200"/>
      <c r="H6" s="200"/>
      <c r="I6" s="200"/>
      <c r="J6" s="200"/>
      <c r="K6" s="200"/>
      <c r="M6" s="1193" t="s">
        <v>17</v>
      </c>
      <c r="N6" s="1195">
        <f>'MASTER PubCo Inputs'!$C$6</f>
        <v>43281</v>
      </c>
    </row>
    <row r="7" spans="2:18" ht="12.75" customHeight="1">
      <c r="D7" s="318" t="s">
        <v>48</v>
      </c>
      <c r="E7" s="1150"/>
      <c r="F7" s="1150"/>
      <c r="G7" s="1150"/>
      <c r="H7" s="1151"/>
      <c r="I7" s="1150"/>
      <c r="J7" s="1150"/>
      <c r="K7" s="1151"/>
    </row>
    <row r="8" spans="2:18" ht="15.75" customHeight="1">
      <c r="B8" s="1196" t="s">
        <v>455</v>
      </c>
      <c r="D8" s="1197">
        <v>1</v>
      </c>
      <c r="E8" s="1198">
        <v>2</v>
      </c>
      <c r="F8" s="1198">
        <v>3</v>
      </c>
      <c r="G8" s="1198">
        <v>4</v>
      </c>
      <c r="H8" s="1199">
        <v>5</v>
      </c>
      <c r="I8" s="1198">
        <v>6</v>
      </c>
      <c r="J8" s="1198">
        <v>7</v>
      </c>
      <c r="K8" s="1199">
        <v>8</v>
      </c>
      <c r="M8" s="78" t="s">
        <v>38</v>
      </c>
      <c r="O8" s="279" t="s">
        <v>1045</v>
      </c>
    </row>
    <row r="9" spans="2:18" ht="12.75" customHeight="1"/>
    <row r="10" spans="2:18" ht="12.75" customHeight="1">
      <c r="B10" s="1" t="str">
        <f>Comp.1!B12</f>
        <v>Tier 1</v>
      </c>
    </row>
    <row r="11" spans="2:18" ht="12.75" customHeight="1">
      <c r="B11" s="310" t="str">
        <f>Comp.1!B13</f>
        <v>Novo Nordisk A/S</v>
      </c>
      <c r="D11" s="51">
        <f>IF('Capital IQ Sheet-GPC'!BS13="n/a","n/a",IF('Capital IQ Sheet-GPC'!BS13&gt;'Equity Vol'!$P$3,"NM",IF('Capital IQ Sheet-GPC'!BS13&lt;'Equity Vol'!$R$3,"NM",'Capital IQ Sheet-GPC'!BS13)))</f>
        <v>0.23337104782440229</v>
      </c>
      <c r="E11" s="51">
        <f>IF('Capital IQ Sheet-GPC'!BT13="n/a","n/a",IF('Capital IQ Sheet-GPC'!BT13&gt;'Equity Vol'!$P$3,"NM",IF('Capital IQ Sheet-GPC'!BT13&lt;'Equity Vol'!$R$3,"NM",'Capital IQ Sheet-GPC'!BT13)))</f>
        <v>0.27152222085926869</v>
      </c>
      <c r="F11" s="51">
        <f>IF('Capital IQ Sheet-GPC'!BU13="n/a","n/a",IF('Capital IQ Sheet-GPC'!BU13&gt;'Equity Vol'!$P$3,"NM",IF('Capital IQ Sheet-GPC'!BU13&lt;'Equity Vol'!$R$3,"NM",'Capital IQ Sheet-GPC'!BU13)))</f>
        <v>0.27509605137080317</v>
      </c>
      <c r="G11" s="51">
        <f>IF('Capital IQ Sheet-GPC'!BV13="n/a","n/a",IF('Capital IQ Sheet-GPC'!BV13&gt;'Equity Vol'!$P$3,"NM",IF('Capital IQ Sheet-GPC'!BV13&lt;'Equity Vol'!$R$3,"NM",'Capital IQ Sheet-GPC'!BV13)))</f>
        <v>0.26647478565178756</v>
      </c>
      <c r="H11" s="51">
        <f>IF('Capital IQ Sheet-GPC'!BW13="n/a","n/a",IF('Capital IQ Sheet-GPC'!BW13&gt;'Equity Vol'!$P$3,"NM",IF('Capital IQ Sheet-GPC'!BW13&lt;'Equity Vol'!$R$3,"NM",'Capital IQ Sheet-GPC'!BW13)))</f>
        <v>0.25702694560965095</v>
      </c>
      <c r="I11" s="51">
        <f>IF('Capital IQ Sheet-GPC'!BX13="n/a","n/a",IF('Capital IQ Sheet-GPC'!BX13&gt;'Equity Vol'!$P$3,"NM",IF('Capital IQ Sheet-GPC'!BX13&lt;'Equity Vol'!$R$3,"NM",'Capital IQ Sheet-GPC'!BX13)))</f>
        <v>0.25752787186184822</v>
      </c>
      <c r="J11" s="51">
        <f>IF('Capital IQ Sheet-GPC'!BY13="n/a","n/a",IF('Capital IQ Sheet-GPC'!BY13&gt;'Equity Vol'!$P$3,"NM",IF('Capital IQ Sheet-GPC'!BY13&lt;'Equity Vol'!$R$3,"NM",'Capital IQ Sheet-GPC'!BY13)))</f>
        <v>0.26523876608060654</v>
      </c>
      <c r="K11" s="51">
        <f>IF('Capital IQ Sheet-GPC'!BZ13="n/a","n/a",IF('Capital IQ Sheet-GPC'!BZ13&gt;'Equity Vol'!$P$3,"NM",IF('Capital IQ Sheet-GPC'!BZ13&lt;'Equity Vol'!$R$3,"NM",'Capital IQ Sheet-GPC'!BZ13)))</f>
        <v>0.26473478426800701</v>
      </c>
      <c r="M11" s="201" t="str">
        <f>'MASTER PubCo Inputs'!B28</f>
        <v>CPSE:NOVO B</v>
      </c>
      <c r="O11" s="756">
        <f>'Capital IQ Sheet-GPC'!G13</f>
        <v>33605</v>
      </c>
    </row>
    <row r="12" spans="2:18" ht="12.75" customHeight="1">
      <c r="B12" s="310" t="str">
        <f>Comp.1!B14</f>
        <v>Tonghua Dongbao Pharmaceutical Co., Ltd.</v>
      </c>
      <c r="D12" s="51">
        <f>IF('Capital IQ Sheet-GPC'!BS14="n/a","n/a",IF('Capital IQ Sheet-GPC'!BS14&gt;'Equity Vol'!$P$3,"NM",IF('Capital IQ Sheet-GPC'!BS14&lt;'Equity Vol'!$R$3,"NM",'Capital IQ Sheet-GPC'!BS14)))</f>
        <v>0.3812640752848403</v>
      </c>
      <c r="E12" s="51">
        <f>IF('Capital IQ Sheet-GPC'!BT14="n/a","n/a",IF('Capital IQ Sheet-GPC'!BT14&gt;'Equity Vol'!$P$3,"NM",IF('Capital IQ Sheet-GPC'!BT14&lt;'Equity Vol'!$R$3,"NM",'Capital IQ Sheet-GPC'!BT14)))</f>
        <v>0.30342602923922368</v>
      </c>
      <c r="F12" s="51">
        <f>IF('Capital IQ Sheet-GPC'!BU14="n/a","n/a",IF('Capital IQ Sheet-GPC'!BU14&gt;'Equity Vol'!$P$3,"NM",IF('Capital IQ Sheet-GPC'!BU14&lt;'Equity Vol'!$R$3,"NM",'Capital IQ Sheet-GPC'!BU14)))</f>
        <v>0.36676460309803083</v>
      </c>
      <c r="G12" s="51">
        <f>IF('Capital IQ Sheet-GPC'!BV14="n/a","n/a",IF('Capital IQ Sheet-GPC'!BV14&gt;'Equity Vol'!$P$3,"NM",IF('Capital IQ Sheet-GPC'!BV14&lt;'Equity Vol'!$R$3,"NM",'Capital IQ Sheet-GPC'!BV14)))</f>
        <v>0.39110730772015856</v>
      </c>
      <c r="H12" s="51">
        <f>IF('Capital IQ Sheet-GPC'!BW14="n/a","n/a",IF('Capital IQ Sheet-GPC'!BW14&gt;'Equity Vol'!$P$3,"NM",IF('Capital IQ Sheet-GPC'!BW14&lt;'Equity Vol'!$R$3,"NM",'Capital IQ Sheet-GPC'!BW14)))</f>
        <v>0.38563460568161612</v>
      </c>
      <c r="I12" s="51">
        <f>IF('Capital IQ Sheet-GPC'!BX14="n/a","n/a",IF('Capital IQ Sheet-GPC'!BX14&gt;'Equity Vol'!$P$3,"NM",IF('Capital IQ Sheet-GPC'!BX14&lt;'Equity Vol'!$R$3,"NM",'Capital IQ Sheet-GPC'!BX14)))</f>
        <v>0.38238304339159807</v>
      </c>
      <c r="J12" s="51">
        <f>IF('Capital IQ Sheet-GPC'!BY14="n/a","n/a",IF('Capital IQ Sheet-GPC'!BY14&gt;'Equity Vol'!$P$3,"NM",IF('Capital IQ Sheet-GPC'!BY14&lt;'Equity Vol'!$R$3,"NM",'Capital IQ Sheet-GPC'!BY14)))</f>
        <v>0.38300947116642342</v>
      </c>
      <c r="K12" s="51">
        <f>IF('Capital IQ Sheet-GPC'!BZ14="n/a","n/a",IF('Capital IQ Sheet-GPC'!BZ14&gt;'Equity Vol'!$P$3,"NM",IF('Capital IQ Sheet-GPC'!BZ14&lt;'Equity Vol'!$R$3,"NM",'Capital IQ Sheet-GPC'!BZ14)))</f>
        <v>0.39344711435708657</v>
      </c>
      <c r="M12" s="201" t="str">
        <f>'MASTER PubCo Inputs'!B29</f>
        <v>SHSE:600867</v>
      </c>
      <c r="O12" s="756">
        <f>'Capital IQ Sheet-GPC'!G14</f>
        <v>35244</v>
      </c>
    </row>
    <row r="13" spans="2:18" ht="12.75" customHeight="1">
      <c r="B13" s="310" t="str">
        <f>Comp.1!B15</f>
        <v>3SBio Inc.</v>
      </c>
      <c r="D13" s="51">
        <f>IF('Capital IQ Sheet-GPC'!BS15="n/a","n/a",IF('Capital IQ Sheet-GPC'!BS15&gt;'Equity Vol'!$P$3,"NM",IF('Capital IQ Sheet-GPC'!BS15&lt;'Equity Vol'!$R$3,"NM",'Capital IQ Sheet-GPC'!BS15)))</f>
        <v>0.4165407869412846</v>
      </c>
      <c r="E13" s="51">
        <f>IF('Capital IQ Sheet-GPC'!BT15="n/a","n/a",IF('Capital IQ Sheet-GPC'!BT15&gt;'Equity Vol'!$P$3,"NM",IF('Capital IQ Sheet-GPC'!BT15&lt;'Equity Vol'!$R$3,"NM",'Capital IQ Sheet-GPC'!BT15)))</f>
        <v>0.39060716108232951</v>
      </c>
      <c r="F13" s="51">
        <f>IF('Capital IQ Sheet-GPC'!BU15="n/a","n/a",IF('Capital IQ Sheet-GPC'!BU15&gt;'Equity Vol'!$P$3,"NM",IF('Capital IQ Sheet-GPC'!BU15&lt;'Equity Vol'!$R$3,"NM",'Capital IQ Sheet-GPC'!BU15)))</f>
        <v>0.39544882696315536</v>
      </c>
      <c r="G13" s="51">
        <f>IF('Capital IQ Sheet-GPC'!BV15="n/a","n/a",IF('Capital IQ Sheet-GPC'!BV15&gt;'Equity Vol'!$P$3,"NM",IF('Capital IQ Sheet-GPC'!BV15&lt;'Equity Vol'!$R$3,"NM",'Capital IQ Sheet-GPC'!BV15)))</f>
        <v>0.39956663729133235</v>
      </c>
      <c r="H13" s="1192">
        <f t="shared" ref="H13:K14" si="0">G13</f>
        <v>0.39956663729133235</v>
      </c>
      <c r="I13" s="1192">
        <f t="shared" si="0"/>
        <v>0.39956663729133235</v>
      </c>
      <c r="J13" s="1192">
        <f t="shared" si="0"/>
        <v>0.39956663729133235</v>
      </c>
      <c r="K13" s="1192">
        <f t="shared" si="0"/>
        <v>0.39956663729133235</v>
      </c>
      <c r="M13" s="201" t="str">
        <f>'MASTER PubCo Inputs'!B30</f>
        <v>SEHK:1530</v>
      </c>
      <c r="O13" s="756">
        <f>'Capital IQ Sheet-GPC'!G15</f>
        <v>42166</v>
      </c>
    </row>
    <row r="14" spans="2:18" ht="12.75" customHeight="1">
      <c r="B14" s="310" t="str">
        <f>Comp.1!B16</f>
        <v>Luye Pharma Group Ltd.</v>
      </c>
      <c r="D14" s="51">
        <f>IF('Capital IQ Sheet-GPC'!BS16="n/a","n/a",IF('Capital IQ Sheet-GPC'!BS16&gt;'Equity Vol'!$P$3,"NM",IF('Capital IQ Sheet-GPC'!BS16&lt;'Equity Vol'!$R$3,"NM",'Capital IQ Sheet-GPC'!BS16)))</f>
        <v>0.43677110001721992</v>
      </c>
      <c r="E14" s="51">
        <f>IF('Capital IQ Sheet-GPC'!BT16="n/a","n/a",IF('Capital IQ Sheet-GPC'!BT16&gt;'Equity Vol'!$P$3,"NM",IF('Capital IQ Sheet-GPC'!BT16&lt;'Equity Vol'!$R$3,"NM",'Capital IQ Sheet-GPC'!BT16)))</f>
        <v>0.3682228385764143</v>
      </c>
      <c r="F14" s="51">
        <f>IF('Capital IQ Sheet-GPC'!BU16="n/a","n/a",IF('Capital IQ Sheet-GPC'!BU16&gt;'Equity Vol'!$P$3,"NM",IF('Capital IQ Sheet-GPC'!BU16&lt;'Equity Vol'!$R$3,"NM",'Capital IQ Sheet-GPC'!BU16)))</f>
        <v>0.38477740391868537</v>
      </c>
      <c r="G14" s="51">
        <f>IF('Capital IQ Sheet-GPC'!BV16="n/a","n/a",IF('Capital IQ Sheet-GPC'!BV16&gt;'Equity Vol'!$P$3,"NM",IF('Capital IQ Sheet-GPC'!BV16&lt;'Equity Vol'!$R$3,"NM",'Capital IQ Sheet-GPC'!BV16)))</f>
        <v>0.38401808467479637</v>
      </c>
      <c r="H14" s="1192">
        <f t="shared" si="0"/>
        <v>0.38401808467479637</v>
      </c>
      <c r="I14" s="1192">
        <f t="shared" si="0"/>
        <v>0.38401808467479637</v>
      </c>
      <c r="J14" s="1192">
        <f t="shared" si="0"/>
        <v>0.38401808467479637</v>
      </c>
      <c r="K14" s="1192">
        <f t="shared" si="0"/>
        <v>0.38401808467479637</v>
      </c>
      <c r="M14" s="201" t="str">
        <f>'MASTER PubCo Inputs'!B31</f>
        <v>SEHK:2186</v>
      </c>
      <c r="O14" s="756">
        <f>'Capital IQ Sheet-GPC'!G16</f>
        <v>41829</v>
      </c>
    </row>
    <row r="15" spans="2:18" ht="12.75" customHeight="1">
      <c r="B15" s="310" t="str">
        <f>Comp.1!B17</f>
        <v>Intercept Pharmaceuticals, Inc.</v>
      </c>
      <c r="D15" s="51">
        <f>IF('Capital IQ Sheet-GPC'!BS17="n/a","n/a",IF('Capital IQ Sheet-GPC'!BS17&gt;'Equity Vol'!$P$3,"NM",IF('Capital IQ Sheet-GPC'!BS17&lt;'Equity Vol'!$R$3,"NM",'Capital IQ Sheet-GPC'!BS17)))</f>
        <v>0.63494375623135568</v>
      </c>
      <c r="E15" s="51">
        <f>IF('Capital IQ Sheet-GPC'!BT17="n/a","n/a",IF('Capital IQ Sheet-GPC'!BT17&gt;'Equity Vol'!$P$3,"NM",IF('Capital IQ Sheet-GPC'!BT17&lt;'Equity Vol'!$R$3,"NM",'Capital IQ Sheet-GPC'!BT17)))</f>
        <v>0.55938950878676441</v>
      </c>
      <c r="F15" s="51">
        <f>IF('Capital IQ Sheet-GPC'!BU17="n/a","n/a",IF('Capital IQ Sheet-GPC'!BU17&gt;'Equity Vol'!$P$3,"NM",IF('Capital IQ Sheet-GPC'!BU17&lt;'Equity Vol'!$R$3,"NM",'Capital IQ Sheet-GPC'!BU17)))</f>
        <v>0.60449747603175452</v>
      </c>
      <c r="G15" s="51">
        <f>IF('Capital IQ Sheet-GPC'!BV17="n/a","n/a",IF('Capital IQ Sheet-GPC'!BV17&gt;'Equity Vol'!$P$3,"NM",IF('Capital IQ Sheet-GPC'!BV17&lt;'Equity Vol'!$R$3,"NM",'Capital IQ Sheet-GPC'!BV17)))</f>
        <v>0.63082850805088186</v>
      </c>
      <c r="H15" s="51">
        <f>IF('Capital IQ Sheet-GPC'!BW17="n/a","n/a",IF('Capital IQ Sheet-GPC'!BW17&gt;'Equity Vol'!$P$3,"NM",IF('Capital IQ Sheet-GPC'!BW17&lt;'Equity Vol'!$R$3,"NM",'Capital IQ Sheet-GPC'!BW17)))</f>
        <v>0.92099373355268976</v>
      </c>
      <c r="I15" s="51">
        <f>IF('Capital IQ Sheet-GPC'!BX17="n/a","n/a",IF('Capital IQ Sheet-GPC'!BX17&gt;'Equity Vol'!$P$3,"NM",IF('Capital IQ Sheet-GPC'!BX17&lt;'Equity Vol'!$R$3,"NM",'Capital IQ Sheet-GPC'!BX17)))</f>
        <v>0.88075139052579154</v>
      </c>
      <c r="J15" s="1192">
        <f>I15</f>
        <v>0.88075139052579154</v>
      </c>
      <c r="K15" s="1192">
        <f>J15</f>
        <v>0.88075139052579154</v>
      </c>
      <c r="M15" s="201" t="str">
        <f>'MASTER PubCo Inputs'!B32</f>
        <v>NasdaqGS:ICPT</v>
      </c>
      <c r="O15" s="756">
        <f>'Capital IQ Sheet-GPC'!G17</f>
        <v>41193</v>
      </c>
    </row>
    <row r="16" spans="2:18" ht="12.75" customHeight="1">
      <c r="B16" s="310" t="str">
        <f>Comp.1!B18</f>
        <v>The United Laboratories International Holdings Limited</v>
      </c>
      <c r="D16" s="51">
        <f>IF('Capital IQ Sheet-GPC'!BS18="n/a","n/a",IF('Capital IQ Sheet-GPC'!BS18&gt;'Equity Vol'!$P$3,"NM",IF('Capital IQ Sheet-GPC'!BS18&lt;'Equity Vol'!$R$3,"NM",'Capital IQ Sheet-GPC'!BS18)))</f>
        <v>0.40902947159122122</v>
      </c>
      <c r="E16" s="51">
        <f>IF('Capital IQ Sheet-GPC'!BT18="n/a","n/a",IF('Capital IQ Sheet-GPC'!BT18&gt;'Equity Vol'!$P$3,"NM",IF('Capital IQ Sheet-GPC'!BT18&lt;'Equity Vol'!$R$3,"NM",'Capital IQ Sheet-GPC'!BT18)))</f>
        <v>0.39486230006289236</v>
      </c>
      <c r="F16" s="51">
        <f>IF('Capital IQ Sheet-GPC'!BU18="n/a","n/a",IF('Capital IQ Sheet-GPC'!BU18&gt;'Equity Vol'!$P$3,"NM",IF('Capital IQ Sheet-GPC'!BU18&lt;'Equity Vol'!$R$3,"NM",'Capital IQ Sheet-GPC'!BU18)))</f>
        <v>0.46352947344646472</v>
      </c>
      <c r="G16" s="51">
        <f>IF('Capital IQ Sheet-GPC'!BV18="n/a","n/a",IF('Capital IQ Sheet-GPC'!BV18&gt;'Equity Vol'!$P$3,"NM",IF('Capital IQ Sheet-GPC'!BV18&lt;'Equity Vol'!$R$3,"NM",'Capital IQ Sheet-GPC'!BV18)))</f>
        <v>0.47650962748142167</v>
      </c>
      <c r="H16" s="51">
        <f>IF('Capital IQ Sheet-GPC'!BW18="n/a","n/a",IF('Capital IQ Sheet-GPC'!BW18&gt;'Equity Vol'!$P$3,"NM",IF('Capital IQ Sheet-GPC'!BW18&lt;'Equity Vol'!$R$3,"NM",'Capital IQ Sheet-GPC'!BW18)))</f>
        <v>0.47634130477978948</v>
      </c>
      <c r="I16" s="51">
        <f>IF('Capital IQ Sheet-GPC'!BX18="n/a","n/a",IF('Capital IQ Sheet-GPC'!BX18&gt;'Equity Vol'!$P$3,"NM",IF('Capital IQ Sheet-GPC'!BX18&lt;'Equity Vol'!$R$3,"NM",'Capital IQ Sheet-GPC'!BX18)))</f>
        <v>0.46252415364888488</v>
      </c>
      <c r="J16" s="51">
        <f>IF('Capital IQ Sheet-GPC'!BY18="n/a","n/a",IF('Capital IQ Sheet-GPC'!BY18&gt;'Equity Vol'!$P$3,"NM",IF('Capital IQ Sheet-GPC'!BY18&lt;'Equity Vol'!$R$3,"NM",'Capital IQ Sheet-GPC'!BY18)))</f>
        <v>0.47679258775889194</v>
      </c>
      <c r="K16" s="51">
        <f>IF('Capital IQ Sheet-GPC'!BZ18="n/a","n/a",IF('Capital IQ Sheet-GPC'!BZ18&gt;'Equity Vol'!$P$3,"NM",IF('Capital IQ Sheet-GPC'!BZ18&lt;'Equity Vol'!$R$3,"NM",'Capital IQ Sheet-GPC'!BZ18)))</f>
        <v>0.47759702601940823</v>
      </c>
      <c r="M16" s="201" t="str">
        <f>'MASTER PubCo Inputs'!B33</f>
        <v>SEHK:3933</v>
      </c>
      <c r="O16" s="756">
        <f>'Capital IQ Sheet-GPC'!G18</f>
        <v>39248</v>
      </c>
    </row>
    <row r="17" spans="2:15" ht="12.75" customHeight="1">
      <c r="B17" s="310" t="str">
        <f>Comp.1!B19</f>
        <v>Corcept Therapeutics Incorporated</v>
      </c>
      <c r="D17" s="51">
        <f>IF('Capital IQ Sheet-GPC'!BS19="n/a","n/a",IF('Capital IQ Sheet-GPC'!BS19&gt;'Equity Vol'!$P$3,"NM",IF('Capital IQ Sheet-GPC'!BS19&lt;'Equity Vol'!$R$3,"NM",'Capital IQ Sheet-GPC'!BS19)))</f>
        <v>0.61814359218294024</v>
      </c>
      <c r="E17" s="51">
        <f>IF('Capital IQ Sheet-GPC'!BT19="n/a","n/a",IF('Capital IQ Sheet-GPC'!BT19&gt;'Equity Vol'!$P$3,"NM",IF('Capital IQ Sheet-GPC'!BT19&lt;'Equity Vol'!$R$3,"NM",'Capital IQ Sheet-GPC'!BT19)))</f>
        <v>0.55656194139049708</v>
      </c>
      <c r="F17" s="51">
        <f>IF('Capital IQ Sheet-GPC'!BU19="n/a","n/a",IF('Capital IQ Sheet-GPC'!BU19&gt;'Equity Vol'!$P$3,"NM",IF('Capital IQ Sheet-GPC'!BU19&lt;'Equity Vol'!$R$3,"NM",'Capital IQ Sheet-GPC'!BU19)))</f>
        <v>0.57073646955180102</v>
      </c>
      <c r="G17" s="51">
        <f>IF('Capital IQ Sheet-GPC'!BV19="n/a","n/a",IF('Capital IQ Sheet-GPC'!BV19&gt;'Equity Vol'!$P$3,"NM",IF('Capital IQ Sheet-GPC'!BV19&lt;'Equity Vol'!$R$3,"NM",'Capital IQ Sheet-GPC'!BV19)))</f>
        <v>0.5773424632119396</v>
      </c>
      <c r="H17" s="51">
        <f>IF('Capital IQ Sheet-GPC'!BW19="n/a","n/a",IF('Capital IQ Sheet-GPC'!BW19&gt;'Equity Vol'!$P$3,"NM",IF('Capital IQ Sheet-GPC'!BW19&lt;'Equity Vol'!$R$3,"NM",'Capital IQ Sheet-GPC'!BW19)))</f>
        <v>0.68787185822676966</v>
      </c>
      <c r="I17" s="51">
        <f>IF('Capital IQ Sheet-GPC'!BX19="n/a","n/a",IF('Capital IQ Sheet-GPC'!BX19&gt;'Equity Vol'!$P$3,"NM",IF('Capital IQ Sheet-GPC'!BX19&lt;'Equity Vol'!$R$3,"NM",'Capital IQ Sheet-GPC'!BX19)))</f>
        <v>0.67589586874005481</v>
      </c>
      <c r="J17" s="51">
        <f>IF('Capital IQ Sheet-GPC'!BY19="n/a","n/a",IF('Capital IQ Sheet-GPC'!BY19&gt;'Equity Vol'!$P$3,"NM",IF('Capital IQ Sheet-GPC'!BY19&lt;'Equity Vol'!$R$3,"NM",'Capital IQ Sheet-GPC'!BY19)))</f>
        <v>0.67820609943985266</v>
      </c>
      <c r="K17" s="51">
        <f>IF('Capital IQ Sheet-GPC'!BZ19="n/a","n/a",IF('Capital IQ Sheet-GPC'!BZ19&gt;'Equity Vol'!$P$3,"NM",IF('Capital IQ Sheet-GPC'!BZ19&lt;'Equity Vol'!$R$3,"NM",'Capital IQ Sheet-GPC'!BZ19)))</f>
        <v>0.65861760749066267</v>
      </c>
      <c r="M17" s="201" t="str">
        <f>'MASTER PubCo Inputs'!B34</f>
        <v>NasdaqCM:CORT</v>
      </c>
      <c r="O17" s="756">
        <f>'Capital IQ Sheet-GPC'!G19</f>
        <v>38091</v>
      </c>
    </row>
    <row r="18" spans="2:15" ht="12.75" customHeight="1">
      <c r="B18" s="310" t="str">
        <f>Comp.1!B20</f>
        <v>MannKind Corporation</v>
      </c>
      <c r="D18" s="51">
        <f>IF('Capital IQ Sheet-GPC'!BS20="n/a","n/a",IF('Capital IQ Sheet-GPC'!BS20&gt;'Equity Vol'!$P$3,"NM",IF('Capital IQ Sheet-GPC'!BS20&lt;'Equity Vol'!$R$3,"NM",'Capital IQ Sheet-GPC'!BS20)))</f>
        <v>1.051397553941015</v>
      </c>
      <c r="E18" s="51">
        <f>IF('Capital IQ Sheet-GPC'!BT20="n/a","n/a",IF('Capital IQ Sheet-GPC'!BT20&gt;'Equity Vol'!$P$3,"NM",IF('Capital IQ Sheet-GPC'!BT20&lt;'Equity Vol'!$R$3,"NM",'Capital IQ Sheet-GPC'!BT20)))</f>
        <v>1.0547039589395328</v>
      </c>
      <c r="F18" s="51">
        <f>IF('Capital IQ Sheet-GPC'!BU20="n/a","n/a",IF('Capital IQ Sheet-GPC'!BU20&gt;'Equity Vol'!$P$3,"NM",IF('Capital IQ Sheet-GPC'!BU20&lt;'Equity Vol'!$R$3,"NM",'Capital IQ Sheet-GPC'!BU20)))</f>
        <v>1.1115187186582705</v>
      </c>
      <c r="G18" s="51">
        <f>IF('Capital IQ Sheet-GPC'!BV20="n/a","n/a",IF('Capital IQ Sheet-GPC'!BV20&gt;'Equity Vol'!$P$3,"NM",IF('Capital IQ Sheet-GPC'!BV20&lt;'Equity Vol'!$R$3,"NM",'Capital IQ Sheet-GPC'!BV20)))</f>
        <v>1.0020862387386444</v>
      </c>
      <c r="H18" s="51">
        <f>IF('Capital IQ Sheet-GPC'!BW20="n/a","n/a",IF('Capital IQ Sheet-GPC'!BW20&gt;'Equity Vol'!$P$3,"NM",IF('Capital IQ Sheet-GPC'!BW20&lt;'Equity Vol'!$R$3,"NM",'Capital IQ Sheet-GPC'!BW20)))</f>
        <v>0.94382524642339161</v>
      </c>
      <c r="I18" s="51">
        <f>IF('Capital IQ Sheet-GPC'!BX20="n/a","n/a",IF('Capital IQ Sheet-GPC'!BX20&gt;'Equity Vol'!$P$3,"NM",IF('Capital IQ Sheet-GPC'!BX20&lt;'Equity Vol'!$R$3,"NM",'Capital IQ Sheet-GPC'!BX20)))</f>
        <v>0.90350097708485821</v>
      </c>
      <c r="J18" s="51">
        <f>IF('Capital IQ Sheet-GPC'!BY20="n/a","n/a",IF('Capital IQ Sheet-GPC'!BY20&gt;'Equity Vol'!$P$3,"NM",IF('Capital IQ Sheet-GPC'!BY20&lt;'Equity Vol'!$R$3,"NM",'Capital IQ Sheet-GPC'!BY20)))</f>
        <v>0.8729069185263002</v>
      </c>
      <c r="K18" s="51">
        <f>IF('Capital IQ Sheet-GPC'!BZ20="n/a","n/a",IF('Capital IQ Sheet-GPC'!BZ20&gt;'Equity Vol'!$P$3,"NM",IF('Capital IQ Sheet-GPC'!BZ20&lt;'Equity Vol'!$R$3,"NM",'Capital IQ Sheet-GPC'!BZ20)))</f>
        <v>0.85455850010020018</v>
      </c>
      <c r="M18" s="201" t="str">
        <f>'MASTER PubCo Inputs'!B35</f>
        <v>NasdaqGM:MNKD</v>
      </c>
      <c r="O18" s="756">
        <f>'Capital IQ Sheet-GPC'!G20</f>
        <v>38196</v>
      </c>
    </row>
    <row r="19" spans="2:15" ht="12.75" customHeight="1">
      <c r="B19" s="310" t="str">
        <f>Comp.1!B21</f>
        <v>Zealand Pharma A/S</v>
      </c>
      <c r="D19" s="51">
        <f>IF('Capital IQ Sheet-GPC'!BS21="n/a","n/a",IF('Capital IQ Sheet-GPC'!BS21&gt;'Equity Vol'!$P$3,"NM",IF('Capital IQ Sheet-GPC'!BS21&lt;'Equity Vol'!$R$3,"NM",'Capital IQ Sheet-GPC'!BS21)))</f>
        <v>0.34590003503636213</v>
      </c>
      <c r="E19" s="51">
        <f>IF('Capital IQ Sheet-GPC'!BT21="n/a","n/a",IF('Capital IQ Sheet-GPC'!BT21&gt;'Equity Vol'!$P$3,"NM",IF('Capital IQ Sheet-GPC'!BT21&lt;'Equity Vol'!$R$3,"NM",'Capital IQ Sheet-GPC'!BT21)))</f>
        <v>0.36099757688110856</v>
      </c>
      <c r="F19" s="51">
        <f>IF('Capital IQ Sheet-GPC'!BU21="n/a","n/a",IF('Capital IQ Sheet-GPC'!BU21&gt;'Equity Vol'!$P$3,"NM",IF('Capital IQ Sheet-GPC'!BU21&lt;'Equity Vol'!$R$3,"NM",'Capital IQ Sheet-GPC'!BU21)))</f>
        <v>0.43428111568006561</v>
      </c>
      <c r="G19" s="51">
        <f>IF('Capital IQ Sheet-GPC'!BV21="n/a","n/a",IF('Capital IQ Sheet-GPC'!BV21&gt;'Equity Vol'!$P$3,"NM",IF('Capital IQ Sheet-GPC'!BV21&lt;'Equity Vol'!$R$3,"NM",'Capital IQ Sheet-GPC'!BV21)))</f>
        <v>0.43422670013311038</v>
      </c>
      <c r="H19" s="51">
        <f>IF('Capital IQ Sheet-GPC'!BW21="n/a","n/a",IF('Capital IQ Sheet-GPC'!BW21&gt;'Equity Vol'!$P$3,"NM",IF('Capital IQ Sheet-GPC'!BW21&lt;'Equity Vol'!$R$3,"NM",'Capital IQ Sheet-GPC'!BW21)))</f>
        <v>0.42877432311291869</v>
      </c>
      <c r="I19" s="51">
        <f>IF('Capital IQ Sheet-GPC'!BX21="n/a","n/a",IF('Capital IQ Sheet-GPC'!BX21&gt;'Equity Vol'!$P$3,"NM",IF('Capital IQ Sheet-GPC'!BX21&lt;'Equity Vol'!$R$3,"NM",'Capital IQ Sheet-GPC'!BX21)))</f>
        <v>0.42220925229151757</v>
      </c>
      <c r="J19" s="51">
        <f>IF('Capital IQ Sheet-GPC'!BY21="n/a","n/a",IF('Capital IQ Sheet-GPC'!BY21&gt;'Equity Vol'!$P$3,"NM",IF('Capital IQ Sheet-GPC'!BY21&lt;'Equity Vol'!$R$3,"NM",'Capital IQ Sheet-GPC'!BY21)))</f>
        <v>0.43355066042918222</v>
      </c>
      <c r="K19" s="51">
        <f>IF('Capital IQ Sheet-GPC'!BZ21="n/a","n/a",IF('Capital IQ Sheet-GPC'!BZ21&gt;'Equity Vol'!$P$3,"NM",IF('Capital IQ Sheet-GPC'!BZ21&lt;'Equity Vol'!$R$3,"NM",'Capital IQ Sheet-GPC'!BZ21)))</f>
        <v>0.42680518440982129</v>
      </c>
      <c r="M19" s="201" t="str">
        <f>'MASTER PubCo Inputs'!B36</f>
        <v>CPSE:ZEAL</v>
      </c>
      <c r="O19" s="756">
        <f>'Capital IQ Sheet-GPC'!G21</f>
        <v>40505</v>
      </c>
    </row>
    <row r="20" spans="2:15" ht="12.75" customHeight="1">
      <c r="E20" s="51"/>
      <c r="F20" s="51"/>
      <c r="G20" s="51"/>
      <c r="H20" s="51"/>
      <c r="I20" s="51"/>
      <c r="J20" s="51"/>
      <c r="K20" s="51"/>
      <c r="M20" s="201"/>
      <c r="O20" s="756"/>
    </row>
    <row r="21" spans="2:15" ht="12.75" customHeight="1">
      <c r="B21" s="1" t="str">
        <f>Comp.1!B23</f>
        <v>Tier 2</v>
      </c>
      <c r="D21" s="51"/>
      <c r="E21" s="51"/>
      <c r="F21" s="51"/>
      <c r="G21" s="51"/>
      <c r="H21" s="51"/>
      <c r="I21" s="51"/>
      <c r="J21" s="51"/>
      <c r="K21" s="51"/>
      <c r="M21" s="201"/>
      <c r="O21" s="756"/>
    </row>
    <row r="22" spans="2:15" ht="12.75" customHeight="1">
      <c r="B22" s="310" t="str">
        <f>Comp.1!B24</f>
        <v>Amicus Therapeutics, Inc.</v>
      </c>
      <c r="D22" s="51">
        <f>IF('Capital IQ Sheet-GPC'!BS22="n/a","n/a",IF('Capital IQ Sheet-GPC'!BS22&gt;'Equity Vol'!$P$3,"NM",IF('Capital IQ Sheet-GPC'!BS22&lt;'Equity Vol'!$R$3,"NM",'Capital IQ Sheet-GPC'!BS22)))</f>
        <v>0.55801884982157191</v>
      </c>
      <c r="E22" s="51">
        <f>IF('Capital IQ Sheet-GPC'!BT22="n/a","n/a",IF('Capital IQ Sheet-GPC'!BT22&gt;'Equity Vol'!$P$3,"NM",IF('Capital IQ Sheet-GPC'!BT22&lt;'Equity Vol'!$R$3,"NM",'Capital IQ Sheet-GPC'!BT22)))</f>
        <v>0.62463087489829994</v>
      </c>
      <c r="F22" s="51">
        <f>IF('Capital IQ Sheet-GPC'!BU22="n/a","n/a",IF('Capital IQ Sheet-GPC'!BU22&gt;'Equity Vol'!$P$3,"NM",IF('Capital IQ Sheet-GPC'!BU22&lt;'Equity Vol'!$R$3,"NM",'Capital IQ Sheet-GPC'!BU22)))</f>
        <v>0.81713503666063581</v>
      </c>
      <c r="G22" s="51">
        <f>IF('Capital IQ Sheet-GPC'!BV22="n/a","n/a",IF('Capital IQ Sheet-GPC'!BV22&gt;'Equity Vol'!$P$3,"NM",IF('Capital IQ Sheet-GPC'!BV22&lt;'Equity Vol'!$R$3,"NM",'Capital IQ Sheet-GPC'!BV22)))</f>
        <v>0.78752459862572421</v>
      </c>
      <c r="H22" s="51">
        <f>IF('Capital IQ Sheet-GPC'!BW22="n/a","n/a",IF('Capital IQ Sheet-GPC'!BW22&gt;'Equity Vol'!$P$3,"NM",IF('Capital IQ Sheet-GPC'!BW22&lt;'Equity Vol'!$R$3,"NM",'Capital IQ Sheet-GPC'!BW22)))</f>
        <v>0.74667290845052103</v>
      </c>
      <c r="I22" s="51">
        <f>IF('Capital IQ Sheet-GPC'!BX22="n/a","n/a",IF('Capital IQ Sheet-GPC'!BX22&gt;'Equity Vol'!$P$3,"NM",IF('Capital IQ Sheet-GPC'!BX22&lt;'Equity Vol'!$R$3,"NM",'Capital IQ Sheet-GPC'!BX22)))</f>
        <v>0.78612432866511328</v>
      </c>
      <c r="J22" s="51">
        <f>IF('Capital IQ Sheet-GPC'!BY22="n/a","n/a",IF('Capital IQ Sheet-GPC'!BY22&gt;'Equity Vol'!$P$3,"NM",IF('Capital IQ Sheet-GPC'!BY22&lt;'Equity Vol'!$R$3,"NM",'Capital IQ Sheet-GPC'!BY22)))</f>
        <v>0.79038060209848571</v>
      </c>
      <c r="K22" s="51">
        <f>IF('Capital IQ Sheet-GPC'!BZ22="n/a","n/a",IF('Capital IQ Sheet-GPC'!BZ22&gt;'Equity Vol'!$P$3,"NM",IF('Capital IQ Sheet-GPC'!BZ22&lt;'Equity Vol'!$R$3,"NM",'Capital IQ Sheet-GPC'!BZ22)))</f>
        <v>0.76631316661183047</v>
      </c>
      <c r="M22" s="201" t="str">
        <f>'MASTER PubCo Inputs'!B37</f>
        <v>NasdaqGM:FOLD</v>
      </c>
      <c r="O22" s="756">
        <f>'Capital IQ Sheet-GPC'!G22</f>
        <v>39233</v>
      </c>
    </row>
    <row r="23" spans="2:15" ht="12.75" customHeight="1">
      <c r="B23" s="310" t="str">
        <f>Comp.1!B25</f>
        <v>Myovant Sciences Ltd.</v>
      </c>
      <c r="D23" s="51">
        <f>IF('Capital IQ Sheet-GPC'!BS23="n/a","n/a",IF('Capital IQ Sheet-GPC'!BS23&gt;'Equity Vol'!$P$3,"NM",IF('Capital IQ Sheet-GPC'!BS23&lt;'Equity Vol'!$R$3,"NM",'Capital IQ Sheet-GPC'!BS23)))</f>
        <v>0.56623364830270728</v>
      </c>
      <c r="E23" s="51">
        <f>IF('Capital IQ Sheet-GPC'!BT23="n/a","n/a",IF('Capital IQ Sheet-GPC'!BT23&gt;'Equity Vol'!$P$3,"NM",IF('Capital IQ Sheet-GPC'!BT23&lt;'Equity Vol'!$R$3,"NM",'Capital IQ Sheet-GPC'!BT23)))</f>
        <v>0.58241620249703041</v>
      </c>
      <c r="F23" s="1192">
        <f t="shared" ref="F23:K23" si="1">E23</f>
        <v>0.58241620249703041</v>
      </c>
      <c r="G23" s="1192">
        <f t="shared" si="1"/>
        <v>0.58241620249703041</v>
      </c>
      <c r="H23" s="1192">
        <f t="shared" si="1"/>
        <v>0.58241620249703041</v>
      </c>
      <c r="I23" s="1192">
        <f t="shared" si="1"/>
        <v>0.58241620249703041</v>
      </c>
      <c r="J23" s="1192">
        <f t="shared" si="1"/>
        <v>0.58241620249703041</v>
      </c>
      <c r="K23" s="1192">
        <f t="shared" si="1"/>
        <v>0.58241620249703041</v>
      </c>
      <c r="M23" s="201" t="str">
        <f>'MASTER PubCo Inputs'!B38</f>
        <v>NYSE:MYOV</v>
      </c>
      <c r="O23" s="756">
        <f>'Capital IQ Sheet-GPC'!G23</f>
        <v>42670</v>
      </c>
    </row>
    <row r="24" spans="2:15" ht="12.75" customHeight="1">
      <c r="B24" s="310" t="str">
        <f>Comp.1!B26</f>
        <v>Lexicon Pharmaceuticals, Inc.</v>
      </c>
      <c r="D24" s="51">
        <f>IF('Capital IQ Sheet-GPC'!BS24="n/a","n/a",IF('Capital IQ Sheet-GPC'!BS24&gt;'Equity Vol'!$P$3,"NM",IF('Capital IQ Sheet-GPC'!BS24&lt;'Equity Vol'!$R$3,"NM",'Capital IQ Sheet-GPC'!BS24)))</f>
        <v>0.47847696610761248</v>
      </c>
      <c r="E24" s="51">
        <f>IF('Capital IQ Sheet-GPC'!BT24="n/a","n/a",IF('Capital IQ Sheet-GPC'!BT24&gt;'Equity Vol'!$P$3,"NM",IF('Capital IQ Sheet-GPC'!BT24&lt;'Equity Vol'!$R$3,"NM",'Capital IQ Sheet-GPC'!BT24)))</f>
        <v>0.46011894801782688</v>
      </c>
      <c r="F24" s="51">
        <f>IF('Capital IQ Sheet-GPC'!BU24="n/a","n/a",IF('Capital IQ Sheet-GPC'!BU24&gt;'Equity Vol'!$P$3,"NM",IF('Capital IQ Sheet-GPC'!BU24&lt;'Equity Vol'!$R$3,"NM",'Capital IQ Sheet-GPC'!BU24)))</f>
        <v>0.6049406608063348</v>
      </c>
      <c r="G24" s="51">
        <f>IF('Capital IQ Sheet-GPC'!BV24="n/a","n/a",IF('Capital IQ Sheet-GPC'!BV24&gt;'Equity Vol'!$P$3,"NM",IF('Capital IQ Sheet-GPC'!BV24&lt;'Equity Vol'!$R$3,"NM",'Capital IQ Sheet-GPC'!BV24)))</f>
        <v>0.59377047190641041</v>
      </c>
      <c r="H24" s="51">
        <f>IF('Capital IQ Sheet-GPC'!BW24="n/a","n/a",IF('Capital IQ Sheet-GPC'!BW24&gt;'Equity Vol'!$P$3,"NM",IF('Capital IQ Sheet-GPC'!BW24&lt;'Equity Vol'!$R$3,"NM",'Capital IQ Sheet-GPC'!BW24)))</f>
        <v>0.58931085772614611</v>
      </c>
      <c r="I24" s="51">
        <f>IF('Capital IQ Sheet-GPC'!BX24="n/a","n/a",IF('Capital IQ Sheet-GPC'!BX24&gt;'Equity Vol'!$P$3,"NM",IF('Capital IQ Sheet-GPC'!BX24&lt;'Equity Vol'!$R$3,"NM",'Capital IQ Sheet-GPC'!BX24)))</f>
        <v>0.58268908094598493</v>
      </c>
      <c r="J24" s="51">
        <f>IF('Capital IQ Sheet-GPC'!BY24="n/a","n/a",IF('Capital IQ Sheet-GPC'!BY24&gt;'Equity Vol'!$P$3,"NM",IF('Capital IQ Sheet-GPC'!BY24&lt;'Equity Vol'!$R$3,"NM",'Capital IQ Sheet-GPC'!BY24)))</f>
        <v>0.61820281445367398</v>
      </c>
      <c r="K24" s="51">
        <f>IF('Capital IQ Sheet-GPC'!BZ24="n/a","n/a",IF('Capital IQ Sheet-GPC'!BZ24&gt;'Equity Vol'!$P$3,"NM",IF('Capital IQ Sheet-GPC'!BZ24&lt;'Equity Vol'!$R$3,"NM",'Capital IQ Sheet-GPC'!BZ24)))</f>
        <v>0.63024912702689206</v>
      </c>
      <c r="M24" s="201" t="str">
        <f>'MASTER PubCo Inputs'!B39</f>
        <v>NasdaqGS:LXRX</v>
      </c>
      <c r="O24" s="756">
        <f>'Capital IQ Sheet-GPC'!G24</f>
        <v>36623</v>
      </c>
    </row>
    <row r="25" spans="2:15" ht="12.75" customHeight="1">
      <c r="B25" s="310" t="str">
        <f>Comp.1!B27</f>
        <v>Rhythm Pharmaceuticals, Inc.</v>
      </c>
      <c r="D25" s="2409" t="s">
        <v>504</v>
      </c>
      <c r="E25" s="2409" t="str">
        <f>D25</f>
        <v>NM</v>
      </c>
      <c r="F25" s="2409" t="str">
        <f t="shared" ref="F25:K25" si="2">E25</f>
        <v>NM</v>
      </c>
      <c r="G25" s="2409" t="str">
        <f t="shared" si="2"/>
        <v>NM</v>
      </c>
      <c r="H25" s="2409" t="str">
        <f t="shared" si="2"/>
        <v>NM</v>
      </c>
      <c r="I25" s="2409" t="str">
        <f t="shared" si="2"/>
        <v>NM</v>
      </c>
      <c r="J25" s="2409" t="str">
        <f t="shared" si="2"/>
        <v>NM</v>
      </c>
      <c r="K25" s="2409" t="str">
        <f t="shared" si="2"/>
        <v>NM</v>
      </c>
      <c r="M25" s="201" t="str">
        <f>'MASTER PubCo Inputs'!B40</f>
        <v>NasdaqGM:RYTM</v>
      </c>
      <c r="O25" s="756">
        <f>'Capital IQ Sheet-GPC'!G25</f>
        <v>43013</v>
      </c>
    </row>
    <row r="26" spans="2:15" ht="12.75" customHeight="1">
      <c r="B26" s="310" t="str">
        <f>Comp.1!B28</f>
        <v>Aptinyx Inc.</v>
      </c>
      <c r="D26" s="2409" t="s">
        <v>504</v>
      </c>
      <c r="E26" s="2409" t="str">
        <f>D26</f>
        <v>NM</v>
      </c>
      <c r="F26" s="2409" t="str">
        <f t="shared" ref="F26:K26" si="3">E26</f>
        <v>NM</v>
      </c>
      <c r="G26" s="2409" t="str">
        <f t="shared" si="3"/>
        <v>NM</v>
      </c>
      <c r="H26" s="2409" t="str">
        <f t="shared" si="3"/>
        <v>NM</v>
      </c>
      <c r="I26" s="2409" t="str">
        <f t="shared" si="3"/>
        <v>NM</v>
      </c>
      <c r="J26" s="2409" t="str">
        <f t="shared" si="3"/>
        <v>NM</v>
      </c>
      <c r="K26" s="2409" t="str">
        <f t="shared" si="3"/>
        <v>NM</v>
      </c>
      <c r="M26" s="201" t="str">
        <f>'MASTER PubCo Inputs'!B41</f>
        <v>NasdaqGS:APTX</v>
      </c>
      <c r="O26" s="756">
        <f>'Capital IQ Sheet-GPC'!G26</f>
        <v>43272</v>
      </c>
    </row>
    <row r="27" spans="2:15" ht="12.75" customHeight="1">
      <c r="B27" s="310" t="str">
        <f>Comp.1!B29</f>
        <v>BeyondSpring Inc.</v>
      </c>
      <c r="D27" s="51">
        <f>IF('Capital IQ Sheet-GPC'!BS27="n/a","n/a",IF('Capital IQ Sheet-GPC'!BS27&gt;'Equity Vol'!$P$3,"NM",IF('Capital IQ Sheet-GPC'!BS27&lt;'Equity Vol'!$R$3,"NM",'Capital IQ Sheet-GPC'!BS27)))</f>
        <v>0.76402375856046234</v>
      </c>
      <c r="E27" s="51">
        <f>IF('Capital IQ Sheet-GPC'!BT27="n/a","n/a",IF('Capital IQ Sheet-GPC'!BT27&gt;'Equity Vol'!$P$3,"NM",IF('Capital IQ Sheet-GPC'!BT27&lt;'Equity Vol'!$R$3,"NM",'Capital IQ Sheet-GPC'!BT27)))</f>
        <v>0.74997182580919175</v>
      </c>
      <c r="F27" s="1192">
        <f t="shared" ref="F27:K27" si="4">E27</f>
        <v>0.74997182580919175</v>
      </c>
      <c r="G27" s="1192">
        <f t="shared" si="4"/>
        <v>0.74997182580919175</v>
      </c>
      <c r="H27" s="1192">
        <f t="shared" si="4"/>
        <v>0.74997182580919175</v>
      </c>
      <c r="I27" s="1192">
        <f t="shared" si="4"/>
        <v>0.74997182580919175</v>
      </c>
      <c r="J27" s="1192">
        <f t="shared" si="4"/>
        <v>0.74997182580919175</v>
      </c>
      <c r="K27" s="1192">
        <f t="shared" si="4"/>
        <v>0.74997182580919175</v>
      </c>
      <c r="M27" s="201" t="str">
        <f>'MASTER PubCo Inputs'!B42</f>
        <v>NasdaqCM:BYSI</v>
      </c>
      <c r="O27" s="756">
        <f>'Capital IQ Sheet-GPC'!G27</f>
        <v>42803</v>
      </c>
    </row>
    <row r="28" spans="2:15" ht="12.75" customHeight="1">
      <c r="B28" s="310" t="str">
        <f>Comp.1!B30</f>
        <v>CymaBay Therapeutics, Inc.</v>
      </c>
      <c r="D28" s="51">
        <f>IF('Capital IQ Sheet-GPC'!BS28="n/a","n/a",IF('Capital IQ Sheet-GPC'!BS28&gt;'Equity Vol'!$P$3,"NM",IF('Capital IQ Sheet-GPC'!BS28&lt;'Equity Vol'!$R$3,"NM",'Capital IQ Sheet-GPC'!BS28)))</f>
        <v>0.61574222287267066</v>
      </c>
      <c r="E28" s="51">
        <f>IF('Capital IQ Sheet-GPC'!BT28="n/a","n/a",IF('Capital IQ Sheet-GPC'!BT28&gt;'Equity Vol'!$P$3,"NM",IF('Capital IQ Sheet-GPC'!BT28&lt;'Equity Vol'!$R$3,"NM",'Capital IQ Sheet-GPC'!BT28)))</f>
        <v>0.68436083114667368</v>
      </c>
      <c r="F28" s="51">
        <f>IF('Capital IQ Sheet-GPC'!BU28="n/a","n/a",IF('Capital IQ Sheet-GPC'!BU28&gt;'Equity Vol'!$P$3,"NM",IF('Capital IQ Sheet-GPC'!BU28&lt;'Equity Vol'!$R$3,"NM",'Capital IQ Sheet-GPC'!BU28)))</f>
        <v>0.80159679860663302</v>
      </c>
      <c r="G28" s="51">
        <f>IF('Capital IQ Sheet-GPC'!BV28="n/a","n/a",IF('Capital IQ Sheet-GPC'!BV28&gt;'Equity Vol'!$P$3,"NM",IF('Capital IQ Sheet-GPC'!BV28&lt;'Equity Vol'!$R$3,"NM",'Capital IQ Sheet-GPC'!BV28)))</f>
        <v>0.81333488102131191</v>
      </c>
      <c r="H28" s="51">
        <f>IF('Capital IQ Sheet-GPC'!BW28="n/a","n/a",IF('Capital IQ Sheet-GPC'!BW28&gt;'Equity Vol'!$P$3,"NM",IF('Capital IQ Sheet-GPC'!BW28&lt;'Equity Vol'!$R$3,"NM",'Capital IQ Sheet-GPC'!BW28)))</f>
        <v>0.82185143184977794</v>
      </c>
      <c r="I28" s="1192">
        <f t="shared" ref="I28:K30" si="5">H28</f>
        <v>0.82185143184977794</v>
      </c>
      <c r="J28" s="1192">
        <f t="shared" si="5"/>
        <v>0.82185143184977794</v>
      </c>
      <c r="K28" s="1192">
        <f t="shared" si="5"/>
        <v>0.82185143184977794</v>
      </c>
      <c r="M28" s="201" t="str">
        <f>'MASTER PubCo Inputs'!B43</f>
        <v>NasdaqGS:CBAY</v>
      </c>
      <c r="O28" s="756">
        <f>'Capital IQ Sheet-GPC'!G28</f>
        <v>41663</v>
      </c>
    </row>
    <row r="29" spans="2:15" ht="12.75" customHeight="1">
      <c r="B29" s="310" t="str">
        <f>Comp.1!B31</f>
        <v>Intra-Cellular Therapies, Inc.</v>
      </c>
      <c r="D29" s="51">
        <f>IF('Capital IQ Sheet-GPC'!BS29="n/a","n/a",IF('Capital IQ Sheet-GPC'!BS29&gt;'Equity Vol'!$P$3,"NM",IF('Capital IQ Sheet-GPC'!BS29&lt;'Equity Vol'!$R$3,"NM",'Capital IQ Sheet-GPC'!BS29)))</f>
        <v>0.61291654484815106</v>
      </c>
      <c r="E29" s="51">
        <f>IF('Capital IQ Sheet-GPC'!BT29="n/a","n/a",IF('Capital IQ Sheet-GPC'!BT29&gt;'Equity Vol'!$P$3,"NM",IF('Capital IQ Sheet-GPC'!BT29&lt;'Equity Vol'!$R$3,"NM",'Capital IQ Sheet-GPC'!BT29)))</f>
        <v>0.93976256879974218</v>
      </c>
      <c r="F29" s="51">
        <f>IF('Capital IQ Sheet-GPC'!BU29="n/a","n/a",IF('Capital IQ Sheet-GPC'!BU29&gt;'Equity Vol'!$P$3,"NM",IF('Capital IQ Sheet-GPC'!BU29&lt;'Equity Vol'!$R$3,"NM",'Capital IQ Sheet-GPC'!BU29)))</f>
        <v>0.95468344999739974</v>
      </c>
      <c r="G29" s="51">
        <f>IF('Capital IQ Sheet-GPC'!BV29="n/a","n/a",IF('Capital IQ Sheet-GPC'!BV29&gt;'Equity Vol'!$P$3,"NM",IF('Capital IQ Sheet-GPC'!BV29&lt;'Equity Vol'!$R$3,"NM",'Capital IQ Sheet-GPC'!BV29)))</f>
        <v>0.87859778643738873</v>
      </c>
      <c r="H29" s="51">
        <f>IF('Capital IQ Sheet-GPC'!BW29="n/a","n/a",IF('Capital IQ Sheet-GPC'!BW29&gt;'Equity Vol'!$P$3,"NM",IF('Capital IQ Sheet-GPC'!BW29&lt;'Equity Vol'!$R$3,"NM",'Capital IQ Sheet-GPC'!BW29)))</f>
        <v>0.85854205399386185</v>
      </c>
      <c r="I29" s="1192">
        <f t="shared" si="5"/>
        <v>0.85854205399386185</v>
      </c>
      <c r="J29" s="1192">
        <f t="shared" si="5"/>
        <v>0.85854205399386185</v>
      </c>
      <c r="K29" s="1192">
        <f t="shared" si="5"/>
        <v>0.85854205399386185</v>
      </c>
      <c r="M29" s="201" t="str">
        <f>'MASTER PubCo Inputs'!B44</f>
        <v>NasdaqGS:ITCI</v>
      </c>
      <c r="O29" s="756">
        <f>'Capital IQ Sheet-GPC'!G29</f>
        <v>41631</v>
      </c>
    </row>
    <row r="30" spans="2:15" ht="12.75" customHeight="1">
      <c r="B30" s="310" t="str">
        <f>Comp.1!B32</f>
        <v>Viking Therapeutics, Inc.</v>
      </c>
      <c r="D30" s="51">
        <f>IF('Capital IQ Sheet-GPC'!BS30="n/a","n/a",IF('Capital IQ Sheet-GPC'!BS30&gt;'Equity Vol'!$P$3,"NM",IF('Capital IQ Sheet-GPC'!BS30&lt;'Equity Vol'!$R$3,"NM",'Capital IQ Sheet-GPC'!BS30)))</f>
        <v>1.108049474673342</v>
      </c>
      <c r="E30" s="51">
        <f>IF('Capital IQ Sheet-GPC'!BT30="n/a","n/a",IF('Capital IQ Sheet-GPC'!BT30&gt;'Equity Vol'!$P$3,"NM",IF('Capital IQ Sheet-GPC'!BT30&lt;'Equity Vol'!$R$3,"NM",'Capital IQ Sheet-GPC'!BT30)))</f>
        <v>0.90426976033919249</v>
      </c>
      <c r="F30" s="51">
        <f>IF('Capital IQ Sheet-GPC'!BU30="n/a","n/a",IF('Capital IQ Sheet-GPC'!BU30&gt;'Equity Vol'!$P$3,"NM",IF('Capital IQ Sheet-GPC'!BU30&lt;'Equity Vol'!$R$3,"NM",'Capital IQ Sheet-GPC'!BU30)))</f>
        <v>1.0385011747809152</v>
      </c>
      <c r="G30" s="51">
        <f>IF('Capital IQ Sheet-GPC'!BV30="n/a","n/a",IF('Capital IQ Sheet-GPC'!BV30&gt;'Equity Vol'!$P$3,"NM",IF('Capital IQ Sheet-GPC'!BV30&lt;'Equity Vol'!$R$3,"NM",'Capital IQ Sheet-GPC'!BV30)))</f>
        <v>1.018566973519184</v>
      </c>
      <c r="H30" s="1192">
        <f>G30</f>
        <v>1.018566973519184</v>
      </c>
      <c r="I30" s="1192">
        <f t="shared" si="5"/>
        <v>1.018566973519184</v>
      </c>
      <c r="J30" s="1192">
        <f t="shared" si="5"/>
        <v>1.018566973519184</v>
      </c>
      <c r="K30" s="1192">
        <f t="shared" si="5"/>
        <v>1.018566973519184</v>
      </c>
      <c r="M30" s="201" t="str">
        <f>'MASTER PubCo Inputs'!B45</f>
        <v>NasdaqCM:VKTX</v>
      </c>
      <c r="O30" s="756">
        <f>'Capital IQ Sheet-GPC'!G30</f>
        <v>42123</v>
      </c>
    </row>
    <row r="31" spans="2:15" ht="12.75" customHeight="1">
      <c r="B31" s="310" t="str">
        <f>Comp.1!B33</f>
        <v>Xeris Pharmaceuticals, Inc.</v>
      </c>
      <c r="D31" s="2409" t="s">
        <v>504</v>
      </c>
      <c r="E31" s="2409" t="str">
        <f>D31</f>
        <v>NM</v>
      </c>
      <c r="F31" s="2409" t="str">
        <f t="shared" ref="F31:K31" si="6">E31</f>
        <v>NM</v>
      </c>
      <c r="G31" s="2409" t="str">
        <f t="shared" si="6"/>
        <v>NM</v>
      </c>
      <c r="H31" s="2409" t="str">
        <f t="shared" si="6"/>
        <v>NM</v>
      </c>
      <c r="I31" s="2409" t="str">
        <f t="shared" si="6"/>
        <v>NM</v>
      </c>
      <c r="J31" s="2409" t="str">
        <f t="shared" si="6"/>
        <v>NM</v>
      </c>
      <c r="K31" s="2409" t="str">
        <f t="shared" si="6"/>
        <v>NM</v>
      </c>
      <c r="M31" s="201" t="str">
        <f>'MASTER PubCo Inputs'!B46</f>
        <v>NasdaqGS:XERS</v>
      </c>
      <c r="O31" s="756">
        <f>'Capital IQ Sheet-GPC'!G31</f>
        <v>43272</v>
      </c>
    </row>
    <row r="32" spans="2:15" ht="12.75" customHeight="1">
      <c r="B32" s="310" t="str">
        <f>Comp.1!B34</f>
        <v>Odonate Therapeutics, Inc.</v>
      </c>
      <c r="D32" s="2409" t="s">
        <v>504</v>
      </c>
      <c r="E32" s="2409" t="str">
        <f>D32</f>
        <v>NM</v>
      </c>
      <c r="F32" s="2409" t="str">
        <f t="shared" ref="F32:K32" si="7">E32</f>
        <v>NM</v>
      </c>
      <c r="G32" s="2409" t="str">
        <f t="shared" si="7"/>
        <v>NM</v>
      </c>
      <c r="H32" s="2409" t="str">
        <f t="shared" si="7"/>
        <v>NM</v>
      </c>
      <c r="I32" s="2409" t="str">
        <f t="shared" si="7"/>
        <v>NM</v>
      </c>
      <c r="J32" s="2409" t="str">
        <f t="shared" si="7"/>
        <v>NM</v>
      </c>
      <c r="K32" s="2409" t="str">
        <f t="shared" si="7"/>
        <v>NM</v>
      </c>
      <c r="M32" s="201" t="str">
        <f>'MASTER PubCo Inputs'!B47</f>
        <v>NasdaqGS:ODT</v>
      </c>
      <c r="O32" s="756">
        <f>'Capital IQ Sheet-GPC'!G32</f>
        <v>43076</v>
      </c>
    </row>
    <row r="33" spans="2:15" ht="12.75" customHeight="1">
      <c r="B33" s="310" t="str">
        <f>Comp.1!B35</f>
        <v>Nightstar Therapeutics plc</v>
      </c>
      <c r="D33" s="2409" t="s">
        <v>504</v>
      </c>
      <c r="E33" s="2409" t="str">
        <f>D33</f>
        <v>NM</v>
      </c>
      <c r="F33" s="2409" t="str">
        <f t="shared" ref="F33:K33" si="8">E33</f>
        <v>NM</v>
      </c>
      <c r="G33" s="2409" t="str">
        <f t="shared" si="8"/>
        <v>NM</v>
      </c>
      <c r="H33" s="2409" t="str">
        <f t="shared" si="8"/>
        <v>NM</v>
      </c>
      <c r="I33" s="2409" t="str">
        <f t="shared" si="8"/>
        <v>NM</v>
      </c>
      <c r="J33" s="2409" t="str">
        <f t="shared" si="8"/>
        <v>NM</v>
      </c>
      <c r="K33" s="2409" t="str">
        <f t="shared" si="8"/>
        <v>NM</v>
      </c>
      <c r="M33" s="201" t="str">
        <f>'MASTER PubCo Inputs'!B48</f>
        <v>NasdaqGS:NITE</v>
      </c>
      <c r="O33" s="756">
        <f>'Capital IQ Sheet-GPC'!G33</f>
        <v>43006</v>
      </c>
    </row>
    <row r="34" spans="2:15" ht="12.75" customHeight="1">
      <c r="B34" s="310" t="str">
        <f>Comp.1!B36</f>
        <v>Zafgen, Inc.</v>
      </c>
      <c r="D34" s="51">
        <f>IF('Capital IQ Sheet-GPC'!BS34="n/a","n/a",IF('Capital IQ Sheet-GPC'!BS34&gt;'Equity Vol'!$P$3,"NM",IF('Capital IQ Sheet-GPC'!BS34&lt;'Equity Vol'!$R$3,"NM",'Capital IQ Sheet-GPC'!BS34)))</f>
        <v>0.62800291493254212</v>
      </c>
      <c r="E34" s="51">
        <f>IF('Capital IQ Sheet-GPC'!BT34="n/a","n/a",IF('Capital IQ Sheet-GPC'!BT34&gt;'Equity Vol'!$P$3,"NM",IF('Capital IQ Sheet-GPC'!BT34&lt;'Equity Vol'!$R$3,"NM",'Capital IQ Sheet-GPC'!BT34)))</f>
        <v>0.78226227350182032</v>
      </c>
      <c r="F34" s="51">
        <f>IF('Capital IQ Sheet-GPC'!BU34="n/a","n/a",IF('Capital IQ Sheet-GPC'!BU34&gt;'Equity Vol'!$P$3,"NM",IF('Capital IQ Sheet-GPC'!BU34&lt;'Equity Vol'!$R$3,"NM",'Capital IQ Sheet-GPC'!BU34)))</f>
        <v>1.1302394832325817</v>
      </c>
      <c r="G34" s="51">
        <f>IF('Capital IQ Sheet-GPC'!BV34="n/a","n/a",IF('Capital IQ Sheet-GPC'!BV34&gt;'Equity Vol'!$P$3,"NM",IF('Capital IQ Sheet-GPC'!BV34&lt;'Equity Vol'!$R$3,"NM",'Capital IQ Sheet-GPC'!BV34)))</f>
        <v>1.020360192619892</v>
      </c>
      <c r="H34" s="51">
        <f>IF('Capital IQ Sheet-GPC'!BW34="n/a","n/a",IF('Capital IQ Sheet-GPC'!BW34&gt;'Equity Vol'!$P$3,"NM",IF('Capital IQ Sheet-GPC'!BW34&lt;'Equity Vol'!$R$3,"NM",'Capital IQ Sheet-GPC'!BW34)))</f>
        <v>1.0178372234009103</v>
      </c>
      <c r="I34" s="1192">
        <f>H34</f>
        <v>1.0178372234009103</v>
      </c>
      <c r="J34" s="1192">
        <f>I34</f>
        <v>1.0178372234009103</v>
      </c>
      <c r="K34" s="1192">
        <f>J34</f>
        <v>1.0178372234009103</v>
      </c>
      <c r="M34" s="201" t="str">
        <f>'MASTER PubCo Inputs'!B49</f>
        <v>NasdaqGS:ZFGN</v>
      </c>
      <c r="O34" s="756">
        <f>'Capital IQ Sheet-GPC'!G34</f>
        <v>41810</v>
      </c>
    </row>
    <row r="35" spans="2:15" ht="12.75" customHeight="1">
      <c r="B35" s="310" t="str">
        <f>Comp.1!B37</f>
        <v>MediciNova, Inc.</v>
      </c>
      <c r="D35" s="51">
        <f>IF('Capital IQ Sheet-GPC'!BS35="n/a","n/a",IF('Capital IQ Sheet-GPC'!BS35&gt;'Equity Vol'!$P$3,"NM",IF('Capital IQ Sheet-GPC'!BS35&lt;'Equity Vol'!$R$3,"NM",'Capital IQ Sheet-GPC'!BS35)))</f>
        <v>0.61146508834167079</v>
      </c>
      <c r="E35" s="51">
        <f>IF('Capital IQ Sheet-GPC'!BT35="n/a","n/a",IF('Capital IQ Sheet-GPC'!BT35&gt;'Equity Vol'!$P$3,"NM",IF('Capital IQ Sheet-GPC'!BT35&lt;'Equity Vol'!$R$3,"NM",'Capital IQ Sheet-GPC'!BT35)))</f>
        <v>0.51145301585206249</v>
      </c>
      <c r="F35" s="51">
        <f>IF('Capital IQ Sheet-GPC'!BU35="n/a","n/a",IF('Capital IQ Sheet-GPC'!BU35&gt;'Equity Vol'!$P$3,"NM",IF('Capital IQ Sheet-GPC'!BU35&lt;'Equity Vol'!$R$3,"NM",'Capital IQ Sheet-GPC'!BU35)))</f>
        <v>0.53341465176244662</v>
      </c>
      <c r="G35" s="51">
        <f>IF('Capital IQ Sheet-GPC'!BV35="n/a","n/a",IF('Capital IQ Sheet-GPC'!BV35&gt;'Equity Vol'!$P$3,"NM",IF('Capital IQ Sheet-GPC'!BV35&lt;'Equity Vol'!$R$3,"NM",'Capital IQ Sheet-GPC'!BV35)))</f>
        <v>0.60761715593783316</v>
      </c>
      <c r="H35" s="51">
        <f>IF('Capital IQ Sheet-GPC'!BW35="n/a","n/a",IF('Capital IQ Sheet-GPC'!BW35&gt;'Equity Vol'!$P$3,"NM",IF('Capital IQ Sheet-GPC'!BW35&lt;'Equity Vol'!$R$3,"NM",'Capital IQ Sheet-GPC'!BW35)))</f>
        <v>0.59885102392555545</v>
      </c>
      <c r="I35" s="51">
        <f>IF('Capital IQ Sheet-GPC'!BX35="n/a","n/a",IF('Capital IQ Sheet-GPC'!BX35&gt;'Equity Vol'!$P$3,"NM",IF('Capital IQ Sheet-GPC'!BX35&lt;'Equity Vol'!$R$3,"NM",'Capital IQ Sheet-GPC'!BX35)))</f>
        <v>0.65589200493632394</v>
      </c>
      <c r="J35" s="51">
        <f>IF('Capital IQ Sheet-GPC'!BY35="n/a","n/a",IF('Capital IQ Sheet-GPC'!BY35&gt;'Equity Vol'!$P$3,"NM",IF('Capital IQ Sheet-GPC'!BY35&lt;'Equity Vol'!$R$3,"NM",'Capital IQ Sheet-GPC'!BY35)))</f>
        <v>0.70481835225978662</v>
      </c>
      <c r="K35" s="51">
        <f>IF('Capital IQ Sheet-GPC'!BZ35="n/a","n/a",IF('Capital IQ Sheet-GPC'!BZ35&gt;'Equity Vol'!$P$3,"NM",IF('Capital IQ Sheet-GPC'!BZ35&lt;'Equity Vol'!$R$3,"NM",'Capital IQ Sheet-GPC'!BZ35)))</f>
        <v>0.722839947982026</v>
      </c>
      <c r="M35" s="201" t="str">
        <f>'MASTER PubCo Inputs'!B50</f>
        <v>NasdaqGM:MNOV</v>
      </c>
      <c r="O35" s="756">
        <f>'Capital IQ Sheet-GPC'!G35</f>
        <v>39058</v>
      </c>
    </row>
    <row r="36" spans="2:15" ht="12.75" customHeight="1">
      <c r="B36" s="310" t="str">
        <f>Comp.1!B38</f>
        <v>AVEO Pharmaceuticals, Inc.</v>
      </c>
      <c r="D36" s="51">
        <f>IF('Capital IQ Sheet-GPC'!BS36="n/a","n/a",IF('Capital IQ Sheet-GPC'!BS36&gt;'Equity Vol'!$P$3,"NM",IF('Capital IQ Sheet-GPC'!BS36&lt;'Equity Vol'!$R$3,"NM",'Capital IQ Sheet-GPC'!BS36)))</f>
        <v>0.64238582139805211</v>
      </c>
      <c r="E36" s="51">
        <f>IF('Capital IQ Sheet-GPC'!BT36="n/a","n/a",IF('Capital IQ Sheet-GPC'!BT36&gt;'Equity Vol'!$P$3,"NM",IF('Capital IQ Sheet-GPC'!BT36&lt;'Equity Vol'!$R$3,"NM",'Capital IQ Sheet-GPC'!BT36)))</f>
        <v>0.80569706584351064</v>
      </c>
      <c r="F36" s="51">
        <f>IF('Capital IQ Sheet-GPC'!BU36="n/a","n/a",IF('Capital IQ Sheet-GPC'!BU36&gt;'Equity Vol'!$P$3,"NM",IF('Capital IQ Sheet-GPC'!BU36&lt;'Equity Vol'!$R$3,"NM",'Capital IQ Sheet-GPC'!BU36)))</f>
        <v>0.78126941231523839</v>
      </c>
      <c r="G36" s="51">
        <f>IF('Capital IQ Sheet-GPC'!BV36="n/a","n/a",IF('Capital IQ Sheet-GPC'!BV36&gt;'Equity Vol'!$P$3,"NM",IF('Capital IQ Sheet-GPC'!BV36&lt;'Equity Vol'!$R$3,"NM",'Capital IQ Sheet-GPC'!BV36)))</f>
        <v>0.81853123590133092</v>
      </c>
      <c r="H36" s="51">
        <f>IF('Capital IQ Sheet-GPC'!BW36="n/a","n/a",IF('Capital IQ Sheet-GPC'!BW36&gt;'Equity Vol'!$P$3,"NM",IF('Capital IQ Sheet-GPC'!BW36&lt;'Equity Vol'!$R$3,"NM",'Capital IQ Sheet-GPC'!BW36)))</f>
        <v>0.7640873487153691</v>
      </c>
      <c r="I36" s="51">
        <f>IF('Capital IQ Sheet-GPC'!BX36="n/a","n/a",IF('Capital IQ Sheet-GPC'!BX36&gt;'Equity Vol'!$P$3,"NM",IF('Capital IQ Sheet-GPC'!BX36&lt;'Equity Vol'!$R$3,"NM",'Capital IQ Sheet-GPC'!BX36)))</f>
        <v>0.81245388350940684</v>
      </c>
      <c r="J36" s="51">
        <f>IF('Capital IQ Sheet-GPC'!BY36="n/a","n/a",IF('Capital IQ Sheet-GPC'!BY36&gt;'Equity Vol'!$P$3,"NM",IF('Capital IQ Sheet-GPC'!BY36&lt;'Equity Vol'!$R$3,"NM",'Capital IQ Sheet-GPC'!BY36)))</f>
        <v>0.77490205003981816</v>
      </c>
      <c r="K36" s="51">
        <f>IF('Capital IQ Sheet-GPC'!BZ36="n/a","n/a",IF('Capital IQ Sheet-GPC'!BZ36&gt;'Equity Vol'!$P$3,"NM",IF('Capital IQ Sheet-GPC'!BZ36&lt;'Equity Vol'!$R$3,"NM",'Capital IQ Sheet-GPC'!BZ36)))</f>
        <v>0.75339036861295994</v>
      </c>
      <c r="M36" s="201" t="str">
        <f>'MASTER PubCo Inputs'!B51</f>
        <v>NasdaqCM:AVEO</v>
      </c>
      <c r="O36" s="756">
        <f>'Capital IQ Sheet-GPC'!G36</f>
        <v>40249</v>
      </c>
    </row>
    <row r="37" spans="2:15" ht="12.75" customHeight="1">
      <c r="B37" s="310" t="str">
        <f>Comp.1!B39</f>
        <v>BioTime, Inc.</v>
      </c>
      <c r="D37" s="51">
        <f>IF('Capital IQ Sheet-GPC'!BS37="n/a","n/a",IF('Capital IQ Sheet-GPC'!BS37&gt;'Equity Vol'!$P$3,"NM",IF('Capital IQ Sheet-GPC'!BS37&lt;'Equity Vol'!$R$3,"NM",'Capital IQ Sheet-GPC'!BS37)))</f>
        <v>0.4733738040280821</v>
      </c>
      <c r="E37" s="51">
        <f>IF('Capital IQ Sheet-GPC'!BT37="n/a","n/a",IF('Capital IQ Sheet-GPC'!BT37&gt;'Equity Vol'!$P$3,"NM",IF('Capital IQ Sheet-GPC'!BT37&lt;'Equity Vol'!$R$3,"NM",'Capital IQ Sheet-GPC'!BT37)))</f>
        <v>0.49807450607799941</v>
      </c>
      <c r="F37" s="51">
        <f>IF('Capital IQ Sheet-GPC'!BU37="n/a","n/a",IF('Capital IQ Sheet-GPC'!BU37&gt;'Equity Vol'!$P$3,"NM",IF('Capital IQ Sheet-GPC'!BU37&lt;'Equity Vol'!$R$3,"NM",'Capital IQ Sheet-GPC'!BU37)))</f>
        <v>0.5704375475118042</v>
      </c>
      <c r="G37" s="51">
        <f>IF('Capital IQ Sheet-GPC'!BV37="n/a","n/a",IF('Capital IQ Sheet-GPC'!BV37&gt;'Equity Vol'!$P$3,"NM",IF('Capital IQ Sheet-GPC'!BV37&lt;'Equity Vol'!$R$3,"NM",'Capital IQ Sheet-GPC'!BV37)))</f>
        <v>0.57622206874852833</v>
      </c>
      <c r="H37" s="51">
        <f>IF('Capital IQ Sheet-GPC'!BW37="n/a","n/a",IF('Capital IQ Sheet-GPC'!BW37&gt;'Equity Vol'!$P$3,"NM",IF('Capital IQ Sheet-GPC'!BW37&lt;'Equity Vol'!$R$3,"NM",'Capital IQ Sheet-GPC'!BW37)))</f>
        <v>0.55991745269550841</v>
      </c>
      <c r="I37" s="51">
        <f>IF('Capital IQ Sheet-GPC'!BX37="n/a","n/a",IF('Capital IQ Sheet-GPC'!BX37&gt;'Equity Vol'!$P$3,"NM",IF('Capital IQ Sheet-GPC'!BX37&lt;'Equity Vol'!$R$3,"NM",'Capital IQ Sheet-GPC'!BX37)))</f>
        <v>0.55652423222443714</v>
      </c>
      <c r="J37" s="51">
        <f>IF('Capital IQ Sheet-GPC'!BY37="n/a","n/a",IF('Capital IQ Sheet-GPC'!BY37&gt;'Equity Vol'!$P$3,"NM",IF('Capital IQ Sheet-GPC'!BY37&lt;'Equity Vol'!$R$3,"NM",'Capital IQ Sheet-GPC'!BY37)))</f>
        <v>0.57819565801864048</v>
      </c>
      <c r="K37" s="51">
        <f>IF('Capital IQ Sheet-GPC'!BZ37="n/a","n/a",IF('Capital IQ Sheet-GPC'!BZ37&gt;'Equity Vol'!$P$3,"NM",IF('Capital IQ Sheet-GPC'!BZ37&lt;'Equity Vol'!$R$3,"NM",'Capital IQ Sheet-GPC'!BZ37)))</f>
        <v>0.58388735351943744</v>
      </c>
      <c r="M37" s="201" t="str">
        <f>'MASTER PubCo Inputs'!B52</f>
        <v>AMEX:BTX</v>
      </c>
      <c r="O37" s="756">
        <f>'Capital IQ Sheet-GPC'!G37</f>
        <v>33668</v>
      </c>
    </row>
    <row r="38" spans="2:15" ht="12.75" customHeight="1">
      <c r="B38" s="310" t="str">
        <f>Comp.1!B40</f>
        <v>Cytokinetics, Incorporated</v>
      </c>
      <c r="D38" s="51">
        <f>IF('Capital IQ Sheet-GPC'!BS38="n/a","n/a",IF('Capital IQ Sheet-GPC'!BS38&gt;'Equity Vol'!$P$3,"NM",IF('Capital IQ Sheet-GPC'!BS38&lt;'Equity Vol'!$R$3,"NM",'Capital IQ Sheet-GPC'!BS38)))</f>
        <v>0.63990529213013903</v>
      </c>
      <c r="E38" s="51">
        <f>IF('Capital IQ Sheet-GPC'!BT38="n/a","n/a",IF('Capital IQ Sheet-GPC'!BT38&gt;'Equity Vol'!$P$3,"NM",IF('Capital IQ Sheet-GPC'!BT38&lt;'Equity Vol'!$R$3,"NM",'Capital IQ Sheet-GPC'!BT38)))</f>
        <v>0.57025368499276863</v>
      </c>
      <c r="F38" s="51">
        <f>IF('Capital IQ Sheet-GPC'!BU38="n/a","n/a",IF('Capital IQ Sheet-GPC'!BU38&gt;'Equity Vol'!$P$3,"NM",IF('Capital IQ Sheet-GPC'!BU38&lt;'Equity Vol'!$R$3,"NM",'Capital IQ Sheet-GPC'!BU38)))</f>
        <v>0.58226071681264757</v>
      </c>
      <c r="G38" s="51">
        <f>IF('Capital IQ Sheet-GPC'!BV38="n/a","n/a",IF('Capital IQ Sheet-GPC'!BV38&gt;'Equity Vol'!$P$3,"NM",IF('Capital IQ Sheet-GPC'!BV38&lt;'Equity Vol'!$R$3,"NM",'Capital IQ Sheet-GPC'!BV38)))</f>
        <v>0.59048079054178071</v>
      </c>
      <c r="H38" s="51">
        <f>IF('Capital IQ Sheet-GPC'!BW38="n/a","n/a",IF('Capital IQ Sheet-GPC'!BW38&gt;'Equity Vol'!$P$3,"NM",IF('Capital IQ Sheet-GPC'!BW38&lt;'Equity Vol'!$R$3,"NM",'Capital IQ Sheet-GPC'!BW38)))</f>
        <v>0.77261302070781535</v>
      </c>
      <c r="I38" s="51">
        <f>IF('Capital IQ Sheet-GPC'!BX38="n/a","n/a",IF('Capital IQ Sheet-GPC'!BX38&gt;'Equity Vol'!$P$3,"NM",IF('Capital IQ Sheet-GPC'!BX38&lt;'Equity Vol'!$R$3,"NM",'Capital IQ Sheet-GPC'!BX38)))</f>
        <v>0.76369409644724728</v>
      </c>
      <c r="J38" s="51">
        <f>IF('Capital IQ Sheet-GPC'!BY38="n/a","n/a",IF('Capital IQ Sheet-GPC'!BY38&gt;'Equity Vol'!$P$3,"NM",IF('Capital IQ Sheet-GPC'!BY38&lt;'Equity Vol'!$R$3,"NM",'Capital IQ Sheet-GPC'!BY38)))</f>
        <v>0.73878952913576046</v>
      </c>
      <c r="K38" s="51">
        <f>IF('Capital IQ Sheet-GPC'!BZ38="n/a","n/a",IF('Capital IQ Sheet-GPC'!BZ38&gt;'Equity Vol'!$P$3,"NM",IF('Capital IQ Sheet-GPC'!BZ38&lt;'Equity Vol'!$R$3,"NM",'Capital IQ Sheet-GPC'!BZ38)))</f>
        <v>0.71859779538897817</v>
      </c>
      <c r="M38" s="201" t="str">
        <f>'MASTER PubCo Inputs'!B53</f>
        <v>NasdaqGS:CYTK</v>
      </c>
      <c r="O38" s="756">
        <f>'Capital IQ Sheet-GPC'!G38</f>
        <v>38106</v>
      </c>
    </row>
    <row r="39" spans="2:15" ht="12.75" customHeight="1">
      <c r="B39" s="310" t="str">
        <f>Comp.1!B41</f>
        <v>Emisphere Technologies, Inc.</v>
      </c>
      <c r="D39" s="2409" t="str">
        <f>IF('Capital IQ Sheet-GPC'!BS39="n/a","n/a",IF('Capital IQ Sheet-GPC'!BS39&gt;'Equity Vol'!$P$3,"NM",IF('Capital IQ Sheet-GPC'!BS39&lt;'Equity Vol'!$R$3,"NM",'Capital IQ Sheet-GPC'!BS39)))</f>
        <v>NM</v>
      </c>
      <c r="E39" s="51">
        <f>IF('Capital IQ Sheet-GPC'!BT39="n/a","n/a",IF('Capital IQ Sheet-GPC'!BT39&gt;'Equity Vol'!$P$3,"NM",IF('Capital IQ Sheet-GPC'!BT39&lt;'Equity Vol'!$R$3,"NM",'Capital IQ Sheet-GPC'!BT39)))</f>
        <v>1.0359651399937104</v>
      </c>
      <c r="F39" s="51">
        <f>IF('Capital IQ Sheet-GPC'!BU39="n/a","n/a",IF('Capital IQ Sheet-GPC'!BU39&gt;'Equity Vol'!$P$3,"NM",IF('Capital IQ Sheet-GPC'!BU39&lt;'Equity Vol'!$R$3,"NM",'Capital IQ Sheet-GPC'!BU39)))</f>
        <v>0.98986301930255416</v>
      </c>
      <c r="G39" s="51">
        <f>IF('Capital IQ Sheet-GPC'!BV39="n/a","n/a",IF('Capital IQ Sheet-GPC'!BV39&gt;'Equity Vol'!$P$3,"NM",IF('Capital IQ Sheet-GPC'!BV39&lt;'Equity Vol'!$R$3,"NM",'Capital IQ Sheet-GPC'!BV39)))</f>
        <v>1.0778242537289762</v>
      </c>
      <c r="H39" s="51">
        <f>IF('Capital IQ Sheet-GPC'!BW39="n/a","n/a",IF('Capital IQ Sheet-GPC'!BW39&gt;'Equity Vol'!$P$3,"NM",IF('Capital IQ Sheet-GPC'!BW39&lt;'Equity Vol'!$R$3,"NM",'Capital IQ Sheet-GPC'!BW39)))</f>
        <v>1.1176246792128453</v>
      </c>
      <c r="I39" s="2409" t="str">
        <f>IF('Capital IQ Sheet-GPC'!BX39="n/a","n/a",IF('Capital IQ Sheet-GPC'!BX39&gt;'Equity Vol'!$P$3,"NM",IF('Capital IQ Sheet-GPC'!BX39&lt;'Equity Vol'!$R$3,"NM",'Capital IQ Sheet-GPC'!BX39)))</f>
        <v>NM</v>
      </c>
      <c r="J39" s="2409" t="str">
        <f>IF('Capital IQ Sheet-GPC'!BY39="n/a","n/a",IF('Capital IQ Sheet-GPC'!BY39&gt;'Equity Vol'!$P$3,"NM",IF('Capital IQ Sheet-GPC'!BY39&lt;'Equity Vol'!$R$3,"NM",'Capital IQ Sheet-GPC'!BY39)))</f>
        <v>NM</v>
      </c>
      <c r="K39" s="2409" t="str">
        <f>IF('Capital IQ Sheet-GPC'!BZ39="n/a","n/a",IF('Capital IQ Sheet-GPC'!BZ39&gt;'Equity Vol'!$P$3,"NM",IF('Capital IQ Sheet-GPC'!BZ39&lt;'Equity Vol'!$R$3,"NM",'Capital IQ Sheet-GPC'!BZ39)))</f>
        <v>NM</v>
      </c>
      <c r="M39" s="201" t="str">
        <f>'MASTER PubCo Inputs'!B54</f>
        <v>OTCPK:EMIS</v>
      </c>
      <c r="O39" s="756">
        <f>'Capital IQ Sheet-GPC'!G39</f>
        <v>32548</v>
      </c>
    </row>
    <row r="40" spans="2:15" ht="12.75" customHeight="1">
      <c r="B40" s="310" t="str">
        <f>Comp.1!B42</f>
        <v>CohBar, Inc.</v>
      </c>
      <c r="D40" s="51">
        <f>IF('Capital IQ Sheet-GPC'!BS40="n/a","n/a",IF('Capital IQ Sheet-GPC'!BS40&gt;'Equity Vol'!$P$3,"NM",IF('Capital IQ Sheet-GPC'!BS40&lt;'Equity Vol'!$R$3,"NM",'Capital IQ Sheet-GPC'!BS40)))</f>
        <v>1.1006050499094084</v>
      </c>
      <c r="E40" s="51">
        <f>IF('Capital IQ Sheet-GPC'!BT40="n/a","n/a",IF('Capital IQ Sheet-GPC'!BT40&gt;'Equity Vol'!$P$3,"NM",IF('Capital IQ Sheet-GPC'!BT40&lt;'Equity Vol'!$R$3,"NM",'Capital IQ Sheet-GPC'!BT40)))</f>
        <v>0.93438496407054028</v>
      </c>
      <c r="F40" s="51">
        <f>IF('Capital IQ Sheet-GPC'!BU40="n/a","n/a",IF('Capital IQ Sheet-GPC'!BU40&gt;'Equity Vol'!$P$3,"NM",IF('Capital IQ Sheet-GPC'!BU40&lt;'Equity Vol'!$R$3,"NM",'Capital IQ Sheet-GPC'!BU40)))</f>
        <v>0.90299942668231514</v>
      </c>
      <c r="G40" s="51">
        <f>IF('Capital IQ Sheet-GPC'!BV40="n/a","n/a",IF('Capital IQ Sheet-GPC'!BV40&gt;'Equity Vol'!$P$3,"NM",IF('Capital IQ Sheet-GPC'!BV40&lt;'Equity Vol'!$R$3,"NM",'Capital IQ Sheet-GPC'!BV40)))</f>
        <v>0.87361088311090229</v>
      </c>
      <c r="H40" s="1192">
        <f t="shared" ref="H40:K41" si="9">G40</f>
        <v>0.87361088311090229</v>
      </c>
      <c r="I40" s="1192">
        <f t="shared" si="9"/>
        <v>0.87361088311090229</v>
      </c>
      <c r="J40" s="1192">
        <f t="shared" si="9"/>
        <v>0.87361088311090229</v>
      </c>
      <c r="K40" s="1192">
        <f t="shared" si="9"/>
        <v>0.87361088311090229</v>
      </c>
      <c r="M40" s="201" t="str">
        <f>'MASTER PubCo Inputs'!B55</f>
        <v>TSXV:COB.U</v>
      </c>
      <c r="O40" s="756">
        <f>'Capital IQ Sheet-GPC'!G40</f>
        <v>42012</v>
      </c>
    </row>
    <row r="41" spans="2:15" ht="12.75" customHeight="1">
      <c r="B41" s="310" t="str">
        <f>Comp.1!B43</f>
        <v>vTv Therapeutics Inc.</v>
      </c>
      <c r="D41" s="2409" t="str">
        <f>IF('Capital IQ Sheet-GPC'!BS41="n/a","n/a",IF('Capital IQ Sheet-GPC'!BS41&gt;'Equity Vol'!$P$3,"NM",IF('Capital IQ Sheet-GPC'!BS41&lt;'Equity Vol'!$R$3,"NM",'Capital IQ Sheet-GPC'!BS41)))</f>
        <v>NM</v>
      </c>
      <c r="E41" s="2409" t="str">
        <f>IF('Capital IQ Sheet-GPC'!BT41="n/a","n/a",IF('Capital IQ Sheet-GPC'!BT41&gt;'Equity Vol'!$P$3,"NM",IF('Capital IQ Sheet-GPC'!BT41&lt;'Equity Vol'!$R$3,"NM",'Capital IQ Sheet-GPC'!BT41)))</f>
        <v>NM</v>
      </c>
      <c r="F41" s="2409" t="str">
        <f>IF('Capital IQ Sheet-GPC'!BU41="n/a","n/a",IF('Capital IQ Sheet-GPC'!BU41&gt;'Equity Vol'!$P$3,"NM",IF('Capital IQ Sheet-GPC'!BU41&lt;'Equity Vol'!$R$3,"NM",'Capital IQ Sheet-GPC'!BU41)))</f>
        <v>NM</v>
      </c>
      <c r="G41" s="2409" t="str">
        <f>F41</f>
        <v>NM</v>
      </c>
      <c r="H41" s="2409" t="str">
        <f t="shared" si="9"/>
        <v>NM</v>
      </c>
      <c r="I41" s="2409" t="str">
        <f t="shared" si="9"/>
        <v>NM</v>
      </c>
      <c r="J41" s="2409" t="str">
        <f t="shared" si="9"/>
        <v>NM</v>
      </c>
      <c r="K41" s="2409" t="str">
        <f t="shared" si="9"/>
        <v>NM</v>
      </c>
      <c r="M41" s="201" t="str">
        <f>'MASTER PubCo Inputs'!B56</f>
        <v>NasdaqGM:VTVT</v>
      </c>
      <c r="O41" s="756">
        <f>'Capital IQ Sheet-GPC'!G41</f>
        <v>42215</v>
      </c>
    </row>
    <row r="42" spans="2:15" ht="12.75" customHeight="1">
      <c r="B42" s="310" t="str">
        <f>Comp.1!B44</f>
        <v>Rezolute, Inc.</v>
      </c>
      <c r="D42" s="2409" t="str">
        <f>IF('Capital IQ Sheet-GPC'!BS42="n/a","n/a",IF('Capital IQ Sheet-GPC'!BS42&gt;'Equity Vol'!$P$3,"NM",IF('Capital IQ Sheet-GPC'!BS42&lt;'Equity Vol'!$R$3,"NM",'Capital IQ Sheet-GPC'!BS42)))</f>
        <v>NM</v>
      </c>
      <c r="E42" s="51">
        <f>IF('Capital IQ Sheet-GPC'!BT42="n/a","n/a",IF('Capital IQ Sheet-GPC'!BT42&gt;'Equity Vol'!$P$3,"NM",IF('Capital IQ Sheet-GPC'!BT42&lt;'Equity Vol'!$R$3,"NM",'Capital IQ Sheet-GPC'!BT42)))</f>
        <v>1.1830252022901278</v>
      </c>
      <c r="F42" s="2409" t="str">
        <f>IF('Capital IQ Sheet-GPC'!BU42="n/a","n/a",IF('Capital IQ Sheet-GPC'!BU42&gt;'Equity Vol'!$P$3,"NM",IF('Capital IQ Sheet-GPC'!BU42&lt;'Equity Vol'!$R$3,"NM",'Capital IQ Sheet-GPC'!BU42)))</f>
        <v>NM</v>
      </c>
      <c r="G42" s="2409" t="str">
        <f>IF('Capital IQ Sheet-GPC'!BV42="n/a","n/a",IF('Capital IQ Sheet-GPC'!BV42&gt;'Equity Vol'!$P$3,"NM",IF('Capital IQ Sheet-GPC'!BV42&lt;'Equity Vol'!$R$3,"NM",'Capital IQ Sheet-GPC'!BV42)))</f>
        <v>NM</v>
      </c>
      <c r="H42" s="2409" t="str">
        <f>IF('Capital IQ Sheet-GPC'!BW42="n/a","n/a",IF('Capital IQ Sheet-GPC'!BW42&gt;'Equity Vol'!$P$3,"NM",IF('Capital IQ Sheet-GPC'!BW42&lt;'Equity Vol'!$R$3,"NM",'Capital IQ Sheet-GPC'!BW42)))</f>
        <v>NM</v>
      </c>
      <c r="I42" s="2409" t="str">
        <f>IF('Capital IQ Sheet-GPC'!BX42="n/a","n/a",IF('Capital IQ Sheet-GPC'!BX42&gt;'Equity Vol'!$P$3,"NM",IF('Capital IQ Sheet-GPC'!BX42&lt;'Equity Vol'!$R$3,"NM",'Capital IQ Sheet-GPC'!BX42)))</f>
        <v>NM</v>
      </c>
      <c r="J42" s="2409" t="str">
        <f>I42</f>
        <v>NM</v>
      </c>
      <c r="K42" s="2409" t="str">
        <f>J42</f>
        <v>NM</v>
      </c>
      <c r="M42" s="201" t="str">
        <f>'MASTER PubCo Inputs'!B57</f>
        <v>OTCPK:RZLT</v>
      </c>
      <c r="O42" s="756">
        <f>'Capital IQ Sheet-GPC'!G42</f>
        <v>41306</v>
      </c>
    </row>
    <row r="43" spans="2:15" ht="12.75" customHeight="1">
      <c r="B43" s="310" t="str">
        <f>Comp.1!B45</f>
        <v>Boston Therapeutics, Inc.</v>
      </c>
      <c r="D43" s="2409" t="str">
        <f>IF('Capital IQ Sheet-GPC'!BS44="n/a","n/a",IF('Capital IQ Sheet-GPC'!BS44&gt;'Equity Vol'!$P$3,"NM",IF('Capital IQ Sheet-GPC'!BS44&lt;'Equity Vol'!$R$3,"NM",'Capital IQ Sheet-GPC'!BS44)))</f>
        <v>NM</v>
      </c>
      <c r="E43" s="2409" t="str">
        <f>IF('Capital IQ Sheet-GPC'!BT44="n/a","n/a",IF('Capital IQ Sheet-GPC'!BT44&gt;'Equity Vol'!$P$3,"NM",IF('Capital IQ Sheet-GPC'!BT44&lt;'Equity Vol'!$R$3,"NM",'Capital IQ Sheet-GPC'!BT44)))</f>
        <v>NM</v>
      </c>
      <c r="F43" s="2409" t="str">
        <f>IF('Capital IQ Sheet-GPC'!BU44="n/a","n/a",IF('Capital IQ Sheet-GPC'!BU44&gt;'Equity Vol'!$P$3,"NM",IF('Capital IQ Sheet-GPC'!BU44&lt;'Equity Vol'!$R$3,"NM",'Capital IQ Sheet-GPC'!BU44)))</f>
        <v>NM</v>
      </c>
      <c r="G43" s="2409" t="str">
        <f>IF('Capital IQ Sheet-GPC'!BV44="n/a","n/a",IF('Capital IQ Sheet-GPC'!BV44&gt;'Equity Vol'!$P$3,"NM",IF('Capital IQ Sheet-GPC'!BV44&lt;'Equity Vol'!$R$3,"NM",'Capital IQ Sheet-GPC'!BV44)))</f>
        <v>NM</v>
      </c>
      <c r="H43" s="2409" t="str">
        <f>IF('Capital IQ Sheet-GPC'!BW44="n/a","n/a",IF('Capital IQ Sheet-GPC'!BW44&gt;'Equity Vol'!$P$3,"NM",IF('Capital IQ Sheet-GPC'!BW44&lt;'Equity Vol'!$R$3,"NM",'Capital IQ Sheet-GPC'!BW44)))</f>
        <v>NM</v>
      </c>
      <c r="I43" s="2409" t="str">
        <f>IF('Capital IQ Sheet-GPC'!BX44="n/a","n/a",IF('Capital IQ Sheet-GPC'!BX44&gt;'Equity Vol'!$P$3,"NM",IF('Capital IQ Sheet-GPC'!BX44&lt;'Equity Vol'!$R$3,"NM",'Capital IQ Sheet-GPC'!BX44)))</f>
        <v>NM</v>
      </c>
      <c r="J43" s="2409" t="str">
        <f>IF('Capital IQ Sheet-GPC'!BY44="n/a","n/a",IF('Capital IQ Sheet-GPC'!BY44&gt;'Equity Vol'!$P$3,"NM",IF('Capital IQ Sheet-GPC'!BY44&lt;'Equity Vol'!$R$3,"NM",'Capital IQ Sheet-GPC'!BY44)))</f>
        <v>NM</v>
      </c>
      <c r="K43" s="2409" t="str">
        <f>J43</f>
        <v>NM</v>
      </c>
      <c r="M43" s="201" t="str">
        <f>'MASTER PubCo Inputs'!B58</f>
        <v>OTCPK:BTHE</v>
      </c>
      <c r="O43" s="756">
        <f>'Capital IQ Sheet-GPC'!G43</f>
        <v>0</v>
      </c>
    </row>
    <row r="44" spans="2:15" ht="12.75" customHeight="1">
      <c r="B44" s="310" t="str">
        <f>Comp.1!B46</f>
        <v>Neuralstem, Inc.</v>
      </c>
      <c r="D44" s="2409" t="str">
        <f>IF('Capital IQ Sheet-GPC'!BS45="n/a","n/a",IF('Capital IQ Sheet-GPC'!BS45&gt;'Equity Vol'!$P$3,"NM",IF('Capital IQ Sheet-GPC'!BS45&lt;'Equity Vol'!$R$3,"NM",'Capital IQ Sheet-GPC'!BS45)))</f>
        <v>NM</v>
      </c>
      <c r="E44" s="2409" t="str">
        <f>IF('Capital IQ Sheet-GPC'!BT45="n/a","n/a",IF('Capital IQ Sheet-GPC'!BT45&gt;'Equity Vol'!$P$3,"NM",IF('Capital IQ Sheet-GPC'!BT45&lt;'Equity Vol'!$R$3,"NM",'Capital IQ Sheet-GPC'!BT45)))</f>
        <v>NM</v>
      </c>
      <c r="F44" s="2409" t="str">
        <f>IF('Capital IQ Sheet-GPC'!BU45="n/a","n/a",IF('Capital IQ Sheet-GPC'!BU45&gt;'Equity Vol'!$P$3,"NM",IF('Capital IQ Sheet-GPC'!BU45&lt;'Equity Vol'!$R$3,"NM",'Capital IQ Sheet-GPC'!BU45)))</f>
        <v>NM</v>
      </c>
      <c r="G44" s="51">
        <f>IF('Capital IQ Sheet-GPC'!BV45="n/a","n/a",IF('Capital IQ Sheet-GPC'!BV45&gt;'Equity Vol'!$P$3,"NM",IF('Capital IQ Sheet-GPC'!BV45&lt;'Equity Vol'!$R$3,"NM",'Capital IQ Sheet-GPC'!BV45)))</f>
        <v>1.1396843049974372</v>
      </c>
      <c r="H44" s="51">
        <f>IF('Capital IQ Sheet-GPC'!BW45="n/a","n/a",IF('Capital IQ Sheet-GPC'!BW45&gt;'Equity Vol'!$P$3,"NM",IF('Capital IQ Sheet-GPC'!BW45&lt;'Equity Vol'!$R$3,"NM",'Capital IQ Sheet-GPC'!BW45)))</f>
        <v>1.0659142790428022</v>
      </c>
      <c r="I44" s="51">
        <f>IF('Capital IQ Sheet-GPC'!BX45="n/a","n/a",IF('Capital IQ Sheet-GPC'!BX45&gt;'Equity Vol'!$P$3,"NM",IF('Capital IQ Sheet-GPC'!BX45&lt;'Equity Vol'!$R$3,"NM",'Capital IQ Sheet-GPC'!BX45)))</f>
        <v>1.0410359210146125</v>
      </c>
      <c r="J44" s="51">
        <f>IF('Capital IQ Sheet-GPC'!BY45="n/a","n/a",IF('Capital IQ Sheet-GPC'!BY45&gt;'Equity Vol'!$P$3,"NM",IF('Capital IQ Sheet-GPC'!BY45&lt;'Equity Vol'!$R$3,"NM",'Capital IQ Sheet-GPC'!BY45)))</f>
        <v>0.99146584962490869</v>
      </c>
      <c r="K44" s="51">
        <f>IF('Capital IQ Sheet-GPC'!BZ45="n/a","n/a",IF('Capital IQ Sheet-GPC'!BZ45&gt;'Equity Vol'!$P$3,"NM",IF('Capital IQ Sheet-GPC'!BZ45&lt;'Equity Vol'!$R$3,"NM",'Capital IQ Sheet-GPC'!BZ45)))</f>
        <v>0.95279729471614993</v>
      </c>
      <c r="M44" s="201" t="str">
        <f>'MASTER PubCo Inputs'!B59</f>
        <v>NasdaqCM:CUR</v>
      </c>
      <c r="O44" s="756">
        <f>'Capital IQ Sheet-GPC'!G44</f>
        <v>40969</v>
      </c>
    </row>
    <row r="45" spans="2:15" ht="12.75" customHeight="1">
      <c r="B45" s="310" t="str">
        <f>Comp.1!B47</f>
        <v>Nexus BioPharma, Inc.</v>
      </c>
      <c r="D45" s="2409" t="str">
        <f>IF('Capital IQ Sheet-GPC'!BS46="n/a","n/a",IF('Capital IQ Sheet-GPC'!BS46&gt;'Equity Vol'!$P$3,"NM",IF('Capital IQ Sheet-GPC'!BS46&lt;'Equity Vol'!$R$3,"NM",'Capital IQ Sheet-GPC'!BS46)))</f>
        <v>NM</v>
      </c>
      <c r="E45" s="2409" t="str">
        <f>IF('Capital IQ Sheet-GPC'!BT46="n/a","n/a",IF('Capital IQ Sheet-GPC'!BT46&gt;'Equity Vol'!$P$3,"NM",IF('Capital IQ Sheet-GPC'!BT46&lt;'Equity Vol'!$R$3,"NM",'Capital IQ Sheet-GPC'!BT46)))</f>
        <v>NM</v>
      </c>
      <c r="F45" s="2409" t="str">
        <f>IF('Capital IQ Sheet-GPC'!BU46="n/a","n/a",IF('Capital IQ Sheet-GPC'!BU46&gt;'Equity Vol'!$P$3,"NM",IF('Capital IQ Sheet-GPC'!BU46&lt;'Equity Vol'!$R$3,"NM",'Capital IQ Sheet-GPC'!BU46)))</f>
        <v>NM</v>
      </c>
      <c r="G45" s="2409" t="str">
        <f>F45</f>
        <v>NM</v>
      </c>
      <c r="H45" s="2409" t="str">
        <f>G45</f>
        <v>NM</v>
      </c>
      <c r="I45" s="2409" t="str">
        <f>H45</f>
        <v>NM</v>
      </c>
      <c r="J45" s="2409" t="str">
        <f>I45</f>
        <v>NM</v>
      </c>
      <c r="K45" s="2409" t="str">
        <f>J45</f>
        <v>NM</v>
      </c>
      <c r="M45" s="201" t="str">
        <f>'MASTER PubCo Inputs'!B60</f>
        <v>OTCPK:NEXS</v>
      </c>
      <c r="O45" s="756">
        <f>'Capital IQ Sheet-GPC'!G45</f>
        <v>39071</v>
      </c>
    </row>
    <row r="46" spans="2:15" ht="12.75" customHeight="1">
      <c r="B46" s="310" t="str">
        <f>Comp.1!B48</f>
        <v>ERYTECH Pharma S.A.</v>
      </c>
      <c r="D46" s="51">
        <f>IF('Capital IQ Sheet-GPC'!BS47="n/a","n/a",IF('Capital IQ Sheet-GPC'!BS47&gt;'Equity Vol'!$P$3,"NM",IF('Capital IQ Sheet-GPC'!BS47&lt;'Equity Vol'!$R$3,"NM",'Capital IQ Sheet-GPC'!BS47)))</f>
        <v>0.62607883629659888</v>
      </c>
      <c r="E46" s="51">
        <f>IF('Capital IQ Sheet-GPC'!BT47="n/a","n/a",IF('Capital IQ Sheet-GPC'!BT47&gt;'Equity Vol'!$P$3,"NM",IF('Capital IQ Sheet-GPC'!BT47&lt;'Equity Vol'!$R$3,"NM",'Capital IQ Sheet-GPC'!BT47)))</f>
        <v>0.72482904578996976</v>
      </c>
      <c r="F46" s="51">
        <f>IF('Capital IQ Sheet-GPC'!BU47="n/a","n/a",IF('Capital IQ Sheet-GPC'!BU47&gt;'Equity Vol'!$P$3,"NM",IF('Capital IQ Sheet-GPC'!BU47&lt;'Equity Vol'!$R$3,"NM",'Capital IQ Sheet-GPC'!BU47)))</f>
        <v>0.64744564628689616</v>
      </c>
      <c r="G46" s="51">
        <f>IF('Capital IQ Sheet-GPC'!BV47="n/a","n/a",IF('Capital IQ Sheet-GPC'!BV47&gt;'Equity Vol'!$P$3,"NM",IF('Capital IQ Sheet-GPC'!BV47&lt;'Equity Vol'!$R$3,"NM",'Capital IQ Sheet-GPC'!BV47)))</f>
        <v>0.62021414662728203</v>
      </c>
      <c r="H46" s="51">
        <f>IF('Capital IQ Sheet-GPC'!BW47="n/a","n/a",IF('Capital IQ Sheet-GPC'!BW47&gt;'Equity Vol'!$P$3,"NM",IF('Capital IQ Sheet-GPC'!BW47&lt;'Equity Vol'!$R$3,"NM",'Capital IQ Sheet-GPC'!BW47)))</f>
        <v>0.58805296922469574</v>
      </c>
      <c r="I46" s="51">
        <f>IF('Capital IQ Sheet-GPC'!BX47="n/a","n/a",IF('Capital IQ Sheet-GPC'!BX47&gt;'Equity Vol'!$P$3,"NM",IF('Capital IQ Sheet-GPC'!BX47&lt;'Equity Vol'!$R$3,"NM",'Capital IQ Sheet-GPC'!BX47)))</f>
        <v>0.58258046057435386</v>
      </c>
      <c r="J46" s="1192">
        <f>I46</f>
        <v>0.58258046057435386</v>
      </c>
      <c r="K46" s="1192">
        <f>J46</f>
        <v>0.58258046057435386</v>
      </c>
      <c r="M46" s="201" t="str">
        <f>'MASTER PubCo Inputs'!B61</f>
        <v>ENXTPA:ERYP</v>
      </c>
      <c r="O46" s="756">
        <f>'Capital IQ Sheet-GPC'!G46</f>
        <v>42531</v>
      </c>
    </row>
    <row r="47" spans="2:15" ht="12.75" customHeight="1">
      <c r="D47" s="51"/>
      <c r="E47" s="51"/>
      <c r="F47" s="1200"/>
      <c r="G47" s="1200"/>
      <c r="H47" s="1200"/>
      <c r="I47" s="1200"/>
      <c r="J47" s="51"/>
      <c r="K47" s="51"/>
      <c r="M47" s="201"/>
    </row>
    <row r="48" spans="2:15" ht="12.75" customHeight="1">
      <c r="B48" s="1201" t="s">
        <v>41</v>
      </c>
      <c r="C48" s="836"/>
      <c r="D48" s="1202">
        <f>MAX(D11:D47)</f>
        <v>1.108049474673342</v>
      </c>
      <c r="E48" s="1202">
        <f t="shared" ref="E48:K48" si="10">MAX(E11:E47)</f>
        <v>1.1830252022901278</v>
      </c>
      <c r="F48" s="1202">
        <f t="shared" si="10"/>
        <v>1.1302394832325817</v>
      </c>
      <c r="G48" s="1202">
        <f t="shared" si="10"/>
        <v>1.1396843049974372</v>
      </c>
      <c r="H48" s="1203">
        <f t="shared" si="10"/>
        <v>1.1176246792128453</v>
      </c>
      <c r="I48" s="1202">
        <f t="shared" si="10"/>
        <v>1.0410359210146125</v>
      </c>
      <c r="J48" s="1202">
        <f t="shared" si="10"/>
        <v>1.018566973519184</v>
      </c>
      <c r="K48" s="1203">
        <f t="shared" si="10"/>
        <v>1.018566973519184</v>
      </c>
    </row>
    <row r="49" spans="1:11" ht="12.75" customHeight="1">
      <c r="B49" s="278" t="s">
        <v>45</v>
      </c>
      <c r="C49" s="61"/>
      <c r="D49" s="116">
        <f>QUARTILE(D11:D47,3)</f>
        <v>0.63742452418074735</v>
      </c>
      <c r="E49" s="116">
        <f t="shared" ref="E49:K49" si="11">QUARTILE(E11:E47,3)</f>
        <v>0.80569706584351064</v>
      </c>
      <c r="F49" s="116">
        <f t="shared" si="11"/>
        <v>0.83860113416605564</v>
      </c>
      <c r="G49" s="116">
        <f t="shared" si="11"/>
        <v>0.87361088311090229</v>
      </c>
      <c r="H49" s="117">
        <f t="shared" si="11"/>
        <v>0.87361088311090229</v>
      </c>
      <c r="I49" s="116">
        <f t="shared" si="11"/>
        <v>0.86230926127312202</v>
      </c>
      <c r="J49" s="116">
        <f t="shared" si="11"/>
        <v>0.8621332701269715</v>
      </c>
      <c r="K49" s="117">
        <f t="shared" si="11"/>
        <v>0.85555438857361565</v>
      </c>
    </row>
    <row r="50" spans="1:11" ht="12.75" customHeight="1">
      <c r="B50" s="278" t="s">
        <v>43</v>
      </c>
      <c r="C50" s="61"/>
      <c r="D50" s="116">
        <f>AVERAGE(D11:D47)</f>
        <v>0.60663650831624583</v>
      </c>
      <c r="E50" s="116">
        <f t="shared" ref="E50:K50" si="12">AVERAGE(E11:E47)</f>
        <v>0.65007077782953981</v>
      </c>
      <c r="F50" s="116">
        <f t="shared" si="12"/>
        <v>0.67890938299098591</v>
      </c>
      <c r="G50" s="116">
        <f t="shared" si="12"/>
        <v>0.69243552499937111</v>
      </c>
      <c r="H50" s="117">
        <f t="shared" si="12"/>
        <v>0.70439575492940276</v>
      </c>
      <c r="I50" s="116">
        <f t="shared" si="12"/>
        <v>0.68634032841704251</v>
      </c>
      <c r="J50" s="116">
        <f t="shared" si="12"/>
        <v>0.68650718859497761</v>
      </c>
      <c r="K50" s="117">
        <f t="shared" si="12"/>
        <v>0.68223118490627466</v>
      </c>
    </row>
    <row r="51" spans="1:11" ht="12.75" customHeight="1">
      <c r="B51" s="278" t="s">
        <v>3</v>
      </c>
      <c r="C51" s="61"/>
      <c r="D51" s="116">
        <f>MEDIAN(D11:D47)</f>
        <v>0.61291654484815106</v>
      </c>
      <c r="E51" s="116">
        <f t="shared" ref="E51:K51" si="13">MEDIAN(E11:E47)</f>
        <v>0.58241620249703041</v>
      </c>
      <c r="F51" s="116">
        <f t="shared" si="13"/>
        <v>0.60471906841904466</v>
      </c>
      <c r="G51" s="116">
        <f t="shared" si="13"/>
        <v>0.62021414662728203</v>
      </c>
      <c r="H51" s="117">
        <f t="shared" si="13"/>
        <v>0.74667290845052103</v>
      </c>
      <c r="I51" s="116">
        <f t="shared" si="13"/>
        <v>0.71293384727462328</v>
      </c>
      <c r="J51" s="116">
        <f t="shared" si="13"/>
        <v>0.72180394069777354</v>
      </c>
      <c r="K51" s="117">
        <f t="shared" si="13"/>
        <v>0.72071887168550208</v>
      </c>
    </row>
    <row r="52" spans="1:11" ht="12.75" customHeight="1">
      <c r="B52" s="278" t="s">
        <v>44</v>
      </c>
      <c r="C52" s="61"/>
      <c r="D52" s="116">
        <f>QUARTILE(D11:D47,1)</f>
        <v>0.45507245202265101</v>
      </c>
      <c r="E52" s="116">
        <f t="shared" ref="E52:K52" si="14">QUARTILE(E11:E47,1)</f>
        <v>0.46011894801782688</v>
      </c>
      <c r="F52" s="116">
        <f t="shared" si="14"/>
        <v>0.51594335718345119</v>
      </c>
      <c r="G52" s="116">
        <f t="shared" si="14"/>
        <v>0.57622206874852833</v>
      </c>
      <c r="H52" s="117">
        <f t="shared" si="14"/>
        <v>0.55991745269550841</v>
      </c>
      <c r="I52" s="116">
        <f t="shared" si="14"/>
        <v>0.53302421258054911</v>
      </c>
      <c r="J52" s="116">
        <f t="shared" si="14"/>
        <v>0.55284489045370333</v>
      </c>
      <c r="K52" s="117">
        <f t="shared" si="14"/>
        <v>0.55621140837762484</v>
      </c>
    </row>
    <row r="53" spans="1:11" ht="12.75" customHeight="1">
      <c r="B53" s="1204" t="s">
        <v>42</v>
      </c>
      <c r="C53" s="130"/>
      <c r="D53" s="118">
        <f>MIN(D11:D47)</f>
        <v>0.23337104782440229</v>
      </c>
      <c r="E53" s="118">
        <f t="shared" ref="E53:K53" si="15">MIN(E11:E47)</f>
        <v>0.27152222085926869</v>
      </c>
      <c r="F53" s="118">
        <f t="shared" si="15"/>
        <v>0.27509605137080317</v>
      </c>
      <c r="G53" s="118">
        <f t="shared" si="15"/>
        <v>0.26647478565178756</v>
      </c>
      <c r="H53" s="321">
        <f t="shared" si="15"/>
        <v>0.25702694560965095</v>
      </c>
      <c r="I53" s="118">
        <f t="shared" si="15"/>
        <v>0.25752787186184822</v>
      </c>
      <c r="J53" s="118">
        <f t="shared" si="15"/>
        <v>0.26523876608060654</v>
      </c>
      <c r="K53" s="321">
        <f t="shared" si="15"/>
        <v>0.26473478426800701</v>
      </c>
    </row>
    <row r="54" spans="1:11" ht="12.75" customHeight="1"/>
    <row r="55" spans="1:11" ht="12.75" customHeight="1">
      <c r="B55" s="8" t="s">
        <v>16</v>
      </c>
    </row>
    <row r="56" spans="1:11" ht="27" customHeight="1">
      <c r="A56" s="653" t="s">
        <v>128</v>
      </c>
      <c r="B56" s="2607" t="s">
        <v>3288</v>
      </c>
      <c r="C56" s="2607"/>
      <c r="D56" s="2607"/>
      <c r="E56" s="2607"/>
      <c r="F56" s="2607"/>
      <c r="G56" s="2607"/>
      <c r="H56" s="2607"/>
      <c r="I56" s="2607"/>
      <c r="J56" s="2607"/>
      <c r="K56" s="2607"/>
    </row>
    <row r="57" spans="1:11" ht="12.75" customHeight="1">
      <c r="A57" s="586" t="s">
        <v>127</v>
      </c>
      <c r="B57" s="2607" t="str">
        <f>"Volatilities beyond "&amp;TEXT(P3,"0.0%")&amp;" were considered as outliers, and have not been considered in the analysis."</f>
        <v>Volatilities beyond 120.0% were considered as outliers, and have not been considered in the analysis.</v>
      </c>
      <c r="C57" s="2607"/>
      <c r="D57" s="2607"/>
      <c r="E57" s="2607"/>
      <c r="F57" s="2607"/>
      <c r="G57" s="2607"/>
      <c r="H57" s="2607"/>
      <c r="I57" s="2612"/>
      <c r="J57" s="2612"/>
      <c r="K57" s="2612"/>
    </row>
    <row r="58" spans="1:11" ht="26.1" customHeight="1">
      <c r="A58" s="653" t="s">
        <v>144</v>
      </c>
      <c r="B58" s="2607" t="s">
        <v>1691</v>
      </c>
      <c r="C58" s="2607"/>
      <c r="D58" s="2607"/>
      <c r="E58" s="2607"/>
      <c r="F58" s="2607"/>
      <c r="G58" s="2607"/>
      <c r="H58" s="2607"/>
      <c r="I58" s="1205"/>
      <c r="J58" s="1205"/>
      <c r="K58" s="1205"/>
    </row>
    <row r="60" spans="1:11" ht="12.75" customHeight="1">
      <c r="B60" s="8" t="s">
        <v>46</v>
      </c>
    </row>
  </sheetData>
  <mergeCells count="3">
    <mergeCell ref="B56:K56"/>
    <mergeCell ref="B57:K57"/>
    <mergeCell ref="B58:H58"/>
  </mergeCells>
  <conditionalFormatting sqref="B10 B12 B17 B20:B47">
    <cfRule type="cellIs" dxfId="95" priority="1" operator="equal">
      <formula>"(Invalid Identifier)"</formula>
    </cfRule>
  </conditionalFormatting>
  <conditionalFormatting sqref="B11 B13:B16 B18:B19">
    <cfRule type="cellIs" dxfId="94" priority="3" operator="equal">
      <formula>"(Invalid Identifier)"</formula>
    </cfRule>
  </conditionalFormatting>
  <conditionalFormatting sqref="B4:K4">
    <cfRule type="cellIs" dxfId="93" priority="2" stopIfTrue="1" operator="equal">
      <formula>"input"</formula>
    </cfRule>
  </conditionalFormatting>
  <pageMargins left="0.5" right="0.5" top="0.5" bottom="0.5" header="0.5" footer="0.5"/>
  <pageSetup scale="84" orientation="landscape" r:id="rId1"/>
  <rowBreaks count="1" manualBreakCount="1">
    <brk id="42" max="11" man="1"/>
  </rowBreaks>
  <drawing r:id="rId2"/>
  <legacyDrawingHF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B1:Q54"/>
  <sheetViews>
    <sheetView showGridLines="0" view="pageBreakPreview" topLeftCell="B13" zoomScale="85" zoomScaleNormal="100" zoomScaleSheetLayoutView="85" workbookViewId="0">
      <selection activeCell="I9" sqref="I9"/>
    </sheetView>
  </sheetViews>
  <sheetFormatPr defaultColWidth="9.33203125" defaultRowHeight="12.75" outlineLevelRow="1"/>
  <cols>
    <col min="1" max="1" width="4.5" style="310" customWidth="1"/>
    <col min="2" max="2" width="81.33203125" style="310" customWidth="1"/>
    <col min="3" max="3" width="2.83203125" style="310" customWidth="1"/>
    <col min="4" max="5" width="31.5" style="310" customWidth="1"/>
    <col min="6" max="6" width="4.5" style="310" customWidth="1"/>
    <col min="7" max="7" width="19.5" style="310" bestFit="1" customWidth="1"/>
    <col min="8" max="8" width="1.83203125" style="310" customWidth="1"/>
    <col min="9" max="10" width="12.83203125" style="310" customWidth="1"/>
    <col min="11" max="11" width="1.83203125" style="310" customWidth="1"/>
    <col min="12" max="12" width="9.33203125" style="310"/>
    <col min="13" max="13" width="9.5" style="310" bestFit="1" customWidth="1"/>
    <col min="14" max="14" width="8.83203125" style="310" customWidth="1"/>
    <col min="15" max="15" width="11.5" style="310" bestFit="1" customWidth="1"/>
    <col min="16" max="16" width="10.83203125" style="310" bestFit="1" customWidth="1"/>
    <col min="17" max="16384" width="9.33203125" style="310"/>
  </cols>
  <sheetData>
    <row r="1" spans="2:17" ht="10.7" customHeight="1" thickBot="1"/>
    <row r="2" spans="2:17" ht="16.5" customHeight="1" thickTop="1">
      <c r="B2" s="10" t="str">
        <f>'MASTER PubCo Inputs'!$C$5</f>
        <v>Hua Medicine</v>
      </c>
      <c r="C2" s="10"/>
      <c r="D2" s="10"/>
      <c r="E2" s="10"/>
      <c r="G2" s="16" t="s">
        <v>1571</v>
      </c>
      <c r="H2" s="16"/>
      <c r="I2" s="1143">
        <f>'OPM Hybrid (Liquidation)'!D10</f>
        <v>2.2506849315068491</v>
      </c>
    </row>
    <row r="3" spans="2:17" ht="15.75" customHeight="1">
      <c r="B3" s="11" t="str">
        <f>VLOOKUP(B4,Outline!$E$8:$G$81,COLUMNS(Outline!$E$8:$G$8),FALSE)</f>
        <v>Exhibit H.6</v>
      </c>
      <c r="C3" s="11"/>
      <c r="D3" s="11"/>
      <c r="E3" s="11"/>
      <c r="G3" s="16" t="s">
        <v>1572</v>
      </c>
      <c r="I3" s="1144">
        <f>'OPM Hybrid (Redemption)'!D10</f>
        <v>2.7123287671232879</v>
      </c>
    </row>
    <row r="4" spans="2:17" ht="16.5" customHeight="1" thickBot="1">
      <c r="B4" s="12" t="s">
        <v>49</v>
      </c>
      <c r="C4" s="12"/>
      <c r="D4" s="12"/>
      <c r="E4" s="12"/>
      <c r="G4" s="310" t="s">
        <v>1573</v>
      </c>
      <c r="I4" s="1144">
        <f>'Hybrid OPM'!I9</f>
        <v>1.2333561643835615</v>
      </c>
      <c r="J4" s="16"/>
      <c r="K4" s="16"/>
      <c r="L4" s="1139"/>
      <c r="M4" s="16"/>
      <c r="N4" s="16"/>
      <c r="O4" s="16"/>
      <c r="P4" s="16"/>
    </row>
    <row r="5" spans="2:17" ht="12.75" customHeight="1" thickTop="1">
      <c r="G5" s="1140" t="s">
        <v>17</v>
      </c>
      <c r="H5" s="1141"/>
      <c r="I5" s="1142">
        <f>'MASTER PubCo Inputs'!$C$6</f>
        <v>43281</v>
      </c>
      <c r="K5" s="16"/>
      <c r="L5" s="16"/>
      <c r="M5" s="16"/>
      <c r="N5" s="16"/>
      <c r="O5" s="16"/>
      <c r="P5" s="16"/>
      <c r="Q5" s="16"/>
    </row>
    <row r="6" spans="2:17" s="6" customFormat="1">
      <c r="B6" s="205" t="s">
        <v>51</v>
      </c>
      <c r="D6" s="484" t="s">
        <v>50</v>
      </c>
      <c r="E6" s="485" t="s">
        <v>6</v>
      </c>
      <c r="G6" s="1145" t="s">
        <v>52</v>
      </c>
      <c r="H6" s="1146"/>
      <c r="I6" s="1146" t="s">
        <v>53</v>
      </c>
      <c r="J6" s="1147" t="s">
        <v>54</v>
      </c>
    </row>
    <row r="7" spans="2:17" ht="12.75" customHeight="1"/>
    <row r="8" spans="2:17" ht="12.75" customHeight="1">
      <c r="B8" s="310" t="str">
        <f>'Capital IQ Sheet-GPC'!E57</f>
        <v>United States Treasury Constant Maturity - 1 Month</v>
      </c>
      <c r="D8" s="42">
        <f>'Capital IQ Sheet-GPC'!C57</f>
        <v>8.3333333333333329E-2</v>
      </c>
      <c r="E8" s="18">
        <f>'Capital IQ Sheet-GPC'!D57</f>
        <v>1.77E-2</v>
      </c>
      <c r="G8" s="575">
        <f>'Capital IQ Sheet-GPC'!B79</f>
        <v>0</v>
      </c>
      <c r="H8" s="42"/>
      <c r="I8" s="203">
        <v>0</v>
      </c>
      <c r="J8" s="42">
        <f>D9</f>
        <v>0.25</v>
      </c>
    </row>
    <row r="9" spans="2:17" ht="12.75" customHeight="1">
      <c r="B9" s="310" t="str">
        <f>'Capital IQ Sheet-GPC'!E58</f>
        <v>United States Treasury Constant Maturity - 3 Month</v>
      </c>
      <c r="D9" s="42">
        <f>'Capital IQ Sheet-GPC'!C58</f>
        <v>0.25</v>
      </c>
      <c r="E9" s="18">
        <f>'Capital IQ Sheet-GPC'!D58</f>
        <v>1.9299999999999998E-2</v>
      </c>
      <c r="G9" s="575">
        <f>'Capital IQ Sheet-GPC'!B80</f>
        <v>0</v>
      </c>
      <c r="H9" s="42"/>
      <c r="I9" s="42">
        <f>D8</f>
        <v>8.3333333333333329E-2</v>
      </c>
      <c r="J9" s="42">
        <f>D10</f>
        <v>0.5</v>
      </c>
    </row>
    <row r="10" spans="2:17" ht="12.75" customHeight="1">
      <c r="B10" s="310" t="str">
        <f>'Capital IQ Sheet-GPC'!E59</f>
        <v>United States Treasury Constant Maturity - 6 Month</v>
      </c>
      <c r="D10" s="42">
        <f>'Capital IQ Sheet-GPC'!C59</f>
        <v>0.5</v>
      </c>
      <c r="E10" s="18">
        <f>'Capital IQ Sheet-GPC'!D59</f>
        <v>2.1099999999999997E-2</v>
      </c>
      <c r="G10" s="575">
        <f>'Capital IQ Sheet-GPC'!B81</f>
        <v>0</v>
      </c>
      <c r="H10" s="42"/>
      <c r="I10" s="42">
        <f t="shared" ref="I10:I18" si="0">D9</f>
        <v>0.25</v>
      </c>
      <c r="J10" s="42">
        <f t="shared" ref="J10:J17" si="1">D11</f>
        <v>1</v>
      </c>
    </row>
    <row r="11" spans="2:17" ht="12.75" customHeight="1">
      <c r="B11" s="310" t="str">
        <f>'Capital IQ Sheet-GPC'!E60</f>
        <v>United States Treasury Constant Maturity - 1 Year</v>
      </c>
      <c r="D11" s="42">
        <f>'Capital IQ Sheet-GPC'!C60</f>
        <v>1</v>
      </c>
      <c r="E11" s="18">
        <f>'Capital IQ Sheet-GPC'!D60</f>
        <v>2.3300000000000001E-2</v>
      </c>
      <c r="G11" s="575">
        <f>'Capital IQ Sheet-GPC'!B82</f>
        <v>0</v>
      </c>
      <c r="H11" s="42"/>
      <c r="I11" s="42">
        <f t="shared" si="0"/>
        <v>0.5</v>
      </c>
      <c r="J11" s="42">
        <f t="shared" si="1"/>
        <v>2</v>
      </c>
    </row>
    <row r="12" spans="2:17" ht="12.75" customHeight="1">
      <c r="B12" s="310" t="str">
        <f>'Capital IQ Sheet-GPC'!E61</f>
        <v>United States Treasury Constant Maturity - 2 Year</v>
      </c>
      <c r="D12" s="42">
        <f>'Capital IQ Sheet-GPC'!C61</f>
        <v>2</v>
      </c>
      <c r="E12" s="18">
        <f>'Capital IQ Sheet-GPC'!D61</f>
        <v>2.52E-2</v>
      </c>
      <c r="G12" s="575">
        <f>'Capital IQ Sheet-GPC'!B83</f>
        <v>0</v>
      </c>
      <c r="H12" s="42"/>
      <c r="I12" s="42">
        <f t="shared" si="0"/>
        <v>1</v>
      </c>
      <c r="J12" s="42">
        <f t="shared" si="1"/>
        <v>3</v>
      </c>
    </row>
    <row r="13" spans="2:17" ht="12.75" customHeight="1">
      <c r="B13" s="310" t="str">
        <f>'Capital IQ Sheet-GPC'!E62</f>
        <v>United States Treasury Constant Maturity - 3 Year</v>
      </c>
      <c r="D13" s="42">
        <f>'Capital IQ Sheet-GPC'!C62</f>
        <v>3</v>
      </c>
      <c r="E13" s="18">
        <f>'Capital IQ Sheet-GPC'!D62</f>
        <v>2.63E-2</v>
      </c>
      <c r="G13" s="575">
        <f>'Capital IQ Sheet-GPC'!B84</f>
        <v>0</v>
      </c>
      <c r="H13" s="42"/>
      <c r="I13" s="42">
        <f t="shared" si="0"/>
        <v>2</v>
      </c>
      <c r="J13" s="42">
        <f t="shared" si="1"/>
        <v>5</v>
      </c>
    </row>
    <row r="14" spans="2:17" ht="12.75" customHeight="1">
      <c r="B14" s="310" t="str">
        <f>'Capital IQ Sheet-GPC'!E63</f>
        <v>United States Treasury Constant Maturity - 5 Year</v>
      </c>
      <c r="D14" s="42">
        <f>'Capital IQ Sheet-GPC'!C63</f>
        <v>5</v>
      </c>
      <c r="E14" s="18">
        <f>'Capital IQ Sheet-GPC'!D63</f>
        <v>2.7300000000000001E-2</v>
      </c>
      <c r="G14" s="575">
        <f>'Capital IQ Sheet-GPC'!B85</f>
        <v>0</v>
      </c>
      <c r="H14" s="42"/>
      <c r="I14" s="42">
        <f t="shared" si="0"/>
        <v>3</v>
      </c>
      <c r="J14" s="42">
        <f t="shared" si="1"/>
        <v>7</v>
      </c>
    </row>
    <row r="15" spans="2:17" ht="12.75" customHeight="1">
      <c r="B15" s="310" t="str">
        <f>'Capital IQ Sheet-GPC'!E64</f>
        <v>United States Treasury Constant Maturity - 7 Year</v>
      </c>
      <c r="D15" s="42">
        <f>'Capital IQ Sheet-GPC'!C64</f>
        <v>7</v>
      </c>
      <c r="E15" s="18">
        <f>'Capital IQ Sheet-GPC'!D64</f>
        <v>2.81E-2</v>
      </c>
      <c r="G15" s="575">
        <f>'Capital IQ Sheet-GPC'!B86</f>
        <v>0</v>
      </c>
      <c r="H15" s="42"/>
      <c r="I15" s="42">
        <f t="shared" si="0"/>
        <v>5</v>
      </c>
      <c r="J15" s="42">
        <f t="shared" si="1"/>
        <v>10</v>
      </c>
    </row>
    <row r="16" spans="2:17" ht="12.75" customHeight="1">
      <c r="B16" s="310" t="str">
        <f>'Capital IQ Sheet-GPC'!E65</f>
        <v>United States Treasury Constant Maturity - 10 Year</v>
      </c>
      <c r="D16" s="42">
        <f>'Capital IQ Sheet-GPC'!C65</f>
        <v>10</v>
      </c>
      <c r="E16" s="18">
        <f>'Capital IQ Sheet-GPC'!D65</f>
        <v>2.8500000000000001E-2</v>
      </c>
      <c r="G16" s="575">
        <f>'Capital IQ Sheet-GPC'!B87</f>
        <v>0</v>
      </c>
      <c r="H16" s="42"/>
      <c r="I16" s="42">
        <f t="shared" si="0"/>
        <v>7</v>
      </c>
      <c r="J16" s="42">
        <f t="shared" si="1"/>
        <v>20</v>
      </c>
    </row>
    <row r="17" spans="2:10" ht="12.75" customHeight="1">
      <c r="B17" s="310" t="str">
        <f>'Capital IQ Sheet-GPC'!E66</f>
        <v>United States Treasury Constant Maturity - 20 Year</v>
      </c>
      <c r="D17" s="42">
        <f>'Capital IQ Sheet-GPC'!C66</f>
        <v>20</v>
      </c>
      <c r="E17" s="18">
        <f>'Capital IQ Sheet-GPC'!D66</f>
        <v>2.9100000000000001E-2</v>
      </c>
      <c r="G17" s="575">
        <f>'Capital IQ Sheet-GPC'!B88</f>
        <v>0</v>
      </c>
      <c r="H17" s="42"/>
      <c r="I17" s="42">
        <f t="shared" si="0"/>
        <v>10</v>
      </c>
      <c r="J17" s="42">
        <f t="shared" si="1"/>
        <v>30</v>
      </c>
    </row>
    <row r="18" spans="2:10" ht="12.75" customHeight="1">
      <c r="B18" s="310" t="str">
        <f>'Capital IQ Sheet-GPC'!E67</f>
        <v>United States Treasury Constant Maturity - 30 Year</v>
      </c>
      <c r="D18" s="42">
        <f>'Capital IQ Sheet-GPC'!C67</f>
        <v>30</v>
      </c>
      <c r="E18" s="18">
        <f>'Capital IQ Sheet-GPC'!D67</f>
        <v>2.98E-2</v>
      </c>
      <c r="G18" s="575">
        <f>'Capital IQ Sheet-GPC'!B89</f>
        <v>0</v>
      </c>
      <c r="H18" s="42"/>
      <c r="I18" s="42">
        <f t="shared" si="0"/>
        <v>20</v>
      </c>
      <c r="J18" s="204"/>
    </row>
    <row r="19" spans="2:10" ht="12.75" customHeight="1"/>
    <row r="20" spans="2:10" ht="12.75" customHeight="1">
      <c r="B20" s="85" t="s">
        <v>1574</v>
      </c>
      <c r="C20" s="202"/>
      <c r="D20" s="202"/>
      <c r="E20" s="206"/>
      <c r="H20" s="53"/>
      <c r="I20" s="53"/>
      <c r="J20" s="53"/>
    </row>
    <row r="21" spans="2:10" ht="12.75" customHeight="1">
      <c r="B21" s="64" t="s">
        <v>53</v>
      </c>
      <c r="C21" s="61"/>
      <c r="D21" s="62">
        <f>SUMIFS($D$8:$D$18,$D$8:$D$18,"&lt;"&amp;D23,J$8:J$18,"&gt;"&amp;D23)</f>
        <v>2</v>
      </c>
      <c r="E21" s="207">
        <f>IF(ISERROR(VLOOKUP(D21,$D$8:$E$18,COLUMNS($D$6:$E$6),FALSE)), "n/a", VLOOKUP(D21,$D$8:$E$18,COLUMNS($D$6:$E$6),FALSE))</f>
        <v>2.52E-2</v>
      </c>
      <c r="G21" s="686"/>
      <c r="H21" s="53"/>
      <c r="I21" s="53"/>
      <c r="J21" s="53"/>
    </row>
    <row r="22" spans="2:10" ht="12.75" customHeight="1">
      <c r="B22" s="64" t="s">
        <v>54</v>
      </c>
      <c r="C22" s="61"/>
      <c r="D22" s="62">
        <f>SUMIFS($D$8:$D$18,$D$8:$D$18,"&gt;"&amp;D23,I$8:I$18,"&lt;"&amp;D23)</f>
        <v>3</v>
      </c>
      <c r="E22" s="207">
        <f>IF(ISERROR(VLOOKUP(D22,$D$8:$E$18,COLUMNS($D$6:$E$6),FALSE)), "n/a", VLOOKUP(D22,$D$8:$E$18,COLUMNS($D$6:$E$6),FALSE))</f>
        <v>2.63E-2</v>
      </c>
      <c r="G22" s="18"/>
      <c r="H22" s="53"/>
      <c r="I22" s="53"/>
      <c r="J22" s="53"/>
    </row>
    <row r="23" spans="2:10" ht="12.75" customHeight="1">
      <c r="B23" s="64" t="s">
        <v>32</v>
      </c>
      <c r="C23" s="61"/>
      <c r="D23" s="62">
        <f>I2</f>
        <v>2.2506849315068491</v>
      </c>
      <c r="E23" s="207">
        <f>IF(ISERROR(+E21+(E22-E21)/(D22-D21)*(D23-D21)), "n/a", +E21+(E22-E21)/(D22-D21)*(D23-D21))</f>
        <v>2.5475753424657535E-2</v>
      </c>
      <c r="H23" s="53"/>
      <c r="I23" s="53"/>
      <c r="J23" s="53"/>
    </row>
    <row r="24" spans="2:10" ht="12.75" customHeight="1">
      <c r="B24" s="64" t="s">
        <v>66</v>
      </c>
      <c r="C24" s="61"/>
      <c r="D24" s="62">
        <f>D23</f>
        <v>2.2506849315068491</v>
      </c>
      <c r="E24" s="207" t="str">
        <f>IF(ISERROR(VLOOKUP(D24,$D$8:$E$18,COLUMNS($D$6:$E$6),FALSE)), "n/a", VLOOKUP(D24,$D$8:$E$18,COLUMNS($D$6:$E$6),FALSE))</f>
        <v>n/a</v>
      </c>
      <c r="H24" s="53"/>
      <c r="I24" s="53"/>
      <c r="J24" s="53"/>
    </row>
    <row r="25" spans="2:10" ht="12.75" customHeight="1">
      <c r="B25" s="65"/>
      <c r="C25" s="61"/>
      <c r="D25" s="61"/>
      <c r="E25" s="208"/>
      <c r="H25" s="53"/>
      <c r="I25" s="53"/>
      <c r="J25" s="53"/>
    </row>
    <row r="26" spans="2:10" ht="12.75" customHeight="1">
      <c r="B26" s="90" t="s">
        <v>67</v>
      </c>
      <c r="C26" s="91"/>
      <c r="D26" s="91"/>
      <c r="E26" s="209">
        <f>IF(E23="n/a",E24,E23)</f>
        <v>2.5475753424657535E-2</v>
      </c>
      <c r="H26" s="46"/>
      <c r="I26" s="46"/>
      <c r="J26" s="46"/>
    </row>
    <row r="27" spans="2:10" ht="12.75" customHeight="1">
      <c r="H27" s="53"/>
      <c r="I27" s="53"/>
      <c r="J27" s="53"/>
    </row>
    <row r="28" spans="2:10" ht="12.75" customHeight="1">
      <c r="B28" s="85" t="s">
        <v>1575</v>
      </c>
      <c r="C28" s="202"/>
      <c r="D28" s="202"/>
      <c r="E28" s="206"/>
      <c r="H28" s="53"/>
      <c r="I28" s="53"/>
      <c r="J28" s="53"/>
    </row>
    <row r="29" spans="2:10" ht="12.75" customHeight="1">
      <c r="B29" s="64" t="s">
        <v>53</v>
      </c>
      <c r="C29" s="61"/>
      <c r="D29" s="62">
        <f>SUMIFS($D$8:$D$18,$D$8:$D$18,"&lt;"&amp;D31,$J$8:$J$18,"&gt;"&amp;D31)</f>
        <v>2</v>
      </c>
      <c r="E29" s="207">
        <f>IF(ISERROR(VLOOKUP(D29,$D$8:$E$18,COLUMNS($D$6:$E$6),FALSE)), "n/a", VLOOKUP(D29,$D$8:$E$18,COLUMNS($D$6:$E$6),FALSE))</f>
        <v>2.52E-2</v>
      </c>
      <c r="H29" s="53"/>
      <c r="I29" s="53"/>
      <c r="J29" s="53"/>
    </row>
    <row r="30" spans="2:10" ht="12.75" customHeight="1">
      <c r="B30" s="64" t="s">
        <v>54</v>
      </c>
      <c r="C30" s="61"/>
      <c r="D30" s="62">
        <f>SUMIFS($D$8:$D$18,$D$8:$D$18,"&gt;"&amp;D31,$I$8:$I$18,"&lt;"&amp;D31)</f>
        <v>3</v>
      </c>
      <c r="E30" s="207">
        <f>IF(ISERROR(VLOOKUP(D30,$D$8:$E$18,COLUMNS($D$6:$E$6),FALSE)), "n/a", VLOOKUP(D30,$D$8:$E$18,COLUMNS($D$6:$E$6),FALSE))</f>
        <v>2.63E-2</v>
      </c>
      <c r="G30" s="149"/>
      <c r="H30" s="53"/>
      <c r="I30" s="53"/>
      <c r="J30" s="53"/>
    </row>
    <row r="31" spans="2:10" ht="12.75" customHeight="1">
      <c r="B31" s="64" t="s">
        <v>32</v>
      </c>
      <c r="C31" s="61"/>
      <c r="D31" s="62">
        <f>I3</f>
        <v>2.7123287671232879</v>
      </c>
      <c r="E31" s="207">
        <f>IF(ISERROR(+E29+(E30-E29)/(D30-D29)*(D31-D29)), "n/a", +E29+(E30-E29)/(D30-D29)*(D31-D29))</f>
        <v>2.5983561643835616E-2</v>
      </c>
      <c r="H31" s="53"/>
      <c r="I31" s="53"/>
      <c r="J31" s="53"/>
    </row>
    <row r="32" spans="2:10" ht="12.75" customHeight="1">
      <c r="B32" s="64" t="s">
        <v>66</v>
      </c>
      <c r="C32" s="61"/>
      <c r="D32" s="62">
        <f>D31</f>
        <v>2.7123287671232879</v>
      </c>
      <c r="E32" s="207" t="str">
        <f>IF(ISERROR(VLOOKUP(D32,$D$8:$E$18,COLUMNS($D$6:$E$6),FALSE)), "n/a", VLOOKUP(D32,$D$8:$E$18,COLUMNS($D$6:$E$6),FALSE))</f>
        <v>n/a</v>
      </c>
      <c r="H32" s="53"/>
      <c r="I32" s="53"/>
      <c r="J32" s="53"/>
    </row>
    <row r="33" spans="2:10" ht="12.75" customHeight="1">
      <c r="B33" s="65"/>
      <c r="C33" s="61"/>
      <c r="D33" s="61"/>
      <c r="E33" s="208"/>
      <c r="H33" s="53"/>
      <c r="I33" s="53"/>
      <c r="J33" s="53"/>
    </row>
    <row r="34" spans="2:10" ht="12.75" customHeight="1">
      <c r="B34" s="90" t="s">
        <v>67</v>
      </c>
      <c r="C34" s="91"/>
      <c r="D34" s="91"/>
      <c r="E34" s="209">
        <f>IF(E31="n/a",E32,E31)</f>
        <v>2.5983561643835616E-2</v>
      </c>
      <c r="H34" s="46"/>
      <c r="I34" s="46"/>
      <c r="J34" s="46"/>
    </row>
    <row r="35" spans="2:10" ht="12.75" customHeight="1"/>
    <row r="36" spans="2:10" ht="12.75" hidden="1" customHeight="1" outlineLevel="1">
      <c r="B36" s="85" t="s">
        <v>1576</v>
      </c>
      <c r="C36" s="202"/>
      <c r="D36" s="202"/>
      <c r="E36" s="206"/>
      <c r="H36" s="53"/>
      <c r="I36" s="53"/>
      <c r="J36" s="53"/>
    </row>
    <row r="37" spans="2:10" ht="12.75" hidden="1" customHeight="1" outlineLevel="1">
      <c r="B37" s="64" t="s">
        <v>53</v>
      </c>
      <c r="C37" s="61"/>
      <c r="D37" s="62">
        <f>SUMIFS($D$8:$D$18,$D$8:$D$18,"&lt;"&amp;D39,J$8:J$18,"&gt;"&amp;D39)</f>
        <v>2</v>
      </c>
      <c r="E37" s="207">
        <f>IF(ISERROR(VLOOKUP(D37,$D$8:$E$18,COLUMNS($D$6:$E$6),FALSE)), "n/a", VLOOKUP(D37,$D$8:$E$18,COLUMNS($D$6:$E$6),FALSE))</f>
        <v>2.52E-2</v>
      </c>
      <c r="G37" s="686"/>
      <c r="H37" s="53"/>
      <c r="I37" s="53"/>
      <c r="J37" s="53"/>
    </row>
    <row r="38" spans="2:10" ht="12.75" hidden="1" customHeight="1" outlineLevel="1">
      <c r="B38" s="64" t="s">
        <v>54</v>
      </c>
      <c r="C38" s="61"/>
      <c r="D38" s="62">
        <f>SUMIFS($D$8:$D$18,$D$8:$D$18,"&gt;"&amp;D39,I$8:I$18,"&lt;"&amp;D39)</f>
        <v>3</v>
      </c>
      <c r="E38" s="207">
        <f>IF(ISERROR(VLOOKUP(D38,$D$8:$E$18,COLUMNS($D$6:$E$6),FALSE)), "n/a", VLOOKUP(D38,$D$8:$E$18,COLUMNS($D$6:$E$6),FALSE))</f>
        <v>2.63E-2</v>
      </c>
      <c r="G38" s="18"/>
      <c r="H38" s="53"/>
      <c r="I38" s="53"/>
      <c r="J38" s="53"/>
    </row>
    <row r="39" spans="2:10" ht="12.75" hidden="1" customHeight="1" outlineLevel="1">
      <c r="B39" s="64" t="s">
        <v>32</v>
      </c>
      <c r="C39" s="61"/>
      <c r="D39" s="62">
        <f>I2</f>
        <v>2.2506849315068491</v>
      </c>
      <c r="E39" s="207">
        <f>IF(ISERROR(+E37+(E38-E37)/(D38-D37)*(D39-D37)), "n/a", +E37+(E38-E37)/(D38-D37)*(D39-D37))</f>
        <v>2.5475753424657535E-2</v>
      </c>
      <c r="H39" s="53"/>
      <c r="I39" s="53"/>
      <c r="J39" s="53"/>
    </row>
    <row r="40" spans="2:10" ht="12.75" hidden="1" customHeight="1" outlineLevel="1">
      <c r="B40" s="64" t="s">
        <v>66</v>
      </c>
      <c r="C40" s="61"/>
      <c r="D40" s="62">
        <f>D39</f>
        <v>2.2506849315068491</v>
      </c>
      <c r="E40" s="207" t="str">
        <f>IF(ISERROR(VLOOKUP(D40,$D$8:$E$18,COLUMNS($D$6:$E$6),FALSE)), "n/a", VLOOKUP(D40,$D$8:$E$18,COLUMNS($D$6:$E$6),FALSE))</f>
        <v>n/a</v>
      </c>
      <c r="H40" s="53"/>
      <c r="I40" s="53"/>
      <c r="J40" s="53"/>
    </row>
    <row r="41" spans="2:10" ht="12.75" hidden="1" customHeight="1" outlineLevel="1">
      <c r="B41" s="65"/>
      <c r="C41" s="61"/>
      <c r="D41" s="61"/>
      <c r="E41" s="208"/>
      <c r="H41" s="53"/>
      <c r="I41" s="53"/>
      <c r="J41" s="53"/>
    </row>
    <row r="42" spans="2:10" ht="12.75" hidden="1" customHeight="1" outlineLevel="1">
      <c r="B42" s="90" t="s">
        <v>67</v>
      </c>
      <c r="C42" s="91"/>
      <c r="D42" s="91"/>
      <c r="E42" s="209">
        <f>IF(E39="n/a",E40,E39)</f>
        <v>2.5475753424657535E-2</v>
      </c>
      <c r="H42" s="46"/>
      <c r="I42" s="46"/>
      <c r="J42" s="46"/>
    </row>
    <row r="43" spans="2:10" ht="12.75" hidden="1" customHeight="1" outlineLevel="1">
      <c r="H43" s="53"/>
      <c r="I43" s="53"/>
      <c r="J43" s="53"/>
    </row>
    <row r="44" spans="2:10" ht="12.75" customHeight="1" collapsed="1">
      <c r="B44" s="85" t="s">
        <v>2565</v>
      </c>
      <c r="C44" s="202"/>
      <c r="D44" s="202"/>
      <c r="E44" s="206"/>
      <c r="H44" s="53"/>
      <c r="I44" s="53"/>
      <c r="J44" s="53"/>
    </row>
    <row r="45" spans="2:10" ht="12.75" customHeight="1">
      <c r="B45" s="64" t="s">
        <v>53</v>
      </c>
      <c r="C45" s="61"/>
      <c r="D45" s="62">
        <f>SUMIFS($D$8:$D$18,$D$8:$D$18,"&lt;"&amp;D47,$J$8:$J$18,"&gt;"&amp;D47)</f>
        <v>1</v>
      </c>
      <c r="E45" s="207">
        <f>IF(ISERROR(VLOOKUP(D45,$D$8:$E$18,COLUMNS($D$6:$E$6),FALSE)), "n/a", VLOOKUP(D45,$D$8:$E$18,COLUMNS($D$6:$E$6),FALSE))</f>
        <v>2.3300000000000001E-2</v>
      </c>
      <c r="H45" s="53"/>
      <c r="I45" s="53"/>
      <c r="J45" s="53"/>
    </row>
    <row r="46" spans="2:10" ht="12.75" customHeight="1">
      <c r="B46" s="64" t="s">
        <v>54</v>
      </c>
      <c r="C46" s="61"/>
      <c r="D46" s="62">
        <f>SUMIFS($D$8:$D$18,$D$8:$D$18,"&gt;"&amp;D47,$I$8:$I$18,"&lt;"&amp;D47)</f>
        <v>2</v>
      </c>
      <c r="E46" s="207">
        <f>IF(ISERROR(VLOOKUP(D46,$D$8:$E$18,COLUMNS($D$6:$E$6),FALSE)), "n/a", VLOOKUP(D46,$D$8:$E$18,COLUMNS($D$6:$E$6),FALSE))</f>
        <v>2.52E-2</v>
      </c>
      <c r="G46" s="149"/>
      <c r="H46" s="53"/>
      <c r="I46" s="53"/>
      <c r="J46" s="53"/>
    </row>
    <row r="47" spans="2:10" ht="12.75" customHeight="1">
      <c r="B47" s="64" t="s">
        <v>32</v>
      </c>
      <c r="C47" s="61"/>
      <c r="D47" s="62">
        <f>I4</f>
        <v>1.2333561643835615</v>
      </c>
      <c r="E47" s="207">
        <f>IF(ISERROR(+E45+(E46-E45)/(D46-D45)*(D47-D45)), "n/a", +E45+(E46-E45)/(D46-D45)*(D47-D45))</f>
        <v>2.3743376712328769E-2</v>
      </c>
      <c r="H47" s="53"/>
      <c r="I47" s="53"/>
      <c r="J47" s="53"/>
    </row>
    <row r="48" spans="2:10" ht="12.75" customHeight="1">
      <c r="B48" s="64" t="s">
        <v>66</v>
      </c>
      <c r="C48" s="61"/>
      <c r="D48" s="62">
        <f>D47</f>
        <v>1.2333561643835615</v>
      </c>
      <c r="E48" s="207" t="str">
        <f>IF(ISERROR(VLOOKUP(D48,$D$8:$E$18,COLUMNS($D$6:$E$6),FALSE)), "n/a", VLOOKUP(D48,$D$8:$E$18,COLUMNS($D$6:$E$6),FALSE))</f>
        <v>n/a</v>
      </c>
      <c r="H48" s="53"/>
      <c r="I48" s="53"/>
      <c r="J48" s="53"/>
    </row>
    <row r="49" spans="2:10" ht="12.75" customHeight="1">
      <c r="B49" s="65"/>
      <c r="C49" s="61"/>
      <c r="D49" s="61"/>
      <c r="E49" s="208"/>
      <c r="H49" s="53"/>
      <c r="I49" s="53"/>
      <c r="J49" s="53"/>
    </row>
    <row r="50" spans="2:10" ht="12.75" customHeight="1">
      <c r="B50" s="90" t="s">
        <v>67</v>
      </c>
      <c r="C50" s="91"/>
      <c r="D50" s="91"/>
      <c r="E50" s="209">
        <f>IF(E47="n/a",E48,E47)</f>
        <v>2.3743376712328769E-2</v>
      </c>
      <c r="H50" s="46"/>
      <c r="I50" s="46"/>
      <c r="J50" s="46"/>
    </row>
    <row r="51" spans="2:10" ht="12.75" customHeight="1">
      <c r="H51" s="53"/>
      <c r="I51" s="53"/>
      <c r="J51" s="53"/>
    </row>
    <row r="52" spans="2:10" ht="12.75" customHeight="1">
      <c r="B52" s="8" t="s">
        <v>46</v>
      </c>
    </row>
    <row r="53" spans="2:10" ht="12.75" customHeight="1"/>
    <row r="54" spans="2:10" ht="12.75" customHeight="1"/>
  </sheetData>
  <conditionalFormatting sqref="B4:E4">
    <cfRule type="cellIs" dxfId="92" priority="3" stopIfTrue="1" operator="equal">
      <formula>"input"</formula>
    </cfRule>
  </conditionalFormatting>
  <pageMargins left="0.5" right="0.5" top="0.5" bottom="0.5" header="0.5" footer="0.5"/>
  <pageSetup scale="96" orientation="landscape" r:id="rId1"/>
  <legacyDrawing r:id="rId2"/>
  <legacyDrawingHF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BQ279"/>
  <sheetViews>
    <sheetView showGridLines="0" view="pageBreakPreview" topLeftCell="A149" zoomScale="85" zoomScaleNormal="100" zoomScaleSheetLayoutView="85" workbookViewId="0">
      <selection activeCell="I9" sqref="I9"/>
    </sheetView>
  </sheetViews>
  <sheetFormatPr defaultColWidth="10.6640625" defaultRowHeight="12.75" outlineLevelCol="1"/>
  <cols>
    <col min="1" max="1" width="4.5" style="603" customWidth="1"/>
    <col min="2" max="2" width="51.33203125" style="603" customWidth="1"/>
    <col min="3" max="3" width="19.83203125" style="603" hidden="1" customWidth="1" outlineLevel="1"/>
    <col min="4" max="4" width="16.5" style="603" customWidth="1" collapsed="1"/>
    <col min="5" max="5" width="15.1640625" style="603" hidden="1" customWidth="1" outlineLevel="1"/>
    <col min="6" max="6" width="11.1640625" style="605" customWidth="1" collapsed="1"/>
    <col min="7" max="7" width="12" style="605" customWidth="1"/>
    <col min="8" max="9" width="14" style="605" hidden="1" customWidth="1" outlineLevel="1"/>
    <col min="10" max="10" width="15" style="605" customWidth="1" collapsed="1"/>
    <col min="11" max="11" width="11" style="605" customWidth="1"/>
    <col min="12" max="12" width="12" style="605" customWidth="1"/>
    <col min="13" max="13" width="12.1640625" style="605" customWidth="1"/>
    <col min="14" max="14" width="14.6640625" style="605" customWidth="1"/>
    <col min="15" max="15" width="12" style="605" customWidth="1"/>
    <col min="16" max="16" width="14.6640625" style="605" bestFit="1" customWidth="1"/>
    <col min="17" max="17" width="2.83203125" style="605" customWidth="1"/>
    <col min="18" max="18" width="12.83203125" style="605" customWidth="1"/>
    <col min="19" max="19" width="16.5" style="605" customWidth="1"/>
    <col min="20" max="20" width="14.33203125" style="605" customWidth="1"/>
    <col min="21" max="21" width="4.5" style="605" customWidth="1"/>
    <col min="22" max="22" width="28.83203125" style="605" bestFit="1" customWidth="1"/>
    <col min="23" max="23" width="16.33203125" style="603" customWidth="1"/>
    <col min="24" max="24" width="17" style="603" customWidth="1"/>
    <col min="25" max="25" width="14.83203125" style="603" customWidth="1"/>
    <col min="26" max="26" width="13.5" style="603" bestFit="1" customWidth="1"/>
    <col min="27" max="27" width="16.1640625" style="603" bestFit="1" customWidth="1"/>
    <col min="28" max="28" width="16.1640625" style="603" customWidth="1"/>
    <col min="29" max="31" width="10.6640625" style="603"/>
    <col min="32" max="32" width="12.5" style="603" bestFit="1" customWidth="1"/>
    <col min="33" max="33" width="15.1640625" style="603" bestFit="1" customWidth="1"/>
    <col min="34" max="16384" width="10.6640625" style="603"/>
  </cols>
  <sheetData>
    <row r="1" spans="1:39" ht="11.25" customHeight="1" thickBot="1">
      <c r="A1" s="602"/>
      <c r="F1" s="604"/>
      <c r="G1" s="604"/>
      <c r="H1" s="604"/>
      <c r="I1" s="604"/>
      <c r="J1" s="604"/>
      <c r="K1" s="604"/>
      <c r="L1" s="604"/>
      <c r="M1" s="604"/>
      <c r="N1" s="604"/>
      <c r="V1" s="603"/>
      <c r="W1" s="644"/>
      <c r="X1" s="645"/>
      <c r="AA1" s="603" t="s">
        <v>273</v>
      </c>
      <c r="AB1" s="603" t="s">
        <v>275</v>
      </c>
      <c r="AM1" s="606"/>
    </row>
    <row r="2" spans="1:39" ht="16.5" thickTop="1">
      <c r="A2" s="607"/>
      <c r="B2" s="10" t="str">
        <f>'MASTER PubCo Inputs'!$C$5</f>
        <v>Hua Medicine</v>
      </c>
      <c r="C2" s="608"/>
      <c r="D2" s="608"/>
      <c r="E2" s="608"/>
      <c r="F2" s="608"/>
      <c r="G2" s="608"/>
      <c r="H2" s="608"/>
      <c r="I2" s="608"/>
      <c r="J2" s="608"/>
      <c r="K2" s="608"/>
      <c r="L2" s="608"/>
      <c r="M2" s="608"/>
      <c r="N2" s="608"/>
      <c r="O2" s="608"/>
      <c r="P2" s="608"/>
      <c r="Q2" s="608"/>
      <c r="R2" s="608"/>
      <c r="S2" s="608"/>
      <c r="T2" s="608"/>
      <c r="U2" s="609"/>
      <c r="V2" s="610"/>
      <c r="W2" s="1234" t="s">
        <v>921</v>
      </c>
      <c r="X2" s="646">
        <f>'MASTER PubCo Inputs'!C6</f>
        <v>43281</v>
      </c>
      <c r="AA2" s="603" t="s">
        <v>543</v>
      </c>
      <c r="AB2" s="603" t="s">
        <v>544</v>
      </c>
    </row>
    <row r="3" spans="1:39" ht="15.75">
      <c r="A3" s="607"/>
      <c r="B3" s="11" t="str">
        <f>VLOOKUP(B4,Outline!$E$8:$G$81,COLUMNS(Outline!$E$8:$G$8),FALSE)</f>
        <v>Exhibit H.7</v>
      </c>
      <c r="C3" s="612"/>
      <c r="D3" s="612"/>
      <c r="E3" s="612"/>
      <c r="F3" s="612"/>
      <c r="G3" s="612"/>
      <c r="H3" s="612"/>
      <c r="I3" s="612"/>
      <c r="J3" s="612"/>
      <c r="K3" s="612"/>
      <c r="L3" s="612"/>
      <c r="M3" s="612"/>
      <c r="N3" s="612"/>
      <c r="O3" s="612"/>
      <c r="P3" s="612"/>
      <c r="Q3" s="612"/>
      <c r="R3" s="612"/>
      <c r="S3" s="612"/>
      <c r="T3" s="612"/>
      <c r="U3" s="609"/>
      <c r="V3" s="610"/>
      <c r="W3" s="1235"/>
      <c r="X3" s="611"/>
      <c r="AA3" s="603" t="s">
        <v>274</v>
      </c>
      <c r="AB3" s="603" t="s">
        <v>276</v>
      </c>
    </row>
    <row r="4" spans="1:39" ht="16.5" thickBot="1">
      <c r="B4" s="12" t="s">
        <v>641</v>
      </c>
      <c r="C4" s="613"/>
      <c r="D4" s="1236"/>
      <c r="E4" s="613"/>
      <c r="F4" s="613"/>
      <c r="G4" s="613"/>
      <c r="H4" s="613"/>
      <c r="I4" s="613"/>
      <c r="J4" s="613"/>
      <c r="K4" s="613"/>
      <c r="L4" s="613"/>
      <c r="M4" s="613"/>
      <c r="N4" s="613"/>
      <c r="O4" s="613"/>
      <c r="P4" s="613"/>
      <c r="Q4" s="613"/>
      <c r="R4" s="613"/>
      <c r="S4" s="613"/>
      <c r="T4" s="13" t="str">
        <f>'MASTER PubCo Inputs'!$C$20</f>
        <v>(in thousands of USD and shares, except price per share)</v>
      </c>
      <c r="U4" s="609"/>
      <c r="V4" s="1433" t="s">
        <v>228</v>
      </c>
      <c r="W4" s="1432">
        <f>'MASTER PubCo Inputs'!C6</f>
        <v>43281</v>
      </c>
      <c r="AA4" s="603" t="s">
        <v>19</v>
      </c>
      <c r="AB4" s="603" t="s">
        <v>20</v>
      </c>
    </row>
    <row r="5" spans="1:39" ht="13.5" thickTop="1">
      <c r="B5" s="614"/>
      <c r="C5" s="607"/>
      <c r="D5" s="614"/>
      <c r="E5" s="614"/>
      <c r="F5" s="604"/>
      <c r="G5" s="604"/>
      <c r="H5" s="604"/>
      <c r="I5" s="604"/>
      <c r="J5" s="604"/>
      <c r="K5" s="604"/>
      <c r="L5" s="1503"/>
      <c r="M5" s="604"/>
      <c r="N5" s="615"/>
      <c r="P5" s="616"/>
      <c r="Q5" s="616"/>
      <c r="R5" s="616"/>
      <c r="S5" s="616"/>
      <c r="T5" s="616"/>
    </row>
    <row r="6" spans="1:39" s="699" customFormat="1">
      <c r="B6" s="822" t="s">
        <v>642</v>
      </c>
      <c r="C6" s="823"/>
      <c r="D6" s="823"/>
      <c r="E6" s="823"/>
      <c r="F6" s="823"/>
      <c r="G6" s="823"/>
      <c r="H6" s="823"/>
      <c r="I6" s="823"/>
      <c r="J6" s="823"/>
      <c r="K6" s="823"/>
      <c r="L6" s="823"/>
      <c r="M6" s="823"/>
      <c r="N6" s="823"/>
      <c r="O6" s="823"/>
      <c r="P6" s="824"/>
      <c r="Q6" s="1428"/>
      <c r="R6" s="1149" t="s">
        <v>1907</v>
      </c>
      <c r="S6" s="1150"/>
      <c r="T6" s="1151"/>
      <c r="U6" s="700"/>
      <c r="V6" s="700"/>
      <c r="W6" s="700"/>
      <c r="X6" s="701"/>
      <c r="Y6" s="701"/>
    </row>
    <row r="7" spans="1:39" s="702" customFormat="1" ht="27.75" customHeight="1">
      <c r="B7" s="825"/>
      <c r="C7" s="1231"/>
      <c r="D7" s="2614" t="s">
        <v>1085</v>
      </c>
      <c r="E7" s="1231" t="s">
        <v>643</v>
      </c>
      <c r="F7" s="2614" t="s">
        <v>1044</v>
      </c>
      <c r="G7" s="2616" t="s">
        <v>644</v>
      </c>
      <c r="H7" s="2616" t="s">
        <v>645</v>
      </c>
      <c r="I7" s="2616"/>
      <c r="J7" s="2616" t="s">
        <v>646</v>
      </c>
      <c r="K7" s="2616" t="s">
        <v>1083</v>
      </c>
      <c r="L7" s="2616" t="s">
        <v>647</v>
      </c>
      <c r="M7" s="2616" t="s">
        <v>648</v>
      </c>
      <c r="N7" s="2616" t="s">
        <v>649</v>
      </c>
      <c r="O7" s="2616" t="s">
        <v>1084</v>
      </c>
      <c r="P7" s="2618" t="s">
        <v>992</v>
      </c>
      <c r="Q7" s="1429"/>
      <c r="R7" s="1431" t="s">
        <v>1908</v>
      </c>
      <c r="S7" s="1422" t="s">
        <v>1909</v>
      </c>
      <c r="T7" s="1424" t="s">
        <v>1910</v>
      </c>
      <c r="U7" s="700"/>
      <c r="V7" s="700"/>
      <c r="W7" s="2613" t="s">
        <v>646</v>
      </c>
      <c r="X7" s="2613" t="s">
        <v>993</v>
      </c>
      <c r="Y7" s="2613" t="s">
        <v>994</v>
      </c>
      <c r="Z7" s="2620" t="s">
        <v>650</v>
      </c>
      <c r="AB7" s="2613" t="s">
        <v>651</v>
      </c>
    </row>
    <row r="8" spans="1:39" s="702" customFormat="1">
      <c r="B8" s="703" t="s">
        <v>652</v>
      </c>
      <c r="C8" s="1232" t="s">
        <v>653</v>
      </c>
      <c r="D8" s="2615"/>
      <c r="E8" s="1232" t="s">
        <v>654</v>
      </c>
      <c r="F8" s="2615"/>
      <c r="G8" s="2617"/>
      <c r="H8" s="1230" t="s">
        <v>42</v>
      </c>
      <c r="I8" s="1230" t="s">
        <v>41</v>
      </c>
      <c r="J8" s="2617"/>
      <c r="K8" s="2617"/>
      <c r="L8" s="2617"/>
      <c r="M8" s="2617"/>
      <c r="N8" s="2617"/>
      <c r="O8" s="2617"/>
      <c r="P8" s="2619"/>
      <c r="Q8" s="1429"/>
      <c r="R8" s="1430" t="s">
        <v>152</v>
      </c>
      <c r="S8" s="1423" t="s">
        <v>21</v>
      </c>
      <c r="T8" s="1425" t="s">
        <v>153</v>
      </c>
      <c r="U8" s="700"/>
      <c r="V8" s="820" t="s">
        <v>1177</v>
      </c>
      <c r="W8" s="2613"/>
      <c r="X8" s="2613" t="s">
        <v>993</v>
      </c>
      <c r="Y8" s="2613"/>
      <c r="Z8" s="2620"/>
      <c r="AA8" s="821" t="s">
        <v>995</v>
      </c>
      <c r="AB8" s="2613"/>
    </row>
    <row r="9" spans="1:39" s="704" customFormat="1" ht="13.5" customHeight="1">
      <c r="B9" s="706"/>
      <c r="C9" s="705"/>
      <c r="D9" s="705"/>
      <c r="E9" s="705"/>
      <c r="F9" s="705"/>
      <c r="G9" s="705"/>
      <c r="H9" s="705"/>
      <c r="I9" s="705"/>
      <c r="J9" s="705"/>
      <c r="K9" s="705"/>
      <c r="L9" s="705"/>
      <c r="M9" s="705"/>
      <c r="N9" s="705"/>
      <c r="O9" s="705"/>
      <c r="P9" s="705"/>
      <c r="Q9" s="705"/>
      <c r="R9" s="705"/>
      <c r="S9" s="705"/>
      <c r="T9" s="705"/>
      <c r="U9" s="700"/>
      <c r="V9" s="700"/>
      <c r="W9" s="700"/>
      <c r="X9" s="1233"/>
      <c r="Y9" s="1233"/>
    </row>
    <row r="10" spans="1:39" s="704" customFormat="1" ht="13.5" customHeight="1">
      <c r="B10" s="706" t="s">
        <v>996</v>
      </c>
      <c r="C10" s="705"/>
      <c r="D10" s="705"/>
      <c r="E10" s="705"/>
      <c r="F10" s="810"/>
      <c r="G10" s="705"/>
      <c r="H10" s="705"/>
      <c r="I10" s="705"/>
      <c r="J10" s="705"/>
      <c r="K10" s="705"/>
      <c r="L10" s="707"/>
      <c r="M10" s="705"/>
      <c r="N10" s="705"/>
      <c r="O10" s="705"/>
      <c r="P10" s="705"/>
      <c r="Q10" s="705"/>
      <c r="R10" s="705"/>
      <c r="S10" s="705"/>
      <c r="T10" s="705"/>
      <c r="U10" s="700"/>
      <c r="V10" s="700"/>
      <c r="W10" s="700"/>
      <c r="X10" s="1233"/>
      <c r="Y10" s="1233"/>
    </row>
    <row r="11" spans="1:39" s="704" customFormat="1" ht="13.5" customHeight="1">
      <c r="B11" s="2030" t="s">
        <v>2877</v>
      </c>
      <c r="C11" s="710" t="s">
        <v>2878</v>
      </c>
      <c r="D11" s="709" t="s">
        <v>577</v>
      </c>
      <c r="E11" s="710" t="s">
        <v>2879</v>
      </c>
      <c r="F11" s="711">
        <v>43186</v>
      </c>
      <c r="G11" s="617">
        <v>16</v>
      </c>
      <c r="H11" s="617">
        <v>14</v>
      </c>
      <c r="I11" s="617">
        <v>16</v>
      </c>
      <c r="J11" s="617">
        <v>18.7</v>
      </c>
      <c r="K11" s="713">
        <f t="shared" ref="K11:K37" si="0">+M11-L11</f>
        <v>27080.819000000003</v>
      </c>
      <c r="L11" s="801">
        <v>9000</v>
      </c>
      <c r="M11" s="801">
        <v>36080.819000000003</v>
      </c>
      <c r="N11" s="713">
        <f t="shared" ref="N11:N37" si="1">+G11*K11</f>
        <v>433293.10400000005</v>
      </c>
      <c r="O11" s="714">
        <f t="shared" ref="O11:O37" si="2">+G11*L11</f>
        <v>144000</v>
      </c>
      <c r="P11" s="713">
        <f t="shared" ref="P11:P37" si="3">+N11+O11</f>
        <v>577293.10400000005</v>
      </c>
      <c r="Q11" s="705"/>
      <c r="R11" s="1434">
        <v>18.7</v>
      </c>
      <c r="S11" s="714">
        <v>674711.32</v>
      </c>
      <c r="T11" s="714">
        <v>682814.94</v>
      </c>
      <c r="U11" s="700"/>
      <c r="V11" s="700">
        <v>1</v>
      </c>
      <c r="W11" s="617">
        <f>J11</f>
        <v>18.7</v>
      </c>
      <c r="X11" s="715">
        <f>W11*M11</f>
        <v>674711.31530000002</v>
      </c>
      <c r="Y11" s="716">
        <f t="shared" ref="Y11:Y37" si="4">X11/P11-1</f>
        <v>0.16874999999999996</v>
      </c>
      <c r="Z11" s="717" t="s">
        <v>2886</v>
      </c>
      <c r="AA11" s="704" t="s">
        <v>2887</v>
      </c>
      <c r="AB11" s="719">
        <f t="shared" ref="AB11:AB37" si="5">+N11+O11</f>
        <v>577293.10400000005</v>
      </c>
    </row>
    <row r="12" spans="1:39" s="704" customFormat="1" ht="13.5" customHeight="1">
      <c r="B12" s="708" t="s">
        <v>1699</v>
      </c>
      <c r="C12" s="710" t="s">
        <v>1700</v>
      </c>
      <c r="D12" s="709" t="s">
        <v>577</v>
      </c>
      <c r="E12" s="710" t="s">
        <v>1701</v>
      </c>
      <c r="F12" s="711">
        <v>43096</v>
      </c>
      <c r="G12" s="617">
        <v>7.5</v>
      </c>
      <c r="H12" s="617">
        <v>6</v>
      </c>
      <c r="I12" s="617">
        <v>8</v>
      </c>
      <c r="J12" s="617">
        <v>14.95</v>
      </c>
      <c r="K12" s="713">
        <f t="shared" si="0"/>
        <v>11307.255999999999</v>
      </c>
      <c r="L12" s="801">
        <v>9333.3330000000005</v>
      </c>
      <c r="M12" s="801">
        <v>20640.589</v>
      </c>
      <c r="N12" s="713">
        <f t="shared" si="1"/>
        <v>84804.42</v>
      </c>
      <c r="O12" s="714">
        <f t="shared" si="2"/>
        <v>69999.997499999998</v>
      </c>
      <c r="P12" s="713">
        <f t="shared" si="3"/>
        <v>154804.41749999998</v>
      </c>
      <c r="Q12" s="713"/>
      <c r="R12" s="1434">
        <v>14.16</v>
      </c>
      <c r="S12" s="714">
        <v>275502.53999999998</v>
      </c>
      <c r="T12" s="714">
        <v>272052.03000000003</v>
      </c>
      <c r="U12" s="700"/>
      <c r="V12" s="700">
        <v>1</v>
      </c>
      <c r="W12" s="617">
        <f t="shared" ref="W12:W37" si="6">J12</f>
        <v>14.95</v>
      </c>
      <c r="X12" s="715">
        <f t="shared" ref="X12:X37" si="7">W12*M12</f>
        <v>308576.80554999999</v>
      </c>
      <c r="Y12" s="716">
        <f t="shared" si="4"/>
        <v>0.9933333333333334</v>
      </c>
      <c r="Z12" s="717" t="s">
        <v>1702</v>
      </c>
      <c r="AA12" s="718" t="s">
        <v>1703</v>
      </c>
      <c r="AB12" s="719">
        <f t="shared" si="5"/>
        <v>154804.41749999998</v>
      </c>
    </row>
    <row r="13" spans="1:39" s="704" customFormat="1" ht="13.5" customHeight="1">
      <c r="B13" s="708" t="s">
        <v>1113</v>
      </c>
      <c r="C13" s="710" t="s">
        <v>1114</v>
      </c>
      <c r="D13" s="709" t="s">
        <v>577</v>
      </c>
      <c r="E13" s="710" t="s">
        <v>1115</v>
      </c>
      <c r="F13" s="711">
        <v>42997</v>
      </c>
      <c r="G13" s="617">
        <v>10</v>
      </c>
      <c r="H13" s="617">
        <v>9</v>
      </c>
      <c r="I13" s="617">
        <v>11</v>
      </c>
      <c r="J13" s="617">
        <v>9.99</v>
      </c>
      <c r="K13" s="713">
        <f t="shared" si="0"/>
        <v>5643.2469999999994</v>
      </c>
      <c r="L13" s="801">
        <v>4000</v>
      </c>
      <c r="M13" s="801">
        <v>9643.2469999999994</v>
      </c>
      <c r="N13" s="713">
        <f t="shared" si="1"/>
        <v>56432.469999999994</v>
      </c>
      <c r="O13" s="714">
        <f t="shared" si="2"/>
        <v>40000</v>
      </c>
      <c r="P13" s="713">
        <f t="shared" si="3"/>
        <v>96432.47</v>
      </c>
      <c r="Q13" s="713"/>
      <c r="R13" s="1434">
        <v>9.49</v>
      </c>
      <c r="S13" s="714">
        <v>97815.77</v>
      </c>
      <c r="T13" s="714">
        <v>45245.77</v>
      </c>
      <c r="U13" s="700"/>
      <c r="V13" s="700">
        <v>1</v>
      </c>
      <c r="W13" s="617">
        <f t="shared" si="6"/>
        <v>9.99</v>
      </c>
      <c r="X13" s="715">
        <f t="shared" si="7"/>
        <v>96336.037530000001</v>
      </c>
      <c r="Y13" s="716">
        <f t="shared" si="4"/>
        <v>-1.0000000000000009E-3</v>
      </c>
      <c r="Z13" s="717" t="s">
        <v>1116</v>
      </c>
      <c r="AA13" s="718" t="s">
        <v>1117</v>
      </c>
      <c r="AB13" s="719">
        <f t="shared" si="5"/>
        <v>96432.47</v>
      </c>
    </row>
    <row r="14" spans="1:39" s="704" customFormat="1" ht="13.5" customHeight="1">
      <c r="B14" s="708" t="s">
        <v>584</v>
      </c>
      <c r="C14" s="710" t="s">
        <v>582</v>
      </c>
      <c r="D14" s="709" t="s">
        <v>635</v>
      </c>
      <c r="E14" s="710" t="s">
        <v>660</v>
      </c>
      <c r="F14" s="711">
        <v>42661</v>
      </c>
      <c r="G14" s="617">
        <v>14</v>
      </c>
      <c r="H14" s="617">
        <v>15</v>
      </c>
      <c r="I14" s="617">
        <v>17</v>
      </c>
      <c r="J14" s="617">
        <v>20.5</v>
      </c>
      <c r="K14" s="713">
        <f t="shared" si="0"/>
        <v>35360.633999999998</v>
      </c>
      <c r="L14" s="801">
        <v>4000</v>
      </c>
      <c r="M14" s="801">
        <v>39360.633999999998</v>
      </c>
      <c r="N14" s="713">
        <f t="shared" si="1"/>
        <v>495048.87599999999</v>
      </c>
      <c r="O14" s="714">
        <f t="shared" si="2"/>
        <v>56000</v>
      </c>
      <c r="P14" s="713">
        <f t="shared" si="3"/>
        <v>551048.87599999993</v>
      </c>
      <c r="Q14" s="713"/>
      <c r="R14" s="723">
        <v>38.64</v>
      </c>
      <c r="S14" s="713">
        <v>1773226.4600000002</v>
      </c>
      <c r="T14" s="713">
        <v>1519707.4600000002</v>
      </c>
      <c r="U14" s="700"/>
      <c r="V14" s="700">
        <v>1</v>
      </c>
      <c r="W14" s="617">
        <f t="shared" si="6"/>
        <v>20.5</v>
      </c>
      <c r="X14" s="715">
        <f t="shared" si="7"/>
        <v>806892.99699999997</v>
      </c>
      <c r="Y14" s="716">
        <f t="shared" si="4"/>
        <v>0.46428571428571441</v>
      </c>
      <c r="Z14" s="717" t="s">
        <v>583</v>
      </c>
      <c r="AA14" s="718" t="s">
        <v>585</v>
      </c>
      <c r="AB14" s="719">
        <f t="shared" si="5"/>
        <v>551048.87599999993</v>
      </c>
    </row>
    <row r="15" spans="1:39" s="704" customFormat="1" ht="13.5" customHeight="1">
      <c r="A15" s="721"/>
      <c r="B15" s="708" t="s">
        <v>609</v>
      </c>
      <c r="C15" s="710" t="s">
        <v>607</v>
      </c>
      <c r="D15" s="709" t="s">
        <v>577</v>
      </c>
      <c r="E15" s="710" t="s">
        <v>686</v>
      </c>
      <c r="F15" s="711">
        <v>42571</v>
      </c>
      <c r="G15" s="723">
        <v>15</v>
      </c>
      <c r="H15" s="723">
        <v>14</v>
      </c>
      <c r="I15" s="723">
        <v>16</v>
      </c>
      <c r="J15" s="723">
        <v>14.4</v>
      </c>
      <c r="K15" s="713">
        <f t="shared" si="0"/>
        <v>16020.378000000001</v>
      </c>
      <c r="L15" s="801">
        <v>5000</v>
      </c>
      <c r="M15" s="801">
        <v>21020.378000000001</v>
      </c>
      <c r="N15" s="713">
        <f t="shared" si="1"/>
        <v>240305.67</v>
      </c>
      <c r="O15" s="714">
        <f t="shared" si="2"/>
        <v>75000</v>
      </c>
      <c r="P15" s="713">
        <f t="shared" si="3"/>
        <v>315305.67000000004</v>
      </c>
      <c r="Q15" s="713"/>
      <c r="R15" s="723">
        <v>31.38</v>
      </c>
      <c r="S15" s="713">
        <v>1144361.3800000001</v>
      </c>
      <c r="T15" s="713">
        <v>988316.38</v>
      </c>
      <c r="U15" s="713"/>
      <c r="V15" s="700">
        <v>1</v>
      </c>
      <c r="W15" s="617">
        <f t="shared" si="6"/>
        <v>14.4</v>
      </c>
      <c r="X15" s="715">
        <f t="shared" si="7"/>
        <v>302693.44320000004</v>
      </c>
      <c r="Y15" s="716">
        <f t="shared" si="4"/>
        <v>-4.0000000000000036E-2</v>
      </c>
      <c r="Z15" s="724" t="s">
        <v>608</v>
      </c>
      <c r="AA15" s="718" t="s">
        <v>610</v>
      </c>
      <c r="AB15" s="719">
        <f t="shared" si="5"/>
        <v>315305.67000000004</v>
      </c>
      <c r="AC15" s="725"/>
    </row>
    <row r="16" spans="1:39" s="704" customFormat="1" ht="13.5" customHeight="1">
      <c r="A16" s="721"/>
      <c r="B16" s="708" t="s">
        <v>693</v>
      </c>
      <c r="C16" s="710" t="s">
        <v>694</v>
      </c>
      <c r="D16" s="709" t="s">
        <v>577</v>
      </c>
      <c r="E16" s="710" t="s">
        <v>695</v>
      </c>
      <c r="F16" s="711">
        <v>42522</v>
      </c>
      <c r="G16" s="723">
        <v>6</v>
      </c>
      <c r="H16" s="723">
        <v>5</v>
      </c>
      <c r="I16" s="723">
        <v>6</v>
      </c>
      <c r="J16" s="723">
        <v>7.0350000000000001</v>
      </c>
      <c r="K16" s="713">
        <f t="shared" si="0"/>
        <v>6895.2960000000003</v>
      </c>
      <c r="L16" s="801">
        <v>1540.0260000000001</v>
      </c>
      <c r="M16" s="801">
        <v>8435.3220000000001</v>
      </c>
      <c r="N16" s="713">
        <f t="shared" si="1"/>
        <v>41371.775999999998</v>
      </c>
      <c r="O16" s="714">
        <f t="shared" si="2"/>
        <v>9240.1560000000009</v>
      </c>
      <c r="P16" s="713">
        <f t="shared" si="3"/>
        <v>50611.932000000001</v>
      </c>
      <c r="Q16" s="713"/>
      <c r="R16" s="723">
        <v>1.68</v>
      </c>
      <c r="S16" s="713">
        <v>35508.58</v>
      </c>
      <c r="T16" s="713">
        <v>26772.58</v>
      </c>
      <c r="U16" s="713"/>
      <c r="V16" s="700">
        <v>1</v>
      </c>
      <c r="W16" s="617">
        <f t="shared" si="6"/>
        <v>7.0350000000000001</v>
      </c>
      <c r="X16" s="715">
        <f t="shared" si="7"/>
        <v>59342.490270000002</v>
      </c>
      <c r="Y16" s="716">
        <f t="shared" si="4"/>
        <v>0.1725000000000001</v>
      </c>
      <c r="Z16" s="724" t="s">
        <v>696</v>
      </c>
      <c r="AA16" s="718" t="s">
        <v>697</v>
      </c>
      <c r="AB16" s="719">
        <f t="shared" si="5"/>
        <v>50611.932000000001</v>
      </c>
      <c r="AC16" s="725"/>
    </row>
    <row r="17" spans="1:38" s="725" customFormat="1" ht="13.5" customHeight="1">
      <c r="A17" s="721"/>
      <c r="B17" s="708" t="s">
        <v>617</v>
      </c>
      <c r="C17" s="710" t="s">
        <v>1911</v>
      </c>
      <c r="D17" s="709" t="s">
        <v>577</v>
      </c>
      <c r="E17" s="710" t="s">
        <v>708</v>
      </c>
      <c r="F17" s="711">
        <v>42507</v>
      </c>
      <c r="G17" s="723">
        <v>5</v>
      </c>
      <c r="H17" s="723">
        <v>0</v>
      </c>
      <c r="I17" s="723">
        <v>0</v>
      </c>
      <c r="J17" s="723">
        <v>5.18</v>
      </c>
      <c r="K17" s="713">
        <f t="shared" si="0"/>
        <v>7883.2340000000004</v>
      </c>
      <c r="L17" s="801">
        <v>3700</v>
      </c>
      <c r="M17" s="801">
        <v>11583.234</v>
      </c>
      <c r="N17" s="713">
        <f t="shared" si="1"/>
        <v>39416.17</v>
      </c>
      <c r="O17" s="714">
        <f t="shared" si="2"/>
        <v>18500</v>
      </c>
      <c r="P17" s="713">
        <f t="shared" si="3"/>
        <v>57916.17</v>
      </c>
      <c r="Q17" s="713"/>
      <c r="R17" s="723">
        <v>5.5E-2</v>
      </c>
      <c r="S17" s="713">
        <v>642.97</v>
      </c>
      <c r="T17" s="713">
        <v>826.97</v>
      </c>
      <c r="U17" s="713"/>
      <c r="V17" s="700">
        <v>1</v>
      </c>
      <c r="W17" s="617">
        <f t="shared" si="6"/>
        <v>5.18</v>
      </c>
      <c r="X17" s="715">
        <f t="shared" si="7"/>
        <v>60001.152119999999</v>
      </c>
      <c r="Y17" s="716">
        <f t="shared" si="4"/>
        <v>3.6000000000000032E-2</v>
      </c>
      <c r="Z17" s="724" t="s">
        <v>616</v>
      </c>
      <c r="AA17" s="718" t="s">
        <v>618</v>
      </c>
      <c r="AB17" s="719">
        <f t="shared" si="5"/>
        <v>57916.17</v>
      </c>
      <c r="AC17" s="704"/>
      <c r="AG17" s="720"/>
      <c r="AH17" s="726"/>
    </row>
    <row r="18" spans="1:38" s="704" customFormat="1" ht="13.5" customHeight="1">
      <c r="A18" s="721"/>
      <c r="B18" s="708" t="s">
        <v>604</v>
      </c>
      <c r="C18" s="710" t="s">
        <v>602</v>
      </c>
      <c r="D18" s="709" t="s">
        <v>635</v>
      </c>
      <c r="E18" s="710" t="s">
        <v>713</v>
      </c>
      <c r="F18" s="711">
        <v>42495</v>
      </c>
      <c r="G18" s="723">
        <v>18</v>
      </c>
      <c r="H18" s="723">
        <v>16</v>
      </c>
      <c r="I18" s="723">
        <v>18</v>
      </c>
      <c r="J18" s="723">
        <v>28.8</v>
      </c>
      <c r="K18" s="713">
        <f t="shared" si="0"/>
        <v>29096.264999999999</v>
      </c>
      <c r="L18" s="801">
        <v>6000</v>
      </c>
      <c r="M18" s="801">
        <v>35096.264999999999</v>
      </c>
      <c r="N18" s="713">
        <f t="shared" si="1"/>
        <v>523732.77</v>
      </c>
      <c r="O18" s="714">
        <f t="shared" si="2"/>
        <v>108000</v>
      </c>
      <c r="P18" s="713">
        <f t="shared" si="3"/>
        <v>631732.77</v>
      </c>
      <c r="Q18" s="713"/>
      <c r="R18" s="723">
        <v>23.19</v>
      </c>
      <c r="S18" s="713">
        <v>981754.82</v>
      </c>
      <c r="T18" s="713">
        <v>759490.82</v>
      </c>
      <c r="U18" s="713"/>
      <c r="V18" s="700">
        <v>1</v>
      </c>
      <c r="W18" s="617">
        <f t="shared" si="6"/>
        <v>28.8</v>
      </c>
      <c r="X18" s="715">
        <f t="shared" si="7"/>
        <v>1010772.432</v>
      </c>
      <c r="Y18" s="716">
        <f t="shared" si="4"/>
        <v>0.60000000000000009</v>
      </c>
      <c r="Z18" s="724" t="s">
        <v>603</v>
      </c>
      <c r="AA18" s="718" t="s">
        <v>605</v>
      </c>
      <c r="AB18" s="719">
        <f t="shared" si="5"/>
        <v>631732.77</v>
      </c>
      <c r="AG18" s="720"/>
      <c r="AH18" s="726"/>
      <c r="AI18" s="725"/>
    </row>
    <row r="19" spans="1:38" s="704" customFormat="1" ht="13.5" customHeight="1">
      <c r="A19" s="721"/>
      <c r="B19" s="708" t="s">
        <v>718</v>
      </c>
      <c r="C19" s="710" t="s">
        <v>719</v>
      </c>
      <c r="D19" s="709" t="s">
        <v>997</v>
      </c>
      <c r="E19" s="710" t="s">
        <v>720</v>
      </c>
      <c r="F19" s="711">
        <v>42466</v>
      </c>
      <c r="G19" s="723">
        <v>10</v>
      </c>
      <c r="H19" s="723">
        <v>16</v>
      </c>
      <c r="I19" s="723">
        <v>18</v>
      </c>
      <c r="J19" s="723">
        <v>8.7100000000000009</v>
      </c>
      <c r="K19" s="713">
        <f t="shared" si="0"/>
        <v>7929.8320000000003</v>
      </c>
      <c r="L19" s="801">
        <v>5000</v>
      </c>
      <c r="M19" s="801">
        <v>12929.832</v>
      </c>
      <c r="N19" s="713">
        <f t="shared" si="1"/>
        <v>79298.320000000007</v>
      </c>
      <c r="O19" s="714">
        <f t="shared" si="2"/>
        <v>50000</v>
      </c>
      <c r="P19" s="713">
        <f t="shared" si="3"/>
        <v>129298.32</v>
      </c>
      <c r="Q19" s="713"/>
      <c r="R19" s="723">
        <v>6.19</v>
      </c>
      <c r="S19" s="713">
        <v>103028.36</v>
      </c>
      <c r="T19" s="713">
        <v>47279.360000000001</v>
      </c>
      <c r="U19" s="713"/>
      <c r="V19" s="700">
        <v>1</v>
      </c>
      <c r="W19" s="617">
        <f t="shared" si="6"/>
        <v>8.7100000000000009</v>
      </c>
      <c r="X19" s="715">
        <f t="shared" si="7"/>
        <v>112618.83672000002</v>
      </c>
      <c r="Y19" s="716">
        <f t="shared" si="4"/>
        <v>-0.12899999999999989</v>
      </c>
      <c r="Z19" s="717" t="s">
        <v>721</v>
      </c>
      <c r="AA19" s="718" t="s">
        <v>722</v>
      </c>
      <c r="AB19" s="719">
        <f t="shared" si="5"/>
        <v>129298.32</v>
      </c>
      <c r="AG19" s="714"/>
      <c r="AH19" s="726"/>
      <c r="AI19" s="725"/>
    </row>
    <row r="20" spans="1:38" s="699" customFormat="1" ht="13.5" customHeight="1">
      <c r="A20" s="721"/>
      <c r="B20" s="708" t="s">
        <v>737</v>
      </c>
      <c r="C20" s="710" t="s">
        <v>738</v>
      </c>
      <c r="D20" s="709" t="s">
        <v>997</v>
      </c>
      <c r="E20" s="710" t="s">
        <v>739</v>
      </c>
      <c r="F20" s="711">
        <v>42410</v>
      </c>
      <c r="G20" s="723">
        <v>8</v>
      </c>
      <c r="H20" s="723">
        <v>12</v>
      </c>
      <c r="I20" s="723">
        <v>14</v>
      </c>
      <c r="J20" s="723">
        <v>8.9600000000000009</v>
      </c>
      <c r="K20" s="713">
        <f t="shared" si="0"/>
        <v>12861.478999999999</v>
      </c>
      <c r="L20" s="801">
        <v>6250</v>
      </c>
      <c r="M20" s="801">
        <v>19111.478999999999</v>
      </c>
      <c r="N20" s="713">
        <f t="shared" si="1"/>
        <v>102891.83199999999</v>
      </c>
      <c r="O20" s="714">
        <f t="shared" si="2"/>
        <v>50000</v>
      </c>
      <c r="P20" s="713">
        <f t="shared" si="3"/>
        <v>152891.83199999999</v>
      </c>
      <c r="Q20" s="713"/>
      <c r="R20" s="723">
        <v>2.61</v>
      </c>
      <c r="S20" s="713">
        <v>86424.21</v>
      </c>
      <c r="T20" s="713">
        <v>43198.210000000006</v>
      </c>
      <c r="U20" s="713"/>
      <c r="V20" s="700">
        <v>1</v>
      </c>
      <c r="W20" s="617">
        <f t="shared" si="6"/>
        <v>8.9600000000000009</v>
      </c>
      <c r="X20" s="715">
        <f t="shared" si="7"/>
        <v>171238.85184000002</v>
      </c>
      <c r="Y20" s="716">
        <f t="shared" si="4"/>
        <v>0.12000000000000011</v>
      </c>
      <c r="Z20" s="717" t="s">
        <v>740</v>
      </c>
      <c r="AA20" s="718" t="s">
        <v>741</v>
      </c>
      <c r="AB20" s="719">
        <f t="shared" si="5"/>
        <v>152891.83199999999</v>
      </c>
      <c r="AC20" s="704"/>
      <c r="AG20" s="714"/>
      <c r="AH20" s="726"/>
      <c r="AI20" s="725"/>
    </row>
    <row r="21" spans="1:38" s="699" customFormat="1" ht="13.5" customHeight="1">
      <c r="A21" s="721"/>
      <c r="B21" s="708" t="s">
        <v>596</v>
      </c>
      <c r="C21" s="710" t="s">
        <v>594</v>
      </c>
      <c r="D21" s="709" t="s">
        <v>577</v>
      </c>
      <c r="E21" s="710" t="s">
        <v>742</v>
      </c>
      <c r="F21" s="711">
        <v>42402</v>
      </c>
      <c r="G21" s="723">
        <v>16</v>
      </c>
      <c r="H21" s="723">
        <v>16</v>
      </c>
      <c r="I21" s="723">
        <v>18</v>
      </c>
      <c r="J21" s="723">
        <v>35.56</v>
      </c>
      <c r="K21" s="713">
        <f t="shared" si="0"/>
        <v>29799.538</v>
      </c>
      <c r="L21" s="801">
        <v>5900</v>
      </c>
      <c r="M21" s="801">
        <v>35699.538</v>
      </c>
      <c r="N21" s="713">
        <f t="shared" si="1"/>
        <v>476792.60800000001</v>
      </c>
      <c r="O21" s="714">
        <f t="shared" si="2"/>
        <v>94400</v>
      </c>
      <c r="P21" s="713">
        <f t="shared" si="3"/>
        <v>571192.60800000001</v>
      </c>
      <c r="Q21" s="713"/>
      <c r="R21" s="723">
        <v>33.28</v>
      </c>
      <c r="S21" s="713">
        <v>1467345.75</v>
      </c>
      <c r="T21" s="713">
        <v>1205321.75</v>
      </c>
      <c r="U21" s="713"/>
      <c r="V21" s="700">
        <v>1</v>
      </c>
      <c r="W21" s="617">
        <f t="shared" si="6"/>
        <v>35.56</v>
      </c>
      <c r="X21" s="715">
        <f t="shared" si="7"/>
        <v>1269475.57128</v>
      </c>
      <c r="Y21" s="716">
        <f t="shared" si="4"/>
        <v>1.2225000000000001</v>
      </c>
      <c r="Z21" s="717" t="s">
        <v>595</v>
      </c>
      <c r="AA21" s="718" t="s">
        <v>597</v>
      </c>
      <c r="AB21" s="719">
        <f t="shared" si="5"/>
        <v>571192.60800000001</v>
      </c>
      <c r="AC21" s="704"/>
      <c r="AG21" s="714"/>
      <c r="AH21" s="726"/>
      <c r="AI21" s="725"/>
    </row>
    <row r="22" spans="1:38" s="699" customFormat="1" ht="13.5" customHeight="1">
      <c r="A22" s="721"/>
      <c r="B22" s="708" t="s">
        <v>588</v>
      </c>
      <c r="C22" s="710" t="s">
        <v>586</v>
      </c>
      <c r="D22" s="709" t="s">
        <v>577</v>
      </c>
      <c r="E22" s="710" t="s">
        <v>750</v>
      </c>
      <c r="F22" s="711">
        <v>42318</v>
      </c>
      <c r="G22" s="723">
        <v>16</v>
      </c>
      <c r="H22" s="723">
        <v>15</v>
      </c>
      <c r="I22" s="723">
        <v>17</v>
      </c>
      <c r="J22" s="723">
        <v>13.785</v>
      </c>
      <c r="K22" s="713">
        <f t="shared" si="0"/>
        <v>14558.296999999999</v>
      </c>
      <c r="L22" s="801">
        <v>6375</v>
      </c>
      <c r="M22" s="801">
        <v>20933.296999999999</v>
      </c>
      <c r="N22" s="713">
        <f t="shared" si="1"/>
        <v>232932.75199999998</v>
      </c>
      <c r="O22" s="714">
        <f t="shared" si="2"/>
        <v>102000</v>
      </c>
      <c r="P22" s="713">
        <f t="shared" si="3"/>
        <v>334932.75199999998</v>
      </c>
      <c r="Q22" s="713"/>
      <c r="R22" s="723">
        <v>39.65</v>
      </c>
      <c r="S22" s="713">
        <v>1101874.3700000001</v>
      </c>
      <c r="T22" s="713">
        <v>941315.37</v>
      </c>
      <c r="U22" s="713"/>
      <c r="V22" s="700">
        <v>1</v>
      </c>
      <c r="W22" s="617">
        <f t="shared" si="6"/>
        <v>13.785</v>
      </c>
      <c r="X22" s="715">
        <f t="shared" si="7"/>
        <v>288565.49914500001</v>
      </c>
      <c r="Y22" s="716">
        <f t="shared" si="4"/>
        <v>-0.13843749999999988</v>
      </c>
      <c r="Z22" s="717" t="s">
        <v>587</v>
      </c>
      <c r="AA22" s="718" t="s">
        <v>589</v>
      </c>
      <c r="AB22" s="719">
        <f t="shared" si="5"/>
        <v>334932.75199999998</v>
      </c>
      <c r="AC22" s="704"/>
      <c r="AG22" s="714"/>
      <c r="AH22" s="726"/>
      <c r="AI22" s="725"/>
    </row>
    <row r="23" spans="1:38" s="699" customFormat="1" ht="13.5" customHeight="1">
      <c r="A23" s="721"/>
      <c r="B23" s="708" t="s">
        <v>766</v>
      </c>
      <c r="C23" s="710" t="s">
        <v>767</v>
      </c>
      <c r="D23" s="709" t="s">
        <v>577</v>
      </c>
      <c r="E23" s="710" t="s">
        <v>768</v>
      </c>
      <c r="F23" s="711">
        <v>42284</v>
      </c>
      <c r="G23" s="723">
        <v>12</v>
      </c>
      <c r="H23" s="723">
        <v>14</v>
      </c>
      <c r="I23" s="723">
        <v>16</v>
      </c>
      <c r="J23" s="723">
        <v>11.42</v>
      </c>
      <c r="K23" s="713">
        <f t="shared" si="0"/>
        <v>28253.925999999999</v>
      </c>
      <c r="L23" s="801">
        <v>6666.6670000000004</v>
      </c>
      <c r="M23" s="801">
        <v>34920.593000000001</v>
      </c>
      <c r="N23" s="713">
        <f t="shared" si="1"/>
        <v>339047.11199999996</v>
      </c>
      <c r="O23" s="714">
        <f t="shared" si="2"/>
        <v>80000.004000000001</v>
      </c>
      <c r="P23" s="713">
        <f t="shared" si="3"/>
        <v>419047.11599999998</v>
      </c>
      <c r="Q23" s="713"/>
      <c r="R23" s="723">
        <v>26.98</v>
      </c>
      <c r="S23" s="713">
        <v>1036264.7300000001</v>
      </c>
      <c r="T23" s="713">
        <v>704989.73</v>
      </c>
      <c r="U23" s="713"/>
      <c r="V23" s="700">
        <v>1</v>
      </c>
      <c r="W23" s="617">
        <f t="shared" si="6"/>
        <v>11.42</v>
      </c>
      <c r="X23" s="715">
        <f t="shared" si="7"/>
        <v>398793.17206000001</v>
      </c>
      <c r="Y23" s="716">
        <f t="shared" si="4"/>
        <v>-4.8333333333333228E-2</v>
      </c>
      <c r="Z23" s="717" t="s">
        <v>769</v>
      </c>
      <c r="AA23" s="718" t="s">
        <v>770</v>
      </c>
      <c r="AB23" s="719">
        <f t="shared" si="5"/>
        <v>419047.11599999998</v>
      </c>
      <c r="AC23" s="704"/>
      <c r="AG23" s="714"/>
      <c r="AH23" s="726"/>
      <c r="AI23" s="725"/>
    </row>
    <row r="24" spans="1:38" s="699" customFormat="1" ht="13.5" customHeight="1">
      <c r="A24" s="721"/>
      <c r="B24" s="708" t="s">
        <v>592</v>
      </c>
      <c r="C24" s="710" t="s">
        <v>590</v>
      </c>
      <c r="D24" s="709" t="s">
        <v>577</v>
      </c>
      <c r="E24" s="710" t="s">
        <v>784</v>
      </c>
      <c r="F24" s="711">
        <v>42263</v>
      </c>
      <c r="G24" s="723">
        <v>22</v>
      </c>
      <c r="H24" s="723">
        <v>17</v>
      </c>
      <c r="I24" s="723">
        <v>19</v>
      </c>
      <c r="J24" s="723">
        <v>18.55</v>
      </c>
      <c r="K24" s="713">
        <f t="shared" si="0"/>
        <v>19050.707999999999</v>
      </c>
      <c r="L24" s="801">
        <v>6300</v>
      </c>
      <c r="M24" s="801">
        <v>25350.707999999999</v>
      </c>
      <c r="N24" s="713">
        <f t="shared" si="1"/>
        <v>419115.576</v>
      </c>
      <c r="O24" s="714">
        <f t="shared" si="2"/>
        <v>138600</v>
      </c>
      <c r="P24" s="713">
        <f t="shared" si="3"/>
        <v>557715.576</v>
      </c>
      <c r="Q24" s="713"/>
      <c r="R24" s="723">
        <v>25.5</v>
      </c>
      <c r="S24" s="713">
        <v>794204.95000000007</v>
      </c>
      <c r="T24" s="713">
        <v>627542.95000000007</v>
      </c>
      <c r="U24" s="713"/>
      <c r="V24" s="700">
        <v>1</v>
      </c>
      <c r="W24" s="617">
        <f t="shared" si="6"/>
        <v>18.55</v>
      </c>
      <c r="X24" s="715">
        <f t="shared" si="7"/>
        <v>470255.63339999999</v>
      </c>
      <c r="Y24" s="716">
        <f t="shared" si="4"/>
        <v>-0.15681818181818186</v>
      </c>
      <c r="Z24" s="727" t="s">
        <v>591</v>
      </c>
      <c r="AA24" s="718" t="s">
        <v>593</v>
      </c>
      <c r="AB24" s="719">
        <f t="shared" si="5"/>
        <v>557715.576</v>
      </c>
      <c r="AC24" s="728"/>
      <c r="AD24" s="728"/>
      <c r="AE24" s="728"/>
      <c r="AF24" s="728"/>
      <c r="AG24" s="729"/>
      <c r="AH24" s="726"/>
      <c r="AI24" s="725"/>
      <c r="AJ24" s="728"/>
      <c r="AK24" s="728"/>
      <c r="AL24" s="728"/>
    </row>
    <row r="25" spans="1:38" s="699" customFormat="1" ht="13.5" customHeight="1">
      <c r="A25" s="721"/>
      <c r="B25" s="708" t="s">
        <v>795</v>
      </c>
      <c r="C25" s="710" t="s">
        <v>796</v>
      </c>
      <c r="D25" s="709" t="s">
        <v>577</v>
      </c>
      <c r="E25" s="710" t="s">
        <v>797</v>
      </c>
      <c r="F25" s="711">
        <v>42220</v>
      </c>
      <c r="G25" s="723">
        <v>14</v>
      </c>
      <c r="H25" s="723">
        <v>13</v>
      </c>
      <c r="I25" s="723">
        <v>15</v>
      </c>
      <c r="J25" s="723">
        <v>28.8</v>
      </c>
      <c r="K25" s="713">
        <f t="shared" si="0"/>
        <v>5733.9629999999997</v>
      </c>
      <c r="L25" s="801">
        <v>3000</v>
      </c>
      <c r="M25" s="801">
        <v>8733.9629999999997</v>
      </c>
      <c r="N25" s="713">
        <f t="shared" si="1"/>
        <v>80275.481999999989</v>
      </c>
      <c r="O25" s="714">
        <f t="shared" si="2"/>
        <v>42000</v>
      </c>
      <c r="P25" s="713">
        <f t="shared" si="3"/>
        <v>122275.48199999999</v>
      </c>
      <c r="Q25" s="713"/>
      <c r="R25" s="723">
        <v>11.25</v>
      </c>
      <c r="S25" s="713">
        <v>152481.06999999998</v>
      </c>
      <c r="T25" s="713">
        <v>86229.78</v>
      </c>
      <c r="U25" s="713"/>
      <c r="V25" s="700">
        <v>1</v>
      </c>
      <c r="W25" s="617">
        <f t="shared" si="6"/>
        <v>28.8</v>
      </c>
      <c r="X25" s="715">
        <f t="shared" si="7"/>
        <v>251538.13440000001</v>
      </c>
      <c r="Y25" s="716">
        <f t="shared" si="4"/>
        <v>1.0571428571428574</v>
      </c>
      <c r="Z25" s="727" t="s">
        <v>798</v>
      </c>
      <c r="AA25" s="718" t="s">
        <v>799</v>
      </c>
      <c r="AB25" s="719">
        <f t="shared" si="5"/>
        <v>122275.48199999999</v>
      </c>
      <c r="AC25" s="730"/>
      <c r="AD25" s="729"/>
      <c r="AE25" s="730"/>
      <c r="AF25" s="731"/>
      <c r="AG25" s="729"/>
      <c r="AH25" s="726"/>
      <c r="AI25" s="725"/>
      <c r="AJ25" s="727"/>
      <c r="AK25" s="732"/>
      <c r="AL25" s="732"/>
    </row>
    <row r="26" spans="1:38" s="728" customFormat="1" ht="13.5" customHeight="1">
      <c r="A26" s="721"/>
      <c r="B26" s="708" t="s">
        <v>844</v>
      </c>
      <c r="C26" s="710" t="s">
        <v>845</v>
      </c>
      <c r="D26" s="709" t="s">
        <v>577</v>
      </c>
      <c r="E26" s="710" t="s">
        <v>846</v>
      </c>
      <c r="F26" s="711">
        <v>42125</v>
      </c>
      <c r="G26" s="723">
        <v>3.0585200000000001</v>
      </c>
      <c r="H26" s="723">
        <v>0</v>
      </c>
      <c r="I26" s="723">
        <v>0</v>
      </c>
      <c r="J26" s="723">
        <v>3.2423000000000002</v>
      </c>
      <c r="K26" s="713">
        <f t="shared" si="0"/>
        <v>117170.86200000002</v>
      </c>
      <c r="L26" s="801">
        <v>32569.046999999999</v>
      </c>
      <c r="M26" s="801">
        <v>149739.90900000001</v>
      </c>
      <c r="N26" s="713">
        <f t="shared" si="1"/>
        <v>358369.42484424007</v>
      </c>
      <c r="O26" s="714">
        <f t="shared" si="2"/>
        <v>99613.081630440007</v>
      </c>
      <c r="P26" s="713">
        <f t="shared" si="3"/>
        <v>457982.50647468009</v>
      </c>
      <c r="Q26" s="713"/>
      <c r="R26" s="723">
        <v>1.6563399999999999</v>
      </c>
      <c r="S26" s="713">
        <v>250959.03999999998</v>
      </c>
      <c r="T26" s="713">
        <v>221931.4</v>
      </c>
      <c r="U26" s="713"/>
      <c r="V26" s="700">
        <v>1</v>
      </c>
      <c r="W26" s="617">
        <f t="shared" si="6"/>
        <v>3.2423000000000002</v>
      </c>
      <c r="X26" s="715">
        <f t="shared" si="7"/>
        <v>485501.70695070009</v>
      </c>
      <c r="Y26" s="716">
        <f t="shared" si="4"/>
        <v>6.0087885644036998E-2</v>
      </c>
      <c r="Z26" s="717" t="s">
        <v>847</v>
      </c>
      <c r="AA26" s="718" t="s">
        <v>848</v>
      </c>
      <c r="AB26" s="719">
        <f t="shared" si="5"/>
        <v>457982.50647468009</v>
      </c>
      <c r="AC26" s="704"/>
      <c r="AD26" s="699"/>
      <c r="AE26" s="699"/>
      <c r="AF26" s="699"/>
      <c r="AG26" s="714"/>
      <c r="AH26" s="726"/>
      <c r="AI26" s="725"/>
      <c r="AJ26" s="699"/>
      <c r="AK26" s="699"/>
      <c r="AL26" s="699"/>
    </row>
    <row r="27" spans="1:38" s="728" customFormat="1" ht="13.5" customHeight="1">
      <c r="A27" s="721"/>
      <c r="B27" s="708" t="s">
        <v>640</v>
      </c>
      <c r="C27" s="710" t="s">
        <v>849</v>
      </c>
      <c r="D27" s="709" t="s">
        <v>998</v>
      </c>
      <c r="E27" s="710" t="s">
        <v>850</v>
      </c>
      <c r="F27" s="711">
        <v>42123</v>
      </c>
      <c r="G27" s="723">
        <v>18</v>
      </c>
      <c r="H27" s="723">
        <v>15</v>
      </c>
      <c r="I27" s="723">
        <v>17</v>
      </c>
      <c r="J27" s="723">
        <v>28.69</v>
      </c>
      <c r="K27" s="713">
        <f t="shared" si="0"/>
        <v>17686.131000000001</v>
      </c>
      <c r="L27" s="801">
        <v>8145.8339999999998</v>
      </c>
      <c r="M27" s="801">
        <v>25831.965</v>
      </c>
      <c r="N27" s="713">
        <f t="shared" si="1"/>
        <v>318350.35800000001</v>
      </c>
      <c r="O27" s="714">
        <f t="shared" si="2"/>
        <v>146625.01199999999</v>
      </c>
      <c r="P27" s="713">
        <f t="shared" si="3"/>
        <v>464975.37</v>
      </c>
      <c r="Q27" s="713"/>
      <c r="R27" s="723">
        <v>73.680000000000007</v>
      </c>
      <c r="S27" s="713">
        <v>3159599.03</v>
      </c>
      <c r="T27" s="713">
        <v>2771042.0300000003</v>
      </c>
      <c r="U27" s="713"/>
      <c r="V27" s="700">
        <v>1</v>
      </c>
      <c r="W27" s="617">
        <f t="shared" si="6"/>
        <v>28.69</v>
      </c>
      <c r="X27" s="715">
        <f t="shared" si="7"/>
        <v>741119.07585000002</v>
      </c>
      <c r="Y27" s="716">
        <f t="shared" si="4"/>
        <v>0.59388888888888891</v>
      </c>
      <c r="Z27" s="727" t="s">
        <v>851</v>
      </c>
      <c r="AA27" s="718" t="s">
        <v>999</v>
      </c>
      <c r="AB27" s="719">
        <f t="shared" si="5"/>
        <v>464975.37</v>
      </c>
      <c r="AG27" s="729"/>
      <c r="AH27" s="726"/>
      <c r="AI27" s="725"/>
    </row>
    <row r="28" spans="1:38" s="728" customFormat="1" ht="13.5" customHeight="1">
      <c r="A28" s="721"/>
      <c r="B28" s="708" t="s">
        <v>862</v>
      </c>
      <c r="C28" s="710" t="s">
        <v>863</v>
      </c>
      <c r="D28" s="709" t="s">
        <v>577</v>
      </c>
      <c r="E28" s="710" t="s">
        <v>864</v>
      </c>
      <c r="F28" s="711">
        <v>42108</v>
      </c>
      <c r="G28" s="723">
        <v>16</v>
      </c>
      <c r="H28" s="723">
        <v>14</v>
      </c>
      <c r="I28" s="723">
        <v>16</v>
      </c>
      <c r="J28" s="723">
        <v>16.32</v>
      </c>
      <c r="K28" s="713">
        <f t="shared" si="0"/>
        <v>8694.1180000000004</v>
      </c>
      <c r="L28" s="801">
        <v>4800</v>
      </c>
      <c r="M28" s="801">
        <v>13494.118</v>
      </c>
      <c r="N28" s="713">
        <f t="shared" si="1"/>
        <v>139105.88800000001</v>
      </c>
      <c r="O28" s="714">
        <f t="shared" si="2"/>
        <v>76800</v>
      </c>
      <c r="P28" s="713">
        <f t="shared" si="3"/>
        <v>215905.88800000001</v>
      </c>
      <c r="Q28" s="713"/>
      <c r="R28" s="723">
        <v>6.55</v>
      </c>
      <c r="S28" s="713">
        <v>132559.84</v>
      </c>
      <c r="T28" s="713">
        <v>78259.839999999997</v>
      </c>
      <c r="U28" s="713"/>
      <c r="V28" s="700">
        <v>1</v>
      </c>
      <c r="W28" s="617">
        <f t="shared" si="6"/>
        <v>16.32</v>
      </c>
      <c r="X28" s="715">
        <f t="shared" si="7"/>
        <v>220224.00576</v>
      </c>
      <c r="Y28" s="716">
        <f t="shared" si="4"/>
        <v>2.0000000000000018E-2</v>
      </c>
      <c r="Z28" s="718" t="s">
        <v>865</v>
      </c>
      <c r="AA28" s="718" t="s">
        <v>866</v>
      </c>
      <c r="AB28" s="719">
        <f t="shared" si="5"/>
        <v>215905.88800000001</v>
      </c>
      <c r="AC28" s="699"/>
      <c r="AD28" s="699"/>
      <c r="AE28" s="699"/>
      <c r="AF28" s="714"/>
      <c r="AG28" s="726"/>
      <c r="AH28" s="725"/>
      <c r="AI28" s="699"/>
      <c r="AJ28" s="699"/>
      <c r="AK28" s="699"/>
    </row>
    <row r="29" spans="1:38" s="728" customFormat="1" ht="13.5" customHeight="1">
      <c r="A29" s="721"/>
      <c r="B29" s="708" t="s">
        <v>895</v>
      </c>
      <c r="C29" s="710" t="s">
        <v>896</v>
      </c>
      <c r="D29" s="709" t="s">
        <v>577</v>
      </c>
      <c r="E29" s="710" t="s">
        <v>897</v>
      </c>
      <c r="F29" s="711">
        <v>42032</v>
      </c>
      <c r="G29" s="723">
        <v>16</v>
      </c>
      <c r="H29" s="723">
        <v>12</v>
      </c>
      <c r="I29" s="723">
        <v>14</v>
      </c>
      <c r="J29" s="723">
        <v>17.385000000000002</v>
      </c>
      <c r="K29" s="713">
        <f t="shared" si="0"/>
        <v>12405.409</v>
      </c>
      <c r="L29" s="801">
        <v>5400</v>
      </c>
      <c r="M29" s="801">
        <v>17805.409</v>
      </c>
      <c r="N29" s="713">
        <f t="shared" si="1"/>
        <v>198486.54399999999</v>
      </c>
      <c r="O29" s="714">
        <f t="shared" si="2"/>
        <v>86400</v>
      </c>
      <c r="P29" s="713">
        <f t="shared" si="3"/>
        <v>284886.54399999999</v>
      </c>
      <c r="Q29" s="713"/>
      <c r="R29" s="723">
        <v>3.79</v>
      </c>
      <c r="S29" s="713">
        <v>68113.179999999993</v>
      </c>
      <c r="T29" s="713">
        <v>29184.66</v>
      </c>
      <c r="U29" s="713"/>
      <c r="V29" s="700">
        <v>1</v>
      </c>
      <c r="W29" s="617">
        <f t="shared" si="6"/>
        <v>17.385000000000002</v>
      </c>
      <c r="X29" s="715">
        <f t="shared" si="7"/>
        <v>309547.03546500002</v>
      </c>
      <c r="Y29" s="716">
        <f t="shared" si="4"/>
        <v>8.6562500000000098E-2</v>
      </c>
      <c r="Z29" s="718" t="s">
        <v>898</v>
      </c>
      <c r="AA29" s="718" t="s">
        <v>1000</v>
      </c>
      <c r="AB29" s="719">
        <f t="shared" si="5"/>
        <v>284886.54399999999</v>
      </c>
      <c r="AC29" s="699"/>
      <c r="AD29" s="699"/>
      <c r="AE29" s="699"/>
      <c r="AF29" s="714"/>
      <c r="AG29" s="726"/>
      <c r="AH29" s="725"/>
      <c r="AI29" s="699"/>
      <c r="AJ29" s="699"/>
      <c r="AK29" s="699"/>
    </row>
    <row r="30" spans="1:38" s="728" customFormat="1" ht="13.5" customHeight="1">
      <c r="A30" s="721"/>
      <c r="B30" s="708" t="s">
        <v>2201</v>
      </c>
      <c r="C30" s="710" t="s">
        <v>2202</v>
      </c>
      <c r="D30" s="709" t="s">
        <v>577</v>
      </c>
      <c r="E30" s="710" t="s">
        <v>2203</v>
      </c>
      <c r="F30" s="711">
        <v>41900</v>
      </c>
      <c r="G30" s="723">
        <v>13</v>
      </c>
      <c r="H30" s="723">
        <v>11</v>
      </c>
      <c r="I30" s="723">
        <v>13</v>
      </c>
      <c r="J30" s="723">
        <v>12.49</v>
      </c>
      <c r="K30" s="713">
        <f t="shared" si="0"/>
        <v>14713.153999999999</v>
      </c>
      <c r="L30" s="801">
        <v>7500</v>
      </c>
      <c r="M30" s="801">
        <v>22213.153999999999</v>
      </c>
      <c r="N30" s="713">
        <f t="shared" si="1"/>
        <v>191271.00199999998</v>
      </c>
      <c r="O30" s="714">
        <f t="shared" si="2"/>
        <v>97500</v>
      </c>
      <c r="P30" s="713">
        <f t="shared" si="3"/>
        <v>288771.00199999998</v>
      </c>
      <c r="Q30" s="713"/>
      <c r="R30" s="723">
        <v>3.05</v>
      </c>
      <c r="S30" s="713">
        <v>97174.06</v>
      </c>
      <c r="T30" s="713">
        <v>57853.65</v>
      </c>
      <c r="U30" s="713"/>
      <c r="V30" s="700">
        <v>1</v>
      </c>
      <c r="W30" s="617">
        <f t="shared" si="6"/>
        <v>12.49</v>
      </c>
      <c r="X30" s="715">
        <f t="shared" si="7"/>
        <v>277442.29346000002</v>
      </c>
      <c r="Y30" s="716">
        <f t="shared" si="4"/>
        <v>-3.9230769230769069E-2</v>
      </c>
      <c r="Z30" s="718" t="s">
        <v>2228</v>
      </c>
      <c r="AA30" s="718" t="s">
        <v>2233</v>
      </c>
      <c r="AB30" s="719">
        <f t="shared" si="5"/>
        <v>288771.00199999998</v>
      </c>
      <c r="AC30" s="699"/>
      <c r="AD30" s="699"/>
      <c r="AE30" s="699"/>
      <c r="AF30" s="714"/>
      <c r="AG30" s="726"/>
      <c r="AH30" s="725"/>
      <c r="AI30" s="699"/>
      <c r="AJ30" s="699"/>
      <c r="AK30" s="699"/>
    </row>
    <row r="31" spans="1:38" s="728" customFormat="1" ht="13.5" customHeight="1">
      <c r="A31" s="721"/>
      <c r="B31" s="708" t="s">
        <v>2196</v>
      </c>
      <c r="C31" s="710" t="s">
        <v>906</v>
      </c>
      <c r="D31" s="709" t="s">
        <v>1917</v>
      </c>
      <c r="E31" s="710" t="s">
        <v>2197</v>
      </c>
      <c r="F31" s="711">
        <v>41848</v>
      </c>
      <c r="G31" s="723">
        <v>6</v>
      </c>
      <c r="H31" s="723">
        <v>5</v>
      </c>
      <c r="I31" s="723">
        <v>6</v>
      </c>
      <c r="J31" s="723">
        <v>3.01</v>
      </c>
      <c r="K31" s="713">
        <f t="shared" si="0"/>
        <v>13834.645999999999</v>
      </c>
      <c r="L31" s="801">
        <v>5454.5450000000001</v>
      </c>
      <c r="M31" s="801">
        <v>19289.190999999999</v>
      </c>
      <c r="N31" s="713">
        <f t="shared" si="1"/>
        <v>83007.875999999989</v>
      </c>
      <c r="O31" s="714">
        <f t="shared" si="2"/>
        <v>32727.27</v>
      </c>
      <c r="P31" s="713">
        <f t="shared" si="3"/>
        <v>115735.14599999999</v>
      </c>
      <c r="Q31" s="713"/>
      <c r="R31" s="723">
        <v>1.6</v>
      </c>
      <c r="S31" s="713">
        <v>117849.61</v>
      </c>
      <c r="T31" s="713">
        <v>65297.55</v>
      </c>
      <c r="U31" s="713"/>
      <c r="V31" s="700">
        <v>1</v>
      </c>
      <c r="W31" s="617">
        <f t="shared" si="6"/>
        <v>3.01</v>
      </c>
      <c r="X31" s="715">
        <f t="shared" si="7"/>
        <v>58060.464909999995</v>
      </c>
      <c r="Y31" s="716">
        <f t="shared" si="4"/>
        <v>-0.49833333333333329</v>
      </c>
      <c r="Z31" s="718" t="s">
        <v>2226</v>
      </c>
      <c r="AA31" s="718" t="s">
        <v>2231</v>
      </c>
      <c r="AB31" s="719">
        <f t="shared" si="5"/>
        <v>115735.14599999999</v>
      </c>
      <c r="AC31" s="699"/>
      <c r="AD31" s="699"/>
      <c r="AE31" s="699"/>
      <c r="AF31" s="714"/>
      <c r="AG31" s="726"/>
      <c r="AH31" s="725"/>
      <c r="AI31" s="699"/>
      <c r="AJ31" s="699"/>
      <c r="AK31" s="699"/>
    </row>
    <row r="32" spans="1:38" s="728" customFormat="1" ht="13.5" customHeight="1">
      <c r="A32" s="721"/>
      <c r="B32" s="708" t="s">
        <v>2204</v>
      </c>
      <c r="C32" s="710" t="s">
        <v>2205</v>
      </c>
      <c r="D32" s="709" t="s">
        <v>2206</v>
      </c>
      <c r="E32" s="710" t="s">
        <v>2207</v>
      </c>
      <c r="F32" s="711">
        <v>41724</v>
      </c>
      <c r="G32" s="723">
        <v>12</v>
      </c>
      <c r="H32" s="723">
        <v>13</v>
      </c>
      <c r="I32" s="723">
        <v>15</v>
      </c>
      <c r="J32" s="723">
        <v>12.84</v>
      </c>
      <c r="K32" s="713">
        <f t="shared" si="0"/>
        <v>14082.091</v>
      </c>
      <c r="L32" s="801">
        <v>2000</v>
      </c>
      <c r="M32" s="801">
        <v>16082.091</v>
      </c>
      <c r="N32" s="713">
        <f t="shared" si="1"/>
        <v>168985.092</v>
      </c>
      <c r="O32" s="714">
        <f t="shared" si="2"/>
        <v>24000</v>
      </c>
      <c r="P32" s="713">
        <f t="shared" si="3"/>
        <v>192985.092</v>
      </c>
      <c r="Q32" s="713"/>
      <c r="R32" s="723">
        <v>4.25</v>
      </c>
      <c r="S32" s="713">
        <v>76903.33</v>
      </c>
      <c r="T32" s="713">
        <v>-48299.67</v>
      </c>
      <c r="U32" s="713"/>
      <c r="V32" s="700">
        <v>1</v>
      </c>
      <c r="W32" s="617">
        <f t="shared" si="6"/>
        <v>12.84</v>
      </c>
      <c r="X32" s="715">
        <f t="shared" si="7"/>
        <v>206494.04844000001</v>
      </c>
      <c r="Y32" s="716">
        <f t="shared" si="4"/>
        <v>7.0000000000000062E-2</v>
      </c>
      <c r="Z32" s="718" t="s">
        <v>2229</v>
      </c>
      <c r="AA32" s="718" t="s">
        <v>2234</v>
      </c>
      <c r="AB32" s="719">
        <f t="shared" si="5"/>
        <v>192985.092</v>
      </c>
      <c r="AC32" s="699"/>
      <c r="AD32" s="699"/>
      <c r="AE32" s="699"/>
      <c r="AF32" s="714"/>
      <c r="AG32" s="726"/>
      <c r="AH32" s="725"/>
      <c r="AI32" s="699"/>
      <c r="AJ32" s="699"/>
      <c r="AK32" s="699"/>
    </row>
    <row r="33" spans="1:37" s="728" customFormat="1" ht="13.5" customHeight="1">
      <c r="A33" s="721"/>
      <c r="B33" s="708" t="s">
        <v>2208</v>
      </c>
      <c r="C33" s="710" t="s">
        <v>2209</v>
      </c>
      <c r="D33" s="709" t="s">
        <v>2206</v>
      </c>
      <c r="E33" s="710" t="s">
        <v>2210</v>
      </c>
      <c r="F33" s="711">
        <v>41675</v>
      </c>
      <c r="G33" s="723">
        <v>17</v>
      </c>
      <c r="H33" s="723">
        <v>13</v>
      </c>
      <c r="I33" s="723">
        <v>15</v>
      </c>
      <c r="J33" s="723">
        <v>15.72</v>
      </c>
      <c r="K33" s="713">
        <f t="shared" si="0"/>
        <v>12194.905999999999</v>
      </c>
      <c r="L33" s="801">
        <v>5400</v>
      </c>
      <c r="M33" s="801">
        <v>17594.905999999999</v>
      </c>
      <c r="N33" s="713">
        <f t="shared" si="1"/>
        <v>207313.40199999997</v>
      </c>
      <c r="O33" s="714">
        <f t="shared" si="2"/>
        <v>91800</v>
      </c>
      <c r="P33" s="713">
        <f t="shared" si="3"/>
        <v>299113.402</v>
      </c>
      <c r="Q33" s="713"/>
      <c r="R33" s="723">
        <v>19.399999999999999</v>
      </c>
      <c r="S33" s="713">
        <v>595994.21</v>
      </c>
      <c r="T33" s="713">
        <v>527645.21</v>
      </c>
      <c r="U33" s="713"/>
      <c r="V33" s="700">
        <v>1</v>
      </c>
      <c r="W33" s="617">
        <f t="shared" si="6"/>
        <v>15.72</v>
      </c>
      <c r="X33" s="715">
        <f t="shared" si="7"/>
        <v>276591.92232000001</v>
      </c>
      <c r="Y33" s="716">
        <f t="shared" si="4"/>
        <v>-7.5294117647058734E-2</v>
      </c>
      <c r="Z33" s="718" t="s">
        <v>2230</v>
      </c>
      <c r="AA33" s="718" t="s">
        <v>2235</v>
      </c>
      <c r="AB33" s="719">
        <f t="shared" si="5"/>
        <v>299113.402</v>
      </c>
      <c r="AC33" s="699"/>
      <c r="AD33" s="699"/>
      <c r="AE33" s="699"/>
      <c r="AF33" s="714"/>
      <c r="AG33" s="726"/>
      <c r="AH33" s="725"/>
      <c r="AI33" s="699"/>
      <c r="AJ33" s="699"/>
      <c r="AK33" s="699"/>
    </row>
    <row r="34" spans="1:37" s="728" customFormat="1" ht="13.5" customHeight="1">
      <c r="A34" s="721"/>
      <c r="B34" s="708" t="s">
        <v>2198</v>
      </c>
      <c r="C34" s="710" t="s">
        <v>2199</v>
      </c>
      <c r="D34" s="709" t="s">
        <v>577</v>
      </c>
      <c r="E34" s="710" t="s">
        <v>2200</v>
      </c>
      <c r="F34" s="711">
        <v>41668</v>
      </c>
      <c r="G34" s="723">
        <v>15</v>
      </c>
      <c r="H34" s="723">
        <v>11</v>
      </c>
      <c r="I34" s="723">
        <v>13</v>
      </c>
      <c r="J34" s="723">
        <v>36.72</v>
      </c>
      <c r="K34" s="713">
        <f t="shared" si="0"/>
        <v>10627.66</v>
      </c>
      <c r="L34" s="801">
        <v>6000</v>
      </c>
      <c r="M34" s="801">
        <v>16627.66</v>
      </c>
      <c r="N34" s="713">
        <f t="shared" si="1"/>
        <v>159414.9</v>
      </c>
      <c r="O34" s="714">
        <f t="shared" si="2"/>
        <v>90000</v>
      </c>
      <c r="P34" s="713">
        <f t="shared" si="3"/>
        <v>249414.9</v>
      </c>
      <c r="Q34" s="713"/>
      <c r="R34" s="723">
        <v>9.56</v>
      </c>
      <c r="S34" s="713">
        <v>493695.02</v>
      </c>
      <c r="T34" s="713">
        <v>493759.02</v>
      </c>
      <c r="U34" s="713"/>
      <c r="V34" s="700">
        <v>1</v>
      </c>
      <c r="W34" s="617">
        <f t="shared" si="6"/>
        <v>36.72</v>
      </c>
      <c r="X34" s="715">
        <f t="shared" si="7"/>
        <v>610567.67519999994</v>
      </c>
      <c r="Y34" s="716">
        <f t="shared" si="4"/>
        <v>1.448</v>
      </c>
      <c r="Z34" s="718" t="s">
        <v>2227</v>
      </c>
      <c r="AA34" s="718" t="s">
        <v>2232</v>
      </c>
      <c r="AB34" s="719">
        <f t="shared" si="5"/>
        <v>249414.9</v>
      </c>
      <c r="AC34" s="699"/>
      <c r="AD34" s="699"/>
      <c r="AE34" s="699"/>
      <c r="AF34" s="714"/>
      <c r="AG34" s="726"/>
      <c r="AH34" s="725"/>
      <c r="AI34" s="699"/>
      <c r="AJ34" s="699"/>
      <c r="AK34" s="699"/>
    </row>
    <row r="35" spans="1:37" s="728" customFormat="1" ht="13.5" customHeight="1">
      <c r="A35" s="721"/>
      <c r="B35" s="708" t="s">
        <v>2211</v>
      </c>
      <c r="C35" s="710" t="s">
        <v>2212</v>
      </c>
      <c r="D35" s="709" t="s">
        <v>997</v>
      </c>
      <c r="E35" s="710" t="s">
        <v>2213</v>
      </c>
      <c r="F35" s="711">
        <v>41478</v>
      </c>
      <c r="G35" s="723">
        <v>18</v>
      </c>
      <c r="H35" s="723">
        <v>14</v>
      </c>
      <c r="I35" s="723">
        <v>16</v>
      </c>
      <c r="J35" s="723">
        <v>25.87</v>
      </c>
      <c r="K35" s="713">
        <f t="shared" si="0"/>
        <v>24238.732</v>
      </c>
      <c r="L35" s="801">
        <v>5888.8879999999999</v>
      </c>
      <c r="M35" s="801">
        <v>30127.62</v>
      </c>
      <c r="N35" s="713">
        <f t="shared" si="1"/>
        <v>436297.17599999998</v>
      </c>
      <c r="O35" s="714">
        <f t="shared" si="2"/>
        <v>105999.984</v>
      </c>
      <c r="P35" s="713">
        <f t="shared" si="3"/>
        <v>542297.15999999992</v>
      </c>
      <c r="Q35" s="713"/>
      <c r="R35" s="723">
        <v>74.260000000000005</v>
      </c>
      <c r="S35" s="713">
        <v>4136842.07</v>
      </c>
      <c r="T35" s="713">
        <v>3628914.07</v>
      </c>
      <c r="U35" s="713"/>
      <c r="V35" s="700">
        <v>1</v>
      </c>
      <c r="W35" s="617">
        <f t="shared" si="6"/>
        <v>25.87</v>
      </c>
      <c r="X35" s="715">
        <f t="shared" si="7"/>
        <v>779401.5294</v>
      </c>
      <c r="Y35" s="716">
        <f t="shared" si="4"/>
        <v>0.4372222222222224</v>
      </c>
      <c r="Z35" s="718" t="s">
        <v>2222</v>
      </c>
      <c r="AA35" s="718" t="s">
        <v>2224</v>
      </c>
      <c r="AB35" s="719">
        <f t="shared" si="5"/>
        <v>542297.15999999992</v>
      </c>
      <c r="AC35" s="699"/>
      <c r="AD35" s="699"/>
      <c r="AE35" s="699"/>
      <c r="AF35" s="714"/>
      <c r="AG35" s="726"/>
      <c r="AH35" s="725"/>
      <c r="AI35" s="699"/>
      <c r="AJ35" s="699"/>
      <c r="AK35" s="699"/>
    </row>
    <row r="36" spans="1:37" s="728" customFormat="1" ht="13.5" customHeight="1">
      <c r="A36" s="721"/>
      <c r="B36" s="708" t="s">
        <v>2214</v>
      </c>
      <c r="C36" s="710" t="s">
        <v>2215</v>
      </c>
      <c r="D36" s="709" t="s">
        <v>997</v>
      </c>
      <c r="E36" s="710" t="s">
        <v>2216</v>
      </c>
      <c r="F36" s="711">
        <v>41478</v>
      </c>
      <c r="G36" s="723">
        <v>10</v>
      </c>
      <c r="H36" s="723">
        <v>0</v>
      </c>
      <c r="I36" s="723">
        <v>0</v>
      </c>
      <c r="J36" s="723">
        <v>101</v>
      </c>
      <c r="K36" s="713">
        <f t="shared" si="0"/>
        <v>3586.942</v>
      </c>
      <c r="L36" s="801">
        <v>2500</v>
      </c>
      <c r="M36" s="801">
        <v>6086.942</v>
      </c>
      <c r="N36" s="713">
        <f t="shared" si="1"/>
        <v>35869.42</v>
      </c>
      <c r="O36" s="714">
        <f t="shared" si="2"/>
        <v>25000</v>
      </c>
      <c r="P36" s="713">
        <f t="shared" si="3"/>
        <v>60869.42</v>
      </c>
      <c r="Q36" s="713"/>
      <c r="R36" s="723">
        <v>2.67</v>
      </c>
      <c r="S36" s="713">
        <v>11214.83</v>
      </c>
      <c r="T36" s="713">
        <v>5560.23</v>
      </c>
      <c r="U36" s="713"/>
      <c r="V36" s="700">
        <v>1</v>
      </c>
      <c r="W36" s="617">
        <f t="shared" si="6"/>
        <v>101</v>
      </c>
      <c r="X36" s="715">
        <f t="shared" si="7"/>
        <v>614781.14199999999</v>
      </c>
      <c r="Y36" s="716">
        <f t="shared" si="4"/>
        <v>9.1</v>
      </c>
      <c r="Z36" s="718" t="s">
        <v>2223</v>
      </c>
      <c r="AA36" s="718" t="s">
        <v>2225</v>
      </c>
      <c r="AB36" s="719">
        <f t="shared" si="5"/>
        <v>60869.42</v>
      </c>
      <c r="AC36" s="699"/>
      <c r="AD36" s="699"/>
      <c r="AE36" s="699"/>
      <c r="AF36" s="714"/>
      <c r="AG36" s="726"/>
      <c r="AH36" s="725"/>
      <c r="AI36" s="699"/>
      <c r="AJ36" s="699"/>
      <c r="AK36" s="699"/>
    </row>
    <row r="37" spans="1:37" s="728" customFormat="1" ht="13.5" customHeight="1">
      <c r="A37" s="721"/>
      <c r="B37" s="708" t="s">
        <v>2217</v>
      </c>
      <c r="C37" s="710" t="s">
        <v>2218</v>
      </c>
      <c r="D37" s="709" t="s">
        <v>577</v>
      </c>
      <c r="E37" s="710" t="s">
        <v>2219</v>
      </c>
      <c r="F37" s="711">
        <v>41186</v>
      </c>
      <c r="G37" s="723">
        <v>4</v>
      </c>
      <c r="H37" s="723">
        <v>10</v>
      </c>
      <c r="I37" s="723">
        <v>12</v>
      </c>
      <c r="J37" s="723">
        <v>4.7601000000000004</v>
      </c>
      <c r="K37" s="713">
        <f t="shared" si="0"/>
        <v>22880.392999999996</v>
      </c>
      <c r="L37" s="801">
        <v>11250</v>
      </c>
      <c r="M37" s="801">
        <v>34130.392999999996</v>
      </c>
      <c r="N37" s="713">
        <f t="shared" si="1"/>
        <v>91521.571999999986</v>
      </c>
      <c r="O37" s="714">
        <f t="shared" si="2"/>
        <v>45000</v>
      </c>
      <c r="P37" s="713">
        <f t="shared" si="3"/>
        <v>136521.57199999999</v>
      </c>
      <c r="Q37" s="713"/>
      <c r="R37" s="723">
        <v>1.1299999999999999</v>
      </c>
      <c r="S37" s="713">
        <v>117469.31999999999</v>
      </c>
      <c r="T37" s="713">
        <v>65944.320000000007</v>
      </c>
      <c r="U37" s="713"/>
      <c r="V37" s="700">
        <v>1</v>
      </c>
      <c r="W37" s="617">
        <f t="shared" si="6"/>
        <v>4.7601000000000004</v>
      </c>
      <c r="X37" s="715">
        <f t="shared" si="7"/>
        <v>162464.08371929999</v>
      </c>
      <c r="Y37" s="716">
        <f t="shared" si="4"/>
        <v>0.19002500000000011</v>
      </c>
      <c r="Z37" s="718" t="s">
        <v>2221</v>
      </c>
      <c r="AA37" s="718" t="s">
        <v>2220</v>
      </c>
      <c r="AB37" s="719">
        <f t="shared" si="5"/>
        <v>136521.57199999999</v>
      </c>
      <c r="AC37" s="699"/>
      <c r="AD37" s="699"/>
      <c r="AE37" s="699"/>
      <c r="AF37" s="714"/>
      <c r="AG37" s="726"/>
      <c r="AH37" s="725"/>
      <c r="AI37" s="699"/>
      <c r="AJ37" s="699"/>
      <c r="AK37" s="699"/>
    </row>
    <row r="38" spans="1:37" s="728" customFormat="1" ht="13.5" customHeight="1">
      <c r="A38" s="721"/>
      <c r="B38" s="708"/>
      <c r="C38" s="710"/>
      <c r="D38" s="709"/>
      <c r="E38" s="710"/>
      <c r="F38" s="711"/>
      <c r="G38" s="722"/>
      <c r="H38" s="723"/>
      <c r="I38" s="723"/>
      <c r="J38" s="722"/>
      <c r="K38" s="712"/>
      <c r="L38" s="714"/>
      <c r="M38" s="714"/>
      <c r="N38" s="713"/>
      <c r="O38" s="714"/>
      <c r="P38" s="713"/>
      <c r="Q38" s="713"/>
      <c r="R38" s="713"/>
      <c r="S38" s="713"/>
      <c r="T38" s="713"/>
      <c r="U38" s="713"/>
      <c r="V38" s="713"/>
      <c r="W38" s="617"/>
      <c r="X38" s="715"/>
      <c r="Y38" s="716"/>
      <c r="Z38" s="718"/>
      <c r="AA38" s="718"/>
      <c r="AB38" s="719"/>
      <c r="AC38" s="699"/>
      <c r="AD38" s="699"/>
      <c r="AE38" s="699"/>
      <c r="AF38" s="714"/>
      <c r="AG38" s="726"/>
      <c r="AH38" s="725"/>
      <c r="AI38" s="699"/>
      <c r="AJ38" s="699"/>
      <c r="AK38" s="699"/>
    </row>
    <row r="39" spans="1:37" s="728" customFormat="1" ht="13.5" customHeight="1">
      <c r="A39" s="721"/>
      <c r="B39" s="826" t="s">
        <v>41</v>
      </c>
      <c r="C39" s="827"/>
      <c r="D39" s="827"/>
      <c r="E39" s="827"/>
      <c r="F39" s="827"/>
      <c r="G39" s="827"/>
      <c r="H39" s="827"/>
      <c r="I39" s="827"/>
      <c r="J39" s="827"/>
      <c r="K39" s="827"/>
      <c r="L39" s="827"/>
      <c r="M39" s="827"/>
      <c r="N39" s="828">
        <f>MAX(N11:N37)</f>
        <v>523732.77</v>
      </c>
      <c r="O39" s="828"/>
      <c r="P39" s="828">
        <f>MAX(P11:P37)</f>
        <v>631732.77</v>
      </c>
      <c r="Q39" s="828"/>
      <c r="R39" s="828"/>
      <c r="S39" s="828">
        <f>MAX(S11:S37)</f>
        <v>4136842.07</v>
      </c>
      <c r="T39" s="829">
        <f>MAX(T11:T37)</f>
        <v>3628914.07</v>
      </c>
      <c r="U39" s="713"/>
      <c r="V39" s="713"/>
      <c r="W39" s="830">
        <f>MAX(W12:W37)</f>
        <v>101</v>
      </c>
      <c r="X39" s="715"/>
      <c r="Y39" s="716"/>
      <c r="Z39" s="718"/>
      <c r="AA39" s="718"/>
      <c r="AB39" s="719"/>
      <c r="AC39" s="699"/>
      <c r="AD39" s="699"/>
      <c r="AE39" s="699"/>
      <c r="AF39" s="714"/>
      <c r="AG39" s="726"/>
      <c r="AH39" s="725"/>
      <c r="AI39" s="699"/>
      <c r="AJ39" s="699"/>
      <c r="AK39" s="699"/>
    </row>
    <row r="40" spans="1:37" s="728" customFormat="1" ht="13.5" customHeight="1">
      <c r="A40" s="721"/>
      <c r="B40" s="618" t="s">
        <v>45</v>
      </c>
      <c r="C40" s="619"/>
      <c r="D40" s="619"/>
      <c r="E40" s="619"/>
      <c r="F40" s="619"/>
      <c r="G40" s="619"/>
      <c r="H40" s="619"/>
      <c r="I40" s="619"/>
      <c r="J40" s="619"/>
      <c r="K40" s="619"/>
      <c r="L40" s="619"/>
      <c r="M40" s="619"/>
      <c r="N40" s="600">
        <f>_xlfn.QUARTILE.INC(N11:N37,3)</f>
        <v>348708.26842212002</v>
      </c>
      <c r="O40" s="600"/>
      <c r="P40" s="600">
        <f>_xlfn.QUARTILE.INC(P11:P37,3)</f>
        <v>461478.93823734007</v>
      </c>
      <c r="Q40" s="600"/>
      <c r="R40" s="600"/>
      <c r="S40" s="600">
        <f>_xlfn.QUARTILE.INC(S11:S37,3)</f>
        <v>1009009.775</v>
      </c>
      <c r="T40" s="620">
        <f>_xlfn.QUARTILE.INC(T11:T37,3)</f>
        <v>732240.27499999991</v>
      </c>
      <c r="U40" s="713"/>
      <c r="V40" s="713"/>
      <c r="W40" s="734">
        <f>_xlfn.QUARTILE.INC(W12:W37,3)</f>
        <v>24.5275</v>
      </c>
      <c r="X40" s="715"/>
      <c r="Y40" s="716"/>
      <c r="Z40" s="718"/>
      <c r="AA40" s="718"/>
      <c r="AB40" s="719"/>
      <c r="AC40" s="699"/>
      <c r="AD40" s="699"/>
      <c r="AE40" s="699"/>
      <c r="AF40" s="714"/>
      <c r="AG40" s="726"/>
      <c r="AH40" s="725"/>
      <c r="AI40" s="699"/>
      <c r="AJ40" s="699"/>
      <c r="AK40" s="699"/>
    </row>
    <row r="41" spans="1:37" s="728" customFormat="1" ht="13.5" customHeight="1">
      <c r="A41" s="721"/>
      <c r="B41" s="618" t="s">
        <v>2</v>
      </c>
      <c r="C41" s="619"/>
      <c r="D41" s="619"/>
      <c r="E41" s="619"/>
      <c r="F41" s="619"/>
      <c r="G41" s="619"/>
      <c r="H41" s="619"/>
      <c r="I41" s="619"/>
      <c r="J41" s="619"/>
      <c r="K41" s="619"/>
      <c r="L41" s="619"/>
      <c r="M41" s="619"/>
      <c r="N41" s="600">
        <f>AVERAGE(N11:N37)</f>
        <v>223435.2441794163</v>
      </c>
      <c r="O41" s="600"/>
      <c r="P41" s="600">
        <f>AVERAGE(P11:P37)</f>
        <v>297479.89251758077</v>
      </c>
      <c r="Q41" s="600"/>
      <c r="R41" s="600"/>
      <c r="S41" s="600">
        <f>AVERAGE(S11:S37)</f>
        <v>703093.36370370362</v>
      </c>
      <c r="T41" s="620">
        <f>AVERAGE(T11:T37)</f>
        <v>586970.23740740761</v>
      </c>
      <c r="U41" s="713"/>
      <c r="V41" s="713"/>
      <c r="W41" s="734">
        <f>AVERAGE(W12:W37)</f>
        <v>19.411053846153848</v>
      </c>
      <c r="X41" s="715"/>
      <c r="Y41" s="716"/>
      <c r="Z41" s="718"/>
      <c r="AA41" s="718"/>
      <c r="AB41" s="719"/>
      <c r="AC41" s="699"/>
      <c r="AD41" s="699"/>
      <c r="AE41" s="699"/>
      <c r="AF41" s="714"/>
      <c r="AG41" s="726"/>
      <c r="AH41" s="725"/>
      <c r="AI41" s="699"/>
      <c r="AJ41" s="699"/>
      <c r="AK41" s="699"/>
    </row>
    <row r="42" spans="1:37" s="728" customFormat="1" ht="13.5" customHeight="1">
      <c r="A42" s="721"/>
      <c r="B42" s="618" t="s">
        <v>3</v>
      </c>
      <c r="C42" s="619"/>
      <c r="D42" s="619"/>
      <c r="E42" s="619"/>
      <c r="F42" s="619"/>
      <c r="G42" s="619"/>
      <c r="H42" s="619"/>
      <c r="I42" s="619"/>
      <c r="J42" s="619"/>
      <c r="K42" s="619"/>
      <c r="L42" s="619"/>
      <c r="M42" s="619"/>
      <c r="N42" s="600">
        <f>MEDIAN(N11:N37)</f>
        <v>191271.00199999998</v>
      </c>
      <c r="O42" s="600"/>
      <c r="P42" s="600">
        <f>MEDIAN(P11:P37)</f>
        <v>284886.54399999999</v>
      </c>
      <c r="Q42" s="600"/>
      <c r="R42" s="600"/>
      <c r="S42" s="600">
        <f>MEDIAN(S11:S37)</f>
        <v>250959.03999999998</v>
      </c>
      <c r="T42" s="620">
        <f>MEDIAN(T11:T37)</f>
        <v>221931.4</v>
      </c>
      <c r="U42" s="713"/>
      <c r="V42" s="713"/>
      <c r="W42" s="734">
        <f>MEDIAN(W12:W37)</f>
        <v>14.675000000000001</v>
      </c>
      <c r="X42" s="715"/>
      <c r="Y42" s="716"/>
      <c r="Z42" s="718"/>
      <c r="AA42" s="718"/>
      <c r="AB42" s="719"/>
      <c r="AC42" s="699"/>
      <c r="AD42" s="699"/>
      <c r="AE42" s="699"/>
      <c r="AF42" s="714"/>
      <c r="AG42" s="726"/>
      <c r="AH42" s="725"/>
      <c r="AI42" s="699"/>
      <c r="AJ42" s="699"/>
      <c r="AK42" s="699"/>
    </row>
    <row r="43" spans="1:37" s="728" customFormat="1" ht="13.5" customHeight="1">
      <c r="A43" s="721"/>
      <c r="B43" s="618" t="s">
        <v>44</v>
      </c>
      <c r="C43" s="619"/>
      <c r="D43" s="619"/>
      <c r="E43" s="619"/>
      <c r="F43" s="619"/>
      <c r="G43" s="619"/>
      <c r="H43" s="619"/>
      <c r="I43" s="619"/>
      <c r="J43" s="619"/>
      <c r="K43" s="619"/>
      <c r="L43" s="619"/>
      <c r="M43" s="619"/>
      <c r="N43" s="600">
        <f>_xlfn.QUARTILE.INC(N11:N37,1)</f>
        <v>83906.147999999986</v>
      </c>
      <c r="O43" s="600"/>
      <c r="P43" s="600">
        <f>_xlfn.QUARTILE.INC(P11:P37,1)</f>
        <v>132909.946</v>
      </c>
      <c r="Q43" s="600"/>
      <c r="R43" s="600"/>
      <c r="S43" s="600">
        <f>_xlfn.QUARTILE.INC(S11:S37,1)</f>
        <v>97494.915000000008</v>
      </c>
      <c r="T43" s="620">
        <f>_xlfn.QUARTILE.INC(T11:T37,1)</f>
        <v>46262.565000000002</v>
      </c>
      <c r="U43" s="713"/>
      <c r="V43" s="713"/>
      <c r="W43" s="734">
        <f>_xlfn.QUARTILE.INC(W12:W37,1)</f>
        <v>9.2175000000000011</v>
      </c>
      <c r="X43" s="715"/>
      <c r="Y43" s="716"/>
      <c r="Z43" s="718"/>
      <c r="AA43" s="718"/>
      <c r="AB43" s="719"/>
      <c r="AC43" s="699"/>
      <c r="AD43" s="699"/>
      <c r="AE43" s="699"/>
      <c r="AF43" s="714"/>
      <c r="AG43" s="726"/>
      <c r="AH43" s="725"/>
      <c r="AI43" s="699"/>
      <c r="AJ43" s="699"/>
      <c r="AK43" s="699"/>
    </row>
    <row r="44" spans="1:37" s="728" customFormat="1" ht="13.5" customHeight="1">
      <c r="A44" s="721"/>
      <c r="B44" s="735" t="s">
        <v>42</v>
      </c>
      <c r="C44" s="621"/>
      <c r="D44" s="621"/>
      <c r="E44" s="621"/>
      <c r="F44" s="621"/>
      <c r="G44" s="621"/>
      <c r="H44" s="621"/>
      <c r="I44" s="621"/>
      <c r="J44" s="621"/>
      <c r="K44" s="621"/>
      <c r="L44" s="621"/>
      <c r="M44" s="621"/>
      <c r="N44" s="601">
        <f>MIN(N11:N37)</f>
        <v>35869.42</v>
      </c>
      <c r="O44" s="601"/>
      <c r="P44" s="601">
        <f>MIN(P11:P37)</f>
        <v>50611.932000000001</v>
      </c>
      <c r="Q44" s="601"/>
      <c r="R44" s="601"/>
      <c r="S44" s="601">
        <f>MIN(S11:S37)</f>
        <v>642.97</v>
      </c>
      <c r="T44" s="622">
        <f>MIN(T11:T37)</f>
        <v>-48299.67</v>
      </c>
      <c r="U44" s="713"/>
      <c r="V44" s="713"/>
      <c r="W44" s="736">
        <f>MIN(W12:W37)</f>
        <v>3.01</v>
      </c>
      <c r="X44" s="715"/>
      <c r="Y44" s="716"/>
      <c r="Z44" s="718"/>
      <c r="AA44" s="718"/>
      <c r="AB44" s="719"/>
      <c r="AC44" s="699"/>
      <c r="AD44" s="699"/>
      <c r="AE44" s="699"/>
      <c r="AF44" s="714"/>
      <c r="AG44" s="726"/>
      <c r="AH44" s="725"/>
      <c r="AI44" s="699"/>
      <c r="AJ44" s="699"/>
      <c r="AK44" s="699"/>
    </row>
    <row r="45" spans="1:37" s="728" customFormat="1" ht="13.5" customHeight="1">
      <c r="A45" s="721"/>
      <c r="B45" s="708"/>
      <c r="C45" s="710"/>
      <c r="D45" s="709"/>
      <c r="E45" s="710"/>
      <c r="F45" s="711"/>
      <c r="G45" s="722"/>
      <c r="H45" s="723"/>
      <c r="I45" s="723"/>
      <c r="J45" s="722"/>
      <c r="K45" s="712"/>
      <c r="L45" s="714"/>
      <c r="M45" s="714"/>
      <c r="N45" s="713"/>
      <c r="O45" s="714"/>
      <c r="P45" s="713"/>
      <c r="Q45" s="713"/>
      <c r="R45" s="713"/>
      <c r="S45" s="713"/>
      <c r="T45" s="713"/>
      <c r="U45" s="713"/>
      <c r="V45" s="713"/>
      <c r="W45" s="617"/>
      <c r="X45" s="715"/>
      <c r="Y45" s="716"/>
      <c r="Z45" s="718"/>
      <c r="AA45" s="718"/>
      <c r="AB45" s="720"/>
      <c r="AC45" s="699"/>
      <c r="AD45" s="699"/>
      <c r="AE45" s="699"/>
      <c r="AF45" s="714"/>
      <c r="AG45" s="726"/>
      <c r="AH45" s="725"/>
      <c r="AI45" s="699"/>
      <c r="AJ45" s="699"/>
      <c r="AK45" s="699"/>
    </row>
    <row r="46" spans="1:37" s="728" customFormat="1" ht="13.5" customHeight="1" collapsed="1">
      <c r="A46" s="721"/>
      <c r="B46" s="737" t="s">
        <v>1001</v>
      </c>
      <c r="C46" s="710"/>
      <c r="D46" s="709"/>
      <c r="E46" s="710"/>
      <c r="F46" s="711"/>
      <c r="G46" s="722"/>
      <c r="H46" s="723"/>
      <c r="I46" s="723"/>
      <c r="J46" s="722"/>
      <c r="K46" s="712"/>
      <c r="L46" s="714"/>
      <c r="M46" s="714"/>
      <c r="N46" s="713"/>
      <c r="O46" s="714"/>
      <c r="P46" s="713"/>
      <c r="Q46" s="713"/>
      <c r="R46" s="713"/>
      <c r="S46" s="713"/>
      <c r="T46" s="713"/>
      <c r="U46" s="713"/>
      <c r="V46" s="713"/>
      <c r="W46" s="617"/>
      <c r="X46" s="715"/>
      <c r="Y46" s="716"/>
      <c r="Z46" s="718"/>
      <c r="AA46" s="718"/>
      <c r="AB46" s="720"/>
      <c r="AC46" s="699"/>
      <c r="AD46" s="699"/>
      <c r="AE46" s="699"/>
      <c r="AF46" s="714"/>
      <c r="AG46" s="726"/>
      <c r="AH46" s="725"/>
      <c r="AI46" s="699"/>
      <c r="AJ46" s="699"/>
      <c r="AK46" s="699"/>
    </row>
    <row r="47" spans="1:37" s="728" customFormat="1" ht="13.5" customHeight="1">
      <c r="A47" s="721"/>
      <c r="B47" s="2410" t="s">
        <v>3157</v>
      </c>
      <c r="C47" s="2416" t="s">
        <v>3196</v>
      </c>
      <c r="D47" s="2411" t="s">
        <v>2552</v>
      </c>
      <c r="E47" s="710"/>
      <c r="F47" s="2412">
        <v>43278</v>
      </c>
      <c r="G47" s="2413">
        <v>13</v>
      </c>
      <c r="H47" s="2414">
        <v>12</v>
      </c>
      <c r="I47" s="2414">
        <v>14</v>
      </c>
      <c r="J47" s="2413">
        <v>12.92</v>
      </c>
      <c r="K47" s="713">
        <f t="shared" ref="K47:K56" si="8">+M47-L47</f>
        <v>35427.667000000001</v>
      </c>
      <c r="L47" s="714">
        <v>7700</v>
      </c>
      <c r="M47" s="714">
        <v>43127.667000000001</v>
      </c>
      <c r="N47" s="713">
        <f t="shared" ref="N47:N56" si="9">+G47*K47</f>
        <v>460559.67100000003</v>
      </c>
      <c r="O47" s="714">
        <f t="shared" ref="O47:O56" si="10">+G47*L47</f>
        <v>100100</v>
      </c>
      <c r="P47" s="713">
        <f t="shared" ref="P47:P56" si="11">+N47+O47</f>
        <v>560659.67100000009</v>
      </c>
      <c r="Q47" s="713"/>
      <c r="R47" s="723">
        <v>12.65</v>
      </c>
      <c r="S47" s="713">
        <v>566437.49</v>
      </c>
      <c r="T47" s="713">
        <v>722720.49</v>
      </c>
      <c r="U47" s="713"/>
      <c r="V47" s="713">
        <v>1</v>
      </c>
      <c r="W47" s="617">
        <f t="shared" ref="W47:W56" si="12">J47</f>
        <v>12.92</v>
      </c>
      <c r="X47" s="715">
        <f t="shared" ref="X47:X56" si="13">W47*M47</f>
        <v>557209.45764000004</v>
      </c>
      <c r="Y47" s="716">
        <f t="shared" ref="Y47:Y56" si="14">X47/P47-1</f>
        <v>-6.1538461538462874E-3</v>
      </c>
      <c r="Z47" s="717" t="s">
        <v>3218</v>
      </c>
      <c r="AA47" s="718" t="s">
        <v>3219</v>
      </c>
      <c r="AB47" s="719">
        <f t="shared" ref="AB47:AB56" si="15">+N47+O47</f>
        <v>560659.67100000009</v>
      </c>
      <c r="AC47" s="699"/>
      <c r="AD47" s="699"/>
      <c r="AE47" s="699"/>
      <c r="AF47" s="714"/>
      <c r="AG47" s="726"/>
      <c r="AH47" s="725"/>
      <c r="AI47" s="699"/>
      <c r="AJ47" s="699"/>
      <c r="AK47" s="699"/>
    </row>
    <row r="48" spans="1:37" s="728" customFormat="1" ht="13.5" customHeight="1">
      <c r="A48" s="721"/>
      <c r="B48" s="2410" t="s">
        <v>3158</v>
      </c>
      <c r="C48" s="2416" t="s">
        <v>3197</v>
      </c>
      <c r="D48" s="2411" t="s">
        <v>831</v>
      </c>
      <c r="E48" s="710"/>
      <c r="F48" s="2412">
        <v>43278</v>
      </c>
      <c r="G48" s="2413">
        <v>16</v>
      </c>
      <c r="H48" s="2414">
        <v>14</v>
      </c>
      <c r="I48" s="2414">
        <v>16</v>
      </c>
      <c r="J48" s="2413">
        <v>15.73</v>
      </c>
      <c r="K48" s="713">
        <f t="shared" si="8"/>
        <v>22925.102999999999</v>
      </c>
      <c r="L48" s="714">
        <v>6700</v>
      </c>
      <c r="M48" s="714">
        <v>29625.102999999999</v>
      </c>
      <c r="N48" s="713">
        <f t="shared" si="9"/>
        <v>366801.64799999999</v>
      </c>
      <c r="O48" s="714">
        <f t="shared" si="10"/>
        <v>107200</v>
      </c>
      <c r="P48" s="713">
        <f t="shared" si="11"/>
        <v>474001.64799999999</v>
      </c>
      <c r="Q48" s="713"/>
      <c r="R48" s="723">
        <v>16</v>
      </c>
      <c r="S48" s="713">
        <v>479361.65</v>
      </c>
      <c r="T48" s="713">
        <v>550907.65</v>
      </c>
      <c r="U48" s="713"/>
      <c r="V48" s="713">
        <v>1</v>
      </c>
      <c r="W48" s="617">
        <f t="shared" si="12"/>
        <v>15.73</v>
      </c>
      <c r="X48" s="715">
        <f t="shared" si="13"/>
        <v>466002.87018999999</v>
      </c>
      <c r="Y48" s="716">
        <f t="shared" si="14"/>
        <v>-1.6874999999999973E-2</v>
      </c>
      <c r="Z48" s="717" t="s">
        <v>3220</v>
      </c>
      <c r="AA48" s="718" t="s">
        <v>3221</v>
      </c>
      <c r="AB48" s="719">
        <f t="shared" si="15"/>
        <v>474001.64799999999</v>
      </c>
      <c r="AC48" s="699"/>
      <c r="AD48" s="699"/>
      <c r="AE48" s="699"/>
      <c r="AF48" s="714"/>
      <c r="AG48" s="726"/>
      <c r="AH48" s="725"/>
      <c r="AI48" s="699"/>
      <c r="AJ48" s="699"/>
      <c r="AK48" s="699"/>
    </row>
    <row r="49" spans="1:69" s="728" customFormat="1" ht="13.5" customHeight="1">
      <c r="A49" s="721"/>
      <c r="B49" s="2410" t="s">
        <v>3159</v>
      </c>
      <c r="C49" s="2416" t="s">
        <v>3198</v>
      </c>
      <c r="D49" s="2411" t="s">
        <v>382</v>
      </c>
      <c r="E49" s="710"/>
      <c r="F49" s="2412">
        <v>43277</v>
      </c>
      <c r="G49" s="2413">
        <v>16</v>
      </c>
      <c r="H49" s="2414">
        <v>15</v>
      </c>
      <c r="I49" s="2414">
        <v>17</v>
      </c>
      <c r="J49" s="2413">
        <v>11.92</v>
      </c>
      <c r="K49" s="713">
        <f t="shared" si="8"/>
        <v>21949.263999999999</v>
      </c>
      <c r="L49" s="714">
        <v>6250</v>
      </c>
      <c r="M49" s="714">
        <v>28199.263999999999</v>
      </c>
      <c r="N49" s="713">
        <f t="shared" si="9"/>
        <v>351188.22399999999</v>
      </c>
      <c r="O49" s="714">
        <f t="shared" si="10"/>
        <v>100000</v>
      </c>
      <c r="P49" s="713">
        <f t="shared" si="11"/>
        <v>451188.22399999999</v>
      </c>
      <c r="Q49" s="713"/>
      <c r="R49" s="723">
        <v>12.6</v>
      </c>
      <c r="S49" s="713">
        <v>355310.73</v>
      </c>
      <c r="T49" s="713">
        <v>471299.73000000004</v>
      </c>
      <c r="U49" s="713"/>
      <c r="V49" s="713">
        <v>1</v>
      </c>
      <c r="W49" s="617">
        <f t="shared" si="12"/>
        <v>11.92</v>
      </c>
      <c r="X49" s="715">
        <f t="shared" si="13"/>
        <v>336135.22687999997</v>
      </c>
      <c r="Y49" s="716">
        <f t="shared" si="14"/>
        <v>-0.255</v>
      </c>
      <c r="Z49" s="717" t="s">
        <v>3222</v>
      </c>
      <c r="AA49" s="718" t="s">
        <v>3223</v>
      </c>
      <c r="AB49" s="719">
        <f t="shared" si="15"/>
        <v>451188.22399999999</v>
      </c>
      <c r="AC49" s="699"/>
      <c r="AD49" s="699"/>
      <c r="AE49" s="699"/>
      <c r="AF49" s="714"/>
      <c r="AG49" s="726"/>
      <c r="AH49" s="725"/>
      <c r="AI49" s="699"/>
      <c r="AJ49" s="699"/>
      <c r="AK49" s="699"/>
    </row>
    <row r="50" spans="1:69" s="728" customFormat="1" ht="13.5" customHeight="1">
      <c r="A50" s="721"/>
      <c r="B50" s="2410" t="s">
        <v>3160</v>
      </c>
      <c r="C50" s="2416" t="s">
        <v>3199</v>
      </c>
      <c r="D50" s="2411" t="s">
        <v>757</v>
      </c>
      <c r="E50" s="710"/>
      <c r="F50" s="2412">
        <v>43272</v>
      </c>
      <c r="G50" s="2413">
        <v>17</v>
      </c>
      <c r="H50" s="2414">
        <v>15</v>
      </c>
      <c r="I50" s="2414">
        <v>17</v>
      </c>
      <c r="J50" s="2413">
        <v>26.19</v>
      </c>
      <c r="K50" s="713">
        <f t="shared" si="8"/>
        <v>29962.684000000001</v>
      </c>
      <c r="L50" s="714">
        <v>8823.5300000000007</v>
      </c>
      <c r="M50" s="714">
        <v>38786.214</v>
      </c>
      <c r="N50" s="713">
        <f t="shared" si="9"/>
        <v>509365.62800000003</v>
      </c>
      <c r="O50" s="714">
        <f t="shared" si="10"/>
        <v>150000.01</v>
      </c>
      <c r="P50" s="713">
        <f t="shared" si="11"/>
        <v>659365.63800000004</v>
      </c>
      <c r="Q50" s="713"/>
      <c r="R50" s="723">
        <v>26.79</v>
      </c>
      <c r="S50" s="713">
        <v>1039082.67</v>
      </c>
      <c r="T50" s="713">
        <v>0</v>
      </c>
      <c r="U50" s="713"/>
      <c r="V50" s="713">
        <v>1</v>
      </c>
      <c r="W50" s="617">
        <f t="shared" si="12"/>
        <v>26.19</v>
      </c>
      <c r="X50" s="715">
        <f t="shared" si="13"/>
        <v>1015810.94466</v>
      </c>
      <c r="Y50" s="716">
        <f t="shared" si="14"/>
        <v>0.54058823529411759</v>
      </c>
      <c r="Z50" s="717" t="s">
        <v>3224</v>
      </c>
      <c r="AA50" s="718" t="s">
        <v>3225</v>
      </c>
      <c r="AB50" s="719">
        <f t="shared" si="15"/>
        <v>659365.63800000004</v>
      </c>
      <c r="AC50" s="699"/>
      <c r="AD50" s="699"/>
      <c r="AE50" s="699"/>
      <c r="AF50" s="714"/>
      <c r="AG50" s="726"/>
      <c r="AH50" s="725"/>
      <c r="AI50" s="699"/>
      <c r="AJ50" s="699"/>
      <c r="AK50" s="699"/>
    </row>
    <row r="51" spans="1:69" s="728" customFormat="1" ht="13.5" customHeight="1">
      <c r="A51" s="721"/>
      <c r="B51" s="2410" t="s">
        <v>3161</v>
      </c>
      <c r="C51" s="2416" t="s">
        <v>3200</v>
      </c>
      <c r="D51" s="2411" t="s">
        <v>831</v>
      </c>
      <c r="E51" s="710"/>
      <c r="F51" s="2412">
        <v>43271</v>
      </c>
      <c r="G51" s="2415">
        <v>15</v>
      </c>
      <c r="H51" s="2414">
        <v>14</v>
      </c>
      <c r="I51" s="2414">
        <v>16</v>
      </c>
      <c r="J51" s="2414">
        <v>17.3</v>
      </c>
      <c r="K51" s="713">
        <f t="shared" si="8"/>
        <v>13321.522000000001</v>
      </c>
      <c r="L51" s="714">
        <v>5000</v>
      </c>
      <c r="M51" s="714">
        <v>18321.522000000001</v>
      </c>
      <c r="N51" s="713">
        <f t="shared" si="9"/>
        <v>199822.83000000002</v>
      </c>
      <c r="O51" s="714">
        <f t="shared" si="10"/>
        <v>75000</v>
      </c>
      <c r="P51" s="713">
        <f t="shared" si="11"/>
        <v>274822.83</v>
      </c>
      <c r="Q51" s="713"/>
      <c r="R51" s="723">
        <v>17.3</v>
      </c>
      <c r="S51" s="713">
        <v>329937.32999999996</v>
      </c>
      <c r="T51" s="713">
        <v>360783.32999999996</v>
      </c>
      <c r="U51" s="713"/>
      <c r="V51" s="713">
        <v>1</v>
      </c>
      <c r="W51" s="617">
        <f t="shared" si="12"/>
        <v>17.3</v>
      </c>
      <c r="X51" s="715">
        <f t="shared" si="13"/>
        <v>316962.33060000004</v>
      </c>
      <c r="Y51" s="716">
        <f t="shared" si="14"/>
        <v>0.15333333333333332</v>
      </c>
      <c r="Z51" s="717" t="s">
        <v>3226</v>
      </c>
      <c r="AA51" s="718" t="s">
        <v>3227</v>
      </c>
      <c r="AB51" s="719">
        <f t="shared" si="15"/>
        <v>274822.83</v>
      </c>
      <c r="AC51" s="699"/>
      <c r="AD51" s="699"/>
      <c r="AE51" s="699"/>
      <c r="AF51" s="714"/>
      <c r="AG51" s="726"/>
      <c r="AH51" s="725"/>
      <c r="AI51" s="699"/>
      <c r="AJ51" s="699"/>
      <c r="AK51" s="699"/>
    </row>
    <row r="52" spans="1:69" s="728" customFormat="1" ht="13.5" customHeight="1">
      <c r="A52" s="721"/>
      <c r="B52" s="2410" t="s">
        <v>3162</v>
      </c>
      <c r="C52" s="2416" t="s">
        <v>3201</v>
      </c>
      <c r="D52" s="2411" t="s">
        <v>757</v>
      </c>
      <c r="E52" s="710"/>
      <c r="F52" s="2412">
        <v>43258</v>
      </c>
      <c r="G52" s="2415">
        <v>15</v>
      </c>
      <c r="H52" s="2414">
        <v>14</v>
      </c>
      <c r="I52" s="2414">
        <v>16</v>
      </c>
      <c r="J52" s="2414">
        <v>11.46</v>
      </c>
      <c r="K52" s="713">
        <f t="shared" si="8"/>
        <v>22184.132000000001</v>
      </c>
      <c r="L52" s="714">
        <v>5000</v>
      </c>
      <c r="M52" s="714">
        <v>27184.132000000001</v>
      </c>
      <c r="N52" s="713">
        <f t="shared" si="9"/>
        <v>332761.98000000004</v>
      </c>
      <c r="O52" s="714">
        <f t="shared" si="10"/>
        <v>75000</v>
      </c>
      <c r="P52" s="713">
        <f t="shared" si="11"/>
        <v>407761.98000000004</v>
      </c>
      <c r="Q52" s="713"/>
      <c r="R52" s="723">
        <v>11.46</v>
      </c>
      <c r="S52" s="713">
        <v>311530.14999999997</v>
      </c>
      <c r="T52" s="713">
        <v>376581.75</v>
      </c>
      <c r="U52" s="713"/>
      <c r="V52" s="713">
        <v>1</v>
      </c>
      <c r="W52" s="617">
        <f t="shared" si="12"/>
        <v>11.46</v>
      </c>
      <c r="X52" s="715">
        <f t="shared" si="13"/>
        <v>311530.15272000001</v>
      </c>
      <c r="Y52" s="716">
        <f t="shared" si="14"/>
        <v>-0.23599999999999999</v>
      </c>
      <c r="Z52" s="717" t="s">
        <v>3228</v>
      </c>
      <c r="AA52" s="718" t="s">
        <v>3229</v>
      </c>
      <c r="AB52" s="719">
        <f t="shared" si="15"/>
        <v>407761.98000000004</v>
      </c>
      <c r="AC52" s="699"/>
      <c r="AD52" s="699"/>
      <c r="AE52" s="699"/>
      <c r="AF52" s="714"/>
      <c r="AG52" s="726"/>
      <c r="AH52" s="725"/>
      <c r="AI52" s="699"/>
      <c r="AJ52" s="699"/>
      <c r="AK52" s="699"/>
    </row>
    <row r="53" spans="1:69" s="728" customFormat="1" ht="13.5" customHeight="1">
      <c r="A53" s="721"/>
      <c r="B53" s="2410" t="s">
        <v>3163</v>
      </c>
      <c r="C53" s="2416" t="s">
        <v>3202</v>
      </c>
      <c r="D53" s="2411" t="s">
        <v>382</v>
      </c>
      <c r="E53" s="710"/>
      <c r="F53" s="2412">
        <v>43243</v>
      </c>
      <c r="G53" s="2413">
        <v>14</v>
      </c>
      <c r="H53" s="2414">
        <v>13</v>
      </c>
      <c r="I53" s="2414">
        <v>15</v>
      </c>
      <c r="J53" s="2413">
        <v>21.62</v>
      </c>
      <c r="K53" s="713">
        <f t="shared" si="8"/>
        <v>19080.536</v>
      </c>
      <c r="L53" s="714">
        <v>5360</v>
      </c>
      <c r="M53" s="714">
        <v>24440.536</v>
      </c>
      <c r="N53" s="713">
        <f t="shared" si="9"/>
        <v>267127.50400000002</v>
      </c>
      <c r="O53" s="714">
        <f t="shared" si="10"/>
        <v>75040</v>
      </c>
      <c r="P53" s="713">
        <f t="shared" si="11"/>
        <v>342167.50400000002</v>
      </c>
      <c r="Q53" s="713"/>
      <c r="R53" s="723">
        <v>15.6</v>
      </c>
      <c r="S53" s="713">
        <v>393814.75999999995</v>
      </c>
      <c r="T53" s="713">
        <v>456168.76</v>
      </c>
      <c r="U53" s="713"/>
      <c r="V53" s="713">
        <v>1</v>
      </c>
      <c r="W53" s="617">
        <f t="shared" si="12"/>
        <v>21.62</v>
      </c>
      <c r="X53" s="715">
        <f t="shared" si="13"/>
        <v>528404.38832000003</v>
      </c>
      <c r="Y53" s="716">
        <f t="shared" si="14"/>
        <v>0.54428571428571426</v>
      </c>
      <c r="Z53" s="717" t="s">
        <v>3230</v>
      </c>
      <c r="AA53" s="718" t="s">
        <v>3231</v>
      </c>
      <c r="AB53" s="719">
        <f t="shared" si="15"/>
        <v>342167.50400000002</v>
      </c>
      <c r="AC53" s="699"/>
      <c r="AD53" s="699"/>
      <c r="AE53" s="699"/>
      <c r="AF53" s="714"/>
      <c r="AG53" s="726"/>
      <c r="AH53" s="725"/>
      <c r="AI53" s="699"/>
      <c r="AJ53" s="699"/>
      <c r="AK53" s="699"/>
    </row>
    <row r="54" spans="1:69" s="728" customFormat="1" ht="13.5" customHeight="1">
      <c r="A54" s="721"/>
      <c r="B54" s="2410" t="s">
        <v>3164</v>
      </c>
      <c r="C54" s="2416" t="s">
        <v>3203</v>
      </c>
      <c r="D54" s="2411" t="s">
        <v>382</v>
      </c>
      <c r="E54" s="710"/>
      <c r="F54" s="2412">
        <v>43228</v>
      </c>
      <c r="G54" s="2414">
        <v>16</v>
      </c>
      <c r="H54" s="2414">
        <v>15</v>
      </c>
      <c r="I54" s="2414">
        <v>17</v>
      </c>
      <c r="J54" s="2414">
        <v>16</v>
      </c>
      <c r="K54" s="713">
        <f t="shared" si="8"/>
        <v>26558.353999999999</v>
      </c>
      <c r="L54" s="714">
        <v>5312.5</v>
      </c>
      <c r="M54" s="714">
        <v>31870.853999999999</v>
      </c>
      <c r="N54" s="713">
        <f t="shared" si="9"/>
        <v>424933.66399999999</v>
      </c>
      <c r="O54" s="714">
        <f t="shared" si="10"/>
        <v>85000</v>
      </c>
      <c r="P54" s="713">
        <f t="shared" si="11"/>
        <v>509933.66399999999</v>
      </c>
      <c r="Q54" s="713"/>
      <c r="R54" s="723">
        <v>11.8</v>
      </c>
      <c r="S54" s="713">
        <v>374296.60000000003</v>
      </c>
      <c r="T54" s="713">
        <v>441092.6</v>
      </c>
      <c r="U54" s="713"/>
      <c r="V54" s="713">
        <v>1</v>
      </c>
      <c r="W54" s="617">
        <f t="shared" si="12"/>
        <v>16</v>
      </c>
      <c r="X54" s="715">
        <f t="shared" si="13"/>
        <v>509933.66399999999</v>
      </c>
      <c r="Y54" s="716">
        <f t="shared" si="14"/>
        <v>0</v>
      </c>
      <c r="Z54" s="717" t="s">
        <v>3232</v>
      </c>
      <c r="AA54" s="718" t="s">
        <v>3233</v>
      </c>
      <c r="AB54" s="719">
        <f t="shared" si="15"/>
        <v>509933.66399999999</v>
      </c>
      <c r="AC54" s="699"/>
      <c r="AD54" s="699"/>
      <c r="AE54" s="699"/>
      <c r="AF54" s="714"/>
      <c r="AG54" s="726"/>
      <c r="AH54" s="725"/>
      <c r="AI54" s="699"/>
      <c r="AJ54" s="699"/>
      <c r="AK54" s="699"/>
    </row>
    <row r="55" spans="1:69" s="728" customFormat="1" ht="13.5" customHeight="1">
      <c r="A55" s="721"/>
      <c r="B55" s="2410" t="s">
        <v>3165</v>
      </c>
      <c r="C55" s="2416" t="s">
        <v>3204</v>
      </c>
      <c r="D55" s="2411" t="s">
        <v>382</v>
      </c>
      <c r="E55" s="710"/>
      <c r="F55" s="2412">
        <v>43222</v>
      </c>
      <c r="G55" s="2414">
        <v>17</v>
      </c>
      <c r="H55" s="2414">
        <v>16</v>
      </c>
      <c r="I55" s="2414">
        <v>18</v>
      </c>
      <c r="J55" s="2414">
        <v>14.94</v>
      </c>
      <c r="K55" s="713">
        <f t="shared" si="8"/>
        <v>36903.538</v>
      </c>
      <c r="L55" s="714">
        <v>5000</v>
      </c>
      <c r="M55" s="714">
        <v>41903.538</v>
      </c>
      <c r="N55" s="713">
        <f t="shared" si="9"/>
        <v>627360.14599999995</v>
      </c>
      <c r="O55" s="714">
        <f t="shared" si="10"/>
        <v>85000</v>
      </c>
      <c r="P55" s="713">
        <f t="shared" si="11"/>
        <v>712360.14599999995</v>
      </c>
      <c r="Q55" s="713"/>
      <c r="R55" s="723">
        <v>15.06</v>
      </c>
      <c r="S55" s="713">
        <v>637242.09</v>
      </c>
      <c r="T55" s="713">
        <v>732114.09000000008</v>
      </c>
      <c r="U55" s="713"/>
      <c r="V55" s="713">
        <v>1</v>
      </c>
      <c r="W55" s="617">
        <f t="shared" si="12"/>
        <v>14.94</v>
      </c>
      <c r="X55" s="715">
        <f t="shared" si="13"/>
        <v>626038.85771999997</v>
      </c>
      <c r="Y55" s="716">
        <f t="shared" si="14"/>
        <v>-0.12117647058823522</v>
      </c>
      <c r="Z55" s="717" t="s">
        <v>3234</v>
      </c>
      <c r="AA55" s="718" t="s">
        <v>3235</v>
      </c>
      <c r="AB55" s="719">
        <f t="shared" si="15"/>
        <v>712360.14599999995</v>
      </c>
      <c r="AC55" s="699"/>
      <c r="AD55" s="699"/>
      <c r="AE55" s="699"/>
      <c r="AF55" s="714"/>
      <c r="AG55" s="726"/>
      <c r="AH55" s="725"/>
      <c r="AI55" s="699"/>
      <c r="AJ55" s="699"/>
      <c r="AK55" s="699"/>
    </row>
    <row r="56" spans="1:69" s="728" customFormat="1" ht="13.5" customHeight="1">
      <c r="A56" s="721"/>
      <c r="B56" s="2410" t="s">
        <v>3166</v>
      </c>
      <c r="C56" s="2416" t="s">
        <v>3205</v>
      </c>
      <c r="D56" s="2411" t="s">
        <v>382</v>
      </c>
      <c r="E56" s="710"/>
      <c r="F56" s="2412">
        <v>43208</v>
      </c>
      <c r="G56" s="2414">
        <v>15</v>
      </c>
      <c r="H56" s="2414">
        <v>13</v>
      </c>
      <c r="I56" s="2414">
        <v>15</v>
      </c>
      <c r="J56" s="2414">
        <v>13.39</v>
      </c>
      <c r="K56" s="713">
        <f t="shared" si="8"/>
        <v>20397.314999999999</v>
      </c>
      <c r="L56" s="714">
        <v>7200</v>
      </c>
      <c r="M56" s="714">
        <v>27597.314999999999</v>
      </c>
      <c r="N56" s="713">
        <f t="shared" si="9"/>
        <v>305959.72499999998</v>
      </c>
      <c r="O56" s="714">
        <f t="shared" si="10"/>
        <v>108000</v>
      </c>
      <c r="P56" s="713">
        <f t="shared" si="11"/>
        <v>413959.72499999998</v>
      </c>
      <c r="Q56" s="713"/>
      <c r="R56" s="723">
        <v>16.309999999999999</v>
      </c>
      <c r="S56" s="713">
        <v>450112.21</v>
      </c>
      <c r="T56" s="713">
        <v>404818.21</v>
      </c>
      <c r="U56" s="713"/>
      <c r="V56" s="713">
        <v>1</v>
      </c>
      <c r="W56" s="617">
        <f t="shared" si="12"/>
        <v>13.39</v>
      </c>
      <c r="X56" s="715">
        <f t="shared" si="13"/>
        <v>369528.04784999997</v>
      </c>
      <c r="Y56" s="716">
        <f t="shared" si="14"/>
        <v>-0.10733333333333339</v>
      </c>
      <c r="Z56" s="717" t="s">
        <v>3236</v>
      </c>
      <c r="AA56" s="718" t="s">
        <v>3237</v>
      </c>
      <c r="AB56" s="719">
        <f t="shared" si="15"/>
        <v>413959.72499999998</v>
      </c>
      <c r="AC56" s="699"/>
      <c r="AD56" s="699"/>
      <c r="AE56" s="699"/>
      <c r="AF56" s="714"/>
      <c r="AG56" s="726"/>
      <c r="AH56" s="725"/>
      <c r="AI56" s="699"/>
      <c r="AJ56" s="699"/>
      <c r="AK56" s="699"/>
    </row>
    <row r="57" spans="1:69" s="728" customFormat="1" ht="13.5" customHeight="1">
      <c r="A57" s="721"/>
      <c r="B57" s="708" t="s">
        <v>2871</v>
      </c>
      <c r="C57" s="710" t="s">
        <v>2872</v>
      </c>
      <c r="D57" s="709" t="s">
        <v>382</v>
      </c>
      <c r="E57" s="710" t="s">
        <v>2873</v>
      </c>
      <c r="F57" s="711">
        <v>43187</v>
      </c>
      <c r="G57" s="722">
        <v>12</v>
      </c>
      <c r="H57" s="723">
        <v>12</v>
      </c>
      <c r="I57" s="723">
        <v>14</v>
      </c>
      <c r="J57" s="722">
        <v>11.11</v>
      </c>
      <c r="K57" s="712">
        <f t="shared" ref="K57:K88" si="16">+M57-L57</f>
        <v>23847.718000000001</v>
      </c>
      <c r="L57" s="714">
        <v>5770</v>
      </c>
      <c r="M57" s="714">
        <v>29617.718000000001</v>
      </c>
      <c r="N57" s="713">
        <f t="shared" ref="N57:N88" si="17">+G57*K57</f>
        <v>286172.61600000004</v>
      </c>
      <c r="O57" s="714">
        <f t="shared" ref="O57:O88" si="18">+G57*L57</f>
        <v>69240</v>
      </c>
      <c r="P57" s="713">
        <f t="shared" ref="P57:P88" si="19">+N57+O57</f>
        <v>355412.61600000004</v>
      </c>
      <c r="Q57" s="713"/>
      <c r="R57" s="723">
        <v>11.11</v>
      </c>
      <c r="S57" s="713">
        <v>329123.62</v>
      </c>
      <c r="T57" s="713">
        <v>365313.62</v>
      </c>
      <c r="U57" s="713"/>
      <c r="V57" s="713">
        <v>1</v>
      </c>
      <c r="W57" s="617">
        <f t="shared" ref="W57:W88" si="20">J57</f>
        <v>11.11</v>
      </c>
      <c r="X57" s="715">
        <f t="shared" ref="X57:X88" si="21">W57*M57</f>
        <v>329052.84697999997</v>
      </c>
      <c r="Y57" s="716">
        <f t="shared" ref="Y57:Y88" si="22">X57/P57-1</f>
        <v>-7.4166666666666825E-2</v>
      </c>
      <c r="Z57" s="717" t="s">
        <v>2888</v>
      </c>
      <c r="AA57" s="718" t="s">
        <v>2891</v>
      </c>
      <c r="AB57" s="719">
        <f t="shared" ref="AB57:AB88" si="23">+N57+O57</f>
        <v>355412.61600000004</v>
      </c>
      <c r="AC57" s="699"/>
      <c r="AD57" s="699"/>
      <c r="AE57" s="699"/>
      <c r="AF57" s="714"/>
      <c r="AG57" s="726"/>
      <c r="AH57" s="725"/>
      <c r="AI57" s="699"/>
      <c r="AJ57" s="699"/>
      <c r="AK57" s="699"/>
    </row>
    <row r="58" spans="1:69" s="728" customFormat="1" ht="13.5" customHeight="1">
      <c r="A58" s="721"/>
      <c r="B58" s="708" t="s">
        <v>2880</v>
      </c>
      <c r="C58" s="710" t="s">
        <v>2881</v>
      </c>
      <c r="D58" s="709" t="s">
        <v>382</v>
      </c>
      <c r="E58" s="710" t="s">
        <v>2882</v>
      </c>
      <c r="F58" s="711">
        <v>43173</v>
      </c>
      <c r="G58" s="722">
        <v>15</v>
      </c>
      <c r="H58" s="723">
        <v>13</v>
      </c>
      <c r="I58" s="723">
        <v>15</v>
      </c>
      <c r="J58" s="722">
        <v>15.44</v>
      </c>
      <c r="K58" s="712">
        <f t="shared" si="16"/>
        <v>34550.472000000002</v>
      </c>
      <c r="L58" s="714">
        <v>8000</v>
      </c>
      <c r="M58" s="714">
        <v>42550.472000000002</v>
      </c>
      <c r="N58" s="713">
        <f t="shared" si="17"/>
        <v>518257.08</v>
      </c>
      <c r="O58" s="714">
        <f t="shared" si="18"/>
        <v>120000</v>
      </c>
      <c r="P58" s="713">
        <f t="shared" si="19"/>
        <v>638257.08000000007</v>
      </c>
      <c r="Q58" s="713"/>
      <c r="R58" s="723">
        <v>15.44</v>
      </c>
      <c r="S58" s="713">
        <v>675507.29</v>
      </c>
      <c r="T58" s="713">
        <v>726000.28999999992</v>
      </c>
      <c r="U58" s="713"/>
      <c r="V58" s="713">
        <v>1</v>
      </c>
      <c r="W58" s="617">
        <f t="shared" si="20"/>
        <v>15.44</v>
      </c>
      <c r="X58" s="715">
        <f t="shared" si="21"/>
        <v>656979.28767999995</v>
      </c>
      <c r="Y58" s="716">
        <f t="shared" si="22"/>
        <v>2.9333333333333211E-2</v>
      </c>
      <c r="Z58" s="717" t="s">
        <v>2889</v>
      </c>
      <c r="AA58" s="718" t="s">
        <v>2892</v>
      </c>
      <c r="AB58" s="719">
        <f t="shared" si="23"/>
        <v>638257.08000000007</v>
      </c>
      <c r="AC58" s="699"/>
      <c r="AD58" s="699"/>
      <c r="AE58" s="699"/>
      <c r="AF58" s="714"/>
      <c r="AG58" s="726"/>
      <c r="AH58" s="725"/>
      <c r="AI58" s="699"/>
      <c r="AJ58" s="699"/>
      <c r="AK58" s="699"/>
    </row>
    <row r="59" spans="1:69" s="728" customFormat="1" ht="13.5" customHeight="1">
      <c r="A59" s="721"/>
      <c r="B59" s="708" t="s">
        <v>2883</v>
      </c>
      <c r="C59" s="710" t="s">
        <v>2884</v>
      </c>
      <c r="D59" s="709" t="s">
        <v>376</v>
      </c>
      <c r="E59" s="710" t="s">
        <v>2885</v>
      </c>
      <c r="F59" s="711">
        <v>43167</v>
      </c>
      <c r="G59" s="722">
        <v>11</v>
      </c>
      <c r="H59" s="723">
        <v>11</v>
      </c>
      <c r="I59" s="723">
        <v>13</v>
      </c>
      <c r="J59" s="722">
        <v>10.24</v>
      </c>
      <c r="K59" s="712">
        <f t="shared" si="16"/>
        <v>10191</v>
      </c>
      <c r="L59" s="714">
        <v>5454.5450000000001</v>
      </c>
      <c r="M59" s="714">
        <v>15645.545</v>
      </c>
      <c r="N59" s="713">
        <f t="shared" si="17"/>
        <v>112101</v>
      </c>
      <c r="O59" s="714">
        <f t="shared" si="18"/>
        <v>59999.995000000003</v>
      </c>
      <c r="P59" s="713">
        <f t="shared" si="19"/>
        <v>172100.995</v>
      </c>
      <c r="Q59" s="713"/>
      <c r="R59" s="723">
        <v>10.24</v>
      </c>
      <c r="S59" s="713">
        <v>160210.37999999998</v>
      </c>
      <c r="T59" s="713">
        <v>160201.38</v>
      </c>
      <c r="U59" s="713"/>
      <c r="V59" s="713">
        <v>1</v>
      </c>
      <c r="W59" s="617">
        <f t="shared" si="20"/>
        <v>10.24</v>
      </c>
      <c r="X59" s="715">
        <f t="shared" si="21"/>
        <v>160210.38080000001</v>
      </c>
      <c r="Y59" s="716">
        <f t="shared" si="22"/>
        <v>-6.9090909090908981E-2</v>
      </c>
      <c r="Z59" s="717" t="s">
        <v>2890</v>
      </c>
      <c r="AA59" s="718" t="s">
        <v>2893</v>
      </c>
      <c r="AB59" s="719">
        <f t="shared" si="23"/>
        <v>172100.995</v>
      </c>
      <c r="AC59" s="699"/>
      <c r="AD59" s="699"/>
      <c r="AE59" s="699"/>
      <c r="AF59" s="714"/>
      <c r="AG59" s="726"/>
      <c r="AH59" s="725"/>
      <c r="AI59" s="699"/>
      <c r="AJ59" s="699"/>
      <c r="AK59" s="699"/>
    </row>
    <row r="60" spans="1:69" s="728" customFormat="1" ht="13.5" customHeight="1">
      <c r="A60" s="721"/>
      <c r="B60" s="708" t="s">
        <v>1704</v>
      </c>
      <c r="C60" s="710" t="s">
        <v>1705</v>
      </c>
      <c r="D60" s="709" t="s">
        <v>757</v>
      </c>
      <c r="E60" s="710" t="s">
        <v>1706</v>
      </c>
      <c r="F60" s="711">
        <v>43125</v>
      </c>
      <c r="G60" s="722">
        <v>16</v>
      </c>
      <c r="H60" s="723">
        <v>16</v>
      </c>
      <c r="I60" s="723">
        <v>18</v>
      </c>
      <c r="J60" s="722">
        <v>26.35</v>
      </c>
      <c r="K60" s="712">
        <f t="shared" si="16"/>
        <v>26338.521999999997</v>
      </c>
      <c r="L60" s="714">
        <v>7812.5</v>
      </c>
      <c r="M60" s="714">
        <v>34151.021999999997</v>
      </c>
      <c r="N60" s="713">
        <f t="shared" si="17"/>
        <v>421416.35199999996</v>
      </c>
      <c r="O60" s="714">
        <f t="shared" si="18"/>
        <v>125000</v>
      </c>
      <c r="P60" s="713">
        <f t="shared" si="19"/>
        <v>546416.35199999996</v>
      </c>
      <c r="Q60" s="713"/>
      <c r="R60" s="723">
        <v>26.35</v>
      </c>
      <c r="S60" s="713">
        <v>930758.34</v>
      </c>
      <c r="T60" s="713">
        <v>970365.34</v>
      </c>
      <c r="U60" s="713"/>
      <c r="V60" s="700">
        <v>1</v>
      </c>
      <c r="W60" s="617">
        <f t="shared" si="20"/>
        <v>26.35</v>
      </c>
      <c r="X60" s="715">
        <f t="shared" si="21"/>
        <v>899879.42969999998</v>
      </c>
      <c r="Y60" s="716">
        <f t="shared" si="22"/>
        <v>0.64687500000000009</v>
      </c>
      <c r="Z60" s="717" t="s">
        <v>1707</v>
      </c>
      <c r="AA60" s="718" t="s">
        <v>1708</v>
      </c>
      <c r="AB60" s="719">
        <f t="shared" si="23"/>
        <v>546416.35199999996</v>
      </c>
      <c r="AC60" s="699"/>
      <c r="AD60" s="699"/>
      <c r="AE60" s="699"/>
      <c r="AF60" s="714"/>
      <c r="AG60" s="726"/>
      <c r="AH60" s="725"/>
      <c r="AI60" s="699"/>
      <c r="AJ60" s="699"/>
      <c r="AK60" s="699"/>
    </row>
    <row r="61" spans="1:69" s="811" customFormat="1" ht="13.5" customHeight="1">
      <c r="A61" s="721"/>
      <c r="B61" s="708" t="s">
        <v>1178</v>
      </c>
      <c r="C61" s="710" t="s">
        <v>1179</v>
      </c>
      <c r="D61" s="709" t="s">
        <v>382</v>
      </c>
      <c r="E61" s="710" t="s">
        <v>1180</v>
      </c>
      <c r="F61" s="711">
        <v>43076</v>
      </c>
      <c r="G61" s="723">
        <v>18</v>
      </c>
      <c r="H61" s="723">
        <v>17</v>
      </c>
      <c r="I61" s="723">
        <v>19</v>
      </c>
      <c r="J61" s="723">
        <v>18.71</v>
      </c>
      <c r="K61" s="713">
        <f t="shared" si="16"/>
        <v>74090.587</v>
      </c>
      <c r="L61" s="714">
        <v>13888.888000000001</v>
      </c>
      <c r="M61" s="714">
        <v>87979.475000000006</v>
      </c>
      <c r="N61" s="713">
        <f t="shared" si="17"/>
        <v>1333630.5660000001</v>
      </c>
      <c r="O61" s="714">
        <f t="shared" si="18"/>
        <v>249999.98400000003</v>
      </c>
      <c r="P61" s="713">
        <f t="shared" si="19"/>
        <v>1583630.55</v>
      </c>
      <c r="Q61" s="713"/>
      <c r="R61" s="723">
        <v>20.89</v>
      </c>
      <c r="S61" s="713">
        <v>1881412.06</v>
      </c>
      <c r="T61" s="713">
        <v>2044284.06</v>
      </c>
      <c r="U61" s="713"/>
      <c r="V61" s="700">
        <v>1</v>
      </c>
      <c r="W61" s="617">
        <f t="shared" si="20"/>
        <v>18.71</v>
      </c>
      <c r="X61" s="715">
        <f t="shared" si="21"/>
        <v>1646095.9772500002</v>
      </c>
      <c r="Y61" s="716">
        <f t="shared" si="22"/>
        <v>3.9444444444444615E-2</v>
      </c>
      <c r="Z61" s="717" t="s">
        <v>1181</v>
      </c>
      <c r="AA61" s="718" t="s">
        <v>1182</v>
      </c>
      <c r="AB61" s="719">
        <f t="shared" si="23"/>
        <v>1583630.55</v>
      </c>
      <c r="AC61" s="704"/>
      <c r="AD61" s="699"/>
      <c r="AE61" s="699"/>
      <c r="AF61" s="699"/>
      <c r="AG61" s="714"/>
      <c r="AH61" s="726"/>
      <c r="AI61" s="725"/>
      <c r="AJ61" s="699"/>
      <c r="AK61" s="699"/>
      <c r="AL61" s="699"/>
      <c r="AM61" s="728"/>
      <c r="AN61" s="728"/>
      <c r="AO61" s="728"/>
      <c r="AP61" s="728"/>
      <c r="AQ61" s="728"/>
      <c r="AR61" s="728"/>
      <c r="AS61" s="728"/>
      <c r="AT61" s="728"/>
      <c r="AU61" s="728"/>
      <c r="AV61" s="728"/>
      <c r="AW61" s="728"/>
      <c r="AX61" s="728"/>
      <c r="AY61" s="728"/>
      <c r="AZ61" s="728"/>
      <c r="BA61" s="728"/>
      <c r="BB61" s="728"/>
      <c r="BC61" s="728"/>
      <c r="BD61" s="728"/>
      <c r="BE61" s="728"/>
      <c r="BF61" s="728"/>
      <c r="BG61" s="728"/>
      <c r="BH61" s="728"/>
      <c r="BI61" s="728"/>
      <c r="BJ61" s="728"/>
      <c r="BK61" s="728"/>
      <c r="BL61" s="728"/>
      <c r="BM61" s="728"/>
      <c r="BN61" s="728"/>
      <c r="BO61" s="728"/>
      <c r="BP61" s="728"/>
      <c r="BQ61" s="728"/>
    </row>
    <row r="62" spans="1:69" s="811" customFormat="1" ht="13.5" customHeight="1">
      <c r="A62" s="721"/>
      <c r="B62" s="708" t="s">
        <v>1188</v>
      </c>
      <c r="C62" s="710" t="s">
        <v>1189</v>
      </c>
      <c r="D62" s="709" t="s">
        <v>382</v>
      </c>
      <c r="E62" s="710" t="s">
        <v>1190</v>
      </c>
      <c r="F62" s="711">
        <v>43040</v>
      </c>
      <c r="G62" s="723">
        <v>14</v>
      </c>
      <c r="H62" s="723">
        <v>14</v>
      </c>
      <c r="I62" s="723">
        <v>16</v>
      </c>
      <c r="J62" s="723">
        <v>12.14</v>
      </c>
      <c r="K62" s="713">
        <f t="shared" si="16"/>
        <v>8397.6839999999993</v>
      </c>
      <c r="L62" s="714">
        <v>5500</v>
      </c>
      <c r="M62" s="714">
        <v>13897.683999999999</v>
      </c>
      <c r="N62" s="713">
        <f t="shared" si="17"/>
        <v>117567.57599999999</v>
      </c>
      <c r="O62" s="714">
        <f t="shared" si="18"/>
        <v>77000</v>
      </c>
      <c r="P62" s="713">
        <f t="shared" si="19"/>
        <v>194567.576</v>
      </c>
      <c r="Q62" s="713"/>
      <c r="R62" s="723">
        <v>11.97</v>
      </c>
      <c r="S62" s="713">
        <v>171999.11000000002</v>
      </c>
      <c r="T62" s="713">
        <v>253097.11</v>
      </c>
      <c r="U62" s="713"/>
      <c r="V62" s="700">
        <v>1</v>
      </c>
      <c r="W62" s="617">
        <f t="shared" si="20"/>
        <v>12.14</v>
      </c>
      <c r="X62" s="715">
        <f t="shared" si="21"/>
        <v>168717.88376</v>
      </c>
      <c r="Y62" s="716">
        <f t="shared" si="22"/>
        <v>-0.1328571428571429</v>
      </c>
      <c r="Z62" s="717" t="s">
        <v>1191</v>
      </c>
      <c r="AA62" s="718" t="s">
        <v>1192</v>
      </c>
      <c r="AB62" s="719">
        <f t="shared" si="23"/>
        <v>194567.576</v>
      </c>
      <c r="AC62" s="704"/>
      <c r="AD62" s="699"/>
      <c r="AE62" s="699"/>
      <c r="AF62" s="699"/>
      <c r="AG62" s="714"/>
      <c r="AH62" s="726"/>
      <c r="AI62" s="725"/>
      <c r="AJ62" s="699"/>
      <c r="AK62" s="699"/>
      <c r="AL62" s="699"/>
      <c r="AM62" s="728"/>
      <c r="AN62" s="728"/>
      <c r="AO62" s="728"/>
      <c r="AP62" s="728"/>
      <c r="AQ62" s="728"/>
      <c r="AR62" s="728"/>
      <c r="AS62" s="728"/>
      <c r="AT62" s="728"/>
      <c r="AU62" s="728"/>
      <c r="AV62" s="728"/>
      <c r="AW62" s="728"/>
      <c r="AX62" s="728"/>
      <c r="AY62" s="728"/>
      <c r="AZ62" s="728"/>
      <c r="BA62" s="728"/>
      <c r="BB62" s="728"/>
      <c r="BC62" s="728"/>
      <c r="BD62" s="728"/>
      <c r="BE62" s="728"/>
      <c r="BF62" s="728"/>
      <c r="BG62" s="728"/>
      <c r="BH62" s="728"/>
      <c r="BI62" s="728"/>
      <c r="BJ62" s="728"/>
      <c r="BK62" s="728"/>
      <c r="BL62" s="728"/>
      <c r="BM62" s="728"/>
      <c r="BN62" s="728"/>
      <c r="BO62" s="728"/>
      <c r="BP62" s="728"/>
      <c r="BQ62" s="728"/>
    </row>
    <row r="63" spans="1:69" s="811" customFormat="1" ht="13.5" customHeight="1">
      <c r="A63" s="721"/>
      <c r="B63" s="708" t="s">
        <v>1108</v>
      </c>
      <c r="C63" s="710" t="s">
        <v>1109</v>
      </c>
      <c r="D63" s="709" t="s">
        <v>382</v>
      </c>
      <c r="E63" s="710" t="s">
        <v>1110</v>
      </c>
      <c r="F63" s="711">
        <v>43005</v>
      </c>
      <c r="G63" s="723">
        <v>17</v>
      </c>
      <c r="H63" s="723">
        <v>15</v>
      </c>
      <c r="I63" s="723">
        <v>17</v>
      </c>
      <c r="J63" s="723">
        <v>18.64</v>
      </c>
      <c r="K63" s="713">
        <f t="shared" si="16"/>
        <v>25091.686000000002</v>
      </c>
      <c r="L63" s="714">
        <v>7500</v>
      </c>
      <c r="M63" s="714">
        <v>32591.686000000002</v>
      </c>
      <c r="N63" s="713">
        <f t="shared" si="17"/>
        <v>426558.66200000001</v>
      </c>
      <c r="O63" s="714">
        <f t="shared" si="18"/>
        <v>127500</v>
      </c>
      <c r="P63" s="713">
        <f t="shared" si="19"/>
        <v>554058.66200000001</v>
      </c>
      <c r="Q63" s="713"/>
      <c r="R63" s="723">
        <v>25.8</v>
      </c>
      <c r="S63" s="713">
        <v>840865.5</v>
      </c>
      <c r="T63" s="713">
        <v>1004782.5</v>
      </c>
      <c r="U63" s="713"/>
      <c r="V63" s="700">
        <v>1</v>
      </c>
      <c r="W63" s="617">
        <f t="shared" si="20"/>
        <v>18.64</v>
      </c>
      <c r="X63" s="715">
        <f t="shared" si="21"/>
        <v>607509.02704000007</v>
      </c>
      <c r="Y63" s="716">
        <f t="shared" si="22"/>
        <v>9.6470588235294308E-2</v>
      </c>
      <c r="Z63" s="717" t="s">
        <v>1111</v>
      </c>
      <c r="AA63" s="718" t="s">
        <v>1112</v>
      </c>
      <c r="AB63" s="719">
        <f t="shared" si="23"/>
        <v>554058.66200000001</v>
      </c>
      <c r="AC63" s="704"/>
      <c r="AD63" s="699"/>
      <c r="AE63" s="699"/>
      <c r="AF63" s="699"/>
      <c r="AG63" s="714"/>
      <c r="AH63" s="726"/>
      <c r="AI63" s="725"/>
      <c r="AJ63" s="699"/>
      <c r="AK63" s="699"/>
      <c r="AL63" s="699"/>
      <c r="AM63" s="728"/>
      <c r="AN63" s="728"/>
      <c r="AO63" s="728"/>
      <c r="AP63" s="728"/>
      <c r="AQ63" s="728"/>
      <c r="AR63" s="728"/>
      <c r="AS63" s="728"/>
      <c r="AT63" s="728"/>
      <c r="AU63" s="728"/>
      <c r="AV63" s="728"/>
      <c r="AW63" s="728"/>
      <c r="AX63" s="728"/>
      <c r="AY63" s="728"/>
      <c r="AZ63" s="728"/>
      <c r="BA63" s="728"/>
      <c r="BB63" s="728"/>
      <c r="BC63" s="728"/>
      <c r="BD63" s="728"/>
      <c r="BE63" s="728"/>
      <c r="BF63" s="728"/>
      <c r="BG63" s="728"/>
      <c r="BH63" s="728"/>
      <c r="BI63" s="728"/>
      <c r="BJ63" s="728"/>
      <c r="BK63" s="728"/>
      <c r="BL63" s="728"/>
      <c r="BM63" s="728"/>
      <c r="BN63" s="728"/>
      <c r="BO63" s="728"/>
      <c r="BP63" s="728"/>
      <c r="BQ63" s="728"/>
    </row>
    <row r="64" spans="1:69" s="811" customFormat="1" ht="13.5" customHeight="1">
      <c r="A64" s="721"/>
      <c r="B64" s="708" t="s">
        <v>1193</v>
      </c>
      <c r="C64" s="710" t="s">
        <v>1194</v>
      </c>
      <c r="D64" s="709" t="s">
        <v>757</v>
      </c>
      <c r="E64" s="710" t="s">
        <v>1195</v>
      </c>
      <c r="F64" s="711">
        <v>43005</v>
      </c>
      <c r="G64" s="723">
        <v>14</v>
      </c>
      <c r="H64" s="723">
        <v>13</v>
      </c>
      <c r="I64" s="723">
        <v>15</v>
      </c>
      <c r="J64" s="723">
        <v>20.8</v>
      </c>
      <c r="K64" s="713">
        <f t="shared" si="16"/>
        <v>22740.714</v>
      </c>
      <c r="L64" s="714">
        <v>5360</v>
      </c>
      <c r="M64" s="714">
        <v>28100.714</v>
      </c>
      <c r="N64" s="713">
        <f t="shared" si="17"/>
        <v>318369.99599999998</v>
      </c>
      <c r="O64" s="714">
        <f t="shared" si="18"/>
        <v>75040</v>
      </c>
      <c r="P64" s="713">
        <f t="shared" si="19"/>
        <v>393409.99599999998</v>
      </c>
      <c r="Q64" s="713"/>
      <c r="R64" s="723">
        <v>12.85</v>
      </c>
      <c r="S64" s="713">
        <v>371425.58</v>
      </c>
      <c r="T64" s="713">
        <v>301841.57</v>
      </c>
      <c r="U64" s="713"/>
      <c r="V64" s="700">
        <v>1</v>
      </c>
      <c r="W64" s="617">
        <f t="shared" si="20"/>
        <v>20.8</v>
      </c>
      <c r="X64" s="715">
        <f t="shared" si="21"/>
        <v>584494.85120000003</v>
      </c>
      <c r="Y64" s="716">
        <f t="shared" si="22"/>
        <v>0.48571428571428577</v>
      </c>
      <c r="Z64" s="717" t="s">
        <v>1196</v>
      </c>
      <c r="AA64" s="718" t="s">
        <v>1197</v>
      </c>
      <c r="AB64" s="719">
        <f t="shared" si="23"/>
        <v>393409.99599999998</v>
      </c>
      <c r="AC64" s="704"/>
      <c r="AD64" s="699"/>
      <c r="AE64" s="699"/>
      <c r="AF64" s="699"/>
      <c r="AG64" s="714"/>
      <c r="AH64" s="726"/>
      <c r="AI64" s="725"/>
      <c r="AJ64" s="699"/>
      <c r="AK64" s="699"/>
      <c r="AL64" s="699"/>
      <c r="AM64" s="728"/>
      <c r="AN64" s="728"/>
      <c r="AO64" s="728"/>
      <c r="AP64" s="728"/>
      <c r="AQ64" s="728"/>
      <c r="AR64" s="728"/>
      <c r="AS64" s="728"/>
      <c r="AT64" s="728"/>
      <c r="AU64" s="728"/>
      <c r="AV64" s="728"/>
      <c r="AW64" s="728"/>
      <c r="AX64" s="728"/>
      <c r="AY64" s="728"/>
      <c r="AZ64" s="728"/>
      <c r="BA64" s="728"/>
      <c r="BB64" s="728"/>
      <c r="BC64" s="728"/>
      <c r="BD64" s="728"/>
      <c r="BE64" s="728"/>
      <c r="BF64" s="728"/>
      <c r="BG64" s="728"/>
      <c r="BH64" s="728"/>
      <c r="BI64" s="728"/>
      <c r="BJ64" s="728"/>
      <c r="BK64" s="728"/>
      <c r="BL64" s="728"/>
      <c r="BM64" s="728"/>
      <c r="BN64" s="728"/>
      <c r="BO64" s="728"/>
      <c r="BP64" s="728"/>
      <c r="BQ64" s="728"/>
    </row>
    <row r="65" spans="1:69" s="811" customFormat="1" ht="13.5" customHeight="1">
      <c r="A65" s="721"/>
      <c r="B65" s="708" t="s">
        <v>1118</v>
      </c>
      <c r="C65" s="710" t="s">
        <v>1119</v>
      </c>
      <c r="D65" s="709" t="s">
        <v>382</v>
      </c>
      <c r="E65" s="710" t="s">
        <v>1120</v>
      </c>
      <c r="F65" s="711">
        <v>42913</v>
      </c>
      <c r="G65" s="723">
        <v>15</v>
      </c>
      <c r="H65" s="723">
        <v>14</v>
      </c>
      <c r="I65" s="723">
        <v>16</v>
      </c>
      <c r="J65" s="723">
        <v>14.61</v>
      </c>
      <c r="K65" s="713">
        <f t="shared" si="16"/>
        <v>17645.620999999999</v>
      </c>
      <c r="L65" s="714">
        <v>5000</v>
      </c>
      <c r="M65" s="714">
        <v>22645.620999999999</v>
      </c>
      <c r="N65" s="713">
        <f t="shared" si="17"/>
        <v>264684.315</v>
      </c>
      <c r="O65" s="714">
        <f t="shared" si="18"/>
        <v>75000</v>
      </c>
      <c r="P65" s="713">
        <f t="shared" si="19"/>
        <v>339684.315</v>
      </c>
      <c r="Q65" s="713"/>
      <c r="R65" s="723">
        <v>13.81</v>
      </c>
      <c r="S65" s="713">
        <v>314224.51</v>
      </c>
      <c r="T65" s="713">
        <v>180846.51</v>
      </c>
      <c r="U65" s="713"/>
      <c r="V65" s="700">
        <v>1</v>
      </c>
      <c r="W65" s="617">
        <f t="shared" si="20"/>
        <v>14.61</v>
      </c>
      <c r="X65" s="715">
        <f t="shared" si="21"/>
        <v>330852.52280999999</v>
      </c>
      <c r="Y65" s="716">
        <f t="shared" si="22"/>
        <v>-2.6000000000000023E-2</v>
      </c>
      <c r="Z65" s="717" t="s">
        <v>1121</v>
      </c>
      <c r="AA65" s="718" t="s">
        <v>1122</v>
      </c>
      <c r="AB65" s="719">
        <f t="shared" si="23"/>
        <v>339684.315</v>
      </c>
      <c r="AC65" s="704"/>
      <c r="AD65" s="699"/>
      <c r="AE65" s="699"/>
      <c r="AF65" s="699"/>
      <c r="AG65" s="714"/>
      <c r="AH65" s="726"/>
      <c r="AI65" s="725"/>
      <c r="AJ65" s="699"/>
      <c r="AK65" s="699"/>
      <c r="AL65" s="699"/>
      <c r="AM65" s="728"/>
      <c r="AN65" s="728"/>
      <c r="AO65" s="728"/>
      <c r="AP65" s="728"/>
      <c r="AQ65" s="728"/>
      <c r="AR65" s="728"/>
      <c r="AS65" s="728"/>
      <c r="AT65" s="728"/>
      <c r="AU65" s="728"/>
      <c r="AV65" s="728"/>
      <c r="AW65" s="728"/>
      <c r="AX65" s="728"/>
      <c r="AY65" s="728"/>
      <c r="AZ65" s="728"/>
      <c r="BA65" s="728"/>
      <c r="BB65" s="728"/>
      <c r="BC65" s="728"/>
      <c r="BD65" s="728"/>
      <c r="BE65" s="728"/>
      <c r="BF65" s="728"/>
      <c r="BG65" s="728"/>
      <c r="BH65" s="728"/>
      <c r="BI65" s="728"/>
      <c r="BJ65" s="728"/>
      <c r="BK65" s="728"/>
      <c r="BL65" s="728"/>
      <c r="BM65" s="728"/>
      <c r="BN65" s="728"/>
      <c r="BO65" s="728"/>
      <c r="BP65" s="728"/>
      <c r="BQ65" s="728"/>
    </row>
    <row r="66" spans="1:69" s="811" customFormat="1" ht="13.5" customHeight="1">
      <c r="A66" s="812"/>
      <c r="B66" s="813" t="s">
        <v>1123</v>
      </c>
      <c r="C66" s="814" t="s">
        <v>1124</v>
      </c>
      <c r="D66" s="815" t="s">
        <v>376</v>
      </c>
      <c r="E66" s="814" t="s">
        <v>1125</v>
      </c>
      <c r="F66" s="711">
        <v>42871</v>
      </c>
      <c r="G66" s="723">
        <v>15</v>
      </c>
      <c r="H66" s="723">
        <v>15</v>
      </c>
      <c r="I66" s="723">
        <v>17</v>
      </c>
      <c r="J66" s="723">
        <v>17.12</v>
      </c>
      <c r="K66" s="713">
        <f t="shared" si="16"/>
        <v>20413.833999999999</v>
      </c>
      <c r="L66" s="714">
        <v>6250</v>
      </c>
      <c r="M66" s="714">
        <v>26663.833999999999</v>
      </c>
      <c r="N66" s="713">
        <f t="shared" si="17"/>
        <v>306207.51</v>
      </c>
      <c r="O66" s="714">
        <f t="shared" si="18"/>
        <v>93750</v>
      </c>
      <c r="P66" s="713">
        <f t="shared" si="19"/>
        <v>399957.51</v>
      </c>
      <c r="Q66" s="713"/>
      <c r="R66" s="723">
        <v>20.41</v>
      </c>
      <c r="S66" s="713">
        <v>578527.25</v>
      </c>
      <c r="T66" s="713">
        <v>460147.25</v>
      </c>
      <c r="U66" s="816"/>
      <c r="V66" s="700">
        <v>1</v>
      </c>
      <c r="W66" s="617">
        <f t="shared" si="20"/>
        <v>17.12</v>
      </c>
      <c r="X66" s="715">
        <f t="shared" si="21"/>
        <v>456484.83808000002</v>
      </c>
      <c r="Y66" s="716">
        <f t="shared" si="22"/>
        <v>0.14133333333333331</v>
      </c>
      <c r="Z66" s="817" t="s">
        <v>1126</v>
      </c>
      <c r="AA66" s="818" t="s">
        <v>1127</v>
      </c>
      <c r="AB66" s="831">
        <f t="shared" si="23"/>
        <v>399957.51</v>
      </c>
      <c r="AC66" s="819"/>
      <c r="AD66" s="819"/>
    </row>
    <row r="67" spans="1:69" s="728" customFormat="1" ht="13.5" customHeight="1">
      <c r="A67" s="721"/>
      <c r="B67" s="708" t="s">
        <v>1198</v>
      </c>
      <c r="C67" s="710" t="s">
        <v>1199</v>
      </c>
      <c r="D67" s="709" t="s">
        <v>382</v>
      </c>
      <c r="E67" s="710" t="s">
        <v>1200</v>
      </c>
      <c r="F67" s="711">
        <v>42852</v>
      </c>
      <c r="G67" s="723">
        <v>13</v>
      </c>
      <c r="H67" s="723">
        <v>13</v>
      </c>
      <c r="I67" s="723">
        <v>16</v>
      </c>
      <c r="J67" s="723">
        <v>12.67601</v>
      </c>
      <c r="K67" s="713">
        <f t="shared" si="16"/>
        <v>20424.460999999999</v>
      </c>
      <c r="L67" s="714">
        <v>4500</v>
      </c>
      <c r="M67" s="714">
        <v>24924.460999999999</v>
      </c>
      <c r="N67" s="713">
        <f t="shared" si="17"/>
        <v>265517.99300000002</v>
      </c>
      <c r="O67" s="714">
        <f t="shared" si="18"/>
        <v>58500</v>
      </c>
      <c r="P67" s="713">
        <f t="shared" si="19"/>
        <v>324017.99300000002</v>
      </c>
      <c r="Q67" s="713"/>
      <c r="R67" s="723">
        <v>11.99841</v>
      </c>
      <c r="S67" s="713">
        <v>305287.71999999997</v>
      </c>
      <c r="T67" s="713">
        <v>256637.16</v>
      </c>
      <c r="U67" s="713"/>
      <c r="V67" s="700">
        <v>1</v>
      </c>
      <c r="W67" s="617">
        <f t="shared" si="20"/>
        <v>12.67601</v>
      </c>
      <c r="X67" s="715">
        <f t="shared" si="21"/>
        <v>315942.71688060998</v>
      </c>
      <c r="Y67" s="716">
        <f t="shared" si="22"/>
        <v>-2.4922307692307855E-2</v>
      </c>
      <c r="Z67" s="717" t="s">
        <v>1201</v>
      </c>
      <c r="AA67" s="718" t="s">
        <v>1202</v>
      </c>
      <c r="AB67" s="719">
        <f t="shared" si="23"/>
        <v>324017.99300000002</v>
      </c>
      <c r="AC67" s="704"/>
      <c r="AD67" s="699"/>
      <c r="AE67" s="699"/>
      <c r="AF67" s="699"/>
      <c r="AG67" s="714"/>
      <c r="AH67" s="726"/>
      <c r="AI67" s="725"/>
      <c r="AJ67" s="699"/>
      <c r="AK67" s="699"/>
      <c r="AL67" s="699"/>
    </row>
    <row r="68" spans="1:69" s="728" customFormat="1" ht="13.5" customHeight="1">
      <c r="A68" s="721"/>
      <c r="B68" s="708" t="s">
        <v>1002</v>
      </c>
      <c r="C68" s="710" t="s">
        <v>1003</v>
      </c>
      <c r="D68" s="709" t="s">
        <v>757</v>
      </c>
      <c r="E68" s="710" t="s">
        <v>1004</v>
      </c>
      <c r="F68" s="711">
        <v>42761</v>
      </c>
      <c r="G68" s="723">
        <v>16</v>
      </c>
      <c r="H68" s="723">
        <v>13</v>
      </c>
      <c r="I68" s="723">
        <v>15</v>
      </c>
      <c r="J68" s="723">
        <v>19.84</v>
      </c>
      <c r="K68" s="713">
        <f t="shared" si="16"/>
        <v>24802.026000000002</v>
      </c>
      <c r="L68" s="714">
        <f>5360000/1000</f>
        <v>5360</v>
      </c>
      <c r="M68" s="714">
        <f>30162026/1000</f>
        <v>30162.026000000002</v>
      </c>
      <c r="N68" s="713">
        <f t="shared" si="17"/>
        <v>396832.41600000003</v>
      </c>
      <c r="O68" s="714">
        <f t="shared" si="18"/>
        <v>85760</v>
      </c>
      <c r="P68" s="713">
        <f t="shared" si="19"/>
        <v>482592.41600000003</v>
      </c>
      <c r="Q68" s="713"/>
      <c r="R68" s="723">
        <v>24.06</v>
      </c>
      <c r="S68" s="713">
        <v>775833.03</v>
      </c>
      <c r="T68" s="713">
        <v>524742.03</v>
      </c>
      <c r="U68" s="713"/>
      <c r="V68" s="700">
        <v>1</v>
      </c>
      <c r="W68" s="617">
        <f t="shared" si="20"/>
        <v>19.84</v>
      </c>
      <c r="X68" s="715">
        <f t="shared" si="21"/>
        <v>598414.59584000008</v>
      </c>
      <c r="Y68" s="716">
        <f t="shared" si="22"/>
        <v>0.24</v>
      </c>
      <c r="Z68" s="717" t="s">
        <v>1004</v>
      </c>
      <c r="AA68" s="718" t="s">
        <v>1087</v>
      </c>
      <c r="AB68" s="719">
        <f t="shared" si="23"/>
        <v>482592.41600000003</v>
      </c>
      <c r="AC68" s="699"/>
      <c r="AD68" s="699"/>
      <c r="AE68" s="699"/>
      <c r="AF68" s="714"/>
      <c r="AG68" s="726"/>
      <c r="AH68" s="725"/>
      <c r="AI68" s="699"/>
      <c r="AJ68" s="699"/>
      <c r="AK68" s="699"/>
    </row>
    <row r="69" spans="1:69" s="704" customFormat="1" ht="13.5" customHeight="1">
      <c r="B69" s="708" t="s">
        <v>1005</v>
      </c>
      <c r="C69" s="710" t="s">
        <v>1006</v>
      </c>
      <c r="D69" s="709" t="s">
        <v>382</v>
      </c>
      <c r="E69" s="710" t="s">
        <v>1007</v>
      </c>
      <c r="F69" s="711">
        <v>42760</v>
      </c>
      <c r="G69" s="617">
        <v>15</v>
      </c>
      <c r="H69" s="617">
        <v>14</v>
      </c>
      <c r="I69" s="617">
        <v>16</v>
      </c>
      <c r="J69" s="617">
        <v>24.6</v>
      </c>
      <c r="K69" s="713">
        <f t="shared" si="16"/>
        <v>14159.332999999999</v>
      </c>
      <c r="L69" s="801">
        <f>4000000/1000</f>
        <v>4000</v>
      </c>
      <c r="M69" s="801">
        <f>18159333/1000</f>
        <v>18159.332999999999</v>
      </c>
      <c r="N69" s="713">
        <f t="shared" si="17"/>
        <v>212389.995</v>
      </c>
      <c r="O69" s="714">
        <f t="shared" si="18"/>
        <v>60000</v>
      </c>
      <c r="P69" s="713">
        <f t="shared" si="19"/>
        <v>272389.995</v>
      </c>
      <c r="Q69" s="713"/>
      <c r="R69" s="723">
        <v>104.8</v>
      </c>
      <c r="S69" s="713">
        <v>2462556.8600000003</v>
      </c>
      <c r="T69" s="713">
        <v>2361103.8600000003</v>
      </c>
      <c r="U69" s="700"/>
      <c r="V69" s="700">
        <v>1</v>
      </c>
      <c r="W69" s="617">
        <f t="shared" si="20"/>
        <v>24.6</v>
      </c>
      <c r="X69" s="715">
        <f t="shared" si="21"/>
        <v>446719.59179999999</v>
      </c>
      <c r="Y69" s="716">
        <f t="shared" si="22"/>
        <v>0.6399999999999999</v>
      </c>
      <c r="Z69" s="717" t="s">
        <v>1008</v>
      </c>
      <c r="AA69" s="718" t="s">
        <v>1088</v>
      </c>
      <c r="AB69" s="719">
        <f t="shared" si="23"/>
        <v>272389.995</v>
      </c>
    </row>
    <row r="70" spans="1:69" s="704" customFormat="1" ht="13.5" customHeight="1">
      <c r="B70" s="708" t="s">
        <v>655</v>
      </c>
      <c r="C70" s="710" t="s">
        <v>656</v>
      </c>
      <c r="D70" s="709" t="s">
        <v>382</v>
      </c>
      <c r="E70" s="710" t="s">
        <v>657</v>
      </c>
      <c r="F70" s="711">
        <v>42668</v>
      </c>
      <c r="G70" s="617">
        <v>13</v>
      </c>
      <c r="H70" s="617">
        <v>12</v>
      </c>
      <c r="I70" s="617">
        <v>14</v>
      </c>
      <c r="J70" s="617">
        <v>13.14</v>
      </c>
      <c r="K70" s="713">
        <f t="shared" si="16"/>
        <v>14439.55</v>
      </c>
      <c r="L70" s="801">
        <v>7049.23</v>
      </c>
      <c r="M70" s="801">
        <v>21488.78</v>
      </c>
      <c r="N70" s="713">
        <f t="shared" si="17"/>
        <v>187714.15</v>
      </c>
      <c r="O70" s="714">
        <f t="shared" si="18"/>
        <v>91639.989999999991</v>
      </c>
      <c r="P70" s="713">
        <f t="shared" si="19"/>
        <v>279354.14</v>
      </c>
      <c r="Q70" s="713"/>
      <c r="R70" s="723">
        <v>6.4</v>
      </c>
      <c r="S70" s="713">
        <v>144810.78</v>
      </c>
      <c r="T70" s="713">
        <v>60719.78</v>
      </c>
      <c r="U70" s="700"/>
      <c r="V70" s="700">
        <v>1</v>
      </c>
      <c r="W70" s="617">
        <f t="shared" si="20"/>
        <v>13.14</v>
      </c>
      <c r="X70" s="715">
        <f t="shared" si="21"/>
        <v>282362.56919999997</v>
      </c>
      <c r="Y70" s="716">
        <f t="shared" si="22"/>
        <v>1.0769230769230642E-2</v>
      </c>
      <c r="Z70" s="717" t="s">
        <v>658</v>
      </c>
      <c r="AA70" s="718" t="s">
        <v>659</v>
      </c>
      <c r="AB70" s="719">
        <f t="shared" si="23"/>
        <v>279354.14</v>
      </c>
    </row>
    <row r="71" spans="1:69" s="704" customFormat="1" ht="13.5" customHeight="1">
      <c r="A71" s="721"/>
      <c r="B71" s="708" t="s">
        <v>661</v>
      </c>
      <c r="C71" s="710" t="s">
        <v>662</v>
      </c>
      <c r="D71" s="709" t="s">
        <v>1009</v>
      </c>
      <c r="E71" s="710" t="s">
        <v>663</v>
      </c>
      <c r="F71" s="711">
        <v>42654</v>
      </c>
      <c r="G71" s="617">
        <v>5.5</v>
      </c>
      <c r="H71" s="617">
        <v>6</v>
      </c>
      <c r="I71" s="617">
        <v>8</v>
      </c>
      <c r="J71" s="617">
        <v>4.74</v>
      </c>
      <c r="K71" s="713">
        <f t="shared" si="16"/>
        <v>8671.0879999999997</v>
      </c>
      <c r="L71" s="801">
        <v>960</v>
      </c>
      <c r="M71" s="801">
        <v>9631.0879999999997</v>
      </c>
      <c r="N71" s="713">
        <f t="shared" si="17"/>
        <v>47690.983999999997</v>
      </c>
      <c r="O71" s="714">
        <f t="shared" si="18"/>
        <v>5280</v>
      </c>
      <c r="P71" s="713">
        <f t="shared" si="19"/>
        <v>52970.983999999997</v>
      </c>
      <c r="Q71" s="713"/>
      <c r="R71" s="723">
        <v>3.06</v>
      </c>
      <c r="S71" s="713">
        <v>35355.69</v>
      </c>
      <c r="T71" s="713">
        <v>32745.48</v>
      </c>
      <c r="U71" s="713"/>
      <c r="V71" s="700">
        <v>1</v>
      </c>
      <c r="W71" s="617">
        <f t="shared" si="20"/>
        <v>4.74</v>
      </c>
      <c r="X71" s="715">
        <f t="shared" si="21"/>
        <v>45651.357120000001</v>
      </c>
      <c r="Y71" s="716">
        <f t="shared" si="22"/>
        <v>-0.13818181818181807</v>
      </c>
      <c r="Z71" s="717" t="s">
        <v>664</v>
      </c>
      <c r="AA71" s="718" t="s">
        <v>665</v>
      </c>
      <c r="AB71" s="719">
        <f t="shared" si="23"/>
        <v>52970.983999999997</v>
      </c>
    </row>
    <row r="72" spans="1:69" s="704" customFormat="1" ht="13.5" customHeight="1">
      <c r="A72" s="721"/>
      <c r="B72" s="708" t="s">
        <v>671</v>
      </c>
      <c r="C72" s="710" t="s">
        <v>672</v>
      </c>
      <c r="D72" s="709" t="s">
        <v>382</v>
      </c>
      <c r="E72" s="710" t="s">
        <v>673</v>
      </c>
      <c r="F72" s="711">
        <v>42592</v>
      </c>
      <c r="G72" s="617">
        <v>12</v>
      </c>
      <c r="H72" s="617">
        <v>11</v>
      </c>
      <c r="I72" s="617">
        <v>13</v>
      </c>
      <c r="J72" s="617">
        <v>12.4</v>
      </c>
      <c r="K72" s="713">
        <f t="shared" si="16"/>
        <v>8823.5509999999995</v>
      </c>
      <c r="L72" s="801">
        <v>7500</v>
      </c>
      <c r="M72" s="801">
        <v>16323.550999999999</v>
      </c>
      <c r="N72" s="713">
        <f t="shared" si="17"/>
        <v>105882.61199999999</v>
      </c>
      <c r="O72" s="714">
        <f t="shared" si="18"/>
        <v>90000</v>
      </c>
      <c r="P72" s="713">
        <f t="shared" si="19"/>
        <v>195882.61199999999</v>
      </c>
      <c r="Q72" s="713"/>
      <c r="R72" s="723">
        <v>17.03</v>
      </c>
      <c r="S72" s="713">
        <v>348768.66000000003</v>
      </c>
      <c r="T72" s="713">
        <v>255182.66</v>
      </c>
      <c r="U72" s="713"/>
      <c r="V72" s="700">
        <v>1</v>
      </c>
      <c r="W72" s="617">
        <f t="shared" si="20"/>
        <v>12.4</v>
      </c>
      <c r="X72" s="715">
        <f t="shared" si="21"/>
        <v>202412.0324</v>
      </c>
      <c r="Y72" s="716">
        <f t="shared" si="22"/>
        <v>3.3333333333333437E-2</v>
      </c>
      <c r="Z72" s="724" t="s">
        <v>674</v>
      </c>
      <c r="AA72" s="718" t="s">
        <v>675</v>
      </c>
      <c r="AB72" s="719">
        <f t="shared" si="23"/>
        <v>195882.61199999999</v>
      </c>
      <c r="AC72" s="725"/>
    </row>
    <row r="73" spans="1:69" s="704" customFormat="1" ht="13.5" customHeight="1">
      <c r="A73" s="721"/>
      <c r="B73" s="708" t="s">
        <v>613</v>
      </c>
      <c r="C73" s="710" t="s">
        <v>611</v>
      </c>
      <c r="D73" s="709" t="s">
        <v>382</v>
      </c>
      <c r="E73" s="710" t="s">
        <v>687</v>
      </c>
      <c r="F73" s="711">
        <v>42550</v>
      </c>
      <c r="G73" s="723">
        <v>12.5</v>
      </c>
      <c r="H73" s="723">
        <v>14</v>
      </c>
      <c r="I73" s="723">
        <v>16</v>
      </c>
      <c r="J73" s="723">
        <v>11.58</v>
      </c>
      <c r="K73" s="713">
        <f t="shared" si="16"/>
        <v>18760.161</v>
      </c>
      <c r="L73" s="801">
        <v>4000</v>
      </c>
      <c r="M73" s="801">
        <v>22760.161</v>
      </c>
      <c r="N73" s="713">
        <f t="shared" si="17"/>
        <v>234502.01250000001</v>
      </c>
      <c r="O73" s="714">
        <f t="shared" si="18"/>
        <v>50000</v>
      </c>
      <c r="P73" s="713">
        <f t="shared" si="19"/>
        <v>284502.01250000001</v>
      </c>
      <c r="Q73" s="713"/>
      <c r="R73" s="723">
        <v>9.93</v>
      </c>
      <c r="S73" s="713">
        <v>319627.23</v>
      </c>
      <c r="T73" s="713">
        <v>237775.22999999998</v>
      </c>
      <c r="U73" s="713"/>
      <c r="V73" s="700">
        <v>1</v>
      </c>
      <c r="W73" s="617">
        <f t="shared" si="20"/>
        <v>11.58</v>
      </c>
      <c r="X73" s="715">
        <f t="shared" si="21"/>
        <v>263562.66438000003</v>
      </c>
      <c r="Y73" s="716">
        <f t="shared" si="22"/>
        <v>-7.3599999999999888E-2</v>
      </c>
      <c r="Z73" s="724" t="s">
        <v>612</v>
      </c>
      <c r="AA73" s="718" t="s">
        <v>614</v>
      </c>
      <c r="AB73" s="719">
        <f t="shared" si="23"/>
        <v>284502.01250000001</v>
      </c>
      <c r="AC73" s="725"/>
    </row>
    <row r="74" spans="1:69" s="704" customFormat="1" ht="13.5" customHeight="1">
      <c r="A74" s="721"/>
      <c r="B74" s="708" t="s">
        <v>688</v>
      </c>
      <c r="C74" s="710" t="s">
        <v>689</v>
      </c>
      <c r="D74" s="709" t="s">
        <v>382</v>
      </c>
      <c r="E74" s="710" t="s">
        <v>690</v>
      </c>
      <c r="F74" s="711">
        <v>42542</v>
      </c>
      <c r="G74" s="723">
        <v>14</v>
      </c>
      <c r="H74" s="723">
        <v>14</v>
      </c>
      <c r="I74" s="723">
        <v>16</v>
      </c>
      <c r="J74" s="723">
        <v>13.77</v>
      </c>
      <c r="K74" s="713">
        <f t="shared" si="16"/>
        <v>12899.585999999999</v>
      </c>
      <c r="L74" s="801">
        <v>5000</v>
      </c>
      <c r="M74" s="801">
        <v>17899.585999999999</v>
      </c>
      <c r="N74" s="713">
        <f t="shared" si="17"/>
        <v>180594.204</v>
      </c>
      <c r="O74" s="714">
        <f t="shared" si="18"/>
        <v>70000</v>
      </c>
      <c r="P74" s="713">
        <f t="shared" si="19"/>
        <v>250594.204</v>
      </c>
      <c r="Q74" s="713"/>
      <c r="R74" s="723">
        <v>8.81</v>
      </c>
      <c r="S74" s="713">
        <v>196785.24</v>
      </c>
      <c r="T74" s="713">
        <v>113351.23</v>
      </c>
      <c r="U74" s="713"/>
      <c r="V74" s="700">
        <v>1</v>
      </c>
      <c r="W74" s="617">
        <f t="shared" si="20"/>
        <v>13.77</v>
      </c>
      <c r="X74" s="715">
        <f t="shared" si="21"/>
        <v>246477.29921999999</v>
      </c>
      <c r="Y74" s="716">
        <f t="shared" si="22"/>
        <v>-1.6428571428571459E-2</v>
      </c>
      <c r="Z74" s="724" t="s">
        <v>691</v>
      </c>
      <c r="AA74" s="718" t="s">
        <v>692</v>
      </c>
      <c r="AB74" s="719">
        <f t="shared" si="23"/>
        <v>250594.204</v>
      </c>
      <c r="AC74" s="725"/>
    </row>
    <row r="75" spans="1:69" s="704" customFormat="1" ht="13.5" customHeight="1">
      <c r="A75" s="721"/>
      <c r="B75" s="708" t="s">
        <v>703</v>
      </c>
      <c r="C75" s="710" t="s">
        <v>704</v>
      </c>
      <c r="D75" s="709" t="s">
        <v>757</v>
      </c>
      <c r="E75" s="710" t="s">
        <v>705</v>
      </c>
      <c r="F75" s="711">
        <v>42508</v>
      </c>
      <c r="G75" s="723">
        <v>10</v>
      </c>
      <c r="H75" s="723">
        <v>14</v>
      </c>
      <c r="I75" s="723">
        <v>16</v>
      </c>
      <c r="J75" s="723">
        <v>9.1691500000000001</v>
      </c>
      <c r="K75" s="713">
        <f t="shared" si="16"/>
        <v>8740.4410000000007</v>
      </c>
      <c r="L75" s="801">
        <v>5500</v>
      </c>
      <c r="M75" s="801">
        <v>14240.441000000001</v>
      </c>
      <c r="N75" s="713">
        <f t="shared" si="17"/>
        <v>87404.41</v>
      </c>
      <c r="O75" s="714">
        <f t="shared" si="18"/>
        <v>55000</v>
      </c>
      <c r="P75" s="713">
        <f t="shared" si="19"/>
        <v>142404.41</v>
      </c>
      <c r="Q75" s="713"/>
      <c r="R75" s="723">
        <v>16.37</v>
      </c>
      <c r="S75" s="713">
        <v>317735.27</v>
      </c>
      <c r="T75" s="713">
        <v>78491.680000000008</v>
      </c>
      <c r="U75" s="713"/>
      <c r="V75" s="700">
        <v>1</v>
      </c>
      <c r="W75" s="617">
        <f t="shared" si="20"/>
        <v>9.1691500000000001</v>
      </c>
      <c r="X75" s="715">
        <f t="shared" si="21"/>
        <v>130572.73959515001</v>
      </c>
      <c r="Y75" s="716">
        <f t="shared" si="22"/>
        <v>-8.3084999999999964E-2</v>
      </c>
      <c r="Z75" s="724" t="s">
        <v>706</v>
      </c>
      <c r="AA75" s="718" t="s">
        <v>707</v>
      </c>
      <c r="AB75" s="719">
        <f t="shared" si="23"/>
        <v>142404.41</v>
      </c>
      <c r="AC75" s="725"/>
    </row>
    <row r="76" spans="1:69" s="704" customFormat="1" ht="13.5" customHeight="1">
      <c r="A76" s="721"/>
      <c r="B76" s="708" t="s">
        <v>709</v>
      </c>
      <c r="C76" s="710" t="s">
        <v>1912</v>
      </c>
      <c r="D76" s="709" t="s">
        <v>382</v>
      </c>
      <c r="E76" s="710" t="s">
        <v>710</v>
      </c>
      <c r="F76" s="711">
        <v>42502</v>
      </c>
      <c r="G76" s="723">
        <v>6</v>
      </c>
      <c r="H76" s="723">
        <v>11</v>
      </c>
      <c r="I76" s="723">
        <v>13</v>
      </c>
      <c r="J76" s="723">
        <v>3.35</v>
      </c>
      <c r="K76" s="713">
        <f t="shared" si="16"/>
        <v>16969.444</v>
      </c>
      <c r="L76" s="801">
        <v>5833.3339999999998</v>
      </c>
      <c r="M76" s="801">
        <v>22802.777999999998</v>
      </c>
      <c r="N76" s="713">
        <f t="shared" si="17"/>
        <v>101816.66399999999</v>
      </c>
      <c r="O76" s="714">
        <f t="shared" si="18"/>
        <v>35000.004000000001</v>
      </c>
      <c r="P76" s="713">
        <f t="shared" si="19"/>
        <v>136816.66800000001</v>
      </c>
      <c r="Q76" s="713"/>
      <c r="R76" s="723">
        <v>1.1399999999999999</v>
      </c>
      <c r="S76" s="713">
        <v>29105.03</v>
      </c>
      <c r="T76" s="713">
        <v>47261.049999999996</v>
      </c>
      <c r="U76" s="713"/>
      <c r="V76" s="700">
        <v>1</v>
      </c>
      <c r="W76" s="617">
        <f t="shared" si="20"/>
        <v>3.35</v>
      </c>
      <c r="X76" s="715">
        <f t="shared" si="21"/>
        <v>76389.306299999997</v>
      </c>
      <c r="Y76" s="716">
        <f t="shared" si="22"/>
        <v>-0.44166666666666676</v>
      </c>
      <c r="Z76" s="724" t="s">
        <v>711</v>
      </c>
      <c r="AA76" s="718" t="s">
        <v>712</v>
      </c>
      <c r="AB76" s="719">
        <f t="shared" si="23"/>
        <v>136816.66800000001</v>
      </c>
      <c r="AG76" s="720"/>
      <c r="AH76" s="726"/>
      <c r="AI76" s="725"/>
    </row>
    <row r="77" spans="1:69" s="699" customFormat="1" ht="13.5" customHeight="1">
      <c r="A77" s="721"/>
      <c r="B77" s="708" t="s">
        <v>636</v>
      </c>
      <c r="C77" s="710" t="s">
        <v>723</v>
      </c>
      <c r="D77" s="709" t="s">
        <v>724</v>
      </c>
      <c r="E77" s="710" t="s">
        <v>725</v>
      </c>
      <c r="F77" s="711">
        <v>42451</v>
      </c>
      <c r="G77" s="723">
        <v>15</v>
      </c>
      <c r="H77" s="723">
        <v>15</v>
      </c>
      <c r="I77" s="723">
        <v>17</v>
      </c>
      <c r="J77" s="723">
        <v>15.13</v>
      </c>
      <c r="K77" s="713">
        <f t="shared" si="16"/>
        <v>15706.356</v>
      </c>
      <c r="L77" s="801">
        <v>4700</v>
      </c>
      <c r="M77" s="801">
        <v>20406.356</v>
      </c>
      <c r="N77" s="713">
        <f t="shared" si="17"/>
        <v>235595.34</v>
      </c>
      <c r="O77" s="714">
        <f t="shared" si="18"/>
        <v>70500</v>
      </c>
      <c r="P77" s="713">
        <f t="shared" si="19"/>
        <v>306095.33999999997</v>
      </c>
      <c r="Q77" s="713"/>
      <c r="R77" s="723">
        <v>8.19</v>
      </c>
      <c r="S77" s="713">
        <v>172327.84</v>
      </c>
      <c r="T77" s="713">
        <v>72627.840000000011</v>
      </c>
      <c r="U77" s="713"/>
      <c r="V77" s="700">
        <v>1</v>
      </c>
      <c r="W77" s="617">
        <f t="shared" si="20"/>
        <v>15.13</v>
      </c>
      <c r="X77" s="715">
        <f t="shared" si="21"/>
        <v>308748.16628</v>
      </c>
      <c r="Y77" s="716">
        <f t="shared" si="22"/>
        <v>8.6666666666668224E-3</v>
      </c>
      <c r="Z77" s="717" t="s">
        <v>726</v>
      </c>
      <c r="AA77" s="718" t="s">
        <v>727</v>
      </c>
      <c r="AB77" s="719">
        <f t="shared" si="23"/>
        <v>306095.33999999997</v>
      </c>
      <c r="AC77" s="704"/>
      <c r="AG77" s="714"/>
      <c r="AH77" s="726"/>
      <c r="AI77" s="725"/>
    </row>
    <row r="78" spans="1:69" s="699" customFormat="1" ht="13.5" customHeight="1">
      <c r="A78" s="721"/>
      <c r="B78" s="708" t="s">
        <v>637</v>
      </c>
      <c r="C78" s="710" t="s">
        <v>728</v>
      </c>
      <c r="D78" s="709" t="s">
        <v>831</v>
      </c>
      <c r="E78" s="710" t="s">
        <v>729</v>
      </c>
      <c r="F78" s="711">
        <v>42431</v>
      </c>
      <c r="G78" s="723">
        <v>12</v>
      </c>
      <c r="H78" s="723">
        <v>14</v>
      </c>
      <c r="I78" s="723">
        <v>16</v>
      </c>
      <c r="J78" s="723">
        <v>13.11</v>
      </c>
      <c r="K78" s="713">
        <f t="shared" si="16"/>
        <v>12972.674999999999</v>
      </c>
      <c r="L78" s="801">
        <v>4400</v>
      </c>
      <c r="M78" s="801">
        <v>17372.674999999999</v>
      </c>
      <c r="N78" s="713">
        <f t="shared" si="17"/>
        <v>155672.09999999998</v>
      </c>
      <c r="O78" s="714">
        <f t="shared" si="18"/>
        <v>52800</v>
      </c>
      <c r="P78" s="713">
        <f t="shared" si="19"/>
        <v>208472.09999999998</v>
      </c>
      <c r="Q78" s="713"/>
      <c r="R78" s="723">
        <v>9.6300000000000008</v>
      </c>
      <c r="S78" s="713">
        <v>234875.02000000002</v>
      </c>
      <c r="T78" s="713">
        <v>113388.02</v>
      </c>
      <c r="U78" s="713"/>
      <c r="V78" s="700">
        <v>1</v>
      </c>
      <c r="W78" s="617">
        <f t="shared" si="20"/>
        <v>13.11</v>
      </c>
      <c r="X78" s="715">
        <f t="shared" si="21"/>
        <v>227755.76924999998</v>
      </c>
      <c r="Y78" s="716">
        <f t="shared" si="22"/>
        <v>9.2500000000000027E-2</v>
      </c>
      <c r="Z78" s="717" t="s">
        <v>730</v>
      </c>
      <c r="AA78" s="718" t="s">
        <v>731</v>
      </c>
      <c r="AB78" s="719">
        <f t="shared" si="23"/>
        <v>208472.09999999998</v>
      </c>
      <c r="AC78" s="704"/>
      <c r="AG78" s="714"/>
      <c r="AH78" s="726"/>
      <c r="AI78" s="725"/>
    </row>
    <row r="79" spans="1:69" s="699" customFormat="1" ht="13.5" customHeight="1">
      <c r="A79" s="721"/>
      <c r="B79" s="708" t="s">
        <v>732</v>
      </c>
      <c r="C79" s="710" t="s">
        <v>733</v>
      </c>
      <c r="D79" s="709" t="s">
        <v>382</v>
      </c>
      <c r="E79" s="710" t="s">
        <v>734</v>
      </c>
      <c r="F79" s="711">
        <v>42410</v>
      </c>
      <c r="G79" s="723">
        <v>20</v>
      </c>
      <c r="H79" s="723">
        <v>19</v>
      </c>
      <c r="I79" s="723">
        <v>21</v>
      </c>
      <c r="J79" s="723">
        <v>21.15</v>
      </c>
      <c r="K79" s="713">
        <f t="shared" si="16"/>
        <v>17650.57</v>
      </c>
      <c r="L79" s="801">
        <v>4750</v>
      </c>
      <c r="M79" s="801">
        <v>22400.57</v>
      </c>
      <c r="N79" s="713">
        <f t="shared" si="17"/>
        <v>353011.4</v>
      </c>
      <c r="O79" s="714">
        <f t="shared" si="18"/>
        <v>95000</v>
      </c>
      <c r="P79" s="713">
        <f t="shared" si="19"/>
        <v>448011.4</v>
      </c>
      <c r="Q79" s="713"/>
      <c r="R79" s="723">
        <v>106.19</v>
      </c>
      <c r="S79" s="713">
        <v>3874475.7399999998</v>
      </c>
      <c r="T79" s="713">
        <v>3500264.74</v>
      </c>
      <c r="U79" s="713"/>
      <c r="V79" s="700">
        <v>1</v>
      </c>
      <c r="W79" s="617">
        <f t="shared" si="20"/>
        <v>21.15</v>
      </c>
      <c r="X79" s="715">
        <f t="shared" si="21"/>
        <v>473772.05549999996</v>
      </c>
      <c r="Y79" s="716">
        <f t="shared" si="22"/>
        <v>5.7499999999999885E-2</v>
      </c>
      <c r="Z79" s="717" t="s">
        <v>735</v>
      </c>
      <c r="AA79" s="718" t="s">
        <v>736</v>
      </c>
      <c r="AB79" s="719">
        <f t="shared" si="23"/>
        <v>448011.4</v>
      </c>
      <c r="AC79" s="704"/>
      <c r="AG79" s="714"/>
      <c r="AH79" s="726"/>
      <c r="AI79" s="725"/>
    </row>
    <row r="80" spans="1:69" s="699" customFormat="1" ht="13.5" customHeight="1">
      <c r="A80" s="721"/>
      <c r="B80" s="708" t="s">
        <v>537</v>
      </c>
      <c r="C80" s="710" t="s">
        <v>747</v>
      </c>
      <c r="D80" s="709" t="s">
        <v>376</v>
      </c>
      <c r="E80" s="710" t="s">
        <v>748</v>
      </c>
      <c r="F80" s="711">
        <v>42318</v>
      </c>
      <c r="G80" s="723">
        <v>14</v>
      </c>
      <c r="H80" s="723">
        <v>15</v>
      </c>
      <c r="I80" s="723">
        <v>17</v>
      </c>
      <c r="J80" s="723">
        <v>23.72</v>
      </c>
      <c r="K80" s="713">
        <f t="shared" si="16"/>
        <v>21034.71</v>
      </c>
      <c r="L80" s="801">
        <v>5000</v>
      </c>
      <c r="M80" s="801">
        <v>26034.71</v>
      </c>
      <c r="N80" s="713">
        <f t="shared" si="17"/>
        <v>294485.94</v>
      </c>
      <c r="O80" s="714">
        <f t="shared" si="18"/>
        <v>70000</v>
      </c>
      <c r="P80" s="713">
        <f t="shared" si="19"/>
        <v>364485.94</v>
      </c>
      <c r="Q80" s="713"/>
      <c r="R80" s="723">
        <v>18.010000000000002</v>
      </c>
      <c r="S80" s="713">
        <v>566405.90999999992</v>
      </c>
      <c r="T80" s="713">
        <v>440818.91000000003</v>
      </c>
      <c r="U80" s="713"/>
      <c r="V80" s="700">
        <v>1</v>
      </c>
      <c r="W80" s="617">
        <f t="shared" si="20"/>
        <v>23.72</v>
      </c>
      <c r="X80" s="715">
        <f t="shared" si="21"/>
        <v>617543.32120000001</v>
      </c>
      <c r="Y80" s="716">
        <f t="shared" si="22"/>
        <v>0.69428571428571439</v>
      </c>
      <c r="Z80" s="727" t="s">
        <v>749</v>
      </c>
      <c r="AA80" s="718" t="s">
        <v>1010</v>
      </c>
      <c r="AB80" s="719">
        <f t="shared" si="23"/>
        <v>364485.94</v>
      </c>
      <c r="AC80" s="730"/>
      <c r="AD80" s="729"/>
      <c r="AE80" s="730"/>
      <c r="AF80" s="730"/>
      <c r="AG80" s="729"/>
      <c r="AH80" s="726"/>
      <c r="AI80" s="725"/>
      <c r="AJ80" s="727"/>
      <c r="AK80" s="732"/>
      <c r="AL80" s="732"/>
    </row>
    <row r="81" spans="1:38" s="699" customFormat="1" ht="13.5" customHeight="1">
      <c r="A81" s="721"/>
      <c r="B81" s="738" t="s">
        <v>751</v>
      </c>
      <c r="C81" s="710" t="s">
        <v>752</v>
      </c>
      <c r="D81" s="709" t="s">
        <v>382</v>
      </c>
      <c r="E81" s="710" t="s">
        <v>753</v>
      </c>
      <c r="F81" s="711">
        <v>42305</v>
      </c>
      <c r="G81" s="723">
        <v>10</v>
      </c>
      <c r="H81" s="723">
        <v>15</v>
      </c>
      <c r="I81" s="723">
        <v>17</v>
      </c>
      <c r="J81" s="723">
        <v>12.4</v>
      </c>
      <c r="K81" s="713">
        <f t="shared" si="16"/>
        <v>20805.473000000002</v>
      </c>
      <c r="L81" s="801">
        <v>5437.5</v>
      </c>
      <c r="M81" s="801">
        <v>26242.973000000002</v>
      </c>
      <c r="N81" s="713">
        <f t="shared" si="17"/>
        <v>208054.73</v>
      </c>
      <c r="O81" s="714">
        <f t="shared" si="18"/>
        <v>54375</v>
      </c>
      <c r="P81" s="713">
        <f t="shared" si="19"/>
        <v>262429.73</v>
      </c>
      <c r="Q81" s="713"/>
      <c r="R81" s="723">
        <v>48.05</v>
      </c>
      <c r="S81" s="713">
        <v>1717356.78</v>
      </c>
      <c r="T81" s="713">
        <v>1470179.78</v>
      </c>
      <c r="U81" s="713"/>
      <c r="V81" s="700">
        <v>1</v>
      </c>
      <c r="W81" s="617">
        <f t="shared" si="20"/>
        <v>12.4</v>
      </c>
      <c r="X81" s="715">
        <f t="shared" si="21"/>
        <v>325412.86520000006</v>
      </c>
      <c r="Y81" s="716">
        <f t="shared" si="22"/>
        <v>0.24000000000000021</v>
      </c>
      <c r="Z81" s="727" t="s">
        <v>754</v>
      </c>
      <c r="AA81" s="718" t="s">
        <v>755</v>
      </c>
      <c r="AB81" s="719">
        <f t="shared" si="23"/>
        <v>262429.73</v>
      </c>
      <c r="AC81" s="730"/>
      <c r="AD81" s="729"/>
      <c r="AE81" s="730"/>
      <c r="AF81" s="730"/>
      <c r="AG81" s="729"/>
      <c r="AH81" s="726"/>
      <c r="AI81" s="725"/>
      <c r="AJ81" s="727"/>
      <c r="AK81" s="732"/>
      <c r="AL81" s="732"/>
    </row>
    <row r="82" spans="1:38" s="699" customFormat="1" ht="13.5" customHeight="1">
      <c r="A82" s="721"/>
      <c r="B82" s="708" t="s">
        <v>756</v>
      </c>
      <c r="C82" s="710" t="s">
        <v>759</v>
      </c>
      <c r="D82" s="709" t="s">
        <v>382</v>
      </c>
      <c r="E82" s="710" t="s">
        <v>758</v>
      </c>
      <c r="F82" s="711">
        <v>42298</v>
      </c>
      <c r="G82" s="723">
        <v>13</v>
      </c>
      <c r="H82" s="723">
        <v>14</v>
      </c>
      <c r="I82" s="723">
        <v>16</v>
      </c>
      <c r="J82" s="723">
        <v>13.45</v>
      </c>
      <c r="K82" s="713">
        <f t="shared" si="16"/>
        <v>19379.574000000001</v>
      </c>
      <c r="L82" s="801">
        <v>5500</v>
      </c>
      <c r="M82" s="801">
        <v>24879.574000000001</v>
      </c>
      <c r="N82" s="713">
        <f t="shared" si="17"/>
        <v>251934.462</v>
      </c>
      <c r="O82" s="714">
        <f t="shared" si="18"/>
        <v>71500</v>
      </c>
      <c r="P82" s="713">
        <f t="shared" si="19"/>
        <v>323434.462</v>
      </c>
      <c r="Q82" s="713"/>
      <c r="R82" s="723" t="s">
        <v>1</v>
      </c>
      <c r="S82" s="713" t="s">
        <v>1</v>
      </c>
      <c r="T82" s="713" t="s">
        <v>1</v>
      </c>
      <c r="U82" s="713"/>
      <c r="V82" s="700">
        <v>1</v>
      </c>
      <c r="W82" s="617">
        <f t="shared" si="20"/>
        <v>13.45</v>
      </c>
      <c r="X82" s="715">
        <f t="shared" si="21"/>
        <v>334630.27029999997</v>
      </c>
      <c r="Y82" s="716">
        <f t="shared" si="22"/>
        <v>3.4615384615384492E-2</v>
      </c>
      <c r="Z82" s="717" t="s">
        <v>759</v>
      </c>
      <c r="AA82" s="718" t="s">
        <v>760</v>
      </c>
      <c r="AB82" s="719">
        <f t="shared" si="23"/>
        <v>323434.462</v>
      </c>
      <c r="AC82" s="704"/>
      <c r="AG82" s="714"/>
      <c r="AH82" s="726"/>
      <c r="AI82" s="725"/>
    </row>
    <row r="83" spans="1:38" s="699" customFormat="1" ht="13.5" customHeight="1">
      <c r="A83" s="721"/>
      <c r="B83" s="708" t="s">
        <v>776</v>
      </c>
      <c r="C83" s="710" t="s">
        <v>778</v>
      </c>
      <c r="D83" s="709" t="s">
        <v>382</v>
      </c>
      <c r="E83" s="710" t="s">
        <v>777</v>
      </c>
      <c r="F83" s="711">
        <v>42277</v>
      </c>
      <c r="G83" s="723">
        <v>7</v>
      </c>
      <c r="H83" s="723">
        <v>13</v>
      </c>
      <c r="I83" s="723">
        <v>15</v>
      </c>
      <c r="J83" s="723">
        <v>5.78</v>
      </c>
      <c r="K83" s="713">
        <f t="shared" si="16"/>
        <v>13806.725999999999</v>
      </c>
      <c r="L83" s="801">
        <v>6250</v>
      </c>
      <c r="M83" s="801">
        <v>20056.725999999999</v>
      </c>
      <c r="N83" s="713">
        <f t="shared" si="17"/>
        <v>96647.081999999995</v>
      </c>
      <c r="O83" s="714">
        <f t="shared" si="18"/>
        <v>43750</v>
      </c>
      <c r="P83" s="713">
        <f t="shared" si="19"/>
        <v>140397.08199999999</v>
      </c>
      <c r="Q83" s="713"/>
      <c r="R83" s="723" t="s">
        <v>1</v>
      </c>
      <c r="S83" s="713" t="s">
        <v>1</v>
      </c>
      <c r="T83" s="713" t="s">
        <v>1</v>
      </c>
      <c r="U83" s="713"/>
      <c r="V83" s="700">
        <v>1</v>
      </c>
      <c r="W83" s="617">
        <f t="shared" si="20"/>
        <v>5.78</v>
      </c>
      <c r="X83" s="715">
        <f t="shared" si="21"/>
        <v>115927.87628</v>
      </c>
      <c r="Y83" s="716">
        <f t="shared" si="22"/>
        <v>-0.17428571428571427</v>
      </c>
      <c r="Z83" s="717" t="s">
        <v>778</v>
      </c>
      <c r="AA83" s="718" t="s">
        <v>1011</v>
      </c>
      <c r="AB83" s="719">
        <f t="shared" si="23"/>
        <v>140397.08199999999</v>
      </c>
      <c r="AC83" s="704"/>
      <c r="AG83" s="714"/>
      <c r="AH83" s="726"/>
      <c r="AI83" s="725"/>
    </row>
    <row r="84" spans="1:38" s="699" customFormat="1" ht="13.5" customHeight="1">
      <c r="A84" s="721"/>
      <c r="B84" s="708" t="s">
        <v>816</v>
      </c>
      <c r="C84" s="710" t="s">
        <v>817</v>
      </c>
      <c r="D84" s="709" t="s">
        <v>757</v>
      </c>
      <c r="E84" s="710" t="s">
        <v>818</v>
      </c>
      <c r="F84" s="711">
        <v>42179</v>
      </c>
      <c r="G84" s="723">
        <v>12</v>
      </c>
      <c r="H84" s="723">
        <v>13</v>
      </c>
      <c r="I84" s="723">
        <v>15</v>
      </c>
      <c r="J84" s="723">
        <v>13.9</v>
      </c>
      <c r="K84" s="713">
        <f t="shared" si="16"/>
        <v>9547.7960000000003</v>
      </c>
      <c r="L84" s="801">
        <v>5000</v>
      </c>
      <c r="M84" s="801">
        <v>14547.796</v>
      </c>
      <c r="N84" s="713">
        <f t="shared" si="17"/>
        <v>114573.552</v>
      </c>
      <c r="O84" s="714">
        <f t="shared" si="18"/>
        <v>60000</v>
      </c>
      <c r="P84" s="713">
        <f t="shared" si="19"/>
        <v>174573.552</v>
      </c>
      <c r="Q84" s="713"/>
      <c r="R84" s="723">
        <v>1.28</v>
      </c>
      <c r="S84" s="713">
        <v>29546.47</v>
      </c>
      <c r="T84" s="713">
        <v>11129.47</v>
      </c>
      <c r="U84" s="713"/>
      <c r="V84" s="700">
        <v>1</v>
      </c>
      <c r="W84" s="617">
        <f t="shared" si="20"/>
        <v>13.9</v>
      </c>
      <c r="X84" s="715">
        <f t="shared" si="21"/>
        <v>202214.36440000002</v>
      </c>
      <c r="Y84" s="716">
        <f t="shared" si="22"/>
        <v>0.15833333333333344</v>
      </c>
      <c r="Z84" s="727" t="s">
        <v>819</v>
      </c>
      <c r="AA84" s="718" t="s">
        <v>1012</v>
      </c>
      <c r="AB84" s="719">
        <f t="shared" si="23"/>
        <v>174573.552</v>
      </c>
      <c r="AC84" s="730"/>
      <c r="AD84" s="729"/>
      <c r="AE84" s="730"/>
      <c r="AF84" s="731"/>
      <c r="AG84" s="729"/>
      <c r="AH84" s="726"/>
      <c r="AI84" s="725"/>
      <c r="AJ84" s="727"/>
      <c r="AK84" s="732"/>
      <c r="AL84" s="732"/>
    </row>
    <row r="85" spans="1:38" s="728" customFormat="1" ht="13.5" customHeight="1">
      <c r="A85" s="721"/>
      <c r="B85" s="708" t="s">
        <v>826</v>
      </c>
      <c r="C85" s="710" t="s">
        <v>828</v>
      </c>
      <c r="D85" s="709" t="s">
        <v>376</v>
      </c>
      <c r="E85" s="710" t="s">
        <v>827</v>
      </c>
      <c r="F85" s="711">
        <v>42171</v>
      </c>
      <c r="G85" s="723">
        <v>14</v>
      </c>
      <c r="H85" s="723">
        <v>13</v>
      </c>
      <c r="I85" s="723">
        <v>15</v>
      </c>
      <c r="J85" s="723">
        <v>19.010000000000002</v>
      </c>
      <c r="K85" s="713">
        <f t="shared" si="16"/>
        <v>9126.6830000000009</v>
      </c>
      <c r="L85" s="801">
        <v>5500</v>
      </c>
      <c r="M85" s="801">
        <v>14626.683000000001</v>
      </c>
      <c r="N85" s="713">
        <f t="shared" si="17"/>
        <v>127773.56200000001</v>
      </c>
      <c r="O85" s="714">
        <f t="shared" si="18"/>
        <v>77000</v>
      </c>
      <c r="P85" s="713">
        <f t="shared" si="19"/>
        <v>204773.56200000001</v>
      </c>
      <c r="Q85" s="713"/>
      <c r="R85" s="723" t="s">
        <v>1</v>
      </c>
      <c r="S85" s="713" t="s">
        <v>1</v>
      </c>
      <c r="T85" s="713" t="s">
        <v>1</v>
      </c>
      <c r="U85" s="713"/>
      <c r="V85" s="700">
        <v>1</v>
      </c>
      <c r="W85" s="617">
        <f t="shared" si="20"/>
        <v>19.010000000000002</v>
      </c>
      <c r="X85" s="715">
        <f t="shared" si="21"/>
        <v>278053.24383000005</v>
      </c>
      <c r="Y85" s="716">
        <f t="shared" si="22"/>
        <v>0.3578571428571431</v>
      </c>
      <c r="Z85" s="717" t="s">
        <v>828</v>
      </c>
      <c r="AA85" s="718" t="s">
        <v>829</v>
      </c>
      <c r="AB85" s="719">
        <f t="shared" si="23"/>
        <v>204773.56200000001</v>
      </c>
      <c r="AC85" s="704"/>
      <c r="AD85" s="699"/>
      <c r="AE85" s="699"/>
      <c r="AF85" s="699"/>
      <c r="AG85" s="714"/>
      <c r="AH85" s="726"/>
      <c r="AI85" s="725"/>
      <c r="AJ85" s="699"/>
      <c r="AK85" s="699"/>
      <c r="AL85" s="699"/>
    </row>
    <row r="86" spans="1:38" s="728" customFormat="1" ht="13.5" customHeight="1">
      <c r="A86" s="721"/>
      <c r="B86" s="708" t="s">
        <v>1013</v>
      </c>
      <c r="C86" s="710" t="s">
        <v>830</v>
      </c>
      <c r="D86" s="709" t="s">
        <v>831</v>
      </c>
      <c r="E86" s="710" t="s">
        <v>832</v>
      </c>
      <c r="F86" s="711">
        <v>42130</v>
      </c>
      <c r="G86" s="723">
        <v>14</v>
      </c>
      <c r="H86" s="723">
        <v>13</v>
      </c>
      <c r="I86" s="723">
        <v>15</v>
      </c>
      <c r="J86" s="723">
        <v>25.87</v>
      </c>
      <c r="K86" s="713">
        <f t="shared" si="16"/>
        <v>17189.739000000001</v>
      </c>
      <c r="L86" s="801">
        <v>5360</v>
      </c>
      <c r="M86" s="801">
        <v>22549.739000000001</v>
      </c>
      <c r="N86" s="713">
        <f t="shared" si="17"/>
        <v>240656.34600000002</v>
      </c>
      <c r="O86" s="714">
        <f t="shared" si="18"/>
        <v>75040</v>
      </c>
      <c r="P86" s="713">
        <f t="shared" si="19"/>
        <v>315696.34600000002</v>
      </c>
      <c r="Q86" s="713"/>
      <c r="R86" s="723">
        <v>3.5</v>
      </c>
      <c r="S86" s="713">
        <v>104154.22</v>
      </c>
      <c r="T86" s="713">
        <v>28521.21</v>
      </c>
      <c r="U86" s="713"/>
      <c r="V86" s="700">
        <v>1</v>
      </c>
      <c r="W86" s="617">
        <f t="shared" si="20"/>
        <v>25.87</v>
      </c>
      <c r="X86" s="715">
        <f t="shared" si="21"/>
        <v>583361.74793000007</v>
      </c>
      <c r="Y86" s="716">
        <f t="shared" si="22"/>
        <v>0.84785714285714286</v>
      </c>
      <c r="Z86" s="717" t="s">
        <v>833</v>
      </c>
      <c r="AA86" s="718" t="s">
        <v>834</v>
      </c>
      <c r="AB86" s="719">
        <f t="shared" si="23"/>
        <v>315696.34600000002</v>
      </c>
      <c r="AC86" s="704"/>
      <c r="AD86" s="699"/>
      <c r="AE86" s="699"/>
      <c r="AF86" s="699"/>
      <c r="AG86" s="714"/>
      <c r="AH86" s="726"/>
      <c r="AI86" s="725"/>
      <c r="AJ86" s="699"/>
      <c r="AK86" s="699"/>
      <c r="AL86" s="699"/>
    </row>
    <row r="87" spans="1:38" s="728" customFormat="1" ht="13.5" customHeight="1">
      <c r="A87" s="733"/>
      <c r="B87" s="708" t="s">
        <v>1014</v>
      </c>
      <c r="C87" s="710" t="s">
        <v>1015</v>
      </c>
      <c r="D87" s="709" t="s">
        <v>757</v>
      </c>
      <c r="E87" s="710" t="s">
        <v>1016</v>
      </c>
      <c r="F87" s="711">
        <v>42130</v>
      </c>
      <c r="G87" s="723">
        <v>17</v>
      </c>
      <c r="H87" s="723">
        <v>15</v>
      </c>
      <c r="I87" s="723">
        <v>17</v>
      </c>
      <c r="J87" s="723">
        <v>15.34</v>
      </c>
      <c r="K87" s="713">
        <f t="shared" si="16"/>
        <v>59535.316666666695</v>
      </c>
      <c r="L87" s="801">
        <v>9375</v>
      </c>
      <c r="M87" s="801">
        <v>68910.316666666695</v>
      </c>
      <c r="N87" s="713">
        <f t="shared" si="17"/>
        <v>1012100.3833333338</v>
      </c>
      <c r="O87" s="714">
        <f t="shared" si="18"/>
        <v>159375</v>
      </c>
      <c r="P87" s="713">
        <f t="shared" si="19"/>
        <v>1171475.3833333338</v>
      </c>
      <c r="Q87" s="713"/>
      <c r="R87" s="723">
        <v>8.36</v>
      </c>
      <c r="S87" s="713">
        <v>783219.6</v>
      </c>
      <c r="T87" s="713">
        <v>551361.6</v>
      </c>
      <c r="U87" s="713"/>
      <c r="V87" s="700">
        <v>1</v>
      </c>
      <c r="W87" s="617">
        <f t="shared" si="20"/>
        <v>15.34</v>
      </c>
      <c r="X87" s="715">
        <f t="shared" si="21"/>
        <v>1057084.257666667</v>
      </c>
      <c r="Y87" s="716">
        <f t="shared" si="22"/>
        <v>-9.764705882352942E-2</v>
      </c>
      <c r="Z87" s="717" t="s">
        <v>1017</v>
      </c>
      <c r="AA87" s="718" t="s">
        <v>1018</v>
      </c>
      <c r="AB87" s="719">
        <f t="shared" si="23"/>
        <v>1171475.3833333338</v>
      </c>
      <c r="AC87" s="704"/>
      <c r="AD87" s="699"/>
      <c r="AE87" s="699"/>
      <c r="AF87" s="699"/>
      <c r="AG87" s="714"/>
      <c r="AH87" s="726"/>
      <c r="AI87" s="725"/>
      <c r="AJ87" s="699"/>
      <c r="AK87" s="699"/>
      <c r="AL87" s="699"/>
    </row>
    <row r="88" spans="1:38" s="728" customFormat="1" ht="13.5" customHeight="1">
      <c r="A88" s="721"/>
      <c r="B88" s="708" t="s">
        <v>852</v>
      </c>
      <c r="C88" s="710" t="s">
        <v>853</v>
      </c>
      <c r="D88" s="709" t="s">
        <v>382</v>
      </c>
      <c r="E88" s="710" t="s">
        <v>854</v>
      </c>
      <c r="F88" s="711">
        <v>42122</v>
      </c>
      <c r="G88" s="723">
        <v>8</v>
      </c>
      <c r="H88" s="723">
        <v>10</v>
      </c>
      <c r="I88" s="723">
        <v>12</v>
      </c>
      <c r="J88" s="723">
        <v>8.23</v>
      </c>
      <c r="K88" s="713">
        <f t="shared" si="16"/>
        <v>6154.3289999999997</v>
      </c>
      <c r="L88" s="801">
        <v>3000</v>
      </c>
      <c r="M88" s="801">
        <v>9154.3289999999997</v>
      </c>
      <c r="N88" s="713">
        <f t="shared" si="17"/>
        <v>49234.631999999998</v>
      </c>
      <c r="O88" s="714">
        <f t="shared" si="18"/>
        <v>24000</v>
      </c>
      <c r="P88" s="713">
        <f t="shared" si="19"/>
        <v>73234.631999999998</v>
      </c>
      <c r="Q88" s="713"/>
      <c r="R88" s="723">
        <v>6.34</v>
      </c>
      <c r="S88" s="713">
        <v>298289.69</v>
      </c>
      <c r="T88" s="713">
        <v>291631.32</v>
      </c>
      <c r="U88" s="713"/>
      <c r="V88" s="700">
        <v>1</v>
      </c>
      <c r="W88" s="617">
        <f t="shared" si="20"/>
        <v>8.23</v>
      </c>
      <c r="X88" s="715">
        <f t="shared" si="21"/>
        <v>75340.127670000002</v>
      </c>
      <c r="Y88" s="716">
        <f t="shared" si="22"/>
        <v>2.8750000000000053E-2</v>
      </c>
      <c r="Z88" s="727" t="s">
        <v>855</v>
      </c>
      <c r="AA88" s="718" t="s">
        <v>856</v>
      </c>
      <c r="AB88" s="719">
        <f t="shared" si="23"/>
        <v>73234.631999999998</v>
      </c>
      <c r="AG88" s="729"/>
      <c r="AH88" s="726"/>
      <c r="AI88" s="725"/>
    </row>
    <row r="89" spans="1:38" s="728" customFormat="1" ht="13.5" customHeight="1">
      <c r="A89" s="721"/>
      <c r="B89" s="708" t="s">
        <v>2252</v>
      </c>
      <c r="C89" s="710" t="s">
        <v>2253</v>
      </c>
      <c r="D89" s="709" t="s">
        <v>757</v>
      </c>
      <c r="E89" s="710" t="s">
        <v>2254</v>
      </c>
      <c r="F89" s="711">
        <v>41991</v>
      </c>
      <c r="G89" s="723">
        <v>19</v>
      </c>
      <c r="H89" s="723">
        <v>15</v>
      </c>
      <c r="I89" s="723">
        <v>17</v>
      </c>
      <c r="J89" s="723">
        <v>29.13</v>
      </c>
      <c r="K89" s="713">
        <f t="shared" ref="K89:K106" si="24">+M89-L89</f>
        <v>18532.240000000002</v>
      </c>
      <c r="L89" s="801">
        <v>6250</v>
      </c>
      <c r="M89" s="801">
        <v>24782.240000000002</v>
      </c>
      <c r="N89" s="713">
        <f t="shared" ref="N89:N106" si="25">+G89*K89</f>
        <v>352112.56000000006</v>
      </c>
      <c r="O89" s="714">
        <f t="shared" ref="O89:O106" si="26">+G89*L89</f>
        <v>118750</v>
      </c>
      <c r="P89" s="713">
        <f t="shared" ref="P89:P106" si="27">+N89+O89</f>
        <v>470862.56000000006</v>
      </c>
      <c r="Q89" s="713"/>
      <c r="R89" s="723">
        <v>5.66</v>
      </c>
      <c r="S89" s="713">
        <v>188224.88999999998</v>
      </c>
      <c r="T89" s="713">
        <v>106069.89</v>
      </c>
      <c r="U89" s="713"/>
      <c r="V89" s="700">
        <v>1</v>
      </c>
      <c r="W89" s="617">
        <f t="shared" ref="W89:W106" si="28">J89</f>
        <v>29.13</v>
      </c>
      <c r="X89" s="715">
        <f t="shared" ref="X89:X106" si="29">W89*M89</f>
        <v>721906.65119999996</v>
      </c>
      <c r="Y89" s="716">
        <f t="shared" ref="Y89:Y106" si="30">X89/P89-1</f>
        <v>0.53315789473684183</v>
      </c>
      <c r="Z89" s="727" t="s">
        <v>2274</v>
      </c>
      <c r="AA89" s="718" t="s">
        <v>2285</v>
      </c>
      <c r="AB89" s="719">
        <f t="shared" ref="AB89:AB106" si="31">+N89+O89</f>
        <v>470862.56000000006</v>
      </c>
      <c r="AG89" s="729"/>
      <c r="AH89" s="726"/>
      <c r="AI89" s="725"/>
    </row>
    <row r="90" spans="1:38" s="728" customFormat="1" ht="13.5" customHeight="1">
      <c r="A90" s="721"/>
      <c r="B90" s="708" t="s">
        <v>2255</v>
      </c>
      <c r="C90" s="710" t="s">
        <v>2256</v>
      </c>
      <c r="D90" s="709" t="s">
        <v>757</v>
      </c>
      <c r="E90" s="710" t="s">
        <v>2257</v>
      </c>
      <c r="F90" s="711">
        <v>41991</v>
      </c>
      <c r="G90" s="723">
        <v>24</v>
      </c>
      <c r="H90" s="723">
        <v>15</v>
      </c>
      <c r="I90" s="723">
        <v>18</v>
      </c>
      <c r="J90" s="723">
        <v>50.14</v>
      </c>
      <c r="K90" s="713">
        <f t="shared" si="24"/>
        <v>66916.106</v>
      </c>
      <c r="L90" s="801">
        <v>9250</v>
      </c>
      <c r="M90" s="801">
        <v>76166.106</v>
      </c>
      <c r="N90" s="713">
        <f t="shared" si="25"/>
        <v>1605986.544</v>
      </c>
      <c r="O90" s="714">
        <f t="shared" si="26"/>
        <v>222000</v>
      </c>
      <c r="P90" s="713">
        <f t="shared" si="27"/>
        <v>1827986.544</v>
      </c>
      <c r="Q90" s="713"/>
      <c r="R90" s="723">
        <v>85.55</v>
      </c>
      <c r="S90" s="713">
        <v>9866622.4900000002</v>
      </c>
      <c r="T90" s="713">
        <v>8949098.4900000002</v>
      </c>
      <c r="U90" s="713"/>
      <c r="V90" s="700">
        <v>1</v>
      </c>
      <c r="W90" s="617">
        <f t="shared" si="28"/>
        <v>50.14</v>
      </c>
      <c r="X90" s="715">
        <f t="shared" si="29"/>
        <v>3818968.5548399999</v>
      </c>
      <c r="Y90" s="716">
        <f t="shared" si="30"/>
        <v>1.0891666666666664</v>
      </c>
      <c r="Z90" s="727" t="s">
        <v>2275</v>
      </c>
      <c r="AA90" s="718" t="s">
        <v>2286</v>
      </c>
      <c r="AB90" s="719">
        <f t="shared" si="31"/>
        <v>1827986.544</v>
      </c>
      <c r="AG90" s="729"/>
      <c r="AH90" s="726"/>
      <c r="AI90" s="725"/>
    </row>
    <row r="91" spans="1:38" s="728" customFormat="1" ht="13.5" customHeight="1">
      <c r="A91" s="721"/>
      <c r="B91" s="708" t="s">
        <v>2236</v>
      </c>
      <c r="C91" s="710" t="s">
        <v>2237</v>
      </c>
      <c r="D91" s="709" t="s">
        <v>382</v>
      </c>
      <c r="E91" s="710" t="s">
        <v>2238</v>
      </c>
      <c r="F91" s="711">
        <v>41913</v>
      </c>
      <c r="G91" s="723">
        <v>10</v>
      </c>
      <c r="H91" s="723">
        <v>13</v>
      </c>
      <c r="I91" s="723">
        <v>15</v>
      </c>
      <c r="J91" s="723">
        <v>9.42</v>
      </c>
      <c r="K91" s="713">
        <f t="shared" si="24"/>
        <v>9881.5730000000003</v>
      </c>
      <c r="L91" s="801">
        <v>6000</v>
      </c>
      <c r="M91" s="801">
        <v>15881.573</v>
      </c>
      <c r="N91" s="713">
        <f t="shared" si="25"/>
        <v>98815.73000000001</v>
      </c>
      <c r="O91" s="714">
        <f t="shared" si="26"/>
        <v>60000</v>
      </c>
      <c r="P91" s="713">
        <f t="shared" si="27"/>
        <v>158815.73000000001</v>
      </c>
      <c r="Q91" s="713"/>
      <c r="R91" s="723">
        <v>7.05</v>
      </c>
      <c r="S91" s="713">
        <v>250110.6</v>
      </c>
      <c r="T91" s="713">
        <v>84497.600000000006</v>
      </c>
      <c r="U91" s="713"/>
      <c r="V91" s="700">
        <v>1</v>
      </c>
      <c r="W91" s="617">
        <f t="shared" si="28"/>
        <v>9.42</v>
      </c>
      <c r="X91" s="715">
        <f t="shared" si="29"/>
        <v>149604.41766000001</v>
      </c>
      <c r="Y91" s="716">
        <f t="shared" si="30"/>
        <v>-5.8000000000000052E-2</v>
      </c>
      <c r="Z91" s="727" t="s">
        <v>2268</v>
      </c>
      <c r="AA91" s="718" t="s">
        <v>2279</v>
      </c>
      <c r="AB91" s="719">
        <f t="shared" si="31"/>
        <v>158815.73000000001</v>
      </c>
      <c r="AG91" s="729"/>
      <c r="AH91" s="726"/>
      <c r="AI91" s="725"/>
    </row>
    <row r="92" spans="1:38" s="728" customFormat="1" ht="13.5" customHeight="1">
      <c r="A92" s="721"/>
      <c r="B92" s="708" t="s">
        <v>2239</v>
      </c>
      <c r="C92" s="710" t="s">
        <v>2240</v>
      </c>
      <c r="D92" s="709" t="s">
        <v>382</v>
      </c>
      <c r="E92" s="710" t="s">
        <v>2241</v>
      </c>
      <c r="F92" s="711">
        <v>41894</v>
      </c>
      <c r="G92" s="723">
        <v>7</v>
      </c>
      <c r="H92" s="723">
        <v>11</v>
      </c>
      <c r="I92" s="723">
        <v>13</v>
      </c>
      <c r="J92" s="723">
        <v>5.2</v>
      </c>
      <c r="K92" s="713">
        <f t="shared" si="24"/>
        <v>15984.168000000001</v>
      </c>
      <c r="L92" s="801">
        <v>8000</v>
      </c>
      <c r="M92" s="801">
        <v>23984.168000000001</v>
      </c>
      <c r="N92" s="713">
        <f t="shared" si="25"/>
        <v>111889.17600000001</v>
      </c>
      <c r="O92" s="714">
        <f t="shared" si="26"/>
        <v>56000</v>
      </c>
      <c r="P92" s="713">
        <f t="shared" si="27"/>
        <v>167889.17600000001</v>
      </c>
      <c r="Q92" s="713"/>
      <c r="R92" s="723">
        <v>2.4</v>
      </c>
      <c r="S92" s="713">
        <v>107211.27</v>
      </c>
      <c r="T92" s="713">
        <v>66281.119999999995</v>
      </c>
      <c r="U92" s="713"/>
      <c r="V92" s="700">
        <v>1</v>
      </c>
      <c r="W92" s="617">
        <f t="shared" si="28"/>
        <v>5.2</v>
      </c>
      <c r="X92" s="715">
        <f t="shared" si="29"/>
        <v>124717.67360000001</v>
      </c>
      <c r="Y92" s="716">
        <f t="shared" si="30"/>
        <v>-0.25714285714285712</v>
      </c>
      <c r="Z92" s="727" t="s">
        <v>2269</v>
      </c>
      <c r="AA92" s="718" t="s">
        <v>2280</v>
      </c>
      <c r="AB92" s="719">
        <f t="shared" si="31"/>
        <v>167889.17600000001</v>
      </c>
      <c r="AG92" s="729"/>
      <c r="AH92" s="726"/>
      <c r="AI92" s="725"/>
    </row>
    <row r="93" spans="1:38" s="728" customFormat="1" ht="13.5" customHeight="1">
      <c r="A93" s="721"/>
      <c r="B93" s="708" t="s">
        <v>2242</v>
      </c>
      <c r="C93" s="710" t="s">
        <v>905</v>
      </c>
      <c r="D93" s="709" t="s">
        <v>382</v>
      </c>
      <c r="E93" s="710" t="s">
        <v>2243</v>
      </c>
      <c r="F93" s="711">
        <v>41851</v>
      </c>
      <c r="G93" s="723">
        <v>13</v>
      </c>
      <c r="H93" s="723">
        <v>12</v>
      </c>
      <c r="I93" s="723">
        <v>14</v>
      </c>
      <c r="J93" s="723">
        <v>13.01</v>
      </c>
      <c r="K93" s="713">
        <f t="shared" si="24"/>
        <v>10679.449000000001</v>
      </c>
      <c r="L93" s="801">
        <v>5261.5379999999996</v>
      </c>
      <c r="M93" s="801">
        <v>15940.986999999999</v>
      </c>
      <c r="N93" s="713">
        <f t="shared" si="25"/>
        <v>138832.837</v>
      </c>
      <c r="O93" s="714">
        <f t="shared" si="26"/>
        <v>68399.993999999992</v>
      </c>
      <c r="P93" s="713">
        <f t="shared" si="27"/>
        <v>207232.83100000001</v>
      </c>
      <c r="Q93" s="713"/>
      <c r="R93" s="723">
        <v>90.76</v>
      </c>
      <c r="S93" s="713">
        <v>2717127.86</v>
      </c>
      <c r="T93" s="713">
        <v>2345458.8600000003</v>
      </c>
      <c r="U93" s="713"/>
      <c r="V93" s="700">
        <v>1</v>
      </c>
      <c r="W93" s="617">
        <f t="shared" si="28"/>
        <v>13.01</v>
      </c>
      <c r="X93" s="715">
        <f t="shared" si="29"/>
        <v>207392.24086999998</v>
      </c>
      <c r="Y93" s="716">
        <f t="shared" si="30"/>
        <v>7.6923076923063327E-4</v>
      </c>
      <c r="Z93" s="727" t="s">
        <v>2270</v>
      </c>
      <c r="AA93" s="718" t="s">
        <v>2281</v>
      </c>
      <c r="AB93" s="719">
        <f t="shared" si="31"/>
        <v>207232.83100000001</v>
      </c>
      <c r="AG93" s="729"/>
      <c r="AH93" s="726"/>
      <c r="AI93" s="725"/>
    </row>
    <row r="94" spans="1:38" s="728" customFormat="1" ht="13.5" customHeight="1">
      <c r="A94" s="721"/>
      <c r="B94" s="708" t="s">
        <v>2550</v>
      </c>
      <c r="C94" s="710" t="s">
        <v>2551</v>
      </c>
      <c r="D94" s="709" t="s">
        <v>2552</v>
      </c>
      <c r="E94" s="710" t="s">
        <v>2553</v>
      </c>
      <c r="F94" s="711">
        <v>41850</v>
      </c>
      <c r="G94" s="723">
        <v>17</v>
      </c>
      <c r="H94" s="723">
        <v>13</v>
      </c>
      <c r="I94" s="723">
        <v>15</v>
      </c>
      <c r="J94" s="723">
        <v>29.63</v>
      </c>
      <c r="K94" s="713">
        <f t="shared" si="24"/>
        <v>15357.277999999998</v>
      </c>
      <c r="L94" s="801">
        <v>6000</v>
      </c>
      <c r="M94" s="801">
        <v>21357.277999999998</v>
      </c>
      <c r="N94" s="713">
        <f t="shared" si="25"/>
        <v>261073.72599999997</v>
      </c>
      <c r="O94" s="714">
        <f t="shared" si="26"/>
        <v>102000</v>
      </c>
      <c r="P94" s="713">
        <f t="shared" si="27"/>
        <v>363073.72599999997</v>
      </c>
      <c r="Q94" s="713"/>
      <c r="R94" s="723">
        <v>7.5</v>
      </c>
      <c r="S94" s="713">
        <v>367615.04000000004</v>
      </c>
      <c r="T94" s="713">
        <v>181047.04000000001</v>
      </c>
      <c r="U94" s="713"/>
      <c r="V94" s="700">
        <v>1</v>
      </c>
      <c r="W94" s="617">
        <f t="shared" si="28"/>
        <v>29.63</v>
      </c>
      <c r="X94" s="715">
        <f t="shared" si="29"/>
        <v>632816.1471399999</v>
      </c>
      <c r="Y94" s="716">
        <f t="shared" si="30"/>
        <v>0.74294117647058822</v>
      </c>
      <c r="Z94" s="727" t="s">
        <v>2554</v>
      </c>
      <c r="AA94" s="718" t="s">
        <v>2555</v>
      </c>
      <c r="AB94" s="719">
        <f t="shared" si="31"/>
        <v>363073.72599999997</v>
      </c>
      <c r="AG94" s="729"/>
      <c r="AH94" s="726"/>
      <c r="AI94" s="725"/>
    </row>
    <row r="95" spans="1:38" s="728" customFormat="1" ht="13.5" customHeight="1">
      <c r="A95" s="721"/>
      <c r="B95" s="708" t="s">
        <v>2244</v>
      </c>
      <c r="C95" s="710" t="s">
        <v>615</v>
      </c>
      <c r="D95" s="709" t="s">
        <v>382</v>
      </c>
      <c r="E95" s="710" t="s">
        <v>2245</v>
      </c>
      <c r="F95" s="711">
        <v>41844</v>
      </c>
      <c r="G95" s="723">
        <v>12</v>
      </c>
      <c r="H95" s="723">
        <v>12</v>
      </c>
      <c r="I95" s="723">
        <v>14</v>
      </c>
      <c r="J95" s="723">
        <v>11.89</v>
      </c>
      <c r="K95" s="713">
        <f t="shared" si="24"/>
        <v>16915.259000000002</v>
      </c>
      <c r="L95" s="801">
        <v>2737.2260000000001</v>
      </c>
      <c r="M95" s="801">
        <v>19652.485000000001</v>
      </c>
      <c r="N95" s="713">
        <f t="shared" si="25"/>
        <v>202983.10800000001</v>
      </c>
      <c r="O95" s="714">
        <f t="shared" si="26"/>
        <v>32846.712</v>
      </c>
      <c r="P95" s="713">
        <f t="shared" si="27"/>
        <v>235829.82</v>
      </c>
      <c r="Q95" s="713"/>
      <c r="R95" s="723">
        <v>3.25</v>
      </c>
      <c r="S95" s="713">
        <v>156191.22</v>
      </c>
      <c r="T95" s="713">
        <v>91852.22</v>
      </c>
      <c r="U95" s="713"/>
      <c r="V95" s="700">
        <v>1</v>
      </c>
      <c r="W95" s="617">
        <f t="shared" si="28"/>
        <v>11.89</v>
      </c>
      <c r="X95" s="715">
        <f t="shared" si="29"/>
        <v>233668.04665</v>
      </c>
      <c r="Y95" s="716">
        <f t="shared" si="30"/>
        <v>-9.1666666666666563E-3</v>
      </c>
      <c r="Z95" s="727" t="s">
        <v>2271</v>
      </c>
      <c r="AA95" s="718" t="s">
        <v>2282</v>
      </c>
      <c r="AB95" s="719">
        <f t="shared" si="31"/>
        <v>235829.82</v>
      </c>
      <c r="AG95" s="729"/>
      <c r="AH95" s="726"/>
      <c r="AI95" s="725"/>
    </row>
    <row r="96" spans="1:38" s="728" customFormat="1" ht="13.5" customHeight="1">
      <c r="A96" s="721"/>
      <c r="B96" s="708" t="s">
        <v>2265</v>
      </c>
      <c r="C96" s="710" t="s">
        <v>908</v>
      </c>
      <c r="D96" s="709" t="s">
        <v>2266</v>
      </c>
      <c r="E96" s="710" t="s">
        <v>2267</v>
      </c>
      <c r="F96" s="711">
        <v>41843</v>
      </c>
      <c r="G96" s="723">
        <v>6</v>
      </c>
      <c r="H96" s="723">
        <v>12</v>
      </c>
      <c r="I96" s="723">
        <v>14</v>
      </c>
      <c r="J96" s="723">
        <v>6.5</v>
      </c>
      <c r="K96" s="713">
        <f t="shared" si="24"/>
        <v>20405.065999999999</v>
      </c>
      <c r="L96" s="801">
        <v>2300</v>
      </c>
      <c r="M96" s="801">
        <v>22705.065999999999</v>
      </c>
      <c r="N96" s="713">
        <f t="shared" si="25"/>
        <v>122430.39599999999</v>
      </c>
      <c r="O96" s="714">
        <f t="shared" si="26"/>
        <v>13800</v>
      </c>
      <c r="P96" s="713">
        <f t="shared" si="27"/>
        <v>136230.39600000001</v>
      </c>
      <c r="Q96" s="713"/>
      <c r="R96" s="723">
        <v>3.08</v>
      </c>
      <c r="S96" s="713">
        <v>72528.7</v>
      </c>
      <c r="T96" s="713">
        <v>24868.7</v>
      </c>
      <c r="U96" s="713"/>
      <c r="V96" s="700">
        <v>1</v>
      </c>
      <c r="W96" s="617">
        <f t="shared" si="28"/>
        <v>6.5</v>
      </c>
      <c r="X96" s="715">
        <f t="shared" si="29"/>
        <v>147582.929</v>
      </c>
      <c r="Y96" s="716">
        <f t="shared" si="30"/>
        <v>8.3333333333333259E-2</v>
      </c>
      <c r="Z96" s="727" t="s">
        <v>2278</v>
      </c>
      <c r="AA96" s="718" t="s">
        <v>2289</v>
      </c>
      <c r="AB96" s="719">
        <f t="shared" si="31"/>
        <v>136230.39600000001</v>
      </c>
      <c r="AG96" s="729"/>
      <c r="AH96" s="726"/>
      <c r="AI96" s="725"/>
    </row>
    <row r="97" spans="1:35" s="728" customFormat="1" ht="13.5" customHeight="1">
      <c r="A97" s="721"/>
      <c r="B97" s="708" t="s">
        <v>2246</v>
      </c>
      <c r="C97" s="710" t="s">
        <v>2247</v>
      </c>
      <c r="D97" s="709" t="s">
        <v>382</v>
      </c>
      <c r="E97" s="710" t="s">
        <v>2248</v>
      </c>
      <c r="F97" s="711">
        <v>41761</v>
      </c>
      <c r="G97" s="723">
        <v>10</v>
      </c>
      <c r="H97" s="723">
        <v>12</v>
      </c>
      <c r="I97" s="723">
        <v>14</v>
      </c>
      <c r="J97" s="723">
        <v>8.4</v>
      </c>
      <c r="K97" s="713">
        <f t="shared" si="24"/>
        <v>2252.6409999999996</v>
      </c>
      <c r="L97" s="801">
        <v>6200</v>
      </c>
      <c r="M97" s="801">
        <v>8452.6409999999996</v>
      </c>
      <c r="N97" s="713">
        <f t="shared" si="25"/>
        <v>22526.409999999996</v>
      </c>
      <c r="O97" s="714">
        <f t="shared" si="26"/>
        <v>62000</v>
      </c>
      <c r="P97" s="713">
        <f t="shared" si="27"/>
        <v>84526.41</v>
      </c>
      <c r="Q97" s="713"/>
      <c r="R97" s="723">
        <v>1.67</v>
      </c>
      <c r="S97" s="713">
        <v>47693.46</v>
      </c>
      <c r="T97" s="713">
        <v>14536.46</v>
      </c>
      <c r="U97" s="713"/>
      <c r="V97" s="700">
        <v>1</v>
      </c>
      <c r="W97" s="617">
        <f t="shared" si="28"/>
        <v>8.4</v>
      </c>
      <c r="X97" s="715">
        <f t="shared" si="29"/>
        <v>71002.184399999998</v>
      </c>
      <c r="Y97" s="716">
        <f t="shared" si="30"/>
        <v>-0.16000000000000003</v>
      </c>
      <c r="Z97" s="727" t="s">
        <v>2272</v>
      </c>
      <c r="AA97" s="718" t="s">
        <v>2283</v>
      </c>
      <c r="AB97" s="719">
        <f t="shared" si="31"/>
        <v>84526.41</v>
      </c>
      <c r="AG97" s="729"/>
      <c r="AH97" s="726"/>
      <c r="AI97" s="725"/>
    </row>
    <row r="98" spans="1:35" s="728" customFormat="1" ht="13.5" customHeight="1">
      <c r="A98" s="721"/>
      <c r="B98" s="708" t="s">
        <v>2261</v>
      </c>
      <c r="C98" s="710" t="s">
        <v>2262</v>
      </c>
      <c r="D98" s="709" t="s">
        <v>2263</v>
      </c>
      <c r="E98" s="710" t="s">
        <v>2264</v>
      </c>
      <c r="F98" s="711">
        <v>41718</v>
      </c>
      <c r="G98" s="723">
        <v>21</v>
      </c>
      <c r="H98" s="723">
        <v>16</v>
      </c>
      <c r="I98" s="723">
        <v>19</v>
      </c>
      <c r="J98" s="723">
        <v>25.36</v>
      </c>
      <c r="K98" s="713">
        <f t="shared" si="24"/>
        <v>17264.465</v>
      </c>
      <c r="L98" s="801">
        <v>6000</v>
      </c>
      <c r="M98" s="801">
        <v>23264.465</v>
      </c>
      <c r="N98" s="713">
        <f t="shared" si="25"/>
        <v>362553.76500000001</v>
      </c>
      <c r="O98" s="714">
        <f t="shared" si="26"/>
        <v>126000</v>
      </c>
      <c r="P98" s="713">
        <f t="shared" si="27"/>
        <v>488553.76500000001</v>
      </c>
      <c r="Q98" s="713"/>
      <c r="R98" s="723">
        <v>1.8</v>
      </c>
      <c r="S98" s="713">
        <v>64456.76</v>
      </c>
      <c r="T98" s="713">
        <v>-54326.239999999998</v>
      </c>
      <c r="U98" s="713"/>
      <c r="V98" s="700">
        <v>1</v>
      </c>
      <c r="W98" s="617">
        <f t="shared" si="28"/>
        <v>25.36</v>
      </c>
      <c r="X98" s="715">
        <f t="shared" si="29"/>
        <v>589986.83239999996</v>
      </c>
      <c r="Y98" s="716">
        <f t="shared" si="30"/>
        <v>0.20761904761904759</v>
      </c>
      <c r="Z98" s="727" t="s">
        <v>2277</v>
      </c>
      <c r="AA98" s="718" t="s">
        <v>2288</v>
      </c>
      <c r="AB98" s="719">
        <f t="shared" si="31"/>
        <v>488553.76500000001</v>
      </c>
      <c r="AG98" s="729"/>
      <c r="AH98" s="726"/>
      <c r="AI98" s="725"/>
    </row>
    <row r="99" spans="1:35" s="728" customFormat="1" ht="13.5" customHeight="1">
      <c r="A99" s="721"/>
      <c r="B99" s="708" t="s">
        <v>2249</v>
      </c>
      <c r="C99" s="710" t="s">
        <v>2250</v>
      </c>
      <c r="D99" s="709" t="s">
        <v>382</v>
      </c>
      <c r="E99" s="710" t="s">
        <v>2251</v>
      </c>
      <c r="F99" s="711">
        <v>41675</v>
      </c>
      <c r="G99" s="723">
        <v>12</v>
      </c>
      <c r="H99" s="723">
        <v>11</v>
      </c>
      <c r="I99" s="723">
        <v>13</v>
      </c>
      <c r="J99" s="723">
        <v>14.99</v>
      </c>
      <c r="K99" s="713">
        <f t="shared" si="24"/>
        <v>10457.503000000001</v>
      </c>
      <c r="L99" s="801">
        <v>4200</v>
      </c>
      <c r="M99" s="801">
        <v>14657.503000000001</v>
      </c>
      <c r="N99" s="713">
        <f t="shared" si="25"/>
        <v>125490.03600000001</v>
      </c>
      <c r="O99" s="714">
        <f t="shared" si="26"/>
        <v>50400</v>
      </c>
      <c r="P99" s="713">
        <f t="shared" si="27"/>
        <v>175890.03600000002</v>
      </c>
      <c r="Q99" s="713"/>
      <c r="R99" s="723">
        <v>0.8196</v>
      </c>
      <c r="S99" s="713">
        <v>37628.660000000003</v>
      </c>
      <c r="T99" s="713">
        <v>62278.66</v>
      </c>
      <c r="U99" s="713"/>
      <c r="V99" s="700">
        <v>1</v>
      </c>
      <c r="W99" s="617">
        <f t="shared" si="28"/>
        <v>14.99</v>
      </c>
      <c r="X99" s="715">
        <f t="shared" si="29"/>
        <v>219715.96997000001</v>
      </c>
      <c r="Y99" s="716">
        <f t="shared" si="30"/>
        <v>0.24916666666666654</v>
      </c>
      <c r="Z99" s="727" t="s">
        <v>2273</v>
      </c>
      <c r="AA99" s="718" t="s">
        <v>2284</v>
      </c>
      <c r="AB99" s="719">
        <f t="shared" si="31"/>
        <v>175890.03600000002</v>
      </c>
      <c r="AG99" s="729"/>
      <c r="AH99" s="726"/>
      <c r="AI99" s="725"/>
    </row>
    <row r="100" spans="1:35" s="728" customFormat="1" ht="13.5" customHeight="1">
      <c r="A100" s="721"/>
      <c r="B100" s="708" t="s">
        <v>2258</v>
      </c>
      <c r="C100" s="710" t="s">
        <v>2259</v>
      </c>
      <c r="D100" s="709" t="s">
        <v>1009</v>
      </c>
      <c r="E100" s="710" t="s">
        <v>2260</v>
      </c>
      <c r="F100" s="711">
        <v>41674</v>
      </c>
      <c r="G100" s="723">
        <v>12</v>
      </c>
      <c r="H100" s="723">
        <v>12</v>
      </c>
      <c r="I100" s="723">
        <v>14</v>
      </c>
      <c r="J100" s="723">
        <v>22.45</v>
      </c>
      <c r="K100" s="713">
        <f t="shared" si="24"/>
        <v>11717.103999999999</v>
      </c>
      <c r="L100" s="801">
        <v>5500</v>
      </c>
      <c r="M100" s="801">
        <v>17217.103999999999</v>
      </c>
      <c r="N100" s="713">
        <f t="shared" si="25"/>
        <v>140605.24799999999</v>
      </c>
      <c r="O100" s="714">
        <f t="shared" si="26"/>
        <v>66000</v>
      </c>
      <c r="P100" s="713">
        <f t="shared" si="27"/>
        <v>206605.24799999999</v>
      </c>
      <c r="Q100" s="713"/>
      <c r="R100" s="723">
        <v>0.98</v>
      </c>
      <c r="S100" s="713">
        <v>80427.78</v>
      </c>
      <c r="T100" s="713">
        <v>74226.78</v>
      </c>
      <c r="U100" s="713"/>
      <c r="V100" s="700">
        <v>1</v>
      </c>
      <c r="W100" s="617">
        <f t="shared" si="28"/>
        <v>22.45</v>
      </c>
      <c r="X100" s="715">
        <f t="shared" si="29"/>
        <v>386523.98479999998</v>
      </c>
      <c r="Y100" s="716">
        <f t="shared" si="30"/>
        <v>0.87083333333333335</v>
      </c>
      <c r="Z100" s="727" t="s">
        <v>2276</v>
      </c>
      <c r="AA100" s="718" t="s">
        <v>2287</v>
      </c>
      <c r="AB100" s="719">
        <f t="shared" si="31"/>
        <v>206605.24799999999</v>
      </c>
      <c r="AG100" s="729"/>
      <c r="AH100" s="726"/>
      <c r="AI100" s="725"/>
    </row>
    <row r="101" spans="1:35" s="728" customFormat="1" ht="13.5" customHeight="1">
      <c r="A101" s="721"/>
      <c r="B101" s="708" t="s">
        <v>2293</v>
      </c>
      <c r="C101" s="710" t="s">
        <v>2294</v>
      </c>
      <c r="D101" s="709" t="s">
        <v>757</v>
      </c>
      <c r="E101" s="710" t="s">
        <v>2295</v>
      </c>
      <c r="F101" s="711">
        <v>41620</v>
      </c>
      <c r="G101" s="723">
        <v>7</v>
      </c>
      <c r="H101" s="723">
        <v>13</v>
      </c>
      <c r="I101" s="723">
        <v>15</v>
      </c>
      <c r="J101" s="723">
        <v>9.2750000000000004</v>
      </c>
      <c r="K101" s="713">
        <f t="shared" si="24"/>
        <v>13966.903999999999</v>
      </c>
      <c r="L101" s="801">
        <v>7150</v>
      </c>
      <c r="M101" s="801">
        <v>21116.903999999999</v>
      </c>
      <c r="N101" s="713">
        <f t="shared" si="25"/>
        <v>97768.327999999994</v>
      </c>
      <c r="O101" s="714">
        <f t="shared" si="26"/>
        <v>50050</v>
      </c>
      <c r="P101" s="713">
        <f t="shared" si="27"/>
        <v>147818.32799999998</v>
      </c>
      <c r="Q101" s="713"/>
      <c r="R101" s="723">
        <v>2.418E-2</v>
      </c>
      <c r="S101" s="713">
        <v>591.57000000000005</v>
      </c>
      <c r="T101" s="713">
        <v>25537.23</v>
      </c>
      <c r="U101" s="713"/>
      <c r="V101" s="700">
        <v>1</v>
      </c>
      <c r="W101" s="617">
        <f t="shared" si="28"/>
        <v>9.2750000000000004</v>
      </c>
      <c r="X101" s="715">
        <f t="shared" si="29"/>
        <v>195859.28459999998</v>
      </c>
      <c r="Y101" s="716">
        <f t="shared" si="30"/>
        <v>0.32500000000000018</v>
      </c>
      <c r="Z101" s="727" t="s">
        <v>2303</v>
      </c>
      <c r="AA101" s="718" t="s">
        <v>2307</v>
      </c>
      <c r="AB101" s="719">
        <f t="shared" si="31"/>
        <v>147818.32799999998</v>
      </c>
      <c r="AG101" s="729"/>
      <c r="AH101" s="726"/>
      <c r="AI101" s="725"/>
    </row>
    <row r="102" spans="1:35" s="728" customFormat="1" ht="13.5" customHeight="1">
      <c r="A102" s="721"/>
      <c r="B102" s="708" t="s">
        <v>2299</v>
      </c>
      <c r="C102" s="710" t="s">
        <v>2300</v>
      </c>
      <c r="D102" s="709" t="s">
        <v>376</v>
      </c>
      <c r="E102" s="710" t="s">
        <v>2301</v>
      </c>
      <c r="F102" s="711">
        <v>41534</v>
      </c>
      <c r="G102" s="723">
        <v>13</v>
      </c>
      <c r="H102" s="723">
        <v>12</v>
      </c>
      <c r="I102" s="723">
        <v>14</v>
      </c>
      <c r="J102" s="723">
        <v>13.82</v>
      </c>
      <c r="K102" s="713">
        <f t="shared" si="24"/>
        <v>11217.807000000001</v>
      </c>
      <c r="L102" s="801">
        <v>4800</v>
      </c>
      <c r="M102" s="801">
        <v>16017.807000000001</v>
      </c>
      <c r="N102" s="713">
        <f t="shared" si="25"/>
        <v>145831.49100000001</v>
      </c>
      <c r="O102" s="714">
        <f t="shared" si="26"/>
        <v>62400</v>
      </c>
      <c r="P102" s="713">
        <f t="shared" si="27"/>
        <v>208231.49100000001</v>
      </c>
      <c r="Q102" s="713"/>
      <c r="R102" s="723">
        <v>18.38</v>
      </c>
      <c r="S102" s="713">
        <v>625116.57000000007</v>
      </c>
      <c r="T102" s="713">
        <v>304358.57</v>
      </c>
      <c r="U102" s="713"/>
      <c r="V102" s="700">
        <v>1</v>
      </c>
      <c r="W102" s="617">
        <f t="shared" si="28"/>
        <v>13.82</v>
      </c>
      <c r="X102" s="715">
        <f t="shared" si="29"/>
        <v>221366.09274000002</v>
      </c>
      <c r="Y102" s="716">
        <f t="shared" si="30"/>
        <v>6.307692307692303E-2</v>
      </c>
      <c r="Z102" s="727" t="s">
        <v>2305</v>
      </c>
      <c r="AA102" s="718" t="s">
        <v>2309</v>
      </c>
      <c r="AB102" s="719">
        <f t="shared" si="31"/>
        <v>208231.49100000001</v>
      </c>
      <c r="AG102" s="729"/>
      <c r="AH102" s="726"/>
      <c r="AI102" s="725"/>
    </row>
    <row r="103" spans="1:35" s="728" customFormat="1" ht="13.5" customHeight="1">
      <c r="A103" s="721"/>
      <c r="B103" s="708" t="s">
        <v>2313</v>
      </c>
      <c r="C103" s="710" t="s">
        <v>2314</v>
      </c>
      <c r="D103" s="709" t="s">
        <v>831</v>
      </c>
      <c r="E103" s="710" t="s">
        <v>2315</v>
      </c>
      <c r="F103" s="711">
        <v>41472</v>
      </c>
      <c r="G103" s="723">
        <v>17</v>
      </c>
      <c r="H103" s="723">
        <v>14</v>
      </c>
      <c r="I103" s="723">
        <v>16</v>
      </c>
      <c r="J103" s="723">
        <v>18.579999999999998</v>
      </c>
      <c r="K103" s="713">
        <f t="shared" si="24"/>
        <v>22264.670999999998</v>
      </c>
      <c r="L103" s="801">
        <v>4800</v>
      </c>
      <c r="M103" s="801">
        <v>27064.670999999998</v>
      </c>
      <c r="N103" s="713">
        <f t="shared" si="25"/>
        <v>378499.40699999995</v>
      </c>
      <c r="O103" s="714">
        <f t="shared" si="26"/>
        <v>81600</v>
      </c>
      <c r="P103" s="713">
        <f t="shared" si="27"/>
        <v>460099.40699999995</v>
      </c>
      <c r="Q103" s="713"/>
      <c r="R103" s="723">
        <v>1.95</v>
      </c>
      <c r="S103" s="713">
        <v>73820.13</v>
      </c>
      <c r="T103" s="713">
        <v>-39766.869999999995</v>
      </c>
      <c r="U103" s="713"/>
      <c r="V103" s="700">
        <v>1</v>
      </c>
      <c r="W103" s="617">
        <f t="shared" si="28"/>
        <v>18.579999999999998</v>
      </c>
      <c r="X103" s="715">
        <f t="shared" si="29"/>
        <v>502861.58717999991</v>
      </c>
      <c r="Y103" s="716">
        <f t="shared" si="30"/>
        <v>9.2941176470588083E-2</v>
      </c>
      <c r="Z103" s="727" t="s">
        <v>2317</v>
      </c>
      <c r="AA103" s="718" t="s">
        <v>2319</v>
      </c>
      <c r="AB103" s="719">
        <f t="shared" si="31"/>
        <v>460099.40699999995</v>
      </c>
      <c r="AG103" s="729"/>
      <c r="AH103" s="726"/>
      <c r="AI103" s="725"/>
    </row>
    <row r="104" spans="1:35" s="728" customFormat="1" ht="13.5" customHeight="1">
      <c r="A104" s="721"/>
      <c r="B104" s="708" t="s">
        <v>2296</v>
      </c>
      <c r="C104" s="710" t="s">
        <v>2297</v>
      </c>
      <c r="D104" s="709" t="s">
        <v>757</v>
      </c>
      <c r="E104" s="710" t="s">
        <v>2298</v>
      </c>
      <c r="F104" s="711">
        <v>41443</v>
      </c>
      <c r="G104" s="723">
        <v>17</v>
      </c>
      <c r="H104" s="723">
        <v>14</v>
      </c>
      <c r="I104" s="723">
        <v>16</v>
      </c>
      <c r="J104" s="723">
        <v>33.99</v>
      </c>
      <c r="K104" s="713">
        <f t="shared" si="24"/>
        <v>16869.488000000001</v>
      </c>
      <c r="L104" s="801">
        <v>5941.1760000000004</v>
      </c>
      <c r="M104" s="801">
        <v>22810.664000000001</v>
      </c>
      <c r="N104" s="713">
        <f t="shared" si="25"/>
        <v>286781.29600000003</v>
      </c>
      <c r="O104" s="714">
        <f t="shared" si="26"/>
        <v>100999.99200000001</v>
      </c>
      <c r="P104" s="713">
        <f t="shared" si="27"/>
        <v>387781.28800000006</v>
      </c>
      <c r="Q104" s="713"/>
      <c r="R104" s="723">
        <v>190.8</v>
      </c>
      <c r="S104" s="713">
        <v>9425520</v>
      </c>
      <c r="T104" s="713">
        <v>8851801</v>
      </c>
      <c r="U104" s="713"/>
      <c r="V104" s="700">
        <v>1</v>
      </c>
      <c r="W104" s="617">
        <f t="shared" si="28"/>
        <v>33.99</v>
      </c>
      <c r="X104" s="715">
        <f t="shared" si="29"/>
        <v>775334.4693600001</v>
      </c>
      <c r="Y104" s="716">
        <f t="shared" si="30"/>
        <v>0.99941176470588222</v>
      </c>
      <c r="Z104" s="727" t="s">
        <v>2304</v>
      </c>
      <c r="AA104" s="718" t="s">
        <v>2308</v>
      </c>
      <c r="AB104" s="719">
        <f t="shared" si="31"/>
        <v>387781.28800000006</v>
      </c>
      <c r="AG104" s="729"/>
      <c r="AH104" s="726"/>
      <c r="AI104" s="725"/>
    </row>
    <row r="105" spans="1:35" s="728" customFormat="1" ht="13.5" customHeight="1">
      <c r="A105" s="721"/>
      <c r="B105" s="708" t="s">
        <v>2290</v>
      </c>
      <c r="C105" s="710" t="s">
        <v>2291</v>
      </c>
      <c r="D105" s="709" t="s">
        <v>382</v>
      </c>
      <c r="E105" s="710" t="s">
        <v>2292</v>
      </c>
      <c r="F105" s="711">
        <v>41424</v>
      </c>
      <c r="G105" s="723">
        <v>15</v>
      </c>
      <c r="H105" s="723">
        <v>13</v>
      </c>
      <c r="I105" s="723">
        <v>15</v>
      </c>
      <c r="J105" s="723">
        <v>28.13</v>
      </c>
      <c r="K105" s="713">
        <f t="shared" si="24"/>
        <v>22501.763999999999</v>
      </c>
      <c r="L105" s="801">
        <v>5142</v>
      </c>
      <c r="M105" s="801">
        <v>27643.763999999999</v>
      </c>
      <c r="N105" s="713">
        <f t="shared" si="25"/>
        <v>337526.45999999996</v>
      </c>
      <c r="O105" s="714">
        <f t="shared" si="26"/>
        <v>77130</v>
      </c>
      <c r="P105" s="713">
        <f t="shared" si="27"/>
        <v>414656.45999999996</v>
      </c>
      <c r="Q105" s="713"/>
      <c r="R105" s="723">
        <v>15.9</v>
      </c>
      <c r="S105" s="713">
        <v>1101593.7899999998</v>
      </c>
      <c r="T105" s="713">
        <v>794635.79</v>
      </c>
      <c r="U105" s="713"/>
      <c r="V105" s="700">
        <v>1</v>
      </c>
      <c r="W105" s="617">
        <f t="shared" si="28"/>
        <v>28.13</v>
      </c>
      <c r="X105" s="715">
        <f t="shared" si="29"/>
        <v>777619.08132</v>
      </c>
      <c r="Y105" s="716">
        <f t="shared" si="30"/>
        <v>0.87533333333333352</v>
      </c>
      <c r="Z105" s="727" t="s">
        <v>2302</v>
      </c>
      <c r="AA105" s="718" t="s">
        <v>2306</v>
      </c>
      <c r="AB105" s="719">
        <f t="shared" si="31"/>
        <v>414656.45999999996</v>
      </c>
      <c r="AG105" s="729"/>
      <c r="AH105" s="726"/>
      <c r="AI105" s="725"/>
    </row>
    <row r="106" spans="1:35" s="728" customFormat="1" ht="13.5" customHeight="1">
      <c r="A106" s="721"/>
      <c r="B106" s="708" t="s">
        <v>2310</v>
      </c>
      <c r="C106" s="710" t="s">
        <v>2311</v>
      </c>
      <c r="D106" s="709" t="s">
        <v>757</v>
      </c>
      <c r="E106" s="710" t="s">
        <v>2312</v>
      </c>
      <c r="F106" s="711">
        <v>41302</v>
      </c>
      <c r="G106" s="723">
        <v>10</v>
      </c>
      <c r="H106" s="723">
        <v>11</v>
      </c>
      <c r="I106" s="723">
        <v>13</v>
      </c>
      <c r="J106" s="723">
        <v>11.4</v>
      </c>
      <c r="K106" s="713">
        <f t="shared" si="24"/>
        <v>3643.27</v>
      </c>
      <c r="L106" s="801">
        <v>3317.6439999999998</v>
      </c>
      <c r="M106" s="801">
        <v>6960.9139999999998</v>
      </c>
      <c r="N106" s="713">
        <f t="shared" si="25"/>
        <v>36432.699999999997</v>
      </c>
      <c r="O106" s="714">
        <f t="shared" si="26"/>
        <v>33176.439999999995</v>
      </c>
      <c r="P106" s="713">
        <f t="shared" si="27"/>
        <v>69609.139999999985</v>
      </c>
      <c r="Q106" s="713"/>
      <c r="R106" s="723">
        <v>16.05</v>
      </c>
      <c r="S106" s="713">
        <v>464999.11</v>
      </c>
      <c r="T106" s="713">
        <v>399473.83</v>
      </c>
      <c r="U106" s="713"/>
      <c r="V106" s="700">
        <v>1</v>
      </c>
      <c r="W106" s="617">
        <f t="shared" si="28"/>
        <v>11.4</v>
      </c>
      <c r="X106" s="715">
        <f t="shared" si="29"/>
        <v>79354.419599999994</v>
      </c>
      <c r="Y106" s="716">
        <f t="shared" si="30"/>
        <v>0.14000000000000012</v>
      </c>
      <c r="Z106" s="727" t="s">
        <v>2316</v>
      </c>
      <c r="AA106" s="718" t="s">
        <v>2318</v>
      </c>
      <c r="AB106" s="719">
        <f t="shared" si="31"/>
        <v>69609.139999999985</v>
      </c>
      <c r="AG106" s="729"/>
      <c r="AH106" s="726"/>
      <c r="AI106" s="725"/>
    </row>
    <row r="107" spans="1:35" s="728" customFormat="1" ht="13.5" customHeight="1">
      <c r="A107" s="721"/>
      <c r="B107" s="708"/>
      <c r="C107" s="710"/>
      <c r="D107" s="709"/>
      <c r="E107" s="710"/>
      <c r="F107" s="711"/>
      <c r="G107" s="722"/>
      <c r="H107" s="723"/>
      <c r="I107" s="723"/>
      <c r="J107" s="722"/>
      <c r="K107" s="712"/>
      <c r="L107" s="714"/>
      <c r="M107" s="714"/>
      <c r="N107" s="713"/>
      <c r="O107" s="714"/>
      <c r="P107" s="713"/>
      <c r="Q107" s="713"/>
      <c r="R107" s="713"/>
      <c r="S107" s="713"/>
      <c r="T107" s="713"/>
      <c r="U107" s="713"/>
      <c r="V107" s="713"/>
      <c r="W107" s="617"/>
      <c r="X107" s="715"/>
      <c r="Y107" s="716"/>
      <c r="Z107" s="727"/>
      <c r="AA107" s="718"/>
      <c r="AB107" s="719"/>
      <c r="AG107" s="729"/>
      <c r="AH107" s="726"/>
      <c r="AI107" s="725"/>
    </row>
    <row r="108" spans="1:35" s="728" customFormat="1" ht="13.5" customHeight="1">
      <c r="A108" s="721"/>
      <c r="B108" s="826" t="s">
        <v>41</v>
      </c>
      <c r="C108" s="827"/>
      <c r="D108" s="827"/>
      <c r="E108" s="827"/>
      <c r="F108" s="827"/>
      <c r="G108" s="827"/>
      <c r="H108" s="827"/>
      <c r="I108" s="827"/>
      <c r="J108" s="827"/>
      <c r="K108" s="827"/>
      <c r="L108" s="827"/>
      <c r="M108" s="827"/>
      <c r="N108" s="828">
        <f>MAX(N47:N106)</f>
        <v>1605986.544</v>
      </c>
      <c r="O108" s="828"/>
      <c r="P108" s="828">
        <f>MAX(P47:P106)</f>
        <v>1827986.544</v>
      </c>
      <c r="Q108" s="828"/>
      <c r="R108" s="828"/>
      <c r="S108" s="828">
        <f>MAX(S47:S106)</f>
        <v>9866622.4900000002</v>
      </c>
      <c r="T108" s="829">
        <f>MAX(T47:T106)</f>
        <v>8949098.4900000002</v>
      </c>
      <c r="U108" s="713"/>
      <c r="V108" s="713"/>
      <c r="W108" s="830">
        <f>MAX(W60:W106)</f>
        <v>50.14</v>
      </c>
      <c r="X108" s="715"/>
      <c r="Y108" s="716"/>
      <c r="Z108" s="727"/>
      <c r="AA108" s="718"/>
      <c r="AB108" s="719"/>
      <c r="AG108" s="729"/>
      <c r="AH108" s="726"/>
      <c r="AI108" s="725"/>
    </row>
    <row r="109" spans="1:35" s="728" customFormat="1" ht="13.5" customHeight="1">
      <c r="A109" s="721"/>
      <c r="B109" s="618" t="s">
        <v>45</v>
      </c>
      <c r="C109" s="619"/>
      <c r="D109" s="619"/>
      <c r="E109" s="619"/>
      <c r="F109" s="619"/>
      <c r="G109" s="619"/>
      <c r="H109" s="619"/>
      <c r="I109" s="619"/>
      <c r="J109" s="619"/>
      <c r="K109" s="619"/>
      <c r="L109" s="619"/>
      <c r="M109" s="619"/>
      <c r="N109" s="600">
        <f>_xlfn.QUARTILE.INC(N47:N106,3)</f>
        <v>352337.27</v>
      </c>
      <c r="O109" s="600"/>
      <c r="P109" s="600">
        <f>_xlfn.QUARTILE.INC(P47:P106,3)</f>
        <v>453416.01974999998</v>
      </c>
      <c r="Q109" s="600"/>
      <c r="R109" s="600"/>
      <c r="S109" s="600">
        <f>_xlfn.QUARTILE.INC(S47:S106,3)</f>
        <v>637242.09</v>
      </c>
      <c r="T109" s="620">
        <f>_xlfn.QUARTILE.INC(T47:T106,3)</f>
        <v>550907.65</v>
      </c>
      <c r="U109" s="713"/>
      <c r="V109" s="713"/>
      <c r="W109" s="734">
        <f>_xlfn.QUARTILE.INC(W60:W106,3)</f>
        <v>20.975000000000001</v>
      </c>
      <c r="X109" s="715"/>
      <c r="Y109" s="716"/>
      <c r="Z109" s="727"/>
      <c r="AA109" s="718"/>
      <c r="AB109" s="719"/>
      <c r="AG109" s="729"/>
      <c r="AH109" s="726"/>
      <c r="AI109" s="725"/>
    </row>
    <row r="110" spans="1:35" s="728" customFormat="1" ht="13.5" customHeight="1">
      <c r="A110" s="721"/>
      <c r="B110" s="618" t="s">
        <v>2</v>
      </c>
      <c r="C110" s="619"/>
      <c r="D110" s="619"/>
      <c r="E110" s="619"/>
      <c r="F110" s="619"/>
      <c r="G110" s="619"/>
      <c r="H110" s="619"/>
      <c r="I110" s="619"/>
      <c r="J110" s="619"/>
      <c r="K110" s="619"/>
      <c r="L110" s="619"/>
      <c r="M110" s="619"/>
      <c r="N110" s="600">
        <f>AVERAGE(N47:N106)</f>
        <v>295651.18134722224</v>
      </c>
      <c r="O110" s="600"/>
      <c r="P110" s="600">
        <f>AVERAGE(P47:P106)</f>
        <v>376833.56669722218</v>
      </c>
      <c r="Q110" s="600"/>
      <c r="R110" s="600"/>
      <c r="S110" s="600">
        <f>AVERAGE(S47:S106)</f>
        <v>869389.05263157899</v>
      </c>
      <c r="T110" s="620">
        <f>AVERAGE(T47:T106)</f>
        <v>766898.74421052635</v>
      </c>
      <c r="U110" s="713"/>
      <c r="V110" s="713"/>
      <c r="W110" s="734">
        <f>AVERAGE(W60:W106)</f>
        <v>16.639152340425532</v>
      </c>
      <c r="X110" s="715"/>
      <c r="Y110" s="716"/>
      <c r="Z110" s="727"/>
      <c r="AA110" s="718"/>
      <c r="AB110" s="719"/>
      <c r="AG110" s="729"/>
      <c r="AH110" s="726"/>
      <c r="AI110" s="725"/>
    </row>
    <row r="111" spans="1:35" s="728" customFormat="1" ht="13.5" customHeight="1">
      <c r="A111" s="721"/>
      <c r="B111" s="618" t="s">
        <v>3</v>
      </c>
      <c r="C111" s="619"/>
      <c r="D111" s="619"/>
      <c r="E111" s="619"/>
      <c r="F111" s="619"/>
      <c r="G111" s="619"/>
      <c r="H111" s="619"/>
      <c r="I111" s="619"/>
      <c r="J111" s="619"/>
      <c r="K111" s="619"/>
      <c r="L111" s="619"/>
      <c r="M111" s="619"/>
      <c r="N111" s="600">
        <f>MEDIAN(N47:N106)</f>
        <v>246295.40400000001</v>
      </c>
      <c r="O111" s="600"/>
      <c r="P111" s="600">
        <f>MEDIAN(P47:P106)</f>
        <v>319565.40399999998</v>
      </c>
      <c r="Q111" s="600"/>
      <c r="R111" s="600"/>
      <c r="S111" s="600">
        <f>MEDIAN(S47:S106)</f>
        <v>329937.32999999996</v>
      </c>
      <c r="T111" s="620">
        <f>MEDIAN(T47:T106)</f>
        <v>291631.32</v>
      </c>
      <c r="U111" s="713"/>
      <c r="V111" s="713"/>
      <c r="W111" s="734">
        <f>MEDIAN(W60:W106)</f>
        <v>13.9</v>
      </c>
      <c r="X111" s="715"/>
      <c r="Y111" s="716"/>
      <c r="Z111" s="727"/>
      <c r="AA111" s="718"/>
      <c r="AB111" s="719"/>
      <c r="AG111" s="729"/>
      <c r="AH111" s="726"/>
      <c r="AI111" s="725"/>
    </row>
    <row r="112" spans="1:35" s="728" customFormat="1" ht="13.5" customHeight="1">
      <c r="A112" s="721"/>
      <c r="B112" s="618" t="s">
        <v>44</v>
      </c>
      <c r="C112" s="619"/>
      <c r="D112" s="619"/>
      <c r="E112" s="619"/>
      <c r="F112" s="619"/>
      <c r="G112" s="619"/>
      <c r="H112" s="619"/>
      <c r="I112" s="619"/>
      <c r="J112" s="619"/>
      <c r="K112" s="619"/>
      <c r="L112" s="619"/>
      <c r="M112" s="619"/>
      <c r="N112" s="600">
        <f>_xlfn.QUARTILE.INC(N47:N106,1)</f>
        <v>124725.126</v>
      </c>
      <c r="O112" s="600"/>
      <c r="P112" s="600">
        <f>_xlfn.QUARTILE.INC(P47:P106,1)</f>
        <v>195553.853</v>
      </c>
      <c r="Q112" s="600"/>
      <c r="R112" s="600"/>
      <c r="S112" s="600">
        <f>_xlfn.QUARTILE.INC(S47:S106,1)</f>
        <v>160210.37999999998</v>
      </c>
      <c r="T112" s="620">
        <f>_xlfn.QUARTILE.INC(T47:T106,1)</f>
        <v>74226.78</v>
      </c>
      <c r="U112" s="713"/>
      <c r="V112" s="713"/>
      <c r="W112" s="734">
        <f>_xlfn.QUARTILE.INC(W60:W106,1)</f>
        <v>11.734999999999999</v>
      </c>
      <c r="X112" s="715"/>
      <c r="Y112" s="716"/>
      <c r="Z112" s="727"/>
      <c r="AA112" s="718"/>
      <c r="AB112" s="719"/>
      <c r="AG112" s="729"/>
      <c r="AH112" s="726"/>
      <c r="AI112" s="725"/>
    </row>
    <row r="113" spans="1:38" s="728" customFormat="1" ht="13.5" customHeight="1">
      <c r="A113" s="721"/>
      <c r="B113" s="735" t="s">
        <v>42</v>
      </c>
      <c r="C113" s="621"/>
      <c r="D113" s="621"/>
      <c r="E113" s="621"/>
      <c r="F113" s="621"/>
      <c r="G113" s="621"/>
      <c r="H113" s="621"/>
      <c r="I113" s="621"/>
      <c r="J113" s="621"/>
      <c r="K113" s="621"/>
      <c r="L113" s="621"/>
      <c r="M113" s="621"/>
      <c r="N113" s="601">
        <f>MIN(N47:N106)</f>
        <v>22526.409999999996</v>
      </c>
      <c r="O113" s="601"/>
      <c r="P113" s="601">
        <f>MIN(P47:P106)</f>
        <v>52970.983999999997</v>
      </c>
      <c r="Q113" s="601"/>
      <c r="R113" s="601"/>
      <c r="S113" s="601">
        <f>MIN(S47:S106)</f>
        <v>591.57000000000005</v>
      </c>
      <c r="T113" s="622">
        <f>MIN(T47:T106)</f>
        <v>-54326.239999999998</v>
      </c>
      <c r="U113" s="713"/>
      <c r="V113" s="713"/>
      <c r="W113" s="736">
        <f>MIN(W60:W106)</f>
        <v>3.35</v>
      </c>
      <c r="X113" s="715"/>
      <c r="Y113" s="716"/>
      <c r="Z113" s="727"/>
      <c r="AA113" s="718"/>
      <c r="AB113" s="719"/>
      <c r="AG113" s="729"/>
      <c r="AH113" s="726"/>
      <c r="AI113" s="725"/>
    </row>
    <row r="114" spans="1:38" s="728" customFormat="1" ht="13.5" customHeight="1">
      <c r="A114" s="721"/>
      <c r="B114" s="708"/>
      <c r="C114" s="710"/>
      <c r="D114" s="709"/>
      <c r="E114" s="710"/>
      <c r="F114" s="711"/>
      <c r="G114" s="722"/>
      <c r="H114" s="723"/>
      <c r="I114" s="723"/>
      <c r="J114" s="722"/>
      <c r="K114" s="712"/>
      <c r="L114" s="714"/>
      <c r="M114" s="714"/>
      <c r="N114" s="713"/>
      <c r="O114" s="714"/>
      <c r="P114" s="713"/>
      <c r="Q114" s="713"/>
      <c r="R114" s="713"/>
      <c r="S114" s="713"/>
      <c r="T114" s="713"/>
      <c r="U114" s="713"/>
      <c r="V114" s="713"/>
      <c r="W114" s="617"/>
      <c r="X114" s="715"/>
      <c r="Y114" s="716"/>
      <c r="Z114" s="727"/>
      <c r="AA114" s="718"/>
      <c r="AB114" s="719"/>
      <c r="AG114" s="729"/>
      <c r="AH114" s="726"/>
      <c r="AI114" s="725"/>
    </row>
    <row r="115" spans="1:38" s="728" customFormat="1" ht="13.5" customHeight="1">
      <c r="A115" s="721"/>
      <c r="B115" s="737" t="s">
        <v>1019</v>
      </c>
      <c r="C115" s="710"/>
      <c r="D115" s="709"/>
      <c r="E115" s="710"/>
      <c r="F115" s="711"/>
      <c r="G115" s="722"/>
      <c r="H115" s="723"/>
      <c r="I115" s="723"/>
      <c r="J115" s="722"/>
      <c r="K115" s="712"/>
      <c r="L115" s="714"/>
      <c r="M115" s="714"/>
      <c r="N115" s="713"/>
      <c r="O115" s="714"/>
      <c r="P115" s="713"/>
      <c r="Q115" s="713"/>
      <c r="R115" s="713"/>
      <c r="S115" s="713"/>
      <c r="T115" s="713"/>
      <c r="U115" s="713"/>
      <c r="V115" s="713"/>
      <c r="W115" s="617"/>
      <c r="X115" s="715"/>
      <c r="Y115" s="716"/>
      <c r="Z115" s="727"/>
      <c r="AA115" s="718"/>
      <c r="AB115" s="719"/>
      <c r="AG115" s="729"/>
      <c r="AH115" s="726"/>
      <c r="AI115" s="725"/>
    </row>
    <row r="116" spans="1:38" s="728" customFormat="1" ht="13.5" customHeight="1">
      <c r="A116" s="721"/>
      <c r="B116" s="708" t="s">
        <v>3167</v>
      </c>
      <c r="C116" s="710" t="s">
        <v>3168</v>
      </c>
      <c r="D116" s="709" t="s">
        <v>904</v>
      </c>
      <c r="E116" s="710" t="s">
        <v>3169</v>
      </c>
      <c r="F116" s="711">
        <v>43278</v>
      </c>
      <c r="G116" s="722">
        <v>8</v>
      </c>
      <c r="H116" s="723">
        <v>10</v>
      </c>
      <c r="I116" s="723">
        <v>12</v>
      </c>
      <c r="J116" s="722">
        <v>6.6501000000000001</v>
      </c>
      <c r="K116" s="712">
        <f t="shared" ref="K116:K121" si="32">+M116-L116</f>
        <v>10028.32</v>
      </c>
      <c r="L116" s="714">
        <v>1333.3340000000001</v>
      </c>
      <c r="M116" s="714">
        <v>11361.654</v>
      </c>
      <c r="N116" s="713">
        <f t="shared" ref="N116:N121" si="33">+G116*K116</f>
        <v>80226.559999999998</v>
      </c>
      <c r="O116" s="714">
        <f t="shared" ref="O116:O126" si="34">+G116*L116</f>
        <v>10666.672</v>
      </c>
      <c r="P116" s="713">
        <f t="shared" ref="P116:P121" si="35">+N116+O116</f>
        <v>90893.232000000004</v>
      </c>
      <c r="Q116" s="713"/>
      <c r="R116" s="723">
        <v>6.3</v>
      </c>
      <c r="S116" s="713">
        <v>71998.42</v>
      </c>
      <c r="T116" s="713">
        <v>102998.42</v>
      </c>
      <c r="U116" s="713"/>
      <c r="V116" s="713">
        <v>1</v>
      </c>
      <c r="W116" s="617">
        <f t="shared" ref="W116:W121" si="36">J116</f>
        <v>6.6501000000000001</v>
      </c>
      <c r="X116" s="715">
        <f t="shared" ref="X116:X121" si="37">W116*M116</f>
        <v>75556.135265400007</v>
      </c>
      <c r="Y116" s="716">
        <f t="shared" ref="Y116:Y121" si="38">X116/P116-1</f>
        <v>-0.16873749999999998</v>
      </c>
      <c r="Z116" s="2420" t="s">
        <v>3208</v>
      </c>
      <c r="AA116" s="2421" t="s">
        <v>3209</v>
      </c>
      <c r="AB116" s="719">
        <f t="shared" ref="AB116:AB121" si="39">+N116+O116</f>
        <v>90893.232000000004</v>
      </c>
      <c r="AG116" s="729"/>
      <c r="AH116" s="726"/>
      <c r="AI116" s="725"/>
    </row>
    <row r="117" spans="1:38" s="728" customFormat="1" ht="13.5" customHeight="1">
      <c r="A117" s="721"/>
      <c r="B117" s="708" t="s">
        <v>3170</v>
      </c>
      <c r="C117" s="710" t="s">
        <v>3171</v>
      </c>
      <c r="D117" s="709" t="s">
        <v>377</v>
      </c>
      <c r="E117" s="710" t="s">
        <v>3172</v>
      </c>
      <c r="F117" s="711">
        <v>43271</v>
      </c>
      <c r="G117" s="722">
        <v>19</v>
      </c>
      <c r="H117" s="723">
        <v>16</v>
      </c>
      <c r="I117" s="723">
        <v>18</v>
      </c>
      <c r="J117" s="722">
        <v>28.56</v>
      </c>
      <c r="K117" s="712">
        <f t="shared" si="32"/>
        <v>17901.687000000002</v>
      </c>
      <c r="L117" s="714">
        <v>5247.9579999999996</v>
      </c>
      <c r="M117" s="714">
        <v>23149.645</v>
      </c>
      <c r="N117" s="713">
        <f t="shared" si="33"/>
        <v>340132.05300000001</v>
      </c>
      <c r="O117" s="714">
        <f t="shared" si="34"/>
        <v>99711.20199999999</v>
      </c>
      <c r="P117" s="713">
        <f t="shared" si="35"/>
        <v>439843.255</v>
      </c>
      <c r="Q117" s="713"/>
      <c r="R117" s="723">
        <v>28.56</v>
      </c>
      <c r="S117" s="713">
        <v>683636.09</v>
      </c>
      <c r="T117" s="713">
        <v>713208.09</v>
      </c>
      <c r="U117" s="713"/>
      <c r="V117" s="713">
        <v>1</v>
      </c>
      <c r="W117" s="617">
        <f t="shared" si="36"/>
        <v>28.56</v>
      </c>
      <c r="X117" s="715">
        <f t="shared" si="37"/>
        <v>661153.86119999993</v>
      </c>
      <c r="Y117" s="716">
        <f t="shared" si="38"/>
        <v>0.50315789473684203</v>
      </c>
      <c r="Z117" s="2420" t="s">
        <v>3210</v>
      </c>
      <c r="AA117" s="2421" t="s">
        <v>3211</v>
      </c>
      <c r="AB117" s="719">
        <f t="shared" si="39"/>
        <v>439843.255</v>
      </c>
      <c r="AG117" s="729"/>
      <c r="AH117" s="726"/>
      <c r="AI117" s="725"/>
    </row>
    <row r="118" spans="1:38" s="728" customFormat="1" ht="13.5" customHeight="1">
      <c r="A118" s="721"/>
      <c r="B118" s="708" t="s">
        <v>3173</v>
      </c>
      <c r="C118" s="710" t="s">
        <v>3174</v>
      </c>
      <c r="D118" s="709" t="s">
        <v>377</v>
      </c>
      <c r="E118" s="710" t="s">
        <v>3175</v>
      </c>
      <c r="F118" s="711">
        <v>43271</v>
      </c>
      <c r="G118" s="722">
        <v>15</v>
      </c>
      <c r="H118" s="723">
        <v>14</v>
      </c>
      <c r="I118" s="723">
        <v>16</v>
      </c>
      <c r="J118" s="722">
        <v>13.5</v>
      </c>
      <c r="K118" s="712">
        <f t="shared" si="32"/>
        <v>27703.599999999999</v>
      </c>
      <c r="L118" s="714">
        <v>6666.6670000000004</v>
      </c>
      <c r="M118" s="714">
        <v>34370.267</v>
      </c>
      <c r="N118" s="713">
        <f t="shared" si="33"/>
        <v>415554</v>
      </c>
      <c r="O118" s="714">
        <f t="shared" si="34"/>
        <v>100000.005</v>
      </c>
      <c r="P118" s="713">
        <f t="shared" si="35"/>
        <v>515554.005</v>
      </c>
      <c r="Q118" s="713"/>
      <c r="R118" s="723">
        <v>13.5</v>
      </c>
      <c r="S118" s="713">
        <v>439317.83999999997</v>
      </c>
      <c r="T118" s="713">
        <v>490294.84</v>
      </c>
      <c r="U118" s="713"/>
      <c r="V118" s="713">
        <v>1</v>
      </c>
      <c r="W118" s="617">
        <f t="shared" si="36"/>
        <v>13.5</v>
      </c>
      <c r="X118" s="715">
        <f t="shared" si="37"/>
        <v>463998.60450000002</v>
      </c>
      <c r="Y118" s="716">
        <f t="shared" si="38"/>
        <v>-9.9999999999999978E-2</v>
      </c>
      <c r="Z118" s="2420" t="s">
        <v>3212</v>
      </c>
      <c r="AA118" s="2421" t="s">
        <v>3213</v>
      </c>
      <c r="AB118" s="719">
        <f t="shared" si="39"/>
        <v>515554.005</v>
      </c>
      <c r="AG118" s="729"/>
      <c r="AH118" s="726"/>
      <c r="AI118" s="725"/>
    </row>
    <row r="119" spans="1:38" s="728" customFormat="1" ht="13.5" customHeight="1">
      <c r="A119" s="721"/>
      <c r="B119" s="708" t="s">
        <v>3144</v>
      </c>
      <c r="C119" s="710" t="s">
        <v>3142</v>
      </c>
      <c r="D119" s="709" t="s">
        <v>377</v>
      </c>
      <c r="E119" s="710" t="s">
        <v>3176</v>
      </c>
      <c r="F119" s="711">
        <v>43271</v>
      </c>
      <c r="G119" s="722">
        <v>16</v>
      </c>
      <c r="H119" s="723">
        <v>14</v>
      </c>
      <c r="I119" s="723">
        <v>16</v>
      </c>
      <c r="J119" s="722">
        <v>24.17</v>
      </c>
      <c r="K119" s="712">
        <f t="shared" si="32"/>
        <v>26136.225999999999</v>
      </c>
      <c r="L119" s="714">
        <v>6399.9989999999998</v>
      </c>
      <c r="M119" s="714">
        <v>32536.224999999999</v>
      </c>
      <c r="N119" s="713">
        <f t="shared" si="33"/>
        <v>418179.61599999998</v>
      </c>
      <c r="O119" s="714">
        <f t="shared" si="34"/>
        <v>102399.984</v>
      </c>
      <c r="P119" s="713">
        <f t="shared" si="35"/>
        <v>520579.6</v>
      </c>
      <c r="Q119" s="713"/>
      <c r="R119" s="723">
        <v>24.17</v>
      </c>
      <c r="S119" s="713">
        <v>809603.7300000001</v>
      </c>
      <c r="T119" s="713">
        <v>859639.73</v>
      </c>
      <c r="U119" s="713"/>
      <c r="V119" s="713">
        <v>1</v>
      </c>
      <c r="W119" s="617">
        <f t="shared" si="36"/>
        <v>24.17</v>
      </c>
      <c r="X119" s="715">
        <f t="shared" si="37"/>
        <v>786400.55825</v>
      </c>
      <c r="Y119" s="716">
        <f t="shared" si="38"/>
        <v>0.51062500000000011</v>
      </c>
      <c r="Z119" s="2420" t="s">
        <v>3143</v>
      </c>
      <c r="AA119" s="2421" t="s">
        <v>3145</v>
      </c>
      <c r="AB119" s="719">
        <f t="shared" si="39"/>
        <v>520579.6</v>
      </c>
      <c r="AG119" s="729"/>
      <c r="AH119" s="726"/>
      <c r="AI119" s="725"/>
    </row>
    <row r="120" spans="1:38" s="728" customFormat="1" ht="13.5" customHeight="1">
      <c r="A120" s="721"/>
      <c r="B120" s="708" t="s">
        <v>3177</v>
      </c>
      <c r="C120" s="710" t="s">
        <v>3178</v>
      </c>
      <c r="D120" s="709" t="s">
        <v>377</v>
      </c>
      <c r="E120" s="710" t="s">
        <v>3179</v>
      </c>
      <c r="F120" s="711">
        <v>43270</v>
      </c>
      <c r="G120" s="722">
        <v>17</v>
      </c>
      <c r="H120" s="723">
        <v>15</v>
      </c>
      <c r="I120" s="723">
        <v>17</v>
      </c>
      <c r="J120" s="722">
        <v>20.3</v>
      </c>
      <c r="K120" s="712">
        <f t="shared" si="32"/>
        <v>29564.527000000002</v>
      </c>
      <c r="L120" s="714">
        <v>6250</v>
      </c>
      <c r="M120" s="714">
        <v>35814.527000000002</v>
      </c>
      <c r="N120" s="713">
        <f t="shared" si="33"/>
        <v>502596.95900000003</v>
      </c>
      <c r="O120" s="714">
        <f t="shared" si="34"/>
        <v>106250</v>
      </c>
      <c r="P120" s="713">
        <f t="shared" si="35"/>
        <v>608846.95900000003</v>
      </c>
      <c r="Q120" s="713"/>
      <c r="R120" s="723">
        <v>20.34</v>
      </c>
      <c r="S120" s="713">
        <v>747536.2300000001</v>
      </c>
      <c r="T120" s="713">
        <v>771739.23</v>
      </c>
      <c r="U120" s="713"/>
      <c r="V120" s="713">
        <v>1</v>
      </c>
      <c r="W120" s="617">
        <f t="shared" si="36"/>
        <v>20.3</v>
      </c>
      <c r="X120" s="715">
        <f t="shared" si="37"/>
        <v>727034.89810000011</v>
      </c>
      <c r="Y120" s="716">
        <f t="shared" si="38"/>
        <v>0.19411764705882373</v>
      </c>
      <c r="Z120" s="2420" t="s">
        <v>3214</v>
      </c>
      <c r="AA120" s="2421" t="s">
        <v>3215</v>
      </c>
      <c r="AB120" s="719">
        <f t="shared" si="39"/>
        <v>608846.95900000003</v>
      </c>
      <c r="AG120" s="729"/>
      <c r="AH120" s="726"/>
      <c r="AI120" s="725"/>
    </row>
    <row r="121" spans="1:38" s="728" customFormat="1" ht="13.5" customHeight="1">
      <c r="A121" s="721"/>
      <c r="B121" s="708" t="s">
        <v>3180</v>
      </c>
      <c r="C121" s="710" t="s">
        <v>3181</v>
      </c>
      <c r="D121" s="709" t="s">
        <v>377</v>
      </c>
      <c r="E121" s="710" t="s">
        <v>3182</v>
      </c>
      <c r="F121" s="711">
        <v>43243</v>
      </c>
      <c r="G121" s="722">
        <v>18</v>
      </c>
      <c r="H121" s="723">
        <v>17</v>
      </c>
      <c r="I121" s="723">
        <v>19</v>
      </c>
      <c r="J121" s="722">
        <v>19.22</v>
      </c>
      <c r="K121" s="712">
        <f t="shared" si="32"/>
        <v>6270.5689999999995</v>
      </c>
      <c r="L121" s="714">
        <v>8477.777</v>
      </c>
      <c r="M121" s="714">
        <v>14748.346</v>
      </c>
      <c r="N121" s="713">
        <f t="shared" si="33"/>
        <v>112870.242</v>
      </c>
      <c r="O121" s="714">
        <f t="shared" si="34"/>
        <v>152599.986</v>
      </c>
      <c r="P121" s="713">
        <f t="shared" si="35"/>
        <v>265470.228</v>
      </c>
      <c r="Q121" s="713"/>
      <c r="R121" s="723">
        <v>17.350000000000001</v>
      </c>
      <c r="S121" s="713">
        <v>857908.89</v>
      </c>
      <c r="T121" s="713">
        <v>947392.89</v>
      </c>
      <c r="U121" s="713"/>
      <c r="V121" s="713">
        <v>1</v>
      </c>
      <c r="W121" s="617">
        <f t="shared" si="36"/>
        <v>19.22</v>
      </c>
      <c r="X121" s="715">
        <f t="shared" si="37"/>
        <v>283463.21012</v>
      </c>
      <c r="Y121" s="716">
        <f t="shared" si="38"/>
        <v>6.7777777777777715E-2</v>
      </c>
      <c r="Z121" s="2420" t="s">
        <v>3216</v>
      </c>
      <c r="AA121" s="2421" t="s">
        <v>3217</v>
      </c>
      <c r="AB121" s="719">
        <f t="shared" si="39"/>
        <v>265470.228</v>
      </c>
      <c r="AG121" s="729"/>
      <c r="AH121" s="726"/>
      <c r="AI121" s="725"/>
    </row>
    <row r="122" spans="1:38" s="728" customFormat="1" ht="13.5" customHeight="1">
      <c r="A122" s="721"/>
      <c r="B122" s="708" t="s">
        <v>2874</v>
      </c>
      <c r="C122" s="710" t="s">
        <v>2875</v>
      </c>
      <c r="D122" s="709" t="s">
        <v>377</v>
      </c>
      <c r="E122" s="710" t="s">
        <v>2876</v>
      </c>
      <c r="F122" s="711">
        <v>43187</v>
      </c>
      <c r="G122" s="722">
        <v>5</v>
      </c>
      <c r="H122" s="723">
        <v>4</v>
      </c>
      <c r="I122" s="723">
        <v>6</v>
      </c>
      <c r="J122" s="722">
        <v>4.7</v>
      </c>
      <c r="K122" s="712">
        <f t="shared" ref="K122:K154" si="40">+M122-L122</f>
        <v>11755.004000000001</v>
      </c>
      <c r="L122" s="714">
        <v>1280</v>
      </c>
      <c r="M122" s="714">
        <v>13035.004000000001</v>
      </c>
      <c r="N122" s="713">
        <f t="shared" ref="N122:N154" si="41">+G122*K122</f>
        <v>58775.020000000004</v>
      </c>
      <c r="O122" s="714">
        <f t="shared" si="34"/>
        <v>6400</v>
      </c>
      <c r="P122" s="713">
        <f t="shared" ref="P122:P154" si="42">+N122+O122</f>
        <v>65175.020000000004</v>
      </c>
      <c r="Q122" s="713"/>
      <c r="R122" s="723">
        <v>4.7</v>
      </c>
      <c r="S122" s="713">
        <v>61264.52</v>
      </c>
      <c r="T122" s="713">
        <v>60891.97</v>
      </c>
      <c r="U122" s="713"/>
      <c r="V122" s="713">
        <v>1</v>
      </c>
      <c r="W122" s="617">
        <f>J122</f>
        <v>4.7</v>
      </c>
      <c r="X122" s="715">
        <f>W122*M122</f>
        <v>61264.518800000005</v>
      </c>
      <c r="Y122" s="716">
        <f>X122/P122-1</f>
        <v>-5.9999999999999942E-2</v>
      </c>
      <c r="Z122" s="727" t="s">
        <v>2894</v>
      </c>
      <c r="AA122" s="718" t="s">
        <v>2895</v>
      </c>
      <c r="AB122" s="719">
        <f t="shared" ref="AB122:AB154" si="43">+N122+O122</f>
        <v>65175.020000000004</v>
      </c>
      <c r="AG122" s="729"/>
      <c r="AH122" s="726"/>
      <c r="AI122" s="725"/>
    </row>
    <row r="123" spans="1:38" s="728" customFormat="1" ht="13.5" customHeight="1">
      <c r="A123" s="721"/>
      <c r="B123" s="708" t="s">
        <v>1709</v>
      </c>
      <c r="C123" s="710" t="s">
        <v>1710</v>
      </c>
      <c r="D123" s="709" t="s">
        <v>377</v>
      </c>
      <c r="E123" s="710" t="s">
        <v>1711</v>
      </c>
      <c r="F123" s="711">
        <v>43131</v>
      </c>
      <c r="G123" s="722">
        <v>12</v>
      </c>
      <c r="H123" s="723">
        <v>11</v>
      </c>
      <c r="I123" s="723">
        <v>13</v>
      </c>
      <c r="J123" s="722">
        <v>10.77</v>
      </c>
      <c r="K123" s="712">
        <f t="shared" si="40"/>
        <v>11735.069</v>
      </c>
      <c r="L123" s="714">
        <v>6250</v>
      </c>
      <c r="M123" s="714">
        <v>17985.069</v>
      </c>
      <c r="N123" s="713">
        <f t="shared" si="41"/>
        <v>140820.82799999998</v>
      </c>
      <c r="O123" s="714">
        <f t="shared" si="34"/>
        <v>75000</v>
      </c>
      <c r="P123" s="713">
        <f t="shared" si="42"/>
        <v>215820.82799999998</v>
      </c>
      <c r="Q123" s="713"/>
      <c r="R123" s="723">
        <v>10.77</v>
      </c>
      <c r="S123" s="713">
        <v>203796.06999999998</v>
      </c>
      <c r="T123" s="713">
        <v>376392.06</v>
      </c>
      <c r="U123" s="713"/>
      <c r="V123" s="700">
        <v>1</v>
      </c>
      <c r="W123" s="617">
        <f t="shared" ref="W123:W154" si="44">J123</f>
        <v>10.77</v>
      </c>
      <c r="X123" s="715">
        <f t="shared" ref="X123:X154" si="45">W123*M123</f>
        <v>193699.19313</v>
      </c>
      <c r="Y123" s="716">
        <f t="shared" ref="Y123:Y154" si="46">X123/P123-1</f>
        <v>-0.10249999999999992</v>
      </c>
      <c r="Z123" s="717" t="s">
        <v>1712</v>
      </c>
      <c r="AA123" s="718" t="s">
        <v>1713</v>
      </c>
      <c r="AB123" s="719">
        <f t="shared" si="43"/>
        <v>215820.82799999998</v>
      </c>
      <c r="AC123" s="699"/>
      <c r="AD123" s="699"/>
      <c r="AE123" s="699"/>
      <c r="AF123" s="714"/>
      <c r="AG123" s="726"/>
      <c r="AH123" s="725"/>
      <c r="AI123" s="699"/>
      <c r="AJ123" s="699"/>
      <c r="AK123" s="699"/>
    </row>
    <row r="124" spans="1:38" s="728" customFormat="1" ht="13.5" customHeight="1">
      <c r="A124" s="721"/>
      <c r="B124" s="708" t="s">
        <v>1714</v>
      </c>
      <c r="C124" s="710" t="s">
        <v>1715</v>
      </c>
      <c r="D124" s="709" t="s">
        <v>822</v>
      </c>
      <c r="E124" s="710" t="s">
        <v>1716</v>
      </c>
      <c r="F124" s="711">
        <v>43125</v>
      </c>
      <c r="G124" s="722">
        <v>15</v>
      </c>
      <c r="H124" s="723">
        <v>14</v>
      </c>
      <c r="I124" s="723">
        <v>16</v>
      </c>
      <c r="J124" s="722">
        <v>16.5</v>
      </c>
      <c r="K124" s="712">
        <f t="shared" si="40"/>
        <v>21529.647999999997</v>
      </c>
      <c r="L124" s="714">
        <v>5666.6670000000004</v>
      </c>
      <c r="M124" s="714">
        <v>27196.314999999999</v>
      </c>
      <c r="N124" s="713">
        <f t="shared" si="41"/>
        <v>322944.71999999997</v>
      </c>
      <c r="O124" s="714">
        <f t="shared" si="34"/>
        <v>85000.005000000005</v>
      </c>
      <c r="P124" s="713">
        <f t="shared" si="42"/>
        <v>407944.72499999998</v>
      </c>
      <c r="Q124" s="713"/>
      <c r="R124" s="723">
        <v>16.5</v>
      </c>
      <c r="S124" s="713">
        <v>448739.19999999995</v>
      </c>
      <c r="T124" s="713">
        <v>454538.2</v>
      </c>
      <c r="U124" s="713"/>
      <c r="V124" s="700">
        <v>1</v>
      </c>
      <c r="W124" s="617">
        <f t="shared" si="44"/>
        <v>16.5</v>
      </c>
      <c r="X124" s="715">
        <f t="shared" si="45"/>
        <v>448739.19749999995</v>
      </c>
      <c r="Y124" s="716">
        <f t="shared" si="46"/>
        <v>9.9999999999999867E-2</v>
      </c>
      <c r="Z124" s="717" t="s">
        <v>1717</v>
      </c>
      <c r="AA124" s="718" t="s">
        <v>1718</v>
      </c>
      <c r="AB124" s="719">
        <f t="shared" si="43"/>
        <v>407944.72499999998</v>
      </c>
      <c r="AC124" s="699"/>
      <c r="AD124" s="699"/>
      <c r="AE124" s="699"/>
      <c r="AF124" s="714"/>
      <c r="AG124" s="726"/>
      <c r="AH124" s="725"/>
      <c r="AI124" s="699"/>
      <c r="AJ124" s="699"/>
      <c r="AK124" s="699"/>
    </row>
    <row r="125" spans="1:38" s="728" customFormat="1" ht="13.5" customHeight="1">
      <c r="A125" s="721"/>
      <c r="B125" s="708" t="s">
        <v>1719</v>
      </c>
      <c r="C125" s="710" t="s">
        <v>1720</v>
      </c>
      <c r="D125" s="709" t="s">
        <v>377</v>
      </c>
      <c r="E125" s="710" t="s">
        <v>1721</v>
      </c>
      <c r="F125" s="711">
        <v>43124</v>
      </c>
      <c r="G125" s="722">
        <v>17</v>
      </c>
      <c r="H125" s="723">
        <v>14</v>
      </c>
      <c r="I125" s="723">
        <v>16</v>
      </c>
      <c r="J125" s="722">
        <v>36.49</v>
      </c>
      <c r="K125" s="712">
        <f t="shared" si="40"/>
        <v>14927.998</v>
      </c>
      <c r="L125" s="714">
        <v>7000</v>
      </c>
      <c r="M125" s="714">
        <v>21927.998</v>
      </c>
      <c r="N125" s="713">
        <f t="shared" si="41"/>
        <v>253775.96599999999</v>
      </c>
      <c r="O125" s="714">
        <f t="shared" si="34"/>
        <v>119000</v>
      </c>
      <c r="P125" s="713">
        <f t="shared" si="42"/>
        <v>372775.96600000001</v>
      </c>
      <c r="Q125" s="713"/>
      <c r="R125" s="723">
        <v>36.49</v>
      </c>
      <c r="S125" s="713">
        <v>838467.14999999991</v>
      </c>
      <c r="T125" s="713">
        <v>874250.14999999991</v>
      </c>
      <c r="U125" s="713"/>
      <c r="V125" s="700">
        <v>1</v>
      </c>
      <c r="W125" s="617">
        <f t="shared" si="44"/>
        <v>36.49</v>
      </c>
      <c r="X125" s="715">
        <f t="shared" si="45"/>
        <v>800152.64702000003</v>
      </c>
      <c r="Y125" s="716">
        <f t="shared" si="46"/>
        <v>1.1464705882352941</v>
      </c>
      <c r="Z125" s="717" t="s">
        <v>1722</v>
      </c>
      <c r="AA125" s="718" t="s">
        <v>1723</v>
      </c>
      <c r="AB125" s="719">
        <f t="shared" si="43"/>
        <v>372775.96600000001</v>
      </c>
      <c r="AC125" s="699"/>
      <c r="AD125" s="699"/>
      <c r="AE125" s="699"/>
      <c r="AF125" s="714"/>
      <c r="AG125" s="726"/>
      <c r="AH125" s="725"/>
      <c r="AI125" s="699"/>
      <c r="AJ125" s="699"/>
      <c r="AK125" s="699"/>
    </row>
    <row r="126" spans="1:38" s="728" customFormat="1" ht="13.5" customHeight="1">
      <c r="A126" s="721"/>
      <c r="B126" s="708" t="s">
        <v>1724</v>
      </c>
      <c r="C126" s="710" t="s">
        <v>1725</v>
      </c>
      <c r="D126" s="709" t="s">
        <v>377</v>
      </c>
      <c r="E126" s="710" t="s">
        <v>1726</v>
      </c>
      <c r="F126" s="711">
        <v>43124</v>
      </c>
      <c r="G126" s="722">
        <v>10</v>
      </c>
      <c r="H126" s="723">
        <v>10</v>
      </c>
      <c r="I126" s="723">
        <v>12</v>
      </c>
      <c r="J126" s="722">
        <v>8.8699999999999992</v>
      </c>
      <c r="K126" s="712">
        <f t="shared" si="40"/>
        <v>7206.7710000000006</v>
      </c>
      <c r="L126" s="714">
        <v>2730</v>
      </c>
      <c r="M126" s="714">
        <v>9936.7710000000006</v>
      </c>
      <c r="N126" s="713">
        <f t="shared" si="41"/>
        <v>72067.710000000006</v>
      </c>
      <c r="O126" s="714">
        <f t="shared" si="34"/>
        <v>27300</v>
      </c>
      <c r="P126" s="713">
        <f t="shared" si="42"/>
        <v>99367.71</v>
      </c>
      <c r="Q126" s="713"/>
      <c r="R126" s="723">
        <v>8.8699999999999992</v>
      </c>
      <c r="S126" s="713">
        <v>88139.16</v>
      </c>
      <c r="T126" s="713">
        <v>87143.150000000009</v>
      </c>
      <c r="U126" s="713"/>
      <c r="V126" s="700">
        <v>1</v>
      </c>
      <c r="W126" s="617">
        <f t="shared" si="44"/>
        <v>8.8699999999999992</v>
      </c>
      <c r="X126" s="715">
        <f t="shared" si="45"/>
        <v>88139.158769999995</v>
      </c>
      <c r="Y126" s="716">
        <f t="shared" si="46"/>
        <v>-0.1130000000000001</v>
      </c>
      <c r="Z126" s="727" t="s">
        <v>1727</v>
      </c>
      <c r="AA126" s="718" t="s">
        <v>1728</v>
      </c>
      <c r="AB126" s="719">
        <f t="shared" si="43"/>
        <v>99367.71</v>
      </c>
      <c r="AG126" s="729"/>
      <c r="AH126" s="726"/>
      <c r="AI126" s="725"/>
    </row>
    <row r="127" spans="1:38" s="728" customFormat="1" ht="13.5" customHeight="1">
      <c r="A127" s="721"/>
      <c r="B127" s="708" t="s">
        <v>1183</v>
      </c>
      <c r="C127" s="710" t="s">
        <v>1184</v>
      </c>
      <c r="D127" s="709" t="s">
        <v>377</v>
      </c>
      <c r="E127" s="710" t="s">
        <v>1185</v>
      </c>
      <c r="F127" s="711">
        <v>43075</v>
      </c>
      <c r="G127" s="723">
        <v>24</v>
      </c>
      <c r="H127" s="723">
        <v>24</v>
      </c>
      <c r="I127" s="723">
        <v>27</v>
      </c>
      <c r="J127" s="723">
        <v>22.72</v>
      </c>
      <c r="K127" s="713">
        <f t="shared" si="40"/>
        <v>20640.356</v>
      </c>
      <c r="L127" s="714">
        <v>6250</v>
      </c>
      <c r="M127" s="714">
        <v>26890.356</v>
      </c>
      <c r="N127" s="713">
        <f t="shared" si="41"/>
        <v>495368.54399999999</v>
      </c>
      <c r="O127" s="714">
        <f t="shared" ref="O127:O158" si="47">+G127*L127</f>
        <v>150000</v>
      </c>
      <c r="P127" s="713">
        <f t="shared" si="42"/>
        <v>645368.54399999999</v>
      </c>
      <c r="Q127" s="713"/>
      <c r="R127" s="723">
        <v>15.84</v>
      </c>
      <c r="S127" s="713">
        <v>432929.84</v>
      </c>
      <c r="T127" s="713">
        <v>358425.83999999997</v>
      </c>
      <c r="U127" s="713"/>
      <c r="V127" s="700">
        <v>1</v>
      </c>
      <c r="W127" s="617">
        <f t="shared" si="44"/>
        <v>22.72</v>
      </c>
      <c r="X127" s="715">
        <f t="shared" si="45"/>
        <v>610948.88831999991</v>
      </c>
      <c r="Y127" s="716">
        <f t="shared" si="46"/>
        <v>-5.3333333333333455E-2</v>
      </c>
      <c r="Z127" s="717" t="s">
        <v>1186</v>
      </c>
      <c r="AA127" s="718" t="s">
        <v>1187</v>
      </c>
      <c r="AB127" s="719">
        <f t="shared" si="43"/>
        <v>645368.54399999999</v>
      </c>
      <c r="AC127" s="704"/>
      <c r="AD127" s="699"/>
      <c r="AE127" s="699"/>
      <c r="AF127" s="699"/>
      <c r="AG127" s="714"/>
      <c r="AH127" s="726"/>
      <c r="AI127" s="725"/>
      <c r="AJ127" s="699"/>
      <c r="AK127" s="699"/>
      <c r="AL127" s="699"/>
    </row>
    <row r="128" spans="1:38" s="728" customFormat="1" ht="13.5" customHeight="1">
      <c r="A128" s="721"/>
      <c r="B128" s="708" t="s">
        <v>1128</v>
      </c>
      <c r="C128" s="710" t="s">
        <v>1129</v>
      </c>
      <c r="D128" s="709" t="s">
        <v>377</v>
      </c>
      <c r="E128" s="710" t="s">
        <v>1130</v>
      </c>
      <c r="F128" s="711">
        <v>43054</v>
      </c>
      <c r="G128" s="723">
        <v>10</v>
      </c>
      <c r="H128" s="723">
        <v>15</v>
      </c>
      <c r="I128" s="723">
        <v>17</v>
      </c>
      <c r="J128" s="723">
        <v>11.2</v>
      </c>
      <c r="K128" s="713">
        <f t="shared" si="40"/>
        <v>9694.3829999999998</v>
      </c>
      <c r="L128" s="714">
        <v>4000</v>
      </c>
      <c r="M128" s="714">
        <v>13694.383</v>
      </c>
      <c r="N128" s="713">
        <f t="shared" si="41"/>
        <v>96943.83</v>
      </c>
      <c r="O128" s="714">
        <f t="shared" si="47"/>
        <v>40000</v>
      </c>
      <c r="P128" s="713">
        <f t="shared" si="42"/>
        <v>136943.83000000002</v>
      </c>
      <c r="Q128" s="713"/>
      <c r="R128" s="723">
        <v>12.91</v>
      </c>
      <c r="S128" s="713">
        <v>184540.49000000002</v>
      </c>
      <c r="T128" s="713">
        <v>261656.47999999998</v>
      </c>
      <c r="U128" s="713"/>
      <c r="V128" s="700">
        <v>1</v>
      </c>
      <c r="W128" s="617">
        <f t="shared" si="44"/>
        <v>11.2</v>
      </c>
      <c r="X128" s="715">
        <f t="shared" si="45"/>
        <v>153377.08959999998</v>
      </c>
      <c r="Y128" s="716">
        <f t="shared" si="46"/>
        <v>0.11999999999999966</v>
      </c>
      <c r="Z128" s="717" t="s">
        <v>1131</v>
      </c>
      <c r="AA128" s="718" t="s">
        <v>1132</v>
      </c>
      <c r="AB128" s="719">
        <f t="shared" si="43"/>
        <v>136943.83000000002</v>
      </c>
      <c r="AC128" s="704"/>
      <c r="AD128" s="699"/>
      <c r="AE128" s="699"/>
      <c r="AF128" s="699"/>
      <c r="AG128" s="714"/>
      <c r="AH128" s="726"/>
      <c r="AI128" s="725"/>
      <c r="AJ128" s="699"/>
      <c r="AK128" s="699"/>
      <c r="AL128" s="699"/>
    </row>
    <row r="129" spans="1:69" s="728" customFormat="1" ht="13.5" customHeight="1">
      <c r="A129" s="721"/>
      <c r="B129" s="708" t="s">
        <v>1133</v>
      </c>
      <c r="C129" s="710" t="s">
        <v>1134</v>
      </c>
      <c r="D129" s="709" t="s">
        <v>377</v>
      </c>
      <c r="E129" s="710" t="s">
        <v>1135</v>
      </c>
      <c r="F129" s="711">
        <v>43047</v>
      </c>
      <c r="G129" s="723">
        <v>15</v>
      </c>
      <c r="H129" s="723">
        <v>14</v>
      </c>
      <c r="I129" s="723">
        <v>16</v>
      </c>
      <c r="J129" s="723">
        <v>19.190000000000001</v>
      </c>
      <c r="K129" s="713">
        <f t="shared" si="40"/>
        <v>16743.972000000002</v>
      </c>
      <c r="L129" s="714">
        <v>6667</v>
      </c>
      <c r="M129" s="714">
        <v>23410.972000000002</v>
      </c>
      <c r="N129" s="713">
        <f t="shared" si="41"/>
        <v>251159.58000000002</v>
      </c>
      <c r="O129" s="714">
        <f t="shared" si="47"/>
        <v>100005</v>
      </c>
      <c r="P129" s="713">
        <f t="shared" si="42"/>
        <v>351164.58</v>
      </c>
      <c r="Q129" s="713"/>
      <c r="R129" s="723">
        <v>22.55</v>
      </c>
      <c r="S129" s="713">
        <v>527917.42000000004</v>
      </c>
      <c r="T129" s="713">
        <v>569687.9</v>
      </c>
      <c r="U129" s="713"/>
      <c r="V129" s="700">
        <v>1</v>
      </c>
      <c r="W129" s="617">
        <f t="shared" si="44"/>
        <v>19.190000000000001</v>
      </c>
      <c r="X129" s="715">
        <f t="shared" si="45"/>
        <v>449256.55268000008</v>
      </c>
      <c r="Y129" s="716">
        <f t="shared" si="46"/>
        <v>0.27933333333333343</v>
      </c>
      <c r="Z129" s="717" t="s">
        <v>1136</v>
      </c>
      <c r="AA129" s="718" t="s">
        <v>1137</v>
      </c>
      <c r="AB129" s="719">
        <f t="shared" si="43"/>
        <v>351164.58</v>
      </c>
      <c r="AC129" s="704"/>
      <c r="AD129" s="699"/>
      <c r="AE129" s="699"/>
      <c r="AF129" s="699"/>
      <c r="AG129" s="714"/>
      <c r="AH129" s="726"/>
      <c r="AI129" s="725"/>
      <c r="AJ129" s="699"/>
      <c r="AK129" s="699"/>
      <c r="AL129" s="699"/>
    </row>
    <row r="130" spans="1:69" s="728" customFormat="1" ht="13.5" customHeight="1">
      <c r="A130" s="721"/>
      <c r="B130" s="708" t="s">
        <v>1138</v>
      </c>
      <c r="C130" s="710" t="s">
        <v>1139</v>
      </c>
      <c r="D130" s="709" t="s">
        <v>377</v>
      </c>
      <c r="E130" s="710" t="s">
        <v>1140</v>
      </c>
      <c r="F130" s="711">
        <v>43047</v>
      </c>
      <c r="G130" s="723">
        <v>14</v>
      </c>
      <c r="H130" s="723">
        <v>13</v>
      </c>
      <c r="I130" s="723">
        <v>15</v>
      </c>
      <c r="J130" s="723">
        <v>14.38</v>
      </c>
      <c r="K130" s="713">
        <f t="shared" si="40"/>
        <v>38542.936999999998</v>
      </c>
      <c r="L130" s="714">
        <v>10714</v>
      </c>
      <c r="M130" s="714">
        <v>49256.936999999998</v>
      </c>
      <c r="N130" s="713">
        <f t="shared" si="41"/>
        <v>539601.11800000002</v>
      </c>
      <c r="O130" s="714">
        <f t="shared" si="47"/>
        <v>149996</v>
      </c>
      <c r="P130" s="713">
        <f t="shared" si="42"/>
        <v>689597.11800000002</v>
      </c>
      <c r="Q130" s="713"/>
      <c r="R130" s="723">
        <v>15.01</v>
      </c>
      <c r="S130" s="713">
        <v>755515.62</v>
      </c>
      <c r="T130" s="713">
        <v>854182.55</v>
      </c>
      <c r="U130" s="713"/>
      <c r="V130" s="700">
        <v>1</v>
      </c>
      <c r="W130" s="617">
        <f t="shared" si="44"/>
        <v>14.38</v>
      </c>
      <c r="X130" s="715">
        <f t="shared" si="45"/>
        <v>708314.75406000006</v>
      </c>
      <c r="Y130" s="716">
        <f t="shared" si="46"/>
        <v>2.7142857142857135E-2</v>
      </c>
      <c r="Z130" s="717" t="s">
        <v>1141</v>
      </c>
      <c r="AA130" s="718" t="s">
        <v>1142</v>
      </c>
      <c r="AB130" s="719">
        <f t="shared" si="43"/>
        <v>689597.11800000002</v>
      </c>
      <c r="AC130" s="704"/>
      <c r="AD130" s="699"/>
      <c r="AE130" s="699"/>
      <c r="AF130" s="699"/>
      <c r="AG130" s="714"/>
      <c r="AH130" s="726"/>
      <c r="AI130" s="725"/>
      <c r="AJ130" s="699"/>
      <c r="AK130" s="699"/>
      <c r="AL130" s="699"/>
    </row>
    <row r="131" spans="1:69" s="728" customFormat="1" ht="13.5" customHeight="1">
      <c r="A131" s="721"/>
      <c r="B131" s="708" t="s">
        <v>1203</v>
      </c>
      <c r="C131" s="710" t="s">
        <v>1204</v>
      </c>
      <c r="D131" s="709" t="s">
        <v>377</v>
      </c>
      <c r="E131" s="710" t="s">
        <v>1205</v>
      </c>
      <c r="F131" s="711">
        <v>43040</v>
      </c>
      <c r="G131" s="723">
        <v>14</v>
      </c>
      <c r="H131" s="723">
        <v>14</v>
      </c>
      <c r="I131" s="723">
        <v>16</v>
      </c>
      <c r="J131" s="723">
        <v>14</v>
      </c>
      <c r="K131" s="713">
        <f t="shared" si="40"/>
        <v>15288.515000000003</v>
      </c>
      <c r="L131" s="714">
        <v>5333.3329999999996</v>
      </c>
      <c r="M131" s="714">
        <v>20621.848000000002</v>
      </c>
      <c r="N131" s="713">
        <f t="shared" si="41"/>
        <v>214039.21000000005</v>
      </c>
      <c r="O131" s="714">
        <f t="shared" si="47"/>
        <v>74666.661999999997</v>
      </c>
      <c r="P131" s="713">
        <f t="shared" si="42"/>
        <v>288705.87200000003</v>
      </c>
      <c r="Q131" s="713"/>
      <c r="R131" s="723">
        <v>7.36</v>
      </c>
      <c r="S131" s="713">
        <v>152133.07</v>
      </c>
      <c r="T131" s="713">
        <v>223724.07</v>
      </c>
      <c r="U131" s="713"/>
      <c r="V131" s="700">
        <v>1</v>
      </c>
      <c r="W131" s="617">
        <f t="shared" si="44"/>
        <v>14</v>
      </c>
      <c r="X131" s="715">
        <f t="shared" si="45"/>
        <v>288705.87200000003</v>
      </c>
      <c r="Y131" s="716">
        <f t="shared" si="46"/>
        <v>0</v>
      </c>
      <c r="Z131" s="717" t="s">
        <v>1206</v>
      </c>
      <c r="AA131" s="718" t="s">
        <v>1207</v>
      </c>
      <c r="AB131" s="719">
        <f t="shared" si="43"/>
        <v>288705.87200000003</v>
      </c>
      <c r="AC131" s="704"/>
      <c r="AD131" s="699"/>
      <c r="AE131" s="699"/>
      <c r="AF131" s="699"/>
      <c r="AG131" s="714"/>
      <c r="AH131" s="726"/>
      <c r="AI131" s="725"/>
      <c r="AJ131" s="699"/>
      <c r="AK131" s="699"/>
      <c r="AL131" s="699"/>
    </row>
    <row r="132" spans="1:69" s="728" customFormat="1" ht="13.5" customHeight="1">
      <c r="A132" s="721"/>
      <c r="B132" s="708" t="s">
        <v>1156</v>
      </c>
      <c r="C132" s="710" t="s">
        <v>1157</v>
      </c>
      <c r="D132" s="709" t="s">
        <v>377</v>
      </c>
      <c r="E132" s="710" t="s">
        <v>1158</v>
      </c>
      <c r="F132" s="711">
        <v>43012</v>
      </c>
      <c r="G132" s="723">
        <v>17</v>
      </c>
      <c r="H132" s="723">
        <v>14</v>
      </c>
      <c r="I132" s="723">
        <v>16</v>
      </c>
      <c r="J132" s="723">
        <v>25.89</v>
      </c>
      <c r="K132" s="713">
        <f t="shared" si="40"/>
        <v>20081.484</v>
      </c>
      <c r="L132" s="714">
        <v>7050</v>
      </c>
      <c r="M132" s="714">
        <v>27131.484</v>
      </c>
      <c r="N132" s="713">
        <f t="shared" si="41"/>
        <v>341385.228</v>
      </c>
      <c r="O132" s="714">
        <f t="shared" si="47"/>
        <v>119850</v>
      </c>
      <c r="P132" s="713">
        <f t="shared" si="42"/>
        <v>461235.228</v>
      </c>
      <c r="Q132" s="713"/>
      <c r="R132" s="723">
        <v>25.71</v>
      </c>
      <c r="S132" s="713">
        <v>701475.24</v>
      </c>
      <c r="T132" s="713">
        <v>752089.24</v>
      </c>
      <c r="U132" s="713"/>
      <c r="V132" s="700">
        <v>1</v>
      </c>
      <c r="W132" s="617">
        <f t="shared" si="44"/>
        <v>25.89</v>
      </c>
      <c r="X132" s="715">
        <f t="shared" si="45"/>
        <v>702434.12076000008</v>
      </c>
      <c r="Y132" s="716">
        <f t="shared" si="46"/>
        <v>0.52294117647058846</v>
      </c>
      <c r="Z132" s="717" t="s">
        <v>1159</v>
      </c>
      <c r="AA132" s="718" t="s">
        <v>1160</v>
      </c>
      <c r="AB132" s="719">
        <f t="shared" si="43"/>
        <v>461235.228</v>
      </c>
      <c r="AC132" s="704"/>
      <c r="AD132" s="699"/>
      <c r="AE132" s="699"/>
      <c r="AF132" s="699"/>
      <c r="AG132" s="714"/>
      <c r="AH132" s="726"/>
      <c r="AI132" s="725"/>
      <c r="AJ132" s="699"/>
      <c r="AK132" s="699"/>
      <c r="AL132" s="699"/>
    </row>
    <row r="133" spans="1:69" s="728" customFormat="1" ht="13.5" customHeight="1">
      <c r="A133" s="721"/>
      <c r="B133" s="708" t="s">
        <v>1208</v>
      </c>
      <c r="C133" s="710" t="s">
        <v>1209</v>
      </c>
      <c r="D133" s="709" t="s">
        <v>377</v>
      </c>
      <c r="E133" s="710" t="s">
        <v>1210</v>
      </c>
      <c r="F133" s="711">
        <v>42948</v>
      </c>
      <c r="G133" s="723">
        <v>15</v>
      </c>
      <c r="H133" s="723">
        <v>13</v>
      </c>
      <c r="I133" s="723">
        <v>15</v>
      </c>
      <c r="J133" s="723">
        <v>17</v>
      </c>
      <c r="K133" s="713">
        <f t="shared" si="40"/>
        <v>22526.583999999999</v>
      </c>
      <c r="L133" s="714">
        <v>8000</v>
      </c>
      <c r="M133" s="714">
        <v>30526.583999999999</v>
      </c>
      <c r="N133" s="713">
        <f t="shared" si="41"/>
        <v>337898.76</v>
      </c>
      <c r="O133" s="714">
        <f t="shared" si="47"/>
        <v>120000</v>
      </c>
      <c r="P133" s="713">
        <f t="shared" si="42"/>
        <v>457898.76</v>
      </c>
      <c r="Q133" s="713"/>
      <c r="R133" s="723">
        <v>15</v>
      </c>
      <c r="S133" s="713">
        <v>475763.76</v>
      </c>
      <c r="T133" s="713">
        <v>398525.56</v>
      </c>
      <c r="U133" s="713"/>
      <c r="V133" s="700">
        <v>1</v>
      </c>
      <c r="W133" s="617">
        <f t="shared" si="44"/>
        <v>17</v>
      </c>
      <c r="X133" s="715">
        <f t="shared" si="45"/>
        <v>518951.92799999996</v>
      </c>
      <c r="Y133" s="716">
        <f t="shared" si="46"/>
        <v>0.1333333333333333</v>
      </c>
      <c r="Z133" s="717" t="s">
        <v>1211</v>
      </c>
      <c r="AA133" s="718" t="s">
        <v>1212</v>
      </c>
      <c r="AB133" s="719">
        <f t="shared" si="43"/>
        <v>457898.76</v>
      </c>
      <c r="AC133" s="704"/>
      <c r="AD133" s="699"/>
      <c r="AE133" s="699"/>
      <c r="AF133" s="699"/>
      <c r="AG133" s="714"/>
      <c r="AH133" s="726"/>
      <c r="AI133" s="725"/>
      <c r="AJ133" s="699"/>
      <c r="AK133" s="699"/>
      <c r="AL133" s="699"/>
    </row>
    <row r="134" spans="1:69" s="728" customFormat="1" ht="13.5" customHeight="1">
      <c r="A134" s="721"/>
      <c r="B134" s="708" t="s">
        <v>1143</v>
      </c>
      <c r="C134" s="710" t="s">
        <v>1144</v>
      </c>
      <c r="D134" s="709" t="s">
        <v>822</v>
      </c>
      <c r="E134" s="710" t="s">
        <v>1145</v>
      </c>
      <c r="F134" s="711">
        <v>42942</v>
      </c>
      <c r="G134" s="723">
        <v>15</v>
      </c>
      <c r="H134" s="723">
        <v>14</v>
      </c>
      <c r="I134" s="723">
        <v>16</v>
      </c>
      <c r="J134" s="723">
        <v>24.1</v>
      </c>
      <c r="K134" s="713">
        <f t="shared" si="40"/>
        <v>15555</v>
      </c>
      <c r="L134" s="714">
        <v>4333</v>
      </c>
      <c r="M134" s="714">
        <v>19888</v>
      </c>
      <c r="N134" s="713">
        <f t="shared" si="41"/>
        <v>233325</v>
      </c>
      <c r="O134" s="714">
        <f t="shared" si="47"/>
        <v>64995</v>
      </c>
      <c r="P134" s="713">
        <f t="shared" si="42"/>
        <v>298320</v>
      </c>
      <c r="Q134" s="713"/>
      <c r="R134" s="723">
        <v>15.72</v>
      </c>
      <c r="S134" s="713">
        <v>316479.25</v>
      </c>
      <c r="T134" s="713">
        <v>227878.25</v>
      </c>
      <c r="U134" s="713"/>
      <c r="V134" s="700">
        <v>1</v>
      </c>
      <c r="W134" s="617">
        <f t="shared" si="44"/>
        <v>24.1</v>
      </c>
      <c r="X134" s="715">
        <f t="shared" si="45"/>
        <v>479300.80000000005</v>
      </c>
      <c r="Y134" s="716">
        <f t="shared" si="46"/>
        <v>0.60666666666666691</v>
      </c>
      <c r="Z134" s="717" t="s">
        <v>1145</v>
      </c>
      <c r="AA134" s="718" t="s">
        <v>1146</v>
      </c>
      <c r="AB134" s="719">
        <f t="shared" si="43"/>
        <v>298320</v>
      </c>
      <c r="AC134" s="704"/>
      <c r="AD134" s="699"/>
      <c r="AE134" s="699"/>
      <c r="AF134" s="699"/>
      <c r="AG134" s="714"/>
      <c r="AH134" s="726"/>
      <c r="AI134" s="725"/>
      <c r="AJ134" s="699"/>
      <c r="AK134" s="699"/>
      <c r="AL134" s="699"/>
    </row>
    <row r="135" spans="1:69" s="728" customFormat="1" ht="13.5" customHeight="1">
      <c r="A135" s="721"/>
      <c r="B135" s="708" t="s">
        <v>1147</v>
      </c>
      <c r="C135" s="710" t="s">
        <v>1148</v>
      </c>
      <c r="D135" s="709" t="s">
        <v>904</v>
      </c>
      <c r="E135" s="710" t="s">
        <v>1149</v>
      </c>
      <c r="F135" s="711">
        <v>42914</v>
      </c>
      <c r="G135" s="723">
        <v>15</v>
      </c>
      <c r="H135" s="723">
        <v>15</v>
      </c>
      <c r="I135" s="723">
        <v>17</v>
      </c>
      <c r="J135" s="723">
        <v>13.19</v>
      </c>
      <c r="K135" s="713">
        <f t="shared" si="40"/>
        <v>10960.208000000001</v>
      </c>
      <c r="L135" s="714">
        <v>3750</v>
      </c>
      <c r="M135" s="714">
        <v>14710.208000000001</v>
      </c>
      <c r="N135" s="713">
        <f t="shared" si="41"/>
        <v>164403.12</v>
      </c>
      <c r="O135" s="714">
        <f t="shared" si="47"/>
        <v>56250</v>
      </c>
      <c r="P135" s="713">
        <f t="shared" si="42"/>
        <v>220653.12</v>
      </c>
      <c r="Q135" s="713"/>
      <c r="R135" s="723">
        <v>7.73</v>
      </c>
      <c r="S135" s="713">
        <v>113776.22</v>
      </c>
      <c r="T135" s="713">
        <v>56911.22</v>
      </c>
      <c r="U135" s="713"/>
      <c r="V135" s="700">
        <v>1</v>
      </c>
      <c r="W135" s="617">
        <f t="shared" si="44"/>
        <v>13.19</v>
      </c>
      <c r="X135" s="715">
        <f t="shared" si="45"/>
        <v>194027.64352000001</v>
      </c>
      <c r="Y135" s="716">
        <f t="shared" si="46"/>
        <v>-0.12066666666666659</v>
      </c>
      <c r="Z135" s="717" t="s">
        <v>1213</v>
      </c>
      <c r="AA135" s="718" t="s">
        <v>1150</v>
      </c>
      <c r="AB135" s="719">
        <f t="shared" si="43"/>
        <v>220653.12</v>
      </c>
      <c r="AC135" s="704"/>
      <c r="AD135" s="699"/>
      <c r="AE135" s="699"/>
      <c r="AF135" s="699"/>
      <c r="AG135" s="714"/>
      <c r="AH135" s="726"/>
      <c r="AI135" s="725"/>
      <c r="AJ135" s="699"/>
      <c r="AK135" s="699"/>
      <c r="AL135" s="699"/>
    </row>
    <row r="136" spans="1:69" s="728" customFormat="1" ht="13.5" customHeight="1">
      <c r="A136" s="721"/>
      <c r="B136" s="708" t="s">
        <v>1151</v>
      </c>
      <c r="C136" s="710" t="s">
        <v>1152</v>
      </c>
      <c r="D136" s="709" t="s">
        <v>377</v>
      </c>
      <c r="E136" s="710" t="s">
        <v>1153</v>
      </c>
      <c r="F136" s="711">
        <v>42912</v>
      </c>
      <c r="G136" s="723">
        <v>6</v>
      </c>
      <c r="H136" s="723">
        <v>9</v>
      </c>
      <c r="I136" s="723">
        <v>11</v>
      </c>
      <c r="J136" s="723">
        <v>6.98</v>
      </c>
      <c r="K136" s="713">
        <f t="shared" si="40"/>
        <v>3341.4680000000008</v>
      </c>
      <c r="L136" s="714">
        <v>5500</v>
      </c>
      <c r="M136" s="714">
        <v>8841.4680000000008</v>
      </c>
      <c r="N136" s="713">
        <f t="shared" si="41"/>
        <v>20048.808000000005</v>
      </c>
      <c r="O136" s="714">
        <f t="shared" si="47"/>
        <v>33000</v>
      </c>
      <c r="P136" s="713">
        <f t="shared" si="42"/>
        <v>53048.808000000005</v>
      </c>
      <c r="Q136" s="713"/>
      <c r="R136" s="723">
        <v>3.67</v>
      </c>
      <c r="S136" s="713">
        <v>37673.189999999995</v>
      </c>
      <c r="T136" s="713">
        <v>11623.189999999999</v>
      </c>
      <c r="U136" s="713"/>
      <c r="V136" s="700">
        <v>1</v>
      </c>
      <c r="W136" s="617">
        <f t="shared" si="44"/>
        <v>6.98</v>
      </c>
      <c r="X136" s="715">
        <f t="shared" si="45"/>
        <v>61713.446640000009</v>
      </c>
      <c r="Y136" s="716">
        <f t="shared" si="46"/>
        <v>0.16333333333333333</v>
      </c>
      <c r="Z136" s="717" t="s">
        <v>1154</v>
      </c>
      <c r="AA136" s="718" t="s">
        <v>1155</v>
      </c>
      <c r="AB136" s="719">
        <f t="shared" si="43"/>
        <v>53048.808000000005</v>
      </c>
      <c r="AC136" s="704"/>
      <c r="AD136" s="699"/>
      <c r="AE136" s="699"/>
      <c r="AF136" s="699"/>
      <c r="AG136" s="714"/>
      <c r="AH136" s="726"/>
      <c r="AI136" s="725"/>
      <c r="AJ136" s="699"/>
      <c r="AK136" s="699"/>
      <c r="AL136" s="699"/>
    </row>
    <row r="137" spans="1:69" s="728" customFormat="1" ht="13.5" customHeight="1">
      <c r="A137" s="721"/>
      <c r="B137" s="708" t="s">
        <v>1089</v>
      </c>
      <c r="C137" s="710" t="s">
        <v>1090</v>
      </c>
      <c r="D137" s="709" t="s">
        <v>377</v>
      </c>
      <c r="E137" s="710" t="s">
        <v>1091</v>
      </c>
      <c r="F137" s="711">
        <v>42859</v>
      </c>
      <c r="G137" s="723">
        <v>15</v>
      </c>
      <c r="H137" s="723">
        <v>15</v>
      </c>
      <c r="I137" s="723">
        <v>17</v>
      </c>
      <c r="J137" s="723">
        <v>12.15</v>
      </c>
      <c r="K137" s="713">
        <f t="shared" si="40"/>
        <v>18851.937000000002</v>
      </c>
      <c r="L137" s="714">
        <v>5750</v>
      </c>
      <c r="M137" s="714">
        <v>24601.937000000002</v>
      </c>
      <c r="N137" s="713">
        <f t="shared" si="41"/>
        <v>282779.05500000005</v>
      </c>
      <c r="O137" s="714">
        <f t="shared" si="47"/>
        <v>86250</v>
      </c>
      <c r="P137" s="713">
        <f t="shared" si="42"/>
        <v>369029.05500000005</v>
      </c>
      <c r="Q137" s="713"/>
      <c r="R137" s="723">
        <v>6.73</v>
      </c>
      <c r="S137" s="713">
        <v>165580.15</v>
      </c>
      <c r="T137" s="713">
        <v>69537.38</v>
      </c>
      <c r="U137" s="713"/>
      <c r="V137" s="700">
        <v>1</v>
      </c>
      <c r="W137" s="617">
        <f t="shared" si="44"/>
        <v>12.15</v>
      </c>
      <c r="X137" s="715">
        <f t="shared" si="45"/>
        <v>298913.53455000004</v>
      </c>
      <c r="Y137" s="716">
        <f t="shared" si="46"/>
        <v>-0.19000000000000006</v>
      </c>
      <c r="Z137" s="727" t="s">
        <v>1092</v>
      </c>
      <c r="AA137" s="718" t="s">
        <v>1093</v>
      </c>
      <c r="AB137" s="719">
        <f t="shared" si="43"/>
        <v>369029.05500000005</v>
      </c>
      <c r="AG137" s="729"/>
      <c r="AH137" s="726"/>
      <c r="AI137" s="725"/>
    </row>
    <row r="138" spans="1:69" s="728" customFormat="1" ht="13.5" customHeight="1">
      <c r="A138" s="721"/>
      <c r="B138" s="708" t="s">
        <v>1214</v>
      </c>
      <c r="C138" s="710" t="s">
        <v>1215</v>
      </c>
      <c r="D138" s="709" t="s">
        <v>904</v>
      </c>
      <c r="E138" s="710" t="s">
        <v>1216</v>
      </c>
      <c r="F138" s="711">
        <v>42858</v>
      </c>
      <c r="G138" s="723">
        <v>13</v>
      </c>
      <c r="H138" s="723">
        <v>12</v>
      </c>
      <c r="I138" s="723">
        <v>14</v>
      </c>
      <c r="J138" s="723">
        <v>18.64</v>
      </c>
      <c r="K138" s="713">
        <f t="shared" si="40"/>
        <v>7499.17</v>
      </c>
      <c r="L138" s="714">
        <v>4473.3729999999996</v>
      </c>
      <c r="M138" s="714">
        <v>11972.543</v>
      </c>
      <c r="N138" s="713">
        <f t="shared" si="41"/>
        <v>97489.21</v>
      </c>
      <c r="O138" s="714">
        <f t="shared" si="47"/>
        <v>58153.848999999995</v>
      </c>
      <c r="P138" s="713">
        <f t="shared" si="42"/>
        <v>155643.05900000001</v>
      </c>
      <c r="Q138" s="713"/>
      <c r="R138" s="723">
        <v>48.89</v>
      </c>
      <c r="S138" s="713">
        <v>743851.77</v>
      </c>
      <c r="T138" s="713">
        <v>664680.77</v>
      </c>
      <c r="U138" s="713"/>
      <c r="V138" s="700">
        <v>1</v>
      </c>
      <c r="W138" s="617">
        <f t="shared" si="44"/>
        <v>18.64</v>
      </c>
      <c r="X138" s="715">
        <f t="shared" si="45"/>
        <v>223168.20152</v>
      </c>
      <c r="Y138" s="716">
        <f t="shared" si="46"/>
        <v>0.43384615384615377</v>
      </c>
      <c r="Z138" s="717" t="s">
        <v>1217</v>
      </c>
      <c r="AA138" s="718" t="s">
        <v>1218</v>
      </c>
      <c r="AB138" s="719">
        <f t="shared" si="43"/>
        <v>155643.05900000001</v>
      </c>
      <c r="AC138" s="704"/>
      <c r="AD138" s="699"/>
      <c r="AE138" s="699"/>
      <c r="AF138" s="699"/>
      <c r="AG138" s="714"/>
      <c r="AH138" s="726"/>
      <c r="AI138" s="725"/>
      <c r="AJ138" s="699"/>
      <c r="AK138" s="699"/>
      <c r="AL138" s="699"/>
    </row>
    <row r="139" spans="1:69" s="728" customFormat="1" ht="13.5" customHeight="1">
      <c r="A139" s="721"/>
      <c r="B139" s="708" t="s">
        <v>1094</v>
      </c>
      <c r="C139" s="710" t="s">
        <v>1095</v>
      </c>
      <c r="D139" s="709" t="s">
        <v>1022</v>
      </c>
      <c r="E139" s="710" t="s">
        <v>1096</v>
      </c>
      <c r="F139" s="711">
        <v>42858</v>
      </c>
      <c r="G139" s="722">
        <v>17</v>
      </c>
      <c r="H139" s="723">
        <v>14</v>
      </c>
      <c r="I139" s="723">
        <v>16</v>
      </c>
      <c r="J139" s="722">
        <v>21.87</v>
      </c>
      <c r="K139" s="713">
        <f t="shared" si="40"/>
        <v>24330.582999999999</v>
      </c>
      <c r="L139" s="714">
        <v>8333.3330000000005</v>
      </c>
      <c r="M139" s="714">
        <v>32663.916000000001</v>
      </c>
      <c r="N139" s="713">
        <f t="shared" si="41"/>
        <v>413619.91099999996</v>
      </c>
      <c r="O139" s="714">
        <f t="shared" si="47"/>
        <v>141666.66100000002</v>
      </c>
      <c r="P139" s="713">
        <f t="shared" si="42"/>
        <v>555286.57199999993</v>
      </c>
      <c r="Q139" s="713"/>
      <c r="R139" s="723">
        <v>30.4</v>
      </c>
      <c r="S139" s="713">
        <v>1094934.2200000002</v>
      </c>
      <c r="T139" s="713">
        <v>919180.22</v>
      </c>
      <c r="U139" s="713"/>
      <c r="V139" s="700">
        <v>1</v>
      </c>
      <c r="W139" s="617">
        <f t="shared" si="44"/>
        <v>21.87</v>
      </c>
      <c r="X139" s="715">
        <f t="shared" si="45"/>
        <v>714359.84292000008</v>
      </c>
      <c r="Y139" s="716">
        <f t="shared" si="46"/>
        <v>0.28647058823529448</v>
      </c>
      <c r="Z139" s="727" t="s">
        <v>1098</v>
      </c>
      <c r="AA139" s="718" t="s">
        <v>1097</v>
      </c>
      <c r="AB139" s="719">
        <f t="shared" si="43"/>
        <v>555286.57199999993</v>
      </c>
      <c r="AG139" s="729"/>
      <c r="AH139" s="726"/>
      <c r="AI139" s="725"/>
    </row>
    <row r="140" spans="1:69" s="728" customFormat="1" ht="13.5" customHeight="1">
      <c r="A140" s="721"/>
      <c r="B140" s="708" t="s">
        <v>1020</v>
      </c>
      <c r="C140" s="710" t="s">
        <v>1021</v>
      </c>
      <c r="D140" s="709" t="s">
        <v>1022</v>
      </c>
      <c r="E140" s="710" t="s">
        <v>1023</v>
      </c>
      <c r="F140" s="711">
        <v>42837</v>
      </c>
      <c r="G140" s="723">
        <v>10</v>
      </c>
      <c r="H140" s="723">
        <v>10</v>
      </c>
      <c r="I140" s="723">
        <v>12</v>
      </c>
      <c r="J140" s="723">
        <v>16.690000000000001</v>
      </c>
      <c r="K140" s="713">
        <f t="shared" si="40"/>
        <v>9897.3070000000007</v>
      </c>
      <c r="L140" s="801">
        <v>7250</v>
      </c>
      <c r="M140" s="801">
        <v>17147.307000000001</v>
      </c>
      <c r="N140" s="713">
        <f t="shared" si="41"/>
        <v>98973.07</v>
      </c>
      <c r="O140" s="714">
        <f t="shared" si="47"/>
        <v>72500</v>
      </c>
      <c r="P140" s="713">
        <f t="shared" si="42"/>
        <v>171473.07</v>
      </c>
      <c r="Q140" s="713"/>
      <c r="R140" s="723">
        <v>11.5</v>
      </c>
      <c r="S140" s="713">
        <v>227808.66</v>
      </c>
      <c r="T140" s="713">
        <v>140711.66</v>
      </c>
      <c r="U140" s="713"/>
      <c r="V140" s="700">
        <v>1</v>
      </c>
      <c r="W140" s="617">
        <f t="shared" si="44"/>
        <v>16.690000000000001</v>
      </c>
      <c r="X140" s="715">
        <f t="shared" si="45"/>
        <v>286188.55383000005</v>
      </c>
      <c r="Y140" s="716">
        <f t="shared" si="46"/>
        <v>0.66900000000000026</v>
      </c>
      <c r="Z140" s="727" t="s">
        <v>1024</v>
      </c>
      <c r="AA140" s="718" t="s">
        <v>1025</v>
      </c>
      <c r="AB140" s="719">
        <f t="shared" si="43"/>
        <v>171473.07</v>
      </c>
      <c r="AG140" s="729"/>
      <c r="AH140" s="726"/>
      <c r="AI140" s="725"/>
    </row>
    <row r="141" spans="1:69" s="728" customFormat="1" ht="13.5" customHeight="1">
      <c r="A141" s="721"/>
      <c r="B141" s="708" t="s">
        <v>1026</v>
      </c>
      <c r="C141" s="710" t="s">
        <v>1027</v>
      </c>
      <c r="D141" s="709" t="s">
        <v>822</v>
      </c>
      <c r="E141" s="710" t="s">
        <v>1028</v>
      </c>
      <c r="F141" s="711">
        <v>42760</v>
      </c>
      <c r="G141" s="617">
        <v>15</v>
      </c>
      <c r="H141" s="617">
        <v>14</v>
      </c>
      <c r="I141" s="617">
        <v>16</v>
      </c>
      <c r="J141" s="617">
        <v>13.99</v>
      </c>
      <c r="K141" s="713">
        <f t="shared" si="40"/>
        <v>23181.261999999999</v>
      </c>
      <c r="L141" s="801">
        <f>6450000/1000</f>
        <v>6450</v>
      </c>
      <c r="M141" s="801">
        <f>29631262/1000</f>
        <v>29631.261999999999</v>
      </c>
      <c r="N141" s="713">
        <f t="shared" si="41"/>
        <v>347718.93</v>
      </c>
      <c r="O141" s="714">
        <f t="shared" si="47"/>
        <v>96750</v>
      </c>
      <c r="P141" s="713">
        <f t="shared" si="42"/>
        <v>444468.93</v>
      </c>
      <c r="Q141" s="713"/>
      <c r="R141" s="723">
        <v>12.54</v>
      </c>
      <c r="S141" s="713">
        <v>465626.03</v>
      </c>
      <c r="T141" s="713">
        <v>397268.03</v>
      </c>
      <c r="U141" s="713"/>
      <c r="V141" s="700">
        <v>1</v>
      </c>
      <c r="W141" s="617">
        <f t="shared" si="44"/>
        <v>13.99</v>
      </c>
      <c r="X141" s="715">
        <f t="shared" si="45"/>
        <v>414541.35537999996</v>
      </c>
      <c r="Y141" s="716">
        <f t="shared" si="46"/>
        <v>-6.7333333333333356E-2</v>
      </c>
      <c r="Z141" s="724" t="s">
        <v>1028</v>
      </c>
      <c r="AA141" s="718" t="s">
        <v>1029</v>
      </c>
      <c r="AB141" s="719">
        <f t="shared" si="43"/>
        <v>444468.93</v>
      </c>
      <c r="AC141" s="725"/>
      <c r="AD141" s="704"/>
      <c r="AE141" s="704"/>
      <c r="AF141" s="704"/>
      <c r="AG141" s="704"/>
      <c r="AH141" s="704"/>
      <c r="AI141" s="704"/>
      <c r="AJ141" s="704"/>
      <c r="AK141" s="704"/>
      <c r="AL141" s="704"/>
      <c r="AM141" s="704"/>
      <c r="AN141" s="704"/>
      <c r="AO141" s="704"/>
      <c r="AP141" s="704"/>
      <c r="AQ141" s="704"/>
      <c r="AR141" s="704"/>
      <c r="AS141" s="704"/>
      <c r="AT141" s="704"/>
      <c r="AU141" s="704"/>
      <c r="AV141" s="704"/>
      <c r="AW141" s="704"/>
      <c r="AX141" s="704"/>
      <c r="AY141" s="704"/>
      <c r="AZ141" s="704"/>
      <c r="BA141" s="704"/>
      <c r="BB141" s="704"/>
      <c r="BC141" s="704"/>
      <c r="BD141" s="704"/>
      <c r="BE141" s="704"/>
      <c r="BF141" s="704"/>
      <c r="BG141" s="704"/>
      <c r="BH141" s="704"/>
      <c r="BI141" s="704"/>
      <c r="BJ141" s="704"/>
      <c r="BK141" s="704"/>
      <c r="BL141" s="704"/>
      <c r="BM141" s="704"/>
      <c r="BN141" s="704"/>
      <c r="BO141" s="704"/>
      <c r="BP141" s="704"/>
      <c r="BQ141" s="704"/>
    </row>
    <row r="142" spans="1:69" s="704" customFormat="1" ht="13.5" customHeight="1">
      <c r="A142" s="721"/>
      <c r="B142" s="708" t="s">
        <v>676</v>
      </c>
      <c r="C142" s="710" t="s">
        <v>677</v>
      </c>
      <c r="D142" s="709" t="s">
        <v>377</v>
      </c>
      <c r="E142" s="710" t="s">
        <v>678</v>
      </c>
      <c r="F142" s="711">
        <v>42586</v>
      </c>
      <c r="G142" s="617">
        <v>10</v>
      </c>
      <c r="H142" s="617">
        <v>11</v>
      </c>
      <c r="I142" s="617">
        <v>13</v>
      </c>
      <c r="J142" s="617">
        <v>13.23</v>
      </c>
      <c r="K142" s="713">
        <f t="shared" si="40"/>
        <v>5431.6149999999998</v>
      </c>
      <c r="L142" s="801">
        <v>3000</v>
      </c>
      <c r="M142" s="801">
        <v>8431.6149999999998</v>
      </c>
      <c r="N142" s="713">
        <f t="shared" si="41"/>
        <v>54316.149999999994</v>
      </c>
      <c r="O142" s="714">
        <f t="shared" si="47"/>
        <v>30000</v>
      </c>
      <c r="P142" s="713">
        <f t="shared" si="42"/>
        <v>84316.15</v>
      </c>
      <c r="Q142" s="713"/>
      <c r="R142" s="723">
        <v>6.24</v>
      </c>
      <c r="S142" s="713">
        <v>85961.62</v>
      </c>
      <c r="T142" s="713">
        <v>70585.62000000001</v>
      </c>
      <c r="U142" s="713"/>
      <c r="V142" s="700">
        <v>1</v>
      </c>
      <c r="W142" s="617">
        <f t="shared" si="44"/>
        <v>13.23</v>
      </c>
      <c r="X142" s="715">
        <f t="shared" si="45"/>
        <v>111550.26645</v>
      </c>
      <c r="Y142" s="716">
        <f t="shared" si="46"/>
        <v>0.32299999999999995</v>
      </c>
      <c r="Z142" s="724" t="s">
        <v>679</v>
      </c>
      <c r="AA142" s="718" t="s">
        <v>680</v>
      </c>
      <c r="AB142" s="719">
        <f t="shared" si="43"/>
        <v>84316.15</v>
      </c>
      <c r="AC142" s="725"/>
    </row>
    <row r="143" spans="1:69" s="704" customFormat="1" ht="13.5" customHeight="1">
      <c r="A143" s="721"/>
      <c r="B143" s="708" t="s">
        <v>681</v>
      </c>
      <c r="C143" s="710" t="s">
        <v>682</v>
      </c>
      <c r="D143" s="709" t="s">
        <v>377</v>
      </c>
      <c r="E143" s="710" t="s">
        <v>683</v>
      </c>
      <c r="F143" s="711">
        <v>42577</v>
      </c>
      <c r="G143" s="723">
        <v>12</v>
      </c>
      <c r="H143" s="723">
        <v>0</v>
      </c>
      <c r="I143" s="723">
        <v>0</v>
      </c>
      <c r="J143" s="723">
        <v>10.06</v>
      </c>
      <c r="K143" s="713">
        <f t="shared" si="40"/>
        <v>38620.332000000002</v>
      </c>
      <c r="L143" s="801">
        <v>6250</v>
      </c>
      <c r="M143" s="801">
        <v>44870.332000000002</v>
      </c>
      <c r="N143" s="713">
        <f t="shared" si="41"/>
        <v>463443.98400000005</v>
      </c>
      <c r="O143" s="714">
        <f t="shared" si="47"/>
        <v>75000</v>
      </c>
      <c r="P143" s="713">
        <f t="shared" si="42"/>
        <v>538443.98400000005</v>
      </c>
      <c r="Q143" s="713"/>
      <c r="R143" s="723">
        <v>4.96</v>
      </c>
      <c r="S143" s="713">
        <v>390070.80000000005</v>
      </c>
      <c r="T143" s="713">
        <v>389387.80000000005</v>
      </c>
      <c r="U143" s="713"/>
      <c r="V143" s="700">
        <v>1</v>
      </c>
      <c r="W143" s="617">
        <f t="shared" si="44"/>
        <v>10.06</v>
      </c>
      <c r="X143" s="715">
        <f t="shared" si="45"/>
        <v>451395.53992000007</v>
      </c>
      <c r="Y143" s="716">
        <f t="shared" si="46"/>
        <v>-0.16166666666666663</v>
      </c>
      <c r="Z143" s="724" t="s">
        <v>684</v>
      </c>
      <c r="AA143" s="718" t="s">
        <v>685</v>
      </c>
      <c r="AB143" s="719">
        <f t="shared" si="43"/>
        <v>538443.98400000005</v>
      </c>
      <c r="AC143" s="725"/>
    </row>
    <row r="144" spans="1:69" s="704" customFormat="1" ht="13.5" customHeight="1">
      <c r="A144" s="721"/>
      <c r="B144" s="740" t="s">
        <v>714</v>
      </c>
      <c r="C144" s="710" t="s">
        <v>715</v>
      </c>
      <c r="D144" s="709" t="s">
        <v>377</v>
      </c>
      <c r="E144" s="710" t="s">
        <v>716</v>
      </c>
      <c r="F144" s="711">
        <v>42495</v>
      </c>
      <c r="G144" s="723">
        <v>12</v>
      </c>
      <c r="H144" s="723">
        <v>13</v>
      </c>
      <c r="I144" s="723">
        <v>15</v>
      </c>
      <c r="J144" s="723">
        <v>11.2</v>
      </c>
      <c r="K144" s="713">
        <f t="shared" si="40"/>
        <v>6171.0910000000003</v>
      </c>
      <c r="L144" s="801">
        <v>920</v>
      </c>
      <c r="M144" s="801">
        <v>7091.0910000000003</v>
      </c>
      <c r="N144" s="713">
        <f t="shared" si="41"/>
        <v>74053.092000000004</v>
      </c>
      <c r="O144" s="714">
        <f t="shared" si="47"/>
        <v>11040</v>
      </c>
      <c r="P144" s="713">
        <f t="shared" si="42"/>
        <v>85093.092000000004</v>
      </c>
      <c r="Q144" s="713"/>
      <c r="R144" s="723">
        <v>12.18</v>
      </c>
      <c r="S144" s="713">
        <v>157743.58000000002</v>
      </c>
      <c r="T144" s="713">
        <v>105564.58</v>
      </c>
      <c r="U144" s="713"/>
      <c r="V144" s="700">
        <v>1</v>
      </c>
      <c r="W144" s="617">
        <f t="shared" si="44"/>
        <v>11.2</v>
      </c>
      <c r="X144" s="715">
        <f t="shared" si="45"/>
        <v>79420.219199999992</v>
      </c>
      <c r="Y144" s="716">
        <f t="shared" si="46"/>
        <v>-6.6666666666666763E-2</v>
      </c>
      <c r="Z144" s="717" t="s">
        <v>717</v>
      </c>
      <c r="AA144" s="718" t="s">
        <v>1030</v>
      </c>
      <c r="AB144" s="719">
        <f t="shared" si="43"/>
        <v>85093.092000000004</v>
      </c>
      <c r="AG144" s="714"/>
      <c r="AH144" s="726"/>
      <c r="AI144" s="725"/>
    </row>
    <row r="145" spans="1:69" s="704" customFormat="1" ht="13.5" customHeight="1">
      <c r="A145" s="721"/>
      <c r="B145" s="708" t="s">
        <v>761</v>
      </c>
      <c r="C145" s="710" t="s">
        <v>762</v>
      </c>
      <c r="D145" s="709" t="s">
        <v>377</v>
      </c>
      <c r="E145" s="710" t="s">
        <v>763</v>
      </c>
      <c r="F145" s="711">
        <v>42291</v>
      </c>
      <c r="G145" s="723">
        <v>6.5</v>
      </c>
      <c r="H145" s="723">
        <v>6</v>
      </c>
      <c r="I145" s="723">
        <v>7</v>
      </c>
      <c r="J145" s="723">
        <v>3.13</v>
      </c>
      <c r="K145" s="713">
        <f t="shared" si="40"/>
        <v>4630.143</v>
      </c>
      <c r="L145" s="801">
        <v>4000</v>
      </c>
      <c r="M145" s="801">
        <v>8630.143</v>
      </c>
      <c r="N145" s="713">
        <f t="shared" si="41"/>
        <v>30095.929499999998</v>
      </c>
      <c r="O145" s="714">
        <f t="shared" si="47"/>
        <v>26000</v>
      </c>
      <c r="P145" s="713">
        <f t="shared" si="42"/>
        <v>56095.929499999998</v>
      </c>
      <c r="Q145" s="713"/>
      <c r="R145" s="723">
        <v>3.31</v>
      </c>
      <c r="S145" s="713">
        <v>103403.65</v>
      </c>
      <c r="T145" s="713">
        <v>79448.25</v>
      </c>
      <c r="U145" s="713"/>
      <c r="V145" s="700">
        <v>1</v>
      </c>
      <c r="W145" s="617">
        <f t="shared" si="44"/>
        <v>3.13</v>
      </c>
      <c r="X145" s="715">
        <f t="shared" si="45"/>
        <v>27012.347589999998</v>
      </c>
      <c r="Y145" s="716">
        <f t="shared" si="46"/>
        <v>-0.51846153846153853</v>
      </c>
      <c r="Z145" s="717" t="s">
        <v>764</v>
      </c>
      <c r="AA145" s="718" t="s">
        <v>765</v>
      </c>
      <c r="AB145" s="719">
        <f t="shared" si="43"/>
        <v>56095.929499999998</v>
      </c>
      <c r="AD145" s="699"/>
      <c r="AE145" s="699"/>
      <c r="AF145" s="699"/>
      <c r="AG145" s="714"/>
      <c r="AH145" s="726"/>
      <c r="AI145" s="725"/>
      <c r="AJ145" s="699"/>
      <c r="AK145" s="699"/>
      <c r="AL145" s="699"/>
      <c r="AM145" s="699"/>
      <c r="AN145" s="699"/>
      <c r="AO145" s="699"/>
      <c r="AP145" s="699"/>
      <c r="AQ145" s="699"/>
      <c r="AR145" s="699"/>
      <c r="AS145" s="699"/>
      <c r="AT145" s="699"/>
      <c r="AU145" s="699"/>
      <c r="AV145" s="699"/>
      <c r="AW145" s="699"/>
      <c r="AX145" s="699"/>
      <c r="AY145" s="699"/>
      <c r="AZ145" s="699"/>
      <c r="BA145" s="699"/>
      <c r="BB145" s="699"/>
      <c r="BC145" s="699"/>
      <c r="BD145" s="699"/>
      <c r="BE145" s="699"/>
      <c r="BF145" s="699"/>
      <c r="BG145" s="699"/>
      <c r="BH145" s="699"/>
      <c r="BI145" s="699"/>
      <c r="BJ145" s="699"/>
      <c r="BK145" s="699"/>
      <c r="BL145" s="699"/>
      <c r="BM145" s="699"/>
      <c r="BN145" s="699"/>
      <c r="BO145" s="699"/>
      <c r="BP145" s="699"/>
      <c r="BQ145" s="699"/>
    </row>
    <row r="146" spans="1:69" s="699" customFormat="1" ht="13.5" customHeight="1">
      <c r="A146" s="721"/>
      <c r="B146" s="708" t="s">
        <v>771</v>
      </c>
      <c r="C146" s="710" t="s">
        <v>772</v>
      </c>
      <c r="D146" s="709" t="s">
        <v>377</v>
      </c>
      <c r="E146" s="710" t="s">
        <v>773</v>
      </c>
      <c r="F146" s="711">
        <v>42283</v>
      </c>
      <c r="G146" s="723">
        <v>11</v>
      </c>
      <c r="H146" s="723">
        <v>14</v>
      </c>
      <c r="I146" s="723">
        <v>16</v>
      </c>
      <c r="J146" s="723">
        <v>14.67</v>
      </c>
      <c r="K146" s="713">
        <f t="shared" si="40"/>
        <v>14407.503000000001</v>
      </c>
      <c r="L146" s="801">
        <v>5000</v>
      </c>
      <c r="M146" s="801">
        <v>19407.503000000001</v>
      </c>
      <c r="N146" s="713">
        <f t="shared" si="41"/>
        <v>158482.533</v>
      </c>
      <c r="O146" s="714">
        <f t="shared" si="47"/>
        <v>55000</v>
      </c>
      <c r="P146" s="713">
        <f t="shared" si="42"/>
        <v>213482.533</v>
      </c>
      <c r="Q146" s="713"/>
      <c r="R146" s="723">
        <v>19.57</v>
      </c>
      <c r="S146" s="713">
        <v>603434.66999999993</v>
      </c>
      <c r="T146" s="713">
        <v>375586.67000000004</v>
      </c>
      <c r="U146" s="713"/>
      <c r="V146" s="700">
        <v>1</v>
      </c>
      <c r="W146" s="617">
        <f t="shared" si="44"/>
        <v>14.67</v>
      </c>
      <c r="X146" s="715">
        <f t="shared" si="45"/>
        <v>284708.06901000004</v>
      </c>
      <c r="Y146" s="716">
        <f t="shared" si="46"/>
        <v>0.33363636363636373</v>
      </c>
      <c r="Z146" s="717" t="s">
        <v>774</v>
      </c>
      <c r="AA146" s="718" t="s">
        <v>775</v>
      </c>
      <c r="AB146" s="719">
        <f t="shared" si="43"/>
        <v>213482.533</v>
      </c>
      <c r="AC146" s="704"/>
      <c r="AG146" s="714"/>
      <c r="AH146" s="726"/>
      <c r="AI146" s="725"/>
    </row>
    <row r="147" spans="1:69" s="699" customFormat="1" ht="13.5" customHeight="1">
      <c r="A147" s="721"/>
      <c r="B147" s="708" t="s">
        <v>779</v>
      </c>
      <c r="C147" s="710" t="s">
        <v>780</v>
      </c>
      <c r="D147" s="709" t="s">
        <v>377</v>
      </c>
      <c r="E147" s="710" t="s">
        <v>781</v>
      </c>
      <c r="F147" s="711">
        <v>42277</v>
      </c>
      <c r="G147" s="723">
        <v>11</v>
      </c>
      <c r="H147" s="723">
        <v>14</v>
      </c>
      <c r="I147" s="723">
        <v>16</v>
      </c>
      <c r="J147" s="723">
        <v>17.88</v>
      </c>
      <c r="K147" s="713">
        <f t="shared" si="40"/>
        <v>20181.25</v>
      </c>
      <c r="L147" s="801">
        <v>7315.1509999999998</v>
      </c>
      <c r="M147" s="801">
        <v>27496.401000000002</v>
      </c>
      <c r="N147" s="713">
        <f t="shared" si="41"/>
        <v>221993.75</v>
      </c>
      <c r="O147" s="714">
        <f t="shared" si="47"/>
        <v>80466.660999999993</v>
      </c>
      <c r="P147" s="713">
        <f t="shared" si="42"/>
        <v>302460.41099999996</v>
      </c>
      <c r="Q147" s="713"/>
      <c r="R147" s="723">
        <v>13.19</v>
      </c>
      <c r="S147" s="713">
        <v>407032.85</v>
      </c>
      <c r="T147" s="713">
        <v>330063.44</v>
      </c>
      <c r="U147" s="713"/>
      <c r="V147" s="700">
        <v>1</v>
      </c>
      <c r="W147" s="617">
        <f t="shared" si="44"/>
        <v>17.88</v>
      </c>
      <c r="X147" s="715">
        <f t="shared" si="45"/>
        <v>491635.64987999998</v>
      </c>
      <c r="Y147" s="716">
        <f t="shared" si="46"/>
        <v>0.62545454545454549</v>
      </c>
      <c r="Z147" s="717" t="s">
        <v>782</v>
      </c>
      <c r="AA147" s="718" t="s">
        <v>783</v>
      </c>
      <c r="AB147" s="719">
        <f t="shared" si="43"/>
        <v>302460.41099999996</v>
      </c>
      <c r="AC147" s="704"/>
      <c r="AG147" s="714"/>
      <c r="AH147" s="726"/>
      <c r="AI147" s="725"/>
    </row>
    <row r="148" spans="1:69" s="699" customFormat="1" ht="13.5" customHeight="1">
      <c r="A148" s="721"/>
      <c r="B148" s="738" t="s">
        <v>785</v>
      </c>
      <c r="C148" s="710" t="s">
        <v>786</v>
      </c>
      <c r="D148" s="709" t="s">
        <v>377</v>
      </c>
      <c r="E148" s="710" t="s">
        <v>787</v>
      </c>
      <c r="F148" s="711">
        <v>42227</v>
      </c>
      <c r="G148" s="723">
        <v>20</v>
      </c>
      <c r="H148" s="723">
        <v>16</v>
      </c>
      <c r="I148" s="723">
        <v>18</v>
      </c>
      <c r="J148" s="723">
        <v>52.72</v>
      </c>
      <c r="K148" s="713">
        <f t="shared" si="40"/>
        <v>21808.456999999999</v>
      </c>
      <c r="L148" s="801">
        <v>6000</v>
      </c>
      <c r="M148" s="801">
        <v>27808.456999999999</v>
      </c>
      <c r="N148" s="713">
        <f t="shared" si="41"/>
        <v>436169.13999999996</v>
      </c>
      <c r="O148" s="714">
        <f t="shared" si="47"/>
        <v>120000</v>
      </c>
      <c r="P148" s="713">
        <f t="shared" si="42"/>
        <v>556169.1399999999</v>
      </c>
      <c r="Q148" s="713"/>
      <c r="R148" s="723">
        <v>59</v>
      </c>
      <c r="S148" s="713">
        <v>2714436.19</v>
      </c>
      <c r="T148" s="713">
        <v>2495081.19</v>
      </c>
      <c r="U148" s="713"/>
      <c r="V148" s="700">
        <v>1</v>
      </c>
      <c r="W148" s="617">
        <f t="shared" si="44"/>
        <v>52.72</v>
      </c>
      <c r="X148" s="715">
        <f t="shared" si="45"/>
        <v>1466061.85304</v>
      </c>
      <c r="Y148" s="716">
        <f t="shared" si="46"/>
        <v>1.6360000000000006</v>
      </c>
      <c r="Z148" s="727" t="s">
        <v>788</v>
      </c>
      <c r="AA148" s="718" t="s">
        <v>789</v>
      </c>
      <c r="AB148" s="719">
        <f t="shared" si="43"/>
        <v>556169.1399999999</v>
      </c>
      <c r="AC148" s="730"/>
      <c r="AD148" s="729"/>
      <c r="AE148" s="730"/>
      <c r="AF148" s="730"/>
      <c r="AG148" s="729"/>
      <c r="AH148" s="726"/>
      <c r="AI148" s="725"/>
      <c r="AJ148" s="727"/>
      <c r="AK148" s="732"/>
      <c r="AL148" s="732"/>
    </row>
    <row r="149" spans="1:69" s="699" customFormat="1" ht="13.5" customHeight="1">
      <c r="A149" s="721"/>
      <c r="B149" s="708" t="s">
        <v>790</v>
      </c>
      <c r="C149" s="710" t="s">
        <v>791</v>
      </c>
      <c r="D149" s="709" t="s">
        <v>377</v>
      </c>
      <c r="E149" s="710" t="s">
        <v>792</v>
      </c>
      <c r="F149" s="711">
        <v>42221</v>
      </c>
      <c r="G149" s="723">
        <v>16</v>
      </c>
      <c r="H149" s="723">
        <v>14</v>
      </c>
      <c r="I149" s="723">
        <v>16</v>
      </c>
      <c r="J149" s="723">
        <v>22.59</v>
      </c>
      <c r="K149" s="713">
        <f t="shared" si="40"/>
        <v>30679.538</v>
      </c>
      <c r="L149" s="801">
        <v>10000</v>
      </c>
      <c r="M149" s="801">
        <v>40679.538</v>
      </c>
      <c r="N149" s="713">
        <f t="shared" si="41"/>
        <v>490872.60800000001</v>
      </c>
      <c r="O149" s="714">
        <f t="shared" si="47"/>
        <v>160000</v>
      </c>
      <c r="P149" s="713">
        <f t="shared" si="42"/>
        <v>650872.60800000001</v>
      </c>
      <c r="Q149" s="713"/>
      <c r="R149" s="723">
        <v>36.58</v>
      </c>
      <c r="S149" s="713">
        <v>1871564.8900000001</v>
      </c>
      <c r="T149" s="713">
        <v>1659534.89</v>
      </c>
      <c r="U149" s="713"/>
      <c r="V149" s="700">
        <v>1</v>
      </c>
      <c r="W149" s="617">
        <f t="shared" si="44"/>
        <v>22.59</v>
      </c>
      <c r="X149" s="715">
        <f t="shared" si="45"/>
        <v>918950.76341999997</v>
      </c>
      <c r="Y149" s="716">
        <f t="shared" si="46"/>
        <v>0.41187499999999999</v>
      </c>
      <c r="Z149" s="717" t="s">
        <v>793</v>
      </c>
      <c r="AA149" s="718" t="s">
        <v>794</v>
      </c>
      <c r="AB149" s="719">
        <f t="shared" si="43"/>
        <v>650872.60800000001</v>
      </c>
      <c r="AC149" s="704"/>
      <c r="AG149" s="714"/>
      <c r="AH149" s="726"/>
      <c r="AI149" s="725"/>
    </row>
    <row r="150" spans="1:69" s="699" customFormat="1" ht="13.5" customHeight="1">
      <c r="A150" s="733"/>
      <c r="B150" s="708" t="s">
        <v>600</v>
      </c>
      <c r="C150" s="710" t="s">
        <v>598</v>
      </c>
      <c r="D150" s="709" t="s">
        <v>377</v>
      </c>
      <c r="E150" s="710" t="s">
        <v>800</v>
      </c>
      <c r="F150" s="711">
        <v>42213</v>
      </c>
      <c r="G150" s="723">
        <v>25</v>
      </c>
      <c r="H150" s="723">
        <v>20</v>
      </c>
      <c r="I150" s="723">
        <v>23</v>
      </c>
      <c r="J150" s="723">
        <v>19.510000000000002</v>
      </c>
      <c r="K150" s="713">
        <f t="shared" si="40"/>
        <v>70643.631999999998</v>
      </c>
      <c r="L150" s="801">
        <v>8288</v>
      </c>
      <c r="M150" s="801">
        <v>78931.631999999998</v>
      </c>
      <c r="N150" s="713">
        <f t="shared" si="41"/>
        <v>1766090.8</v>
      </c>
      <c r="O150" s="714">
        <f t="shared" si="47"/>
        <v>207200</v>
      </c>
      <c r="P150" s="713">
        <f t="shared" si="42"/>
        <v>1973290.8</v>
      </c>
      <c r="Q150" s="713"/>
      <c r="R150" s="723">
        <v>3.9</v>
      </c>
      <c r="S150" s="713">
        <v>309875.04000000004</v>
      </c>
      <c r="T150" s="713">
        <v>165115.03999999998</v>
      </c>
      <c r="U150" s="713"/>
      <c r="V150" s="700">
        <v>1</v>
      </c>
      <c r="W150" s="617">
        <f t="shared" si="44"/>
        <v>19.510000000000002</v>
      </c>
      <c r="X150" s="715">
        <f t="shared" si="45"/>
        <v>1539956.14032</v>
      </c>
      <c r="Y150" s="716">
        <f t="shared" si="46"/>
        <v>-0.21960000000000002</v>
      </c>
      <c r="Z150" s="717" t="s">
        <v>599</v>
      </c>
      <c r="AA150" s="718" t="s">
        <v>601</v>
      </c>
      <c r="AB150" s="719">
        <f t="shared" si="43"/>
        <v>1973290.8</v>
      </c>
      <c r="AC150" s="704"/>
      <c r="AG150" s="714"/>
      <c r="AH150" s="726"/>
      <c r="AI150" s="725"/>
    </row>
    <row r="151" spans="1:69" s="699" customFormat="1" ht="13.5" customHeight="1">
      <c r="A151" s="721"/>
      <c r="B151" s="708" t="s">
        <v>811</v>
      </c>
      <c r="C151" s="710" t="s">
        <v>812</v>
      </c>
      <c r="D151" s="709" t="s">
        <v>377</v>
      </c>
      <c r="E151" s="710" t="s">
        <v>813</v>
      </c>
      <c r="F151" s="711">
        <v>42180</v>
      </c>
      <c r="G151" s="723">
        <v>18</v>
      </c>
      <c r="H151" s="723">
        <v>15</v>
      </c>
      <c r="I151" s="723">
        <v>17</v>
      </c>
      <c r="J151" s="723">
        <v>38.200000000000003</v>
      </c>
      <c r="K151" s="713">
        <f t="shared" si="40"/>
        <v>30403.502</v>
      </c>
      <c r="L151" s="801">
        <v>7430.5550000000003</v>
      </c>
      <c r="M151" s="801">
        <v>37834.057000000001</v>
      </c>
      <c r="N151" s="713">
        <f t="shared" si="41"/>
        <v>547263.03599999996</v>
      </c>
      <c r="O151" s="714">
        <f t="shared" si="47"/>
        <v>133749.99</v>
      </c>
      <c r="P151" s="713">
        <f t="shared" si="42"/>
        <v>681013.02599999995</v>
      </c>
      <c r="Q151" s="713"/>
      <c r="R151" s="723">
        <v>8.58</v>
      </c>
      <c r="S151" s="713">
        <v>347748.58999999997</v>
      </c>
      <c r="T151" s="713">
        <v>176449.59</v>
      </c>
      <c r="U151" s="713"/>
      <c r="V151" s="700">
        <v>1</v>
      </c>
      <c r="W151" s="617">
        <f t="shared" si="44"/>
        <v>38.200000000000003</v>
      </c>
      <c r="X151" s="715">
        <f t="shared" si="45"/>
        <v>1445260.9774000002</v>
      </c>
      <c r="Y151" s="716">
        <f t="shared" si="46"/>
        <v>1.1222222222222227</v>
      </c>
      <c r="Z151" s="727" t="s">
        <v>814</v>
      </c>
      <c r="AA151" s="718" t="s">
        <v>815</v>
      </c>
      <c r="AB151" s="719">
        <f t="shared" si="43"/>
        <v>681013.02599999995</v>
      </c>
      <c r="AC151" s="730"/>
      <c r="AD151" s="729"/>
      <c r="AE151" s="730"/>
      <c r="AF151" s="731"/>
      <c r="AG151" s="729"/>
      <c r="AH151" s="726"/>
      <c r="AI151" s="725"/>
      <c r="AJ151" s="727"/>
      <c r="AK151" s="732"/>
      <c r="AL151" s="732"/>
    </row>
    <row r="152" spans="1:69" s="699" customFormat="1" ht="13.5" customHeight="1">
      <c r="A152" s="721"/>
      <c r="B152" s="708" t="s">
        <v>820</v>
      </c>
      <c r="C152" s="710" t="s">
        <v>821</v>
      </c>
      <c r="D152" s="709" t="s">
        <v>904</v>
      </c>
      <c r="E152" s="710" t="s">
        <v>823</v>
      </c>
      <c r="F152" s="711">
        <v>42179</v>
      </c>
      <c r="G152" s="723">
        <v>5</v>
      </c>
      <c r="H152" s="723">
        <v>0</v>
      </c>
      <c r="I152" s="723">
        <v>0</v>
      </c>
      <c r="J152" s="723">
        <v>4.1599000000000004</v>
      </c>
      <c r="K152" s="713">
        <f t="shared" si="40"/>
        <v>3788.0600000000004</v>
      </c>
      <c r="L152" s="801">
        <v>4000</v>
      </c>
      <c r="M152" s="801">
        <v>7788.06</v>
      </c>
      <c r="N152" s="713">
        <f t="shared" si="41"/>
        <v>18940.300000000003</v>
      </c>
      <c r="O152" s="714">
        <f t="shared" si="47"/>
        <v>20000</v>
      </c>
      <c r="P152" s="713">
        <f t="shared" si="42"/>
        <v>38940.300000000003</v>
      </c>
      <c r="Q152" s="713"/>
      <c r="R152" s="723">
        <v>0.30599999999999999</v>
      </c>
      <c r="S152" s="713">
        <v>15149</v>
      </c>
      <c r="T152" s="713">
        <v>11590.130000000001</v>
      </c>
      <c r="U152" s="713"/>
      <c r="V152" s="700">
        <v>1</v>
      </c>
      <c r="W152" s="617">
        <f t="shared" si="44"/>
        <v>4.1599000000000004</v>
      </c>
      <c r="X152" s="715">
        <f t="shared" si="45"/>
        <v>32397.550794000006</v>
      </c>
      <c r="Y152" s="716">
        <f t="shared" si="46"/>
        <v>-0.16801999999999995</v>
      </c>
      <c r="Z152" s="717" t="s">
        <v>824</v>
      </c>
      <c r="AA152" s="718" t="s">
        <v>825</v>
      </c>
      <c r="AB152" s="719">
        <f t="shared" si="43"/>
        <v>38940.300000000003</v>
      </c>
      <c r="AC152" s="704"/>
      <c r="AG152" s="714"/>
      <c r="AH152" s="726"/>
      <c r="AI152" s="725"/>
    </row>
    <row r="153" spans="1:69" s="699" customFormat="1" ht="13.5" customHeight="1">
      <c r="A153" s="721"/>
      <c r="B153" s="708" t="s">
        <v>857</v>
      </c>
      <c r="C153" s="710" t="s">
        <v>858</v>
      </c>
      <c r="D153" s="709" t="s">
        <v>377</v>
      </c>
      <c r="E153" s="710" t="s">
        <v>859</v>
      </c>
      <c r="F153" s="711">
        <v>42109</v>
      </c>
      <c r="G153" s="723">
        <v>11</v>
      </c>
      <c r="H153" s="723">
        <v>12</v>
      </c>
      <c r="I153" s="723">
        <v>14</v>
      </c>
      <c r="J153" s="723">
        <v>12.5</v>
      </c>
      <c r="K153" s="713">
        <f t="shared" si="40"/>
        <v>8371.7650000000012</v>
      </c>
      <c r="L153" s="801">
        <v>5090.9089999999997</v>
      </c>
      <c r="M153" s="801">
        <v>13462.674000000001</v>
      </c>
      <c r="N153" s="713">
        <f t="shared" si="41"/>
        <v>92089.415000000008</v>
      </c>
      <c r="O153" s="714">
        <f t="shared" si="47"/>
        <v>55999.998999999996</v>
      </c>
      <c r="P153" s="713">
        <f t="shared" si="42"/>
        <v>148089.41399999999</v>
      </c>
      <c r="Q153" s="713"/>
      <c r="R153" s="723">
        <v>5.7</v>
      </c>
      <c r="S153" s="713">
        <v>83547.349999999991</v>
      </c>
      <c r="T153" s="713">
        <v>130827.34999999999</v>
      </c>
      <c r="U153" s="713"/>
      <c r="V153" s="700">
        <v>1</v>
      </c>
      <c r="W153" s="617">
        <f t="shared" si="44"/>
        <v>12.5</v>
      </c>
      <c r="X153" s="715">
        <f t="shared" si="45"/>
        <v>168283.42500000002</v>
      </c>
      <c r="Y153" s="716">
        <f t="shared" si="46"/>
        <v>0.13636363636363646</v>
      </c>
      <c r="Z153" s="727" t="s">
        <v>860</v>
      </c>
      <c r="AA153" s="718" t="s">
        <v>861</v>
      </c>
      <c r="AB153" s="719">
        <f t="shared" si="43"/>
        <v>148089.41399999999</v>
      </c>
      <c r="AC153" s="728"/>
      <c r="AD153" s="728"/>
      <c r="AE153" s="728"/>
      <c r="AF153" s="728"/>
      <c r="AG153" s="729"/>
      <c r="AH153" s="726"/>
      <c r="AI153" s="725"/>
      <c r="AJ153" s="728"/>
      <c r="AK153" s="728"/>
      <c r="AL153" s="728"/>
      <c r="AM153" s="728"/>
      <c r="AN153" s="728"/>
      <c r="AO153" s="728"/>
      <c r="AP153" s="728"/>
      <c r="AQ153" s="728"/>
      <c r="AR153" s="728"/>
      <c r="AS153" s="728"/>
      <c r="AT153" s="728"/>
      <c r="AU153" s="728"/>
      <c r="AV153" s="728"/>
      <c r="AW153" s="728"/>
      <c r="AX153" s="728"/>
      <c r="AY153" s="728"/>
      <c r="AZ153" s="728"/>
      <c r="BA153" s="728"/>
      <c r="BB153" s="728"/>
      <c r="BC153" s="728"/>
      <c r="BD153" s="728"/>
      <c r="BE153" s="728"/>
      <c r="BF153" s="728"/>
      <c r="BG153" s="728"/>
      <c r="BH153" s="728"/>
      <c r="BI153" s="728"/>
      <c r="BJ153" s="728"/>
      <c r="BK153" s="728"/>
      <c r="BL153" s="728"/>
      <c r="BM153" s="728"/>
      <c r="BN153" s="728"/>
      <c r="BO153" s="728"/>
      <c r="BP153" s="728"/>
      <c r="BQ153" s="728"/>
    </row>
    <row r="154" spans="1:69" s="728" customFormat="1" ht="13.5" customHeight="1">
      <c r="A154" s="721"/>
      <c r="B154" s="708" t="s">
        <v>867</v>
      </c>
      <c r="C154" s="710" t="s">
        <v>868</v>
      </c>
      <c r="D154" s="709" t="s">
        <v>822</v>
      </c>
      <c r="E154" s="710" t="s">
        <v>869</v>
      </c>
      <c r="F154" s="711">
        <v>42108</v>
      </c>
      <c r="G154" s="723">
        <v>17</v>
      </c>
      <c r="H154" s="723">
        <v>14</v>
      </c>
      <c r="I154" s="723">
        <v>16</v>
      </c>
      <c r="J154" s="723">
        <v>31.47</v>
      </c>
      <c r="K154" s="713">
        <f t="shared" si="40"/>
        <v>51950.504000000001</v>
      </c>
      <c r="L154" s="801">
        <v>7000</v>
      </c>
      <c r="M154" s="801">
        <v>58950.504000000001</v>
      </c>
      <c r="N154" s="713">
        <f t="shared" si="41"/>
        <v>883158.56799999997</v>
      </c>
      <c r="O154" s="714">
        <f t="shared" si="47"/>
        <v>119000</v>
      </c>
      <c r="P154" s="713">
        <f t="shared" si="42"/>
        <v>1002158.568</v>
      </c>
      <c r="Q154" s="713"/>
      <c r="R154" s="723">
        <v>6.05</v>
      </c>
      <c r="S154" s="713">
        <v>467687.17</v>
      </c>
      <c r="T154" s="713">
        <v>122180.17</v>
      </c>
      <c r="U154" s="713"/>
      <c r="V154" s="700">
        <v>1</v>
      </c>
      <c r="W154" s="617">
        <f t="shared" si="44"/>
        <v>31.47</v>
      </c>
      <c r="X154" s="715">
        <f t="shared" si="45"/>
        <v>1855172.3608800001</v>
      </c>
      <c r="Y154" s="716">
        <f t="shared" si="46"/>
        <v>0.85117647058823542</v>
      </c>
      <c r="Z154" s="718" t="s">
        <v>870</v>
      </c>
      <c r="AA154" s="718" t="s">
        <v>1031</v>
      </c>
      <c r="AB154" s="719">
        <f t="shared" si="43"/>
        <v>1002158.568</v>
      </c>
      <c r="AC154" s="699"/>
      <c r="AD154" s="699"/>
      <c r="AE154" s="741"/>
      <c r="AF154" s="714"/>
      <c r="AG154" s="726"/>
      <c r="AH154" s="725"/>
      <c r="AI154" s="699"/>
      <c r="AJ154" s="699"/>
      <c r="AK154" s="699"/>
    </row>
    <row r="155" spans="1:69" s="728" customFormat="1" ht="13.5" customHeight="1">
      <c r="A155" s="721"/>
      <c r="B155" s="708" t="s">
        <v>876</v>
      </c>
      <c r="C155" s="710" t="s">
        <v>878</v>
      </c>
      <c r="D155" s="709" t="s">
        <v>377</v>
      </c>
      <c r="E155" s="710" t="s">
        <v>877</v>
      </c>
      <c r="F155" s="711">
        <v>42053</v>
      </c>
      <c r="G155" s="723">
        <v>6</v>
      </c>
      <c r="H155" s="723">
        <v>13</v>
      </c>
      <c r="I155" s="723">
        <v>15</v>
      </c>
      <c r="J155" s="723">
        <v>5.75</v>
      </c>
      <c r="K155" s="713">
        <f t="shared" ref="K155:K178" si="48">+M155-L155</f>
        <v>9210.49</v>
      </c>
      <c r="L155" s="801">
        <v>6667</v>
      </c>
      <c r="M155" s="801">
        <v>15877.49</v>
      </c>
      <c r="N155" s="713">
        <f t="shared" ref="N155:N178" si="49">+G155*K155</f>
        <v>55262.94</v>
      </c>
      <c r="O155" s="714">
        <f t="shared" si="47"/>
        <v>40002</v>
      </c>
      <c r="P155" s="713">
        <f t="shared" ref="P155:P178" si="50">+N155+O155</f>
        <v>95264.94</v>
      </c>
      <c r="Q155" s="713"/>
      <c r="R155" s="723" t="s">
        <v>1</v>
      </c>
      <c r="S155" s="713" t="s">
        <v>1</v>
      </c>
      <c r="T155" s="713" t="s">
        <v>1</v>
      </c>
      <c r="U155" s="713"/>
      <c r="V155" s="700">
        <v>1</v>
      </c>
      <c r="W155" s="617">
        <f t="shared" ref="W155:W178" si="51">J155</f>
        <v>5.75</v>
      </c>
      <c r="X155" s="715">
        <f t="shared" ref="X155:X178" si="52">W155*M155</f>
        <v>91295.567500000005</v>
      </c>
      <c r="Y155" s="716">
        <f t="shared" ref="Y155:Y178" si="53">X155/P155-1</f>
        <v>-4.166666666666663E-2</v>
      </c>
      <c r="Z155" s="718" t="s">
        <v>878</v>
      </c>
      <c r="AA155" s="718" t="s">
        <v>879</v>
      </c>
      <c r="AB155" s="719">
        <f t="shared" ref="AB155:AB178" si="54">+N155+O155</f>
        <v>95264.94</v>
      </c>
      <c r="AC155" s="699"/>
      <c r="AD155" s="699"/>
      <c r="AE155" s="741"/>
      <c r="AF155" s="714"/>
      <c r="AG155" s="726"/>
      <c r="AH155" s="725"/>
      <c r="AI155" s="699"/>
      <c r="AJ155" s="699"/>
      <c r="AK155" s="699"/>
    </row>
    <row r="156" spans="1:69" s="728" customFormat="1" ht="13.5" customHeight="1">
      <c r="A156" s="721"/>
      <c r="B156" s="708" t="s">
        <v>880</v>
      </c>
      <c r="C156" s="710" t="s">
        <v>881</v>
      </c>
      <c r="D156" s="709" t="s">
        <v>377</v>
      </c>
      <c r="E156" s="710" t="s">
        <v>882</v>
      </c>
      <c r="F156" s="711">
        <v>42048</v>
      </c>
      <c r="G156" s="723">
        <v>12</v>
      </c>
      <c r="H156" s="723">
        <v>14</v>
      </c>
      <c r="I156" s="723">
        <v>16</v>
      </c>
      <c r="J156" s="723">
        <v>9.75</v>
      </c>
      <c r="K156" s="713">
        <f t="shared" si="48"/>
        <v>7905.3259999999991</v>
      </c>
      <c r="L156" s="801">
        <v>5000</v>
      </c>
      <c r="M156" s="801">
        <v>12905.325999999999</v>
      </c>
      <c r="N156" s="713">
        <f t="shared" si="49"/>
        <v>94863.911999999982</v>
      </c>
      <c r="O156" s="714">
        <f t="shared" si="47"/>
        <v>60000</v>
      </c>
      <c r="P156" s="713">
        <f t="shared" si="50"/>
        <v>154863.91199999998</v>
      </c>
      <c r="Q156" s="713"/>
      <c r="R156" s="723">
        <v>2.09</v>
      </c>
      <c r="S156" s="713">
        <v>115325.76000000001</v>
      </c>
      <c r="T156" s="713">
        <v>79864.760000000009</v>
      </c>
      <c r="U156" s="713"/>
      <c r="V156" s="700">
        <v>1</v>
      </c>
      <c r="W156" s="617">
        <f t="shared" si="51"/>
        <v>9.75</v>
      </c>
      <c r="X156" s="715">
        <f t="shared" si="52"/>
        <v>125826.92849999999</v>
      </c>
      <c r="Y156" s="716">
        <f t="shared" si="53"/>
        <v>-0.18749999999999989</v>
      </c>
      <c r="Z156" s="718" t="s">
        <v>883</v>
      </c>
      <c r="AA156" s="718" t="s">
        <v>884</v>
      </c>
      <c r="AB156" s="719">
        <f t="shared" si="54"/>
        <v>154863.91199999998</v>
      </c>
      <c r="AC156" s="699"/>
      <c r="AD156" s="699"/>
      <c r="AE156" s="741"/>
      <c r="AF156" s="714"/>
      <c r="AG156" s="726"/>
      <c r="AH156" s="725"/>
      <c r="AI156" s="699"/>
      <c r="AJ156" s="699"/>
      <c r="AK156" s="699"/>
    </row>
    <row r="157" spans="1:69" s="728" customFormat="1" ht="13.5" customHeight="1">
      <c r="A157" s="721"/>
      <c r="B157" s="708" t="s">
        <v>634</v>
      </c>
      <c r="C157" s="710" t="s">
        <v>891</v>
      </c>
      <c r="D157" s="709" t="s">
        <v>377</v>
      </c>
      <c r="E157" s="710" t="s">
        <v>892</v>
      </c>
      <c r="F157" s="711">
        <v>42033</v>
      </c>
      <c r="G157" s="723">
        <v>10</v>
      </c>
      <c r="H157" s="723">
        <v>12</v>
      </c>
      <c r="I157" s="723">
        <v>14</v>
      </c>
      <c r="J157" s="723">
        <v>13.43</v>
      </c>
      <c r="K157" s="713">
        <f t="shared" si="48"/>
        <v>8492.8060000000005</v>
      </c>
      <c r="L157" s="801">
        <v>3600</v>
      </c>
      <c r="M157" s="801">
        <v>12092.806</v>
      </c>
      <c r="N157" s="713">
        <f t="shared" si="49"/>
        <v>84928.06</v>
      </c>
      <c r="O157" s="714">
        <f t="shared" si="47"/>
        <v>36000</v>
      </c>
      <c r="P157" s="713">
        <f t="shared" si="50"/>
        <v>120928.06</v>
      </c>
      <c r="Q157" s="713"/>
      <c r="R157" s="723">
        <v>2.9</v>
      </c>
      <c r="S157" s="713">
        <v>50784.590000000004</v>
      </c>
      <c r="T157" s="713">
        <v>22243.59</v>
      </c>
      <c r="U157" s="713"/>
      <c r="V157" s="700">
        <v>1</v>
      </c>
      <c r="W157" s="617">
        <f t="shared" si="51"/>
        <v>13.43</v>
      </c>
      <c r="X157" s="715">
        <f t="shared" si="52"/>
        <v>162406.38458000001</v>
      </c>
      <c r="Y157" s="716">
        <f t="shared" si="53"/>
        <v>0.34300000000000019</v>
      </c>
      <c r="Z157" s="718" t="s">
        <v>893</v>
      </c>
      <c r="AA157" s="718" t="s">
        <v>894</v>
      </c>
      <c r="AB157" s="719">
        <f t="shared" si="54"/>
        <v>120928.06</v>
      </c>
      <c r="AE157" s="742"/>
      <c r="AF157" s="729"/>
      <c r="AG157" s="726"/>
      <c r="AH157" s="725"/>
    </row>
    <row r="158" spans="1:69" s="728" customFormat="1" ht="13.5" customHeight="1">
      <c r="A158" s="721"/>
      <c r="B158" s="708" t="s">
        <v>899</v>
      </c>
      <c r="C158" s="710" t="s">
        <v>900</v>
      </c>
      <c r="D158" s="709" t="s">
        <v>377</v>
      </c>
      <c r="E158" s="710" t="s">
        <v>901</v>
      </c>
      <c r="F158" s="711">
        <v>42030</v>
      </c>
      <c r="G158" s="723">
        <v>11</v>
      </c>
      <c r="H158" s="723">
        <v>10</v>
      </c>
      <c r="I158" s="723">
        <v>12</v>
      </c>
      <c r="J158" s="723">
        <v>11.04</v>
      </c>
      <c r="K158" s="713">
        <f t="shared" si="48"/>
        <v>7316.1119999999992</v>
      </c>
      <c r="L158" s="801">
        <v>4500</v>
      </c>
      <c r="M158" s="801">
        <v>11816.111999999999</v>
      </c>
      <c r="N158" s="713">
        <f t="shared" si="49"/>
        <v>80477.231999999989</v>
      </c>
      <c r="O158" s="714">
        <f t="shared" si="47"/>
        <v>49500</v>
      </c>
      <c r="P158" s="713">
        <f t="shared" si="50"/>
        <v>129977.23199999999</v>
      </c>
      <c r="Q158" s="713"/>
      <c r="R158" s="723">
        <v>4.0999999999999996</v>
      </c>
      <c r="S158" s="713">
        <v>8089.4600000000009</v>
      </c>
      <c r="T158" s="713">
        <v>-3582.54</v>
      </c>
      <c r="U158" s="713"/>
      <c r="V158" s="700">
        <v>1</v>
      </c>
      <c r="W158" s="617">
        <f t="shared" si="51"/>
        <v>11.04</v>
      </c>
      <c r="X158" s="715">
        <f t="shared" si="52"/>
        <v>130449.87647999998</v>
      </c>
      <c r="Y158" s="716">
        <f t="shared" si="53"/>
        <v>3.6363636363634377E-3</v>
      </c>
      <c r="Z158" s="718" t="s">
        <v>902</v>
      </c>
      <c r="AA158" s="718" t="s">
        <v>903</v>
      </c>
      <c r="AB158" s="719">
        <f t="shared" si="54"/>
        <v>129977.23199999999</v>
      </c>
      <c r="AC158" s="699"/>
      <c r="AD158" s="699"/>
      <c r="AE158" s="699"/>
      <c r="AF158" s="714"/>
      <c r="AG158" s="726"/>
      <c r="AH158" s="725"/>
      <c r="AI158" s="699"/>
      <c r="AJ158" s="699"/>
      <c r="AK158" s="699"/>
    </row>
    <row r="159" spans="1:69" s="728" customFormat="1" ht="13.5" customHeight="1">
      <c r="A159" s="721"/>
      <c r="B159" s="708" t="s">
        <v>2320</v>
      </c>
      <c r="C159" s="710" t="s">
        <v>2321</v>
      </c>
      <c r="D159" s="709" t="s">
        <v>1022</v>
      </c>
      <c r="E159" s="710" t="s">
        <v>2322</v>
      </c>
      <c r="F159" s="711">
        <v>41850</v>
      </c>
      <c r="G159" s="723">
        <v>11</v>
      </c>
      <c r="H159" s="723">
        <v>11</v>
      </c>
      <c r="I159" s="723">
        <v>13</v>
      </c>
      <c r="J159" s="723">
        <v>46.2</v>
      </c>
      <c r="K159" s="713">
        <f t="shared" si="48"/>
        <v>11030.48</v>
      </c>
      <c r="L159" s="801">
        <v>3200</v>
      </c>
      <c r="M159" s="801">
        <v>14230.48</v>
      </c>
      <c r="N159" s="713">
        <f t="shared" si="49"/>
        <v>121335.28</v>
      </c>
      <c r="O159" s="714">
        <f t="shared" ref="O159:O178" si="55">+G159*L159</f>
        <v>35200</v>
      </c>
      <c r="P159" s="713">
        <f t="shared" si="50"/>
        <v>156535.28</v>
      </c>
      <c r="Q159" s="713"/>
      <c r="R159" s="723">
        <v>2.68</v>
      </c>
      <c r="S159" s="713">
        <v>8957.61</v>
      </c>
      <c r="T159" s="713">
        <v>4852.6100000000006</v>
      </c>
      <c r="U159" s="713"/>
      <c r="V159" s="700">
        <v>1</v>
      </c>
      <c r="W159" s="617">
        <f t="shared" si="51"/>
        <v>46.2</v>
      </c>
      <c r="X159" s="715">
        <f t="shared" si="52"/>
        <v>657448.17599999998</v>
      </c>
      <c r="Y159" s="716">
        <f t="shared" si="53"/>
        <v>3.2</v>
      </c>
      <c r="Z159" s="718" t="s">
        <v>2339</v>
      </c>
      <c r="AA159" s="718" t="s">
        <v>2345</v>
      </c>
      <c r="AB159" s="719">
        <f t="shared" si="54"/>
        <v>156535.28</v>
      </c>
      <c r="AC159" s="699"/>
      <c r="AD159" s="699"/>
      <c r="AE159" s="699"/>
      <c r="AF159" s="714"/>
      <c r="AG159" s="726"/>
      <c r="AH159" s="725"/>
      <c r="AI159" s="699"/>
      <c r="AJ159" s="699"/>
      <c r="AK159" s="699"/>
    </row>
    <row r="160" spans="1:69" s="728" customFormat="1" ht="13.5" customHeight="1">
      <c r="A160" s="721"/>
      <c r="B160" s="708" t="s">
        <v>1671</v>
      </c>
      <c r="C160" s="710" t="s">
        <v>1669</v>
      </c>
      <c r="D160" s="709" t="s">
        <v>904</v>
      </c>
      <c r="E160" s="710" t="s">
        <v>2326</v>
      </c>
      <c r="F160" s="711">
        <v>41808</v>
      </c>
      <c r="G160" s="723">
        <v>16</v>
      </c>
      <c r="H160" s="723">
        <v>14</v>
      </c>
      <c r="I160" s="723">
        <v>16</v>
      </c>
      <c r="J160" s="723">
        <v>17.86</v>
      </c>
      <c r="K160" s="713">
        <f t="shared" si="48"/>
        <v>15807.011999999999</v>
      </c>
      <c r="L160" s="801">
        <v>6000</v>
      </c>
      <c r="M160" s="801">
        <v>21807.011999999999</v>
      </c>
      <c r="N160" s="713">
        <f t="shared" si="49"/>
        <v>252912.19199999998</v>
      </c>
      <c r="O160" s="714">
        <f t="shared" si="55"/>
        <v>96000</v>
      </c>
      <c r="P160" s="713">
        <f t="shared" si="50"/>
        <v>348912.19199999998</v>
      </c>
      <c r="Q160" s="713"/>
      <c r="R160" s="723">
        <v>8.06</v>
      </c>
      <c r="S160" s="713">
        <v>221565.02000000002</v>
      </c>
      <c r="T160" s="713">
        <v>129653.02</v>
      </c>
      <c r="U160" s="713"/>
      <c r="V160" s="700">
        <v>1</v>
      </c>
      <c r="W160" s="617">
        <f t="shared" si="51"/>
        <v>17.86</v>
      </c>
      <c r="X160" s="715">
        <f t="shared" si="52"/>
        <v>389473.23431999999</v>
      </c>
      <c r="Y160" s="716">
        <f t="shared" si="53"/>
        <v>0.11624999999999996</v>
      </c>
      <c r="Z160" s="718" t="s">
        <v>1670</v>
      </c>
      <c r="AA160" s="718" t="s">
        <v>1672</v>
      </c>
      <c r="AB160" s="719">
        <f t="shared" si="54"/>
        <v>348912.19199999998</v>
      </c>
      <c r="AC160" s="699"/>
      <c r="AD160" s="699"/>
      <c r="AE160" s="699"/>
      <c r="AF160" s="714"/>
      <c r="AG160" s="726"/>
      <c r="AH160" s="725"/>
      <c r="AI160" s="699"/>
      <c r="AJ160" s="699"/>
      <c r="AK160" s="699"/>
    </row>
    <row r="161" spans="1:37" s="728" customFormat="1" ht="13.5" customHeight="1">
      <c r="A161" s="721"/>
      <c r="B161" s="708" t="s">
        <v>2323</v>
      </c>
      <c r="C161" s="710" t="s">
        <v>2324</v>
      </c>
      <c r="D161" s="709" t="s">
        <v>1022</v>
      </c>
      <c r="E161" s="710" t="s">
        <v>2325</v>
      </c>
      <c r="F161" s="711">
        <v>41760</v>
      </c>
      <c r="G161" s="723">
        <v>8</v>
      </c>
      <c r="H161" s="723">
        <v>10</v>
      </c>
      <c r="I161" s="723">
        <v>12</v>
      </c>
      <c r="J161" s="723">
        <v>6.1028000000000002</v>
      </c>
      <c r="K161" s="713">
        <f t="shared" si="48"/>
        <v>3970.1639999999998</v>
      </c>
      <c r="L161" s="801">
        <v>1500</v>
      </c>
      <c r="M161" s="801">
        <v>5470.1639999999998</v>
      </c>
      <c r="N161" s="713">
        <f t="shared" si="49"/>
        <v>31761.311999999998</v>
      </c>
      <c r="O161" s="714">
        <f t="shared" si="55"/>
        <v>12000</v>
      </c>
      <c r="P161" s="713">
        <f t="shared" si="50"/>
        <v>43761.311999999998</v>
      </c>
      <c r="Q161" s="713"/>
      <c r="R161" s="723">
        <v>6.75</v>
      </c>
      <c r="S161" s="713">
        <v>129044.31</v>
      </c>
      <c r="T161" s="713">
        <v>82465.05</v>
      </c>
      <c r="U161" s="713"/>
      <c r="V161" s="700">
        <v>1</v>
      </c>
      <c r="W161" s="617">
        <f t="shared" si="51"/>
        <v>6.1028000000000002</v>
      </c>
      <c r="X161" s="715">
        <f t="shared" si="52"/>
        <v>33383.3168592</v>
      </c>
      <c r="Y161" s="716">
        <f t="shared" si="53"/>
        <v>-0.23714999999999997</v>
      </c>
      <c r="Z161" s="718" t="s">
        <v>2340</v>
      </c>
      <c r="AA161" s="718" t="s">
        <v>2346</v>
      </c>
      <c r="AB161" s="719">
        <f t="shared" si="54"/>
        <v>43761.311999999998</v>
      </c>
      <c r="AC161" s="699"/>
      <c r="AD161" s="699"/>
      <c r="AE161" s="699"/>
      <c r="AF161" s="714"/>
      <c r="AG161" s="726"/>
      <c r="AH161" s="725"/>
      <c r="AI161" s="699"/>
      <c r="AJ161" s="699"/>
      <c r="AK161" s="699"/>
    </row>
    <row r="162" spans="1:37" s="728" customFormat="1" ht="13.5" customHeight="1">
      <c r="A162" s="721"/>
      <c r="B162" s="708" t="s">
        <v>2330</v>
      </c>
      <c r="C162" s="710" t="s">
        <v>2331</v>
      </c>
      <c r="D162" s="709" t="s">
        <v>822</v>
      </c>
      <c r="E162" s="710" t="s">
        <v>2332</v>
      </c>
      <c r="F162" s="711">
        <v>41717</v>
      </c>
      <c r="G162" s="723">
        <v>17</v>
      </c>
      <c r="H162" s="723">
        <v>14</v>
      </c>
      <c r="I162" s="723">
        <v>17</v>
      </c>
      <c r="J162" s="723">
        <v>26.09</v>
      </c>
      <c r="K162" s="713">
        <f t="shared" si="48"/>
        <v>13385.673999999999</v>
      </c>
      <c r="L162" s="801">
        <v>5882.3530000000001</v>
      </c>
      <c r="M162" s="801">
        <v>19268.026999999998</v>
      </c>
      <c r="N162" s="713">
        <f t="shared" si="49"/>
        <v>227556.45799999998</v>
      </c>
      <c r="O162" s="714">
        <f t="shared" si="55"/>
        <v>100000.001</v>
      </c>
      <c r="P162" s="713">
        <f t="shared" si="50"/>
        <v>327556.45899999997</v>
      </c>
      <c r="Q162" s="713"/>
      <c r="R162" s="723">
        <v>14</v>
      </c>
      <c r="S162" s="713">
        <v>661768.14</v>
      </c>
      <c r="T162" s="713">
        <v>332070.13999999996</v>
      </c>
      <c r="U162" s="713"/>
      <c r="V162" s="700">
        <v>1</v>
      </c>
      <c r="W162" s="617">
        <f t="shared" si="51"/>
        <v>26.09</v>
      </c>
      <c r="X162" s="715">
        <f t="shared" si="52"/>
        <v>502702.82442999998</v>
      </c>
      <c r="Y162" s="716">
        <f t="shared" si="53"/>
        <v>0.53470588235294114</v>
      </c>
      <c r="Z162" s="718" t="s">
        <v>2342</v>
      </c>
      <c r="AA162" s="718" t="s">
        <v>2348</v>
      </c>
      <c r="AB162" s="719">
        <f t="shared" si="54"/>
        <v>327556.45899999997</v>
      </c>
      <c r="AC162" s="699"/>
      <c r="AD162" s="699"/>
      <c r="AE162" s="699"/>
      <c r="AF162" s="714"/>
      <c r="AG162" s="726"/>
      <c r="AH162" s="725"/>
      <c r="AI162" s="699"/>
      <c r="AJ162" s="699"/>
      <c r="AK162" s="699"/>
    </row>
    <row r="163" spans="1:37" s="728" customFormat="1" ht="13.5" customHeight="1">
      <c r="A163" s="721"/>
      <c r="B163" s="708" t="s">
        <v>2327</v>
      </c>
      <c r="C163" s="710" t="s">
        <v>2328</v>
      </c>
      <c r="D163" s="709" t="s">
        <v>904</v>
      </c>
      <c r="E163" s="710" t="s">
        <v>2329</v>
      </c>
      <c r="F163" s="711">
        <v>41710</v>
      </c>
      <c r="G163" s="723">
        <v>13.5</v>
      </c>
      <c r="H163" s="723">
        <v>12</v>
      </c>
      <c r="I163" s="723">
        <v>14</v>
      </c>
      <c r="J163" s="723">
        <v>9.51</v>
      </c>
      <c r="K163" s="713">
        <f t="shared" si="48"/>
        <v>7837.4430000000011</v>
      </c>
      <c r="L163" s="801">
        <v>2837.4</v>
      </c>
      <c r="M163" s="801">
        <v>10674.843000000001</v>
      </c>
      <c r="N163" s="713">
        <f t="shared" si="49"/>
        <v>105805.48050000002</v>
      </c>
      <c r="O163" s="714">
        <f t="shared" si="55"/>
        <v>38304.9</v>
      </c>
      <c r="P163" s="713">
        <f t="shared" si="50"/>
        <v>144110.38050000003</v>
      </c>
      <c r="Q163" s="713"/>
      <c r="R163" s="723">
        <v>9.39</v>
      </c>
      <c r="S163" s="713">
        <v>119567.67999999999</v>
      </c>
      <c r="T163" s="713">
        <v>110609.68</v>
      </c>
      <c r="U163" s="713"/>
      <c r="V163" s="700">
        <v>1</v>
      </c>
      <c r="W163" s="617">
        <f t="shared" si="51"/>
        <v>9.51</v>
      </c>
      <c r="X163" s="715">
        <f t="shared" si="52"/>
        <v>101517.75693</v>
      </c>
      <c r="Y163" s="716">
        <f t="shared" si="53"/>
        <v>-0.29555555555555568</v>
      </c>
      <c r="Z163" s="718" t="s">
        <v>2341</v>
      </c>
      <c r="AA163" s="718" t="s">
        <v>2347</v>
      </c>
      <c r="AB163" s="719">
        <f t="shared" si="54"/>
        <v>144110.38050000003</v>
      </c>
      <c r="AC163" s="699"/>
      <c r="AD163" s="699"/>
      <c r="AE163" s="699"/>
      <c r="AF163" s="714"/>
      <c r="AG163" s="726"/>
      <c r="AH163" s="725"/>
      <c r="AI163" s="699"/>
      <c r="AJ163" s="699"/>
      <c r="AK163" s="699"/>
    </row>
    <row r="164" spans="1:37" s="728" customFormat="1" ht="13.5" customHeight="1">
      <c r="A164" s="721"/>
      <c r="B164" s="708" t="s">
        <v>2333</v>
      </c>
      <c r="C164" s="710" t="s">
        <v>2334</v>
      </c>
      <c r="D164" s="709" t="s">
        <v>822</v>
      </c>
      <c r="E164" s="710" t="s">
        <v>2335</v>
      </c>
      <c r="F164" s="711">
        <v>41681</v>
      </c>
      <c r="G164" s="723">
        <v>13</v>
      </c>
      <c r="H164" s="723">
        <v>12</v>
      </c>
      <c r="I164" s="723">
        <v>14</v>
      </c>
      <c r="J164" s="723">
        <v>18.510000000000002</v>
      </c>
      <c r="K164" s="713">
        <f t="shared" si="48"/>
        <v>9746.1470000000008</v>
      </c>
      <c r="L164" s="801">
        <v>5000</v>
      </c>
      <c r="M164" s="801">
        <v>14746.147000000001</v>
      </c>
      <c r="N164" s="713">
        <f t="shared" si="49"/>
        <v>126699.91100000001</v>
      </c>
      <c r="O164" s="714">
        <f t="shared" si="55"/>
        <v>65000</v>
      </c>
      <c r="P164" s="713">
        <f t="shared" si="50"/>
        <v>191699.91100000002</v>
      </c>
      <c r="Q164" s="713"/>
      <c r="R164" s="723">
        <v>22.54</v>
      </c>
      <c r="S164" s="713">
        <v>846170.29</v>
      </c>
      <c r="T164" s="713">
        <v>671572.28999999992</v>
      </c>
      <c r="U164" s="713"/>
      <c r="V164" s="700">
        <v>1</v>
      </c>
      <c r="W164" s="617">
        <f t="shared" si="51"/>
        <v>18.510000000000002</v>
      </c>
      <c r="X164" s="715">
        <f t="shared" si="52"/>
        <v>272951.18097000004</v>
      </c>
      <c r="Y164" s="716">
        <f t="shared" si="53"/>
        <v>0.42384615384615398</v>
      </c>
      <c r="Z164" s="718" t="s">
        <v>2343</v>
      </c>
      <c r="AA164" s="718" t="s">
        <v>2349</v>
      </c>
      <c r="AB164" s="719">
        <f t="shared" si="54"/>
        <v>191699.91100000002</v>
      </c>
      <c r="AC164" s="699"/>
      <c r="AD164" s="699"/>
      <c r="AE164" s="699"/>
      <c r="AF164" s="714"/>
      <c r="AG164" s="726"/>
      <c r="AH164" s="725"/>
      <c r="AI164" s="699"/>
      <c r="AJ164" s="699"/>
      <c r="AK164" s="699"/>
    </row>
    <row r="165" spans="1:37" s="728" customFormat="1" ht="13.5" customHeight="1">
      <c r="A165" s="721"/>
      <c r="B165" s="708" t="s">
        <v>2336</v>
      </c>
      <c r="C165" s="710" t="s">
        <v>2337</v>
      </c>
      <c r="D165" s="709" t="s">
        <v>822</v>
      </c>
      <c r="E165" s="710" t="s">
        <v>2338</v>
      </c>
      <c r="F165" s="711">
        <v>41670</v>
      </c>
      <c r="G165" s="723">
        <v>7</v>
      </c>
      <c r="H165" s="723">
        <v>12</v>
      </c>
      <c r="I165" s="723">
        <v>14</v>
      </c>
      <c r="J165" s="723">
        <v>7.98</v>
      </c>
      <c r="K165" s="713">
        <f t="shared" si="48"/>
        <v>16484.361000000001</v>
      </c>
      <c r="L165" s="801">
        <v>9250</v>
      </c>
      <c r="M165" s="801">
        <v>25734.361000000001</v>
      </c>
      <c r="N165" s="713">
        <f t="shared" si="49"/>
        <v>115390.527</v>
      </c>
      <c r="O165" s="714">
        <f t="shared" si="55"/>
        <v>64750</v>
      </c>
      <c r="P165" s="713">
        <f t="shared" si="50"/>
        <v>180140.527</v>
      </c>
      <c r="Q165" s="713"/>
      <c r="R165" s="723">
        <v>1.51</v>
      </c>
      <c r="S165" s="713">
        <v>94074.48</v>
      </c>
      <c r="T165" s="713">
        <v>45601.48</v>
      </c>
      <c r="U165" s="713"/>
      <c r="V165" s="700">
        <v>1</v>
      </c>
      <c r="W165" s="617">
        <f t="shared" si="51"/>
        <v>7.98</v>
      </c>
      <c r="X165" s="715">
        <f t="shared" si="52"/>
        <v>205360.20078000001</v>
      </c>
      <c r="Y165" s="716">
        <f t="shared" si="53"/>
        <v>0.14000000000000012</v>
      </c>
      <c r="Z165" s="718" t="s">
        <v>2344</v>
      </c>
      <c r="AA165" s="718" t="s">
        <v>2350</v>
      </c>
      <c r="AB165" s="719">
        <f t="shared" si="54"/>
        <v>180140.527</v>
      </c>
      <c r="AC165" s="699"/>
      <c r="AD165" s="699"/>
      <c r="AE165" s="699"/>
      <c r="AF165" s="714"/>
      <c r="AG165" s="726"/>
      <c r="AH165" s="725"/>
      <c r="AI165" s="699"/>
      <c r="AJ165" s="699"/>
      <c r="AK165" s="699"/>
    </row>
    <row r="166" spans="1:37" s="728" customFormat="1" ht="13.5" customHeight="1">
      <c r="A166" s="721"/>
      <c r="B166" s="708" t="s">
        <v>2351</v>
      </c>
      <c r="C166" s="710" t="s">
        <v>2352</v>
      </c>
      <c r="D166" s="709" t="s">
        <v>377</v>
      </c>
      <c r="E166" s="710" t="s">
        <v>2353</v>
      </c>
      <c r="F166" s="711">
        <v>41610</v>
      </c>
      <c r="G166" s="723">
        <v>5.5</v>
      </c>
      <c r="H166" s="723">
        <v>14</v>
      </c>
      <c r="I166" s="723">
        <v>16</v>
      </c>
      <c r="J166" s="723">
        <v>8.8800000000000008</v>
      </c>
      <c r="K166" s="713">
        <f t="shared" si="48"/>
        <v>16692.576000000001</v>
      </c>
      <c r="L166" s="801">
        <v>12730</v>
      </c>
      <c r="M166" s="801">
        <v>29422.576000000001</v>
      </c>
      <c r="N166" s="713">
        <f t="shared" si="49"/>
        <v>91809.168000000005</v>
      </c>
      <c r="O166" s="714">
        <f t="shared" si="55"/>
        <v>70015</v>
      </c>
      <c r="P166" s="713">
        <f t="shared" si="50"/>
        <v>161824.16800000001</v>
      </c>
      <c r="Q166" s="713"/>
      <c r="R166" s="723">
        <v>21.71</v>
      </c>
      <c r="S166" s="713">
        <v>1019519.99</v>
      </c>
      <c r="T166" s="713">
        <v>809567.99</v>
      </c>
      <c r="U166" s="713"/>
      <c r="V166" s="700">
        <v>1</v>
      </c>
      <c r="W166" s="617">
        <f t="shared" si="51"/>
        <v>8.8800000000000008</v>
      </c>
      <c r="X166" s="715">
        <f t="shared" si="52"/>
        <v>261272.47488000002</v>
      </c>
      <c r="Y166" s="716">
        <f t="shared" si="53"/>
        <v>0.61454545454545473</v>
      </c>
      <c r="Z166" s="718" t="s">
        <v>2387</v>
      </c>
      <c r="AA166" s="718" t="s">
        <v>2399</v>
      </c>
      <c r="AB166" s="719">
        <f t="shared" si="54"/>
        <v>161824.16800000001</v>
      </c>
      <c r="AC166" s="699"/>
      <c r="AD166" s="699"/>
      <c r="AE166" s="699"/>
      <c r="AF166" s="714"/>
      <c r="AG166" s="726"/>
      <c r="AH166" s="725"/>
      <c r="AI166" s="699"/>
      <c r="AJ166" s="699"/>
      <c r="AK166" s="699"/>
    </row>
    <row r="167" spans="1:37" s="728" customFormat="1" ht="13.5" customHeight="1">
      <c r="A167" s="721"/>
      <c r="B167" s="708" t="s">
        <v>2354</v>
      </c>
      <c r="C167" s="710" t="s">
        <v>2355</v>
      </c>
      <c r="D167" s="709" t="s">
        <v>377</v>
      </c>
      <c r="E167" s="710" t="s">
        <v>2356</v>
      </c>
      <c r="F167" s="711">
        <v>41583</v>
      </c>
      <c r="G167" s="723">
        <v>16</v>
      </c>
      <c r="H167" s="723">
        <v>14</v>
      </c>
      <c r="I167" s="723">
        <v>16</v>
      </c>
      <c r="J167" s="723">
        <v>16.91</v>
      </c>
      <c r="K167" s="713">
        <f t="shared" si="48"/>
        <v>32692.402000000002</v>
      </c>
      <c r="L167" s="801">
        <v>2950</v>
      </c>
      <c r="M167" s="801">
        <v>35642.402000000002</v>
      </c>
      <c r="N167" s="713">
        <f t="shared" si="49"/>
        <v>523078.43200000003</v>
      </c>
      <c r="O167" s="714">
        <f t="shared" si="55"/>
        <v>47200</v>
      </c>
      <c r="P167" s="713">
        <f t="shared" si="50"/>
        <v>570278.43200000003</v>
      </c>
      <c r="Q167" s="713"/>
      <c r="R167" s="723">
        <v>13.68</v>
      </c>
      <c r="S167" s="713">
        <v>677613.49</v>
      </c>
      <c r="T167" s="713">
        <v>558207.49</v>
      </c>
      <c r="U167" s="713"/>
      <c r="V167" s="700">
        <v>1</v>
      </c>
      <c r="W167" s="617">
        <f t="shared" si="51"/>
        <v>16.91</v>
      </c>
      <c r="X167" s="715">
        <f t="shared" si="52"/>
        <v>602713.01782000007</v>
      </c>
      <c r="Y167" s="716">
        <f t="shared" si="53"/>
        <v>5.6875000000000009E-2</v>
      </c>
      <c r="Z167" s="718" t="s">
        <v>2388</v>
      </c>
      <c r="AA167" s="718" t="s">
        <v>2400</v>
      </c>
      <c r="AB167" s="719">
        <f t="shared" si="54"/>
        <v>570278.43200000003</v>
      </c>
      <c r="AC167" s="699"/>
      <c r="AD167" s="699"/>
      <c r="AE167" s="699"/>
      <c r="AF167" s="714"/>
      <c r="AG167" s="726"/>
      <c r="AH167" s="725"/>
      <c r="AI167" s="699"/>
      <c r="AJ167" s="699"/>
      <c r="AK167" s="699"/>
    </row>
    <row r="168" spans="1:37" s="728" customFormat="1" ht="13.5" customHeight="1">
      <c r="A168" s="721"/>
      <c r="B168" s="708" t="s">
        <v>2378</v>
      </c>
      <c r="C168" s="710" t="s">
        <v>2379</v>
      </c>
      <c r="D168" s="709" t="s">
        <v>822</v>
      </c>
      <c r="E168" s="710" t="s">
        <v>2380</v>
      </c>
      <c r="F168" s="711">
        <v>41572</v>
      </c>
      <c r="G168" s="723">
        <v>10</v>
      </c>
      <c r="H168" s="723">
        <v>12</v>
      </c>
      <c r="I168" s="723">
        <v>14</v>
      </c>
      <c r="J168" s="723">
        <v>11.64</v>
      </c>
      <c r="K168" s="713">
        <f t="shared" si="48"/>
        <v>15485.717000000001</v>
      </c>
      <c r="L168" s="801">
        <v>6720</v>
      </c>
      <c r="M168" s="801">
        <v>22205.717000000001</v>
      </c>
      <c r="N168" s="713">
        <f t="shared" si="49"/>
        <v>154857.17000000001</v>
      </c>
      <c r="O168" s="714">
        <f t="shared" si="55"/>
        <v>67200</v>
      </c>
      <c r="P168" s="713">
        <f t="shared" si="50"/>
        <v>222057.17</v>
      </c>
      <c r="Q168" s="713"/>
      <c r="R168" s="723">
        <v>53.55</v>
      </c>
      <c r="S168" s="713">
        <v>2100377.35</v>
      </c>
      <c r="T168" s="713">
        <v>1942812.3499999999</v>
      </c>
      <c r="U168" s="713"/>
      <c r="V168" s="700">
        <v>1</v>
      </c>
      <c r="W168" s="617">
        <f t="shared" si="51"/>
        <v>11.64</v>
      </c>
      <c r="X168" s="715">
        <f t="shared" si="52"/>
        <v>258474.54588000002</v>
      </c>
      <c r="Y168" s="716">
        <f t="shared" si="53"/>
        <v>0.16399999999999992</v>
      </c>
      <c r="Z168" s="718" t="s">
        <v>2396</v>
      </c>
      <c r="AA168" s="718" t="s">
        <v>2408</v>
      </c>
      <c r="AB168" s="719">
        <f t="shared" si="54"/>
        <v>222057.17</v>
      </c>
      <c r="AC168" s="699"/>
      <c r="AD168" s="699"/>
      <c r="AE168" s="699"/>
      <c r="AF168" s="714"/>
      <c r="AG168" s="726"/>
      <c r="AH168" s="725"/>
      <c r="AI168" s="699"/>
      <c r="AJ168" s="699"/>
      <c r="AK168" s="699"/>
    </row>
    <row r="169" spans="1:37" s="728" customFormat="1" ht="13.5" customHeight="1">
      <c r="A169" s="721"/>
      <c r="B169" s="708" t="s">
        <v>2357</v>
      </c>
      <c r="C169" s="710" t="s">
        <v>2358</v>
      </c>
      <c r="D169" s="709" t="s">
        <v>377</v>
      </c>
      <c r="E169" s="710" t="s">
        <v>2359</v>
      </c>
      <c r="F169" s="711">
        <v>41557</v>
      </c>
      <c r="G169" s="723">
        <v>16</v>
      </c>
      <c r="H169" s="723">
        <v>14</v>
      </c>
      <c r="I169" s="723">
        <v>16</v>
      </c>
      <c r="J169" s="723">
        <v>25.91</v>
      </c>
      <c r="K169" s="713">
        <f t="shared" si="48"/>
        <v>19021.724999999999</v>
      </c>
      <c r="L169" s="801">
        <v>5000</v>
      </c>
      <c r="M169" s="801">
        <v>24021.724999999999</v>
      </c>
      <c r="N169" s="713">
        <f t="shared" si="49"/>
        <v>304347.59999999998</v>
      </c>
      <c r="O169" s="714">
        <f t="shared" si="55"/>
        <v>80000</v>
      </c>
      <c r="P169" s="713">
        <f t="shared" si="50"/>
        <v>384347.6</v>
      </c>
      <c r="Q169" s="713"/>
      <c r="R169" s="723">
        <v>22.36</v>
      </c>
      <c r="S169" s="713">
        <v>823355.8</v>
      </c>
      <c r="T169" s="713">
        <v>619708.80000000005</v>
      </c>
      <c r="U169" s="713"/>
      <c r="V169" s="700">
        <v>1</v>
      </c>
      <c r="W169" s="617">
        <f t="shared" si="51"/>
        <v>25.91</v>
      </c>
      <c r="X169" s="715">
        <f t="shared" si="52"/>
        <v>622402.89474999998</v>
      </c>
      <c r="Y169" s="716">
        <f t="shared" si="53"/>
        <v>0.61937500000000001</v>
      </c>
      <c r="Z169" s="718" t="s">
        <v>2389</v>
      </c>
      <c r="AA169" s="718" t="s">
        <v>2401</v>
      </c>
      <c r="AB169" s="719">
        <f t="shared" si="54"/>
        <v>384347.6</v>
      </c>
      <c r="AC169" s="699"/>
      <c r="AD169" s="699"/>
      <c r="AE169" s="699"/>
      <c r="AF169" s="714"/>
      <c r="AG169" s="726"/>
      <c r="AH169" s="725"/>
      <c r="AI169" s="699"/>
      <c r="AJ169" s="699"/>
      <c r="AK169" s="699"/>
    </row>
    <row r="170" spans="1:37" s="728" customFormat="1" ht="13.5" customHeight="1">
      <c r="A170" s="721"/>
      <c r="B170" s="708" t="s">
        <v>2360</v>
      </c>
      <c r="C170" s="710" t="s">
        <v>2361</v>
      </c>
      <c r="D170" s="709" t="s">
        <v>377</v>
      </c>
      <c r="E170" s="710" t="s">
        <v>2362</v>
      </c>
      <c r="F170" s="711">
        <v>41547</v>
      </c>
      <c r="G170" s="723">
        <v>6</v>
      </c>
      <c r="H170" s="723">
        <v>14</v>
      </c>
      <c r="I170" s="723">
        <v>16</v>
      </c>
      <c r="J170" s="723">
        <v>6</v>
      </c>
      <c r="K170" s="713">
        <f t="shared" si="48"/>
        <v>12489.941999999999</v>
      </c>
      <c r="L170" s="801">
        <v>6666.6670000000004</v>
      </c>
      <c r="M170" s="801">
        <v>19156.609</v>
      </c>
      <c r="N170" s="713">
        <f t="shared" si="49"/>
        <v>74939.652000000002</v>
      </c>
      <c r="O170" s="714">
        <f t="shared" si="55"/>
        <v>40000.002</v>
      </c>
      <c r="P170" s="713">
        <f t="shared" si="50"/>
        <v>114939.65400000001</v>
      </c>
      <c r="Q170" s="713"/>
      <c r="R170" s="723">
        <v>8.1</v>
      </c>
      <c r="S170" s="713">
        <v>414806.63</v>
      </c>
      <c r="T170" s="713">
        <v>360384.63</v>
      </c>
      <c r="U170" s="713"/>
      <c r="V170" s="700">
        <v>1</v>
      </c>
      <c r="W170" s="617">
        <f t="shared" si="51"/>
        <v>6</v>
      </c>
      <c r="X170" s="715">
        <f t="shared" si="52"/>
        <v>114939.65400000001</v>
      </c>
      <c r="Y170" s="716">
        <f t="shared" si="53"/>
        <v>0</v>
      </c>
      <c r="Z170" s="718" t="s">
        <v>2390</v>
      </c>
      <c r="AA170" s="718" t="s">
        <v>2402</v>
      </c>
      <c r="AB170" s="719">
        <f t="shared" si="54"/>
        <v>114939.65400000001</v>
      </c>
      <c r="AC170" s="699"/>
      <c r="AD170" s="699"/>
      <c r="AE170" s="699"/>
      <c r="AF170" s="714"/>
      <c r="AG170" s="726"/>
      <c r="AH170" s="725"/>
      <c r="AI170" s="699"/>
      <c r="AJ170" s="699"/>
      <c r="AK170" s="699"/>
    </row>
    <row r="171" spans="1:37" s="728" customFormat="1" ht="13.5" customHeight="1">
      <c r="A171" s="721"/>
      <c r="B171" s="708" t="s">
        <v>2381</v>
      </c>
      <c r="C171" s="710" t="s">
        <v>2382</v>
      </c>
      <c r="D171" s="709" t="s">
        <v>822</v>
      </c>
      <c r="E171" s="710" t="s">
        <v>2383</v>
      </c>
      <c r="F171" s="711">
        <v>41541</v>
      </c>
      <c r="G171" s="723">
        <v>22</v>
      </c>
      <c r="H171" s="723">
        <v>16</v>
      </c>
      <c r="I171" s="723">
        <v>19</v>
      </c>
      <c r="J171" s="723">
        <v>34</v>
      </c>
      <c r="K171" s="713">
        <f t="shared" si="48"/>
        <v>22510.816999999999</v>
      </c>
      <c r="L171" s="801">
        <v>7600</v>
      </c>
      <c r="M171" s="801">
        <v>30110.816999999999</v>
      </c>
      <c r="N171" s="713">
        <f t="shared" si="49"/>
        <v>495237.97399999999</v>
      </c>
      <c r="O171" s="714">
        <f t="shared" si="55"/>
        <v>167200</v>
      </c>
      <c r="P171" s="713">
        <f t="shared" si="50"/>
        <v>662437.97399999993</v>
      </c>
      <c r="Q171" s="713"/>
      <c r="R171" s="723">
        <v>2.85</v>
      </c>
      <c r="S171" s="713">
        <v>102710.25</v>
      </c>
      <c r="T171" s="713">
        <v>47493.25</v>
      </c>
      <c r="U171" s="713"/>
      <c r="V171" s="700">
        <v>1</v>
      </c>
      <c r="W171" s="617">
        <f t="shared" si="51"/>
        <v>34</v>
      </c>
      <c r="X171" s="715">
        <f t="shared" si="52"/>
        <v>1023767.7779999999</v>
      </c>
      <c r="Y171" s="716">
        <f t="shared" si="53"/>
        <v>0.54545454545454541</v>
      </c>
      <c r="Z171" s="718" t="s">
        <v>2397</v>
      </c>
      <c r="AA171" s="718" t="s">
        <v>2409</v>
      </c>
      <c r="AB171" s="719">
        <f t="shared" si="54"/>
        <v>662437.97399999993</v>
      </c>
      <c r="AC171" s="699"/>
      <c r="AD171" s="699"/>
      <c r="AE171" s="699"/>
      <c r="AF171" s="714"/>
      <c r="AG171" s="726"/>
      <c r="AH171" s="725"/>
      <c r="AI171" s="699"/>
      <c r="AJ171" s="699"/>
      <c r="AK171" s="699"/>
    </row>
    <row r="172" spans="1:37" s="728" customFormat="1" ht="13.5" customHeight="1">
      <c r="A172" s="721"/>
      <c r="B172" s="708" t="s">
        <v>2384</v>
      </c>
      <c r="C172" s="710" t="s">
        <v>2385</v>
      </c>
      <c r="D172" s="709" t="s">
        <v>822</v>
      </c>
      <c r="E172" s="710" t="s">
        <v>2386</v>
      </c>
      <c r="F172" s="711">
        <v>41541</v>
      </c>
      <c r="G172" s="723">
        <v>12</v>
      </c>
      <c r="H172" s="723">
        <v>12</v>
      </c>
      <c r="I172" s="723">
        <v>14</v>
      </c>
      <c r="J172" s="723">
        <v>11.79</v>
      </c>
      <c r="K172" s="713">
        <f t="shared" si="48"/>
        <v>3681.7520000000004</v>
      </c>
      <c r="L172" s="801">
        <v>2100</v>
      </c>
      <c r="M172" s="801">
        <v>5781.7520000000004</v>
      </c>
      <c r="N172" s="713">
        <f t="shared" si="49"/>
        <v>44181.024000000005</v>
      </c>
      <c r="O172" s="714">
        <f t="shared" si="55"/>
        <v>25200</v>
      </c>
      <c r="P172" s="713">
        <f t="shared" si="50"/>
        <v>69381.024000000005</v>
      </c>
      <c r="Q172" s="713"/>
      <c r="R172" s="723">
        <v>2.4500000000000002</v>
      </c>
      <c r="S172" s="713">
        <v>37763.350000000006</v>
      </c>
      <c r="T172" s="713">
        <v>27350.370000000003</v>
      </c>
      <c r="U172" s="713"/>
      <c r="V172" s="700">
        <v>1</v>
      </c>
      <c r="W172" s="617">
        <f t="shared" si="51"/>
        <v>11.79</v>
      </c>
      <c r="X172" s="715">
        <f t="shared" si="52"/>
        <v>68166.856079999998</v>
      </c>
      <c r="Y172" s="716">
        <f t="shared" si="53"/>
        <v>-1.7500000000000071E-2</v>
      </c>
      <c r="Z172" s="718" t="s">
        <v>2398</v>
      </c>
      <c r="AA172" s="718" t="s">
        <v>2410</v>
      </c>
      <c r="AB172" s="719">
        <f t="shared" si="54"/>
        <v>69381.024000000005</v>
      </c>
      <c r="AC172" s="699"/>
      <c r="AD172" s="699"/>
      <c r="AE172" s="699"/>
      <c r="AF172" s="714"/>
      <c r="AG172" s="726"/>
      <c r="AH172" s="725"/>
      <c r="AI172" s="699"/>
      <c r="AJ172" s="699"/>
      <c r="AK172" s="699"/>
    </row>
    <row r="173" spans="1:37" s="728" customFormat="1" ht="13.5" customHeight="1">
      <c r="A173" s="721"/>
      <c r="B173" s="708" t="s">
        <v>2363</v>
      </c>
      <c r="C173" s="710" t="s">
        <v>2364</v>
      </c>
      <c r="D173" s="709" t="s">
        <v>377</v>
      </c>
      <c r="E173" s="710" t="s">
        <v>2365</v>
      </c>
      <c r="F173" s="711">
        <v>41535</v>
      </c>
      <c r="G173" s="723">
        <v>15</v>
      </c>
      <c r="H173" s="723">
        <v>13</v>
      </c>
      <c r="I173" s="723">
        <v>15</v>
      </c>
      <c r="J173" s="723">
        <v>22.8</v>
      </c>
      <c r="K173" s="713">
        <f t="shared" si="48"/>
        <v>20964.187999999998</v>
      </c>
      <c r="L173" s="801">
        <v>5580</v>
      </c>
      <c r="M173" s="801">
        <v>26544.187999999998</v>
      </c>
      <c r="N173" s="713">
        <f t="shared" si="49"/>
        <v>314462.81999999995</v>
      </c>
      <c r="O173" s="714">
        <f t="shared" si="55"/>
        <v>83700</v>
      </c>
      <c r="P173" s="713">
        <f t="shared" si="50"/>
        <v>398162.81999999995</v>
      </c>
      <c r="Q173" s="713"/>
      <c r="R173" s="723">
        <v>38.97</v>
      </c>
      <c r="S173" s="713">
        <v>1762808.8900000001</v>
      </c>
      <c r="T173" s="713">
        <v>1425583.8900000001</v>
      </c>
      <c r="U173" s="713"/>
      <c r="V173" s="700">
        <v>1</v>
      </c>
      <c r="W173" s="617">
        <f t="shared" si="51"/>
        <v>22.8</v>
      </c>
      <c r="X173" s="715">
        <f t="shared" si="52"/>
        <v>605207.48639999994</v>
      </c>
      <c r="Y173" s="716">
        <f t="shared" si="53"/>
        <v>0.52</v>
      </c>
      <c r="Z173" s="718" t="s">
        <v>2391</v>
      </c>
      <c r="AA173" s="718" t="s">
        <v>2403</v>
      </c>
      <c r="AB173" s="719">
        <f t="shared" si="54"/>
        <v>398162.81999999995</v>
      </c>
      <c r="AC173" s="699"/>
      <c r="AD173" s="699"/>
      <c r="AE173" s="699"/>
      <c r="AF173" s="714"/>
      <c r="AG173" s="726"/>
      <c r="AH173" s="725"/>
      <c r="AI173" s="699"/>
      <c r="AJ173" s="699"/>
      <c r="AK173" s="699"/>
    </row>
    <row r="174" spans="1:37" s="728" customFormat="1" ht="13.5" customHeight="1">
      <c r="A174" s="721"/>
      <c r="B174" s="708" t="s">
        <v>2366</v>
      </c>
      <c r="C174" s="710" t="s">
        <v>2367</v>
      </c>
      <c r="D174" s="709" t="s">
        <v>377</v>
      </c>
      <c r="E174" s="710" t="s">
        <v>2368</v>
      </c>
      <c r="F174" s="711">
        <v>41479</v>
      </c>
      <c r="G174" s="723">
        <v>11</v>
      </c>
      <c r="H174" s="723">
        <v>10</v>
      </c>
      <c r="I174" s="723">
        <v>12</v>
      </c>
      <c r="J174" s="723">
        <v>9.09</v>
      </c>
      <c r="K174" s="713">
        <f t="shared" si="48"/>
        <v>9575.4850000000006</v>
      </c>
      <c r="L174" s="801">
        <v>6000</v>
      </c>
      <c r="M174" s="801">
        <v>15575.485000000001</v>
      </c>
      <c r="N174" s="713">
        <f t="shared" si="49"/>
        <v>105330.33500000001</v>
      </c>
      <c r="O174" s="714">
        <f t="shared" si="55"/>
        <v>66000</v>
      </c>
      <c r="P174" s="713">
        <f t="shared" si="50"/>
        <v>171330.33500000002</v>
      </c>
      <c r="Q174" s="713"/>
      <c r="R174" s="723">
        <v>5.07</v>
      </c>
      <c r="S174" s="713">
        <v>152127.69</v>
      </c>
      <c r="T174" s="713">
        <v>79912.3</v>
      </c>
      <c r="U174" s="713"/>
      <c r="V174" s="700">
        <v>1</v>
      </c>
      <c r="W174" s="617">
        <f t="shared" si="51"/>
        <v>9.09</v>
      </c>
      <c r="X174" s="715">
        <f t="shared" si="52"/>
        <v>141581.15865</v>
      </c>
      <c r="Y174" s="716">
        <f t="shared" si="53"/>
        <v>-0.1736363636363637</v>
      </c>
      <c r="Z174" s="718" t="s">
        <v>2392</v>
      </c>
      <c r="AA174" s="718" t="s">
        <v>2404</v>
      </c>
      <c r="AB174" s="719">
        <f t="shared" si="54"/>
        <v>171330.33500000002</v>
      </c>
      <c r="AC174" s="699"/>
      <c r="AD174" s="699"/>
      <c r="AE174" s="699"/>
      <c r="AF174" s="714"/>
      <c r="AG174" s="726"/>
      <c r="AH174" s="725"/>
      <c r="AI174" s="699"/>
      <c r="AJ174" s="699"/>
      <c r="AK174" s="699"/>
    </row>
    <row r="175" spans="1:37" s="728" customFormat="1" ht="13.5" customHeight="1">
      <c r="A175" s="721"/>
      <c r="B175" s="708" t="s">
        <v>2375</v>
      </c>
      <c r="C175" s="710" t="s">
        <v>2376</v>
      </c>
      <c r="D175" s="709" t="s">
        <v>904</v>
      </c>
      <c r="E175" s="710" t="s">
        <v>2377</v>
      </c>
      <c r="F175" s="711">
        <v>41450</v>
      </c>
      <c r="G175" s="723">
        <v>14</v>
      </c>
      <c r="H175" s="723">
        <v>13</v>
      </c>
      <c r="I175" s="723">
        <v>15</v>
      </c>
      <c r="J175" s="723">
        <v>17.07</v>
      </c>
      <c r="K175" s="713">
        <f t="shared" si="48"/>
        <v>9579.3050000000003</v>
      </c>
      <c r="L175" s="801">
        <v>5000</v>
      </c>
      <c r="M175" s="801">
        <v>14579.305</v>
      </c>
      <c r="N175" s="713">
        <f t="shared" si="49"/>
        <v>134110.27000000002</v>
      </c>
      <c r="O175" s="714">
        <f t="shared" si="55"/>
        <v>70000</v>
      </c>
      <c r="P175" s="713">
        <f t="shared" si="50"/>
        <v>204110.27000000002</v>
      </c>
      <c r="Q175" s="713"/>
      <c r="R175" s="723">
        <v>67.150000000000006</v>
      </c>
      <c r="S175" s="713">
        <v>1759178.85</v>
      </c>
      <c r="T175" s="713">
        <v>1557286.8499999999</v>
      </c>
      <c r="U175" s="713"/>
      <c r="V175" s="700">
        <v>1</v>
      </c>
      <c r="W175" s="617">
        <f t="shared" si="51"/>
        <v>17.07</v>
      </c>
      <c r="X175" s="715">
        <f t="shared" si="52"/>
        <v>248868.73635000002</v>
      </c>
      <c r="Y175" s="716">
        <f t="shared" si="53"/>
        <v>0.21928571428571431</v>
      </c>
      <c r="Z175" s="718" t="s">
        <v>2395</v>
      </c>
      <c r="AA175" s="718" t="s">
        <v>2407</v>
      </c>
      <c r="AB175" s="719">
        <f t="shared" si="54"/>
        <v>204110.27000000002</v>
      </c>
      <c r="AC175" s="699"/>
      <c r="AD175" s="699"/>
      <c r="AE175" s="699"/>
      <c r="AF175" s="714"/>
      <c r="AG175" s="726"/>
      <c r="AH175" s="725"/>
      <c r="AI175" s="699"/>
      <c r="AJ175" s="699"/>
      <c r="AK175" s="699"/>
    </row>
    <row r="176" spans="1:37" s="728" customFormat="1" ht="13.5" customHeight="1">
      <c r="A176" s="721"/>
      <c r="B176" s="708" t="s">
        <v>2369</v>
      </c>
      <c r="C176" s="710" t="s">
        <v>2370</v>
      </c>
      <c r="D176" s="709" t="s">
        <v>377</v>
      </c>
      <c r="E176" s="710" t="s">
        <v>2371</v>
      </c>
      <c r="F176" s="711">
        <v>41374</v>
      </c>
      <c r="G176" s="723">
        <v>14</v>
      </c>
      <c r="H176" s="723">
        <v>13</v>
      </c>
      <c r="I176" s="723">
        <v>15</v>
      </c>
      <c r="J176" s="723">
        <v>20.05</v>
      </c>
      <c r="K176" s="713">
        <f t="shared" si="48"/>
        <v>17090.084999999999</v>
      </c>
      <c r="L176" s="801">
        <v>7320</v>
      </c>
      <c r="M176" s="801">
        <v>24410.084999999999</v>
      </c>
      <c r="N176" s="713">
        <f t="shared" si="49"/>
        <v>239261.19</v>
      </c>
      <c r="O176" s="714">
        <f t="shared" si="55"/>
        <v>102480</v>
      </c>
      <c r="P176" s="713">
        <f t="shared" si="50"/>
        <v>341741.19</v>
      </c>
      <c r="Q176" s="713"/>
      <c r="R176" s="723">
        <v>4.93</v>
      </c>
      <c r="S176" s="713">
        <v>232339.72</v>
      </c>
      <c r="T176" s="713">
        <v>82818.720000000001</v>
      </c>
      <c r="U176" s="713"/>
      <c r="V176" s="700">
        <v>1</v>
      </c>
      <c r="W176" s="617">
        <f t="shared" si="51"/>
        <v>20.05</v>
      </c>
      <c r="X176" s="715">
        <f t="shared" si="52"/>
        <v>489422.20425000001</v>
      </c>
      <c r="Y176" s="716">
        <f t="shared" si="53"/>
        <v>0.43214285714285716</v>
      </c>
      <c r="Z176" s="718" t="s">
        <v>2393</v>
      </c>
      <c r="AA176" s="718" t="s">
        <v>2405</v>
      </c>
      <c r="AB176" s="719">
        <f t="shared" si="54"/>
        <v>341741.19</v>
      </c>
      <c r="AC176" s="699"/>
      <c r="AD176" s="699"/>
      <c r="AE176" s="699"/>
      <c r="AF176" s="714"/>
      <c r="AG176" s="726"/>
      <c r="AH176" s="725"/>
      <c r="AI176" s="699"/>
      <c r="AJ176" s="699"/>
      <c r="AK176" s="699"/>
    </row>
    <row r="177" spans="1:37" s="728" customFormat="1" ht="13.5" customHeight="1">
      <c r="A177" s="721"/>
      <c r="B177" s="708" t="s">
        <v>2372</v>
      </c>
      <c r="C177" s="710" t="s">
        <v>2373</v>
      </c>
      <c r="D177" s="709" t="s">
        <v>377</v>
      </c>
      <c r="E177" s="710" t="s">
        <v>2374</v>
      </c>
      <c r="F177" s="711">
        <v>41352</v>
      </c>
      <c r="G177" s="723">
        <v>7</v>
      </c>
      <c r="H177" s="723">
        <v>10</v>
      </c>
      <c r="I177" s="723">
        <v>12</v>
      </c>
      <c r="J177" s="723">
        <v>9.15</v>
      </c>
      <c r="K177" s="713">
        <f t="shared" si="48"/>
        <v>9153.6810000000005</v>
      </c>
      <c r="L177" s="801">
        <v>10714.286</v>
      </c>
      <c r="M177" s="801">
        <v>19867.967000000001</v>
      </c>
      <c r="N177" s="713">
        <f t="shared" si="49"/>
        <v>64075.767000000007</v>
      </c>
      <c r="O177" s="714">
        <f t="shared" si="55"/>
        <v>75000.002000000008</v>
      </c>
      <c r="P177" s="713">
        <f t="shared" si="50"/>
        <v>139075.76900000003</v>
      </c>
      <c r="Q177" s="713"/>
      <c r="R177" s="723">
        <v>5.23</v>
      </c>
      <c r="S177" s="713">
        <v>269841.06000000006</v>
      </c>
      <c r="T177" s="713">
        <v>108476.06</v>
      </c>
      <c r="U177" s="713"/>
      <c r="V177" s="700">
        <v>1</v>
      </c>
      <c r="W177" s="617">
        <f t="shared" si="51"/>
        <v>9.15</v>
      </c>
      <c r="X177" s="715">
        <f t="shared" si="52"/>
        <v>181791.89805000002</v>
      </c>
      <c r="Y177" s="716">
        <f t="shared" si="53"/>
        <v>0.30714285714285694</v>
      </c>
      <c r="Z177" s="718" t="s">
        <v>2394</v>
      </c>
      <c r="AA177" s="718" t="s">
        <v>2406</v>
      </c>
      <c r="AB177" s="719">
        <f t="shared" si="54"/>
        <v>139075.76900000003</v>
      </c>
      <c r="AC177" s="699"/>
      <c r="AD177" s="699"/>
      <c r="AE177" s="699"/>
      <c r="AF177" s="714"/>
      <c r="AG177" s="726"/>
      <c r="AH177" s="725"/>
      <c r="AI177" s="699"/>
      <c r="AJ177" s="699"/>
      <c r="AK177" s="699"/>
    </row>
    <row r="178" spans="1:37" s="728" customFormat="1" ht="13.5" customHeight="1">
      <c r="A178" s="721"/>
      <c r="B178" s="708" t="s">
        <v>2411</v>
      </c>
      <c r="C178" s="710" t="s">
        <v>2412</v>
      </c>
      <c r="D178" s="709" t="s">
        <v>377</v>
      </c>
      <c r="E178" s="710" t="s">
        <v>2413</v>
      </c>
      <c r="F178" s="711">
        <v>41305</v>
      </c>
      <c r="G178" s="723">
        <v>8</v>
      </c>
      <c r="H178" s="723">
        <v>12</v>
      </c>
      <c r="I178" s="723">
        <v>14</v>
      </c>
      <c r="J178" s="723">
        <v>52.56</v>
      </c>
      <c r="K178" s="713">
        <f t="shared" si="48"/>
        <v>15377.883999999998</v>
      </c>
      <c r="L178" s="801">
        <v>8750</v>
      </c>
      <c r="M178" s="801">
        <v>24127.883999999998</v>
      </c>
      <c r="N178" s="713">
        <f t="shared" si="49"/>
        <v>123023.07199999999</v>
      </c>
      <c r="O178" s="714">
        <f t="shared" si="55"/>
        <v>70000</v>
      </c>
      <c r="P178" s="713">
        <f t="shared" si="50"/>
        <v>193023.07199999999</v>
      </c>
      <c r="Q178" s="713"/>
      <c r="R178" s="723">
        <v>0.56999999999999995</v>
      </c>
      <c r="S178" s="713">
        <v>8519.6299999999992</v>
      </c>
      <c r="T178" s="713">
        <v>24402.629999999997</v>
      </c>
      <c r="U178" s="713"/>
      <c r="V178" s="700">
        <v>1</v>
      </c>
      <c r="W178" s="617">
        <f t="shared" si="51"/>
        <v>52.56</v>
      </c>
      <c r="X178" s="715">
        <f t="shared" si="52"/>
        <v>1268161.5830399999</v>
      </c>
      <c r="Y178" s="716">
        <f t="shared" si="53"/>
        <v>5.57</v>
      </c>
      <c r="Z178" s="718" t="s">
        <v>2414</v>
      </c>
      <c r="AA178" s="718" t="s">
        <v>2415</v>
      </c>
      <c r="AB178" s="719">
        <f t="shared" si="54"/>
        <v>193023.07199999999</v>
      </c>
      <c r="AC178" s="699"/>
      <c r="AD178" s="699"/>
      <c r="AE178" s="699"/>
      <c r="AF178" s="714"/>
      <c r="AG178" s="726"/>
      <c r="AH178" s="725"/>
      <c r="AI178" s="699"/>
      <c r="AJ178" s="699"/>
      <c r="AK178" s="699"/>
    </row>
    <row r="179" spans="1:37" s="738" customFormat="1" ht="13.5" customHeight="1">
      <c r="A179" s="721"/>
      <c r="B179" s="708"/>
      <c r="C179" s="710"/>
      <c r="D179" s="709"/>
      <c r="E179" s="710"/>
      <c r="F179" s="711"/>
      <c r="G179" s="722"/>
      <c r="H179" s="723"/>
      <c r="I179" s="723"/>
      <c r="J179" s="722"/>
      <c r="K179" s="712"/>
      <c r="L179" s="714"/>
      <c r="M179" s="714"/>
      <c r="N179" s="713"/>
      <c r="O179" s="714"/>
      <c r="P179" s="713"/>
      <c r="Q179" s="713"/>
      <c r="R179" s="713"/>
      <c r="S179" s="713"/>
      <c r="T179" s="713"/>
      <c r="U179" s="713"/>
      <c r="V179" s="713"/>
      <c r="W179" s="617"/>
      <c r="X179" s="739"/>
      <c r="Y179" s="743"/>
      <c r="Z179" s="744"/>
      <c r="AA179" s="744"/>
      <c r="AB179" s="714"/>
      <c r="AF179" s="714"/>
      <c r="AG179" s="710"/>
      <c r="AH179" s="721"/>
    </row>
    <row r="180" spans="1:37" s="728" customFormat="1" ht="13.5" customHeight="1">
      <c r="A180" s="721"/>
      <c r="B180" s="826" t="s">
        <v>41</v>
      </c>
      <c r="C180" s="827"/>
      <c r="D180" s="827"/>
      <c r="E180" s="827"/>
      <c r="F180" s="827"/>
      <c r="G180" s="827"/>
      <c r="H180" s="827"/>
      <c r="I180" s="827"/>
      <c r="J180" s="827"/>
      <c r="K180" s="827"/>
      <c r="L180" s="827"/>
      <c r="M180" s="827"/>
      <c r="N180" s="828">
        <f>MAX(N116:N178)</f>
        <v>1766090.8</v>
      </c>
      <c r="O180" s="828"/>
      <c r="P180" s="828">
        <f>MAX(P116:P178)</f>
        <v>1973290.8</v>
      </c>
      <c r="Q180" s="828"/>
      <c r="R180" s="828"/>
      <c r="S180" s="828">
        <f>MAX(S116:S178)</f>
        <v>2714436.19</v>
      </c>
      <c r="T180" s="829">
        <f>MAX(T116:T178)</f>
        <v>2495081.19</v>
      </c>
      <c r="U180" s="713"/>
      <c r="V180" s="713"/>
      <c r="W180" s="830">
        <f>MAX(W123:W178)</f>
        <v>52.72</v>
      </c>
      <c r="X180" s="715"/>
      <c r="Y180" s="716"/>
      <c r="Z180" s="727"/>
      <c r="AA180" s="718"/>
      <c r="AB180" s="719"/>
      <c r="AG180" s="729"/>
      <c r="AH180" s="726"/>
      <c r="AI180" s="725"/>
    </row>
    <row r="181" spans="1:37" s="728" customFormat="1" ht="13.5" customHeight="1">
      <c r="A181" s="721"/>
      <c r="B181" s="618" t="s">
        <v>45</v>
      </c>
      <c r="C181" s="619"/>
      <c r="D181" s="619"/>
      <c r="E181" s="619"/>
      <c r="F181" s="619"/>
      <c r="G181" s="619"/>
      <c r="H181" s="619"/>
      <c r="I181" s="619"/>
      <c r="J181" s="619"/>
      <c r="K181" s="619"/>
      <c r="L181" s="619"/>
      <c r="M181" s="619"/>
      <c r="N181" s="600">
        <f>_xlfn.QUARTILE.INC(N116:N178,3)</f>
        <v>340758.64049999998</v>
      </c>
      <c r="O181" s="600"/>
      <c r="P181" s="600">
        <f>_xlfn.QUARTILE.INC(P116:P178,3)</f>
        <v>451183.84499999997</v>
      </c>
      <c r="Q181" s="600"/>
      <c r="R181" s="600"/>
      <c r="S181" s="600">
        <f>_xlfn.QUARTILE.INC(S116:S178,3)</f>
        <v>697015.45250000001</v>
      </c>
      <c r="T181" s="620">
        <f>_xlfn.QUARTILE.INC(T116:T178,3)</f>
        <v>653437.77750000008</v>
      </c>
      <c r="U181" s="713"/>
      <c r="V181" s="713"/>
      <c r="W181" s="734">
        <f>_xlfn.QUARTILE.INC(W123:W178,3)</f>
        <v>22.05</v>
      </c>
      <c r="X181" s="715"/>
      <c r="Y181" s="716"/>
      <c r="Z181" s="727"/>
      <c r="AA181" s="718"/>
      <c r="AB181" s="719"/>
      <c r="AG181" s="729"/>
      <c r="AH181" s="726"/>
      <c r="AI181" s="725"/>
    </row>
    <row r="182" spans="1:37" s="728" customFormat="1" ht="13.5" customHeight="1">
      <c r="A182" s="721"/>
      <c r="B182" s="618" t="s">
        <v>2</v>
      </c>
      <c r="C182" s="619"/>
      <c r="D182" s="619"/>
      <c r="E182" s="619"/>
      <c r="F182" s="619"/>
      <c r="G182" s="619"/>
      <c r="H182" s="619"/>
      <c r="I182" s="619"/>
      <c r="J182" s="619"/>
      <c r="K182" s="619"/>
      <c r="L182" s="619"/>
      <c r="M182" s="619"/>
      <c r="N182" s="600">
        <f>AVERAGE(N116:N178)</f>
        <v>251672.60526984136</v>
      </c>
      <c r="O182" s="600"/>
      <c r="P182" s="600">
        <f>AVERAGE(P116:P178)</f>
        <v>329491.96369841287</v>
      </c>
      <c r="Q182" s="600"/>
      <c r="R182" s="600"/>
      <c r="S182" s="600">
        <f>AVERAGE(S116:S178)</f>
        <v>497102.86564516131</v>
      </c>
      <c r="T182" s="620">
        <f>AVERAGE(T116:T178)</f>
        <v>433473.24548387103</v>
      </c>
      <c r="U182" s="713"/>
      <c r="V182" s="713"/>
      <c r="W182" s="734">
        <f>AVERAGE(W123:W178)</f>
        <v>17.750226785714283</v>
      </c>
      <c r="X182" s="715"/>
      <c r="Y182" s="716"/>
      <c r="Z182" s="727"/>
      <c r="AA182" s="718"/>
      <c r="AB182" s="719"/>
      <c r="AG182" s="729"/>
      <c r="AH182" s="726"/>
      <c r="AI182" s="725"/>
    </row>
    <row r="183" spans="1:37" s="728" customFormat="1" ht="13.5" customHeight="1">
      <c r="A183" s="721"/>
      <c r="B183" s="618" t="s">
        <v>3</v>
      </c>
      <c r="C183" s="619"/>
      <c r="D183" s="619"/>
      <c r="E183" s="619"/>
      <c r="F183" s="619"/>
      <c r="G183" s="619"/>
      <c r="H183" s="619"/>
      <c r="I183" s="619"/>
      <c r="J183" s="619"/>
      <c r="K183" s="619"/>
      <c r="L183" s="619"/>
      <c r="M183" s="619"/>
      <c r="N183" s="600">
        <f>MEDIAN(N116:N178)</f>
        <v>158482.533</v>
      </c>
      <c r="O183" s="600"/>
      <c r="P183" s="600">
        <f>MEDIAN(P116:P178)</f>
        <v>222057.17</v>
      </c>
      <c r="Q183" s="600"/>
      <c r="R183" s="600"/>
      <c r="S183" s="600">
        <f>MEDIAN(S116:S178)</f>
        <v>332113.91999999998</v>
      </c>
      <c r="T183" s="620">
        <f>MEDIAN(T116:T178)</f>
        <v>244767.36499999999</v>
      </c>
      <c r="U183" s="713"/>
      <c r="V183" s="713"/>
      <c r="W183" s="734">
        <f>MEDIAN(W123:W178)</f>
        <v>14.525</v>
      </c>
      <c r="X183" s="715"/>
      <c r="Y183" s="716"/>
      <c r="Z183" s="727"/>
      <c r="AA183" s="718"/>
      <c r="AB183" s="719"/>
      <c r="AG183" s="729"/>
      <c r="AH183" s="726"/>
      <c r="AI183" s="725"/>
    </row>
    <row r="184" spans="1:37" s="728" customFormat="1" ht="13.5" customHeight="1">
      <c r="A184" s="721"/>
      <c r="B184" s="618" t="s">
        <v>44</v>
      </c>
      <c r="C184" s="619"/>
      <c r="D184" s="619"/>
      <c r="E184" s="619"/>
      <c r="F184" s="619"/>
      <c r="G184" s="619"/>
      <c r="H184" s="619"/>
      <c r="I184" s="619"/>
      <c r="J184" s="619"/>
      <c r="K184" s="619"/>
      <c r="L184" s="619"/>
      <c r="M184" s="619"/>
      <c r="N184" s="600">
        <f>_xlfn.QUARTILE.INC(N116:N178,1)</f>
        <v>91949.291500000007</v>
      </c>
      <c r="O184" s="600"/>
      <c r="P184" s="600">
        <f>_xlfn.QUARTILE.INC(P116:P178,1)</f>
        <v>141593.07475000003</v>
      </c>
      <c r="Q184" s="600"/>
      <c r="R184" s="600"/>
      <c r="S184" s="600">
        <f>_xlfn.QUARTILE.INC(S116:S178,1)</f>
        <v>114163.60500000001</v>
      </c>
      <c r="T184" s="620">
        <f>_xlfn.QUARTILE.INC(T116:T178,1)</f>
        <v>80550.487500000003</v>
      </c>
      <c r="U184" s="713"/>
      <c r="V184" s="713"/>
      <c r="W184" s="734">
        <f>_xlfn.QUARTILE.INC(W123:W178,1)</f>
        <v>10.592499999999999</v>
      </c>
      <c r="X184" s="715"/>
      <c r="Y184" s="716"/>
      <c r="Z184" s="727"/>
      <c r="AA184" s="718"/>
      <c r="AB184" s="719"/>
      <c r="AG184" s="729"/>
      <c r="AH184" s="726"/>
      <c r="AI184" s="725"/>
    </row>
    <row r="185" spans="1:37" s="728" customFormat="1" ht="13.5" customHeight="1">
      <c r="A185" s="721"/>
      <c r="B185" s="735" t="s">
        <v>42</v>
      </c>
      <c r="C185" s="621"/>
      <c r="D185" s="621"/>
      <c r="E185" s="621"/>
      <c r="F185" s="621"/>
      <c r="G185" s="621"/>
      <c r="H185" s="621"/>
      <c r="I185" s="621"/>
      <c r="J185" s="621"/>
      <c r="K185" s="621"/>
      <c r="L185" s="621"/>
      <c r="M185" s="621"/>
      <c r="N185" s="601">
        <f>MIN(N116:N178)</f>
        <v>18940.300000000003</v>
      </c>
      <c r="O185" s="601"/>
      <c r="P185" s="601">
        <f>MIN(P116:P178)</f>
        <v>38940.300000000003</v>
      </c>
      <c r="Q185" s="601"/>
      <c r="R185" s="601"/>
      <c r="S185" s="601">
        <f>MIN(S116:S178)</f>
        <v>8089.4600000000009</v>
      </c>
      <c r="T185" s="622">
        <f>MIN(T116:T178)</f>
        <v>-3582.54</v>
      </c>
      <c r="U185" s="713"/>
      <c r="V185" s="713"/>
      <c r="W185" s="736">
        <f>MIN(W123:W178)</f>
        <v>3.13</v>
      </c>
      <c r="X185" s="715"/>
      <c r="Y185" s="716"/>
      <c r="Z185" s="727"/>
      <c r="AA185" s="718"/>
      <c r="AB185" s="719"/>
      <c r="AG185" s="729"/>
      <c r="AH185" s="726"/>
      <c r="AI185" s="725"/>
    </row>
    <row r="186" spans="1:37" s="728" customFormat="1" ht="13.5" customHeight="1">
      <c r="A186" s="721"/>
      <c r="B186" s="708"/>
      <c r="C186" s="710"/>
      <c r="D186" s="709"/>
      <c r="E186" s="710"/>
      <c r="F186" s="711"/>
      <c r="G186" s="722"/>
      <c r="H186" s="723"/>
      <c r="I186" s="723"/>
      <c r="J186" s="722"/>
      <c r="K186" s="712"/>
      <c r="L186" s="714"/>
      <c r="M186" s="714"/>
      <c r="N186" s="713"/>
      <c r="O186" s="714"/>
      <c r="P186" s="713"/>
      <c r="Q186" s="713"/>
      <c r="R186" s="713"/>
      <c r="S186" s="713"/>
      <c r="T186" s="713"/>
      <c r="U186" s="713"/>
      <c r="V186" s="713"/>
      <c r="W186" s="617"/>
      <c r="X186" s="715"/>
      <c r="Y186" s="716"/>
      <c r="Z186" s="727"/>
      <c r="AA186" s="718"/>
      <c r="AB186" s="719"/>
      <c r="AG186" s="729"/>
      <c r="AH186" s="726"/>
      <c r="AI186" s="725"/>
    </row>
    <row r="187" spans="1:37" s="728" customFormat="1" ht="13.5" customHeight="1">
      <c r="A187" s="721"/>
      <c r="B187" s="737" t="s">
        <v>1219</v>
      </c>
      <c r="C187" s="710"/>
      <c r="D187" s="709"/>
      <c r="E187" s="710"/>
      <c r="F187" s="711"/>
      <c r="G187" s="722"/>
      <c r="H187" s="723"/>
      <c r="I187" s="723"/>
      <c r="J187" s="722"/>
      <c r="K187" s="712"/>
      <c r="L187" s="714"/>
      <c r="M187" s="714"/>
      <c r="N187" s="713"/>
      <c r="O187" s="714"/>
      <c r="P187" s="713"/>
      <c r="Q187" s="713"/>
      <c r="R187" s="713"/>
      <c r="S187" s="713"/>
      <c r="T187" s="713"/>
      <c r="U187" s="713"/>
      <c r="V187" s="713"/>
      <c r="W187" s="617"/>
      <c r="X187" s="715"/>
      <c r="Y187" s="716"/>
      <c r="Z187" s="718"/>
      <c r="AA187" s="718"/>
      <c r="AB187" s="720"/>
      <c r="AC187" s="699"/>
      <c r="AD187" s="699"/>
      <c r="AE187" s="699"/>
      <c r="AF187" s="714"/>
      <c r="AG187" s="726"/>
      <c r="AH187" s="725"/>
      <c r="AI187" s="699"/>
      <c r="AJ187" s="699"/>
      <c r="AK187" s="699"/>
    </row>
    <row r="188" spans="1:37" s="728" customFormat="1" ht="13.5" customHeight="1">
      <c r="A188" s="721"/>
      <c r="B188" s="708" t="s">
        <v>3183</v>
      </c>
      <c r="C188" s="710" t="s">
        <v>3184</v>
      </c>
      <c r="D188" s="709" t="s">
        <v>383</v>
      </c>
      <c r="E188" s="710" t="s">
        <v>3185</v>
      </c>
      <c r="F188" s="711">
        <v>43278</v>
      </c>
      <c r="G188" s="722">
        <v>19</v>
      </c>
      <c r="H188" s="723">
        <v>16</v>
      </c>
      <c r="I188" s="723">
        <v>18</v>
      </c>
      <c r="J188" s="722">
        <v>32.94</v>
      </c>
      <c r="K188" s="712">
        <f>+M188-L188</f>
        <v>28489.449000000001</v>
      </c>
      <c r="L188" s="714">
        <v>11700</v>
      </c>
      <c r="M188" s="714">
        <v>40189.449000000001</v>
      </c>
      <c r="N188" s="713">
        <f>+G188*K188</f>
        <v>541299.53099999996</v>
      </c>
      <c r="O188" s="714">
        <f>+G188*L188</f>
        <v>222300</v>
      </c>
      <c r="P188" s="713">
        <f>+N188+O188</f>
        <v>763599.53099999996</v>
      </c>
      <c r="Q188" s="713"/>
      <c r="R188" s="723">
        <v>29.9</v>
      </c>
      <c r="S188" s="713">
        <v>1201664.53</v>
      </c>
      <c r="T188" s="713">
        <v>1296447.53</v>
      </c>
      <c r="U188" s="713"/>
      <c r="V188" s="713"/>
      <c r="W188" s="617"/>
      <c r="X188" s="715"/>
      <c r="Y188" s="716"/>
      <c r="Z188" s="718"/>
      <c r="AA188" s="718"/>
      <c r="AB188" s="720"/>
      <c r="AC188" s="699"/>
      <c r="AD188" s="699"/>
      <c r="AE188" s="699"/>
      <c r="AF188" s="714"/>
      <c r="AG188" s="726"/>
      <c r="AH188" s="725"/>
      <c r="AI188" s="699"/>
      <c r="AJ188" s="699"/>
      <c r="AK188" s="699"/>
    </row>
    <row r="189" spans="1:37" s="728" customFormat="1" ht="13.5" customHeight="1">
      <c r="A189" s="721"/>
      <c r="B189" s="708" t="s">
        <v>3150</v>
      </c>
      <c r="C189" s="710" t="s">
        <v>3148</v>
      </c>
      <c r="D189" s="709" t="s">
        <v>383</v>
      </c>
      <c r="E189" s="710" t="s">
        <v>3186</v>
      </c>
      <c r="F189" s="711">
        <v>43271</v>
      </c>
      <c r="G189" s="722">
        <v>15</v>
      </c>
      <c r="H189" s="723">
        <v>14</v>
      </c>
      <c r="I189" s="723">
        <v>16</v>
      </c>
      <c r="J189" s="722">
        <v>18.98</v>
      </c>
      <c r="K189" s="712">
        <f>+M189-L189</f>
        <v>14035.651000000002</v>
      </c>
      <c r="L189" s="714">
        <v>5700</v>
      </c>
      <c r="M189" s="714">
        <v>19735.651000000002</v>
      </c>
      <c r="N189" s="713">
        <f>+G189*K189</f>
        <v>210534.76500000001</v>
      </c>
      <c r="O189" s="714">
        <f>+G189*L189</f>
        <v>85500</v>
      </c>
      <c r="P189" s="713">
        <f>+N189+O189</f>
        <v>296034.76500000001</v>
      </c>
      <c r="Q189" s="713"/>
      <c r="R189" s="723">
        <v>18.98</v>
      </c>
      <c r="S189" s="713">
        <v>374582.66</v>
      </c>
      <c r="T189" s="713">
        <v>436815.66</v>
      </c>
      <c r="U189" s="713"/>
      <c r="V189" s="713"/>
      <c r="W189" s="617"/>
      <c r="X189" s="715"/>
      <c r="Y189" s="716"/>
      <c r="Z189" s="718"/>
      <c r="AA189" s="718"/>
      <c r="AB189" s="720"/>
      <c r="AC189" s="699"/>
      <c r="AD189" s="699"/>
      <c r="AE189" s="699"/>
      <c r="AF189" s="714"/>
      <c r="AG189" s="726"/>
      <c r="AH189" s="725"/>
      <c r="AI189" s="699"/>
      <c r="AJ189" s="699"/>
      <c r="AK189" s="699"/>
    </row>
    <row r="190" spans="1:37" s="728" customFormat="1" ht="13.5" customHeight="1">
      <c r="A190" s="721"/>
      <c r="B190" s="708" t="s">
        <v>3187</v>
      </c>
      <c r="C190" s="710" t="s">
        <v>3188</v>
      </c>
      <c r="D190" s="709" t="s">
        <v>383</v>
      </c>
      <c r="E190" s="710" t="s">
        <v>3189</v>
      </c>
      <c r="F190" s="711">
        <v>43265</v>
      </c>
      <c r="G190" s="722">
        <v>15</v>
      </c>
      <c r="H190" s="723">
        <v>14</v>
      </c>
      <c r="I190" s="723">
        <v>16</v>
      </c>
      <c r="J190" s="722">
        <v>19.73</v>
      </c>
      <c r="K190" s="712">
        <f>+M190-L190</f>
        <v>19946.370999999999</v>
      </c>
      <c r="L190" s="714">
        <v>5000</v>
      </c>
      <c r="M190" s="714">
        <v>24946.370999999999</v>
      </c>
      <c r="N190" s="713">
        <f>+G190*K190</f>
        <v>299195.565</v>
      </c>
      <c r="O190" s="714">
        <f>+G190*L190</f>
        <v>75000</v>
      </c>
      <c r="P190" s="713">
        <f>+N190+O190</f>
        <v>374195.565</v>
      </c>
      <c r="Q190" s="713"/>
      <c r="R190" s="723">
        <v>19.73</v>
      </c>
      <c r="S190" s="713">
        <v>506989.39999999997</v>
      </c>
      <c r="T190" s="713">
        <v>516012.39999999997</v>
      </c>
      <c r="U190" s="713"/>
      <c r="V190" s="713"/>
      <c r="W190" s="617"/>
      <c r="X190" s="715"/>
      <c r="Y190" s="716"/>
      <c r="Z190" s="718"/>
      <c r="AA190" s="718"/>
      <c r="AB190" s="720"/>
      <c r="AC190" s="699"/>
      <c r="AD190" s="699"/>
      <c r="AE190" s="699"/>
      <c r="AF190" s="714"/>
      <c r="AG190" s="726"/>
      <c r="AH190" s="725"/>
      <c r="AI190" s="699"/>
      <c r="AJ190" s="699"/>
      <c r="AK190" s="699"/>
    </row>
    <row r="191" spans="1:37" s="728" customFormat="1" ht="13.5" customHeight="1">
      <c r="A191" s="721"/>
      <c r="B191" s="708" t="s">
        <v>3190</v>
      </c>
      <c r="C191" s="710" t="s">
        <v>3191</v>
      </c>
      <c r="D191" s="709" t="s">
        <v>383</v>
      </c>
      <c r="E191" s="710" t="s">
        <v>3192</v>
      </c>
      <c r="F191" s="711">
        <v>43244</v>
      </c>
      <c r="G191" s="722">
        <v>13</v>
      </c>
      <c r="H191" s="723">
        <v>14</v>
      </c>
      <c r="I191" s="723">
        <v>16</v>
      </c>
      <c r="J191" s="722">
        <v>12.17</v>
      </c>
      <c r="K191" s="712">
        <f>+M191-L191</f>
        <v>7809.4230000000007</v>
      </c>
      <c r="L191" s="714">
        <v>6150</v>
      </c>
      <c r="M191" s="714">
        <v>13959.423000000001</v>
      </c>
      <c r="N191" s="713">
        <f>+G191*K191</f>
        <v>101522.49900000001</v>
      </c>
      <c r="O191" s="714">
        <f>+G191*L191</f>
        <v>79950</v>
      </c>
      <c r="P191" s="713">
        <f>+N191+O191</f>
        <v>181472.49900000001</v>
      </c>
      <c r="Q191" s="713"/>
      <c r="R191" s="723">
        <v>10.67</v>
      </c>
      <c r="S191" s="713">
        <v>148947.03999999998</v>
      </c>
      <c r="T191" s="713">
        <v>88423.039999999994</v>
      </c>
      <c r="U191" s="713"/>
      <c r="V191" s="713"/>
      <c r="W191" s="617"/>
      <c r="X191" s="715"/>
      <c r="Y191" s="716"/>
      <c r="Z191" s="718"/>
      <c r="AA191" s="718"/>
      <c r="AB191" s="720"/>
      <c r="AC191" s="699"/>
      <c r="AD191" s="699"/>
      <c r="AE191" s="699"/>
      <c r="AF191" s="714"/>
      <c r="AG191" s="726"/>
      <c r="AH191" s="725"/>
      <c r="AI191" s="699"/>
      <c r="AJ191" s="699"/>
      <c r="AK191" s="699"/>
    </row>
    <row r="192" spans="1:37" s="728" customFormat="1" ht="13.5" customHeight="1">
      <c r="A192" s="721"/>
      <c r="B192" s="708" t="s">
        <v>2896</v>
      </c>
      <c r="C192" s="710" t="s">
        <v>2897</v>
      </c>
      <c r="D192" s="709" t="s">
        <v>1042</v>
      </c>
      <c r="E192" s="710" t="s">
        <v>2898</v>
      </c>
      <c r="F192" s="711">
        <v>43161</v>
      </c>
      <c r="G192" s="722">
        <v>4.4329499999999999</v>
      </c>
      <c r="H192" s="723">
        <v>4.4329499999999999</v>
      </c>
      <c r="I192" s="723">
        <v>5.6643299999999996</v>
      </c>
      <c r="J192" s="722">
        <v>4.1887400000000001</v>
      </c>
      <c r="K192" s="712">
        <f t="shared" ref="K192:K241" si="56">+M192-L192</f>
        <v>41807.949999999997</v>
      </c>
      <c r="L192" s="714">
        <v>11111.111000000001</v>
      </c>
      <c r="M192" s="714">
        <v>52919.061000000002</v>
      </c>
      <c r="N192" s="713">
        <f>+G192*K192</f>
        <v>185332.55195249998</v>
      </c>
      <c r="O192" s="714">
        <f>+G192*L192</f>
        <v>49254.999507450004</v>
      </c>
      <c r="P192" s="713">
        <f t="shared" ref="P192:P241" si="57">+N192+O192</f>
        <v>234587.55145994999</v>
      </c>
      <c r="Q192" s="713"/>
      <c r="R192" s="723">
        <v>4.1887400000000001</v>
      </c>
      <c r="S192" s="713">
        <v>221664.17</v>
      </c>
      <c r="T192" s="713">
        <v>222861.61000000002</v>
      </c>
      <c r="U192" s="713"/>
      <c r="V192" s="700">
        <v>1</v>
      </c>
      <c r="W192" s="617">
        <f>J192</f>
        <v>4.1887400000000001</v>
      </c>
      <c r="X192" s="715">
        <f>W192*M192</f>
        <v>221664.18757314002</v>
      </c>
      <c r="Y192" s="716">
        <f>X192/P192-1</f>
        <v>-5.5089725803358802E-2</v>
      </c>
      <c r="Z192" s="718" t="s">
        <v>2899</v>
      </c>
      <c r="AA192" s="718" t="s">
        <v>2900</v>
      </c>
      <c r="AB192" s="719">
        <f t="shared" ref="AB192:AB241" si="58">+N192+O192</f>
        <v>234587.55145994999</v>
      </c>
      <c r="AC192" s="699"/>
      <c r="AD192" s="699"/>
      <c r="AE192" s="699"/>
      <c r="AF192" s="714"/>
      <c r="AG192" s="726"/>
      <c r="AH192" s="725"/>
      <c r="AI192" s="699"/>
      <c r="AJ192" s="699"/>
      <c r="AK192" s="699"/>
    </row>
    <row r="193" spans="1:69" s="728" customFormat="1" ht="13.5" customHeight="1">
      <c r="A193" s="721"/>
      <c r="B193" s="708" t="s">
        <v>1641</v>
      </c>
      <c r="C193" s="710" t="s">
        <v>1639</v>
      </c>
      <c r="D193" s="709" t="s">
        <v>383</v>
      </c>
      <c r="E193" s="710" t="s">
        <v>1729</v>
      </c>
      <c r="F193" s="711">
        <v>43125</v>
      </c>
      <c r="G193" s="722">
        <v>17</v>
      </c>
      <c r="H193" s="723">
        <v>14</v>
      </c>
      <c r="I193" s="723">
        <v>16</v>
      </c>
      <c r="J193" s="722">
        <v>41.56</v>
      </c>
      <c r="K193" s="712">
        <f t="shared" si="56"/>
        <v>21746.286</v>
      </c>
      <c r="L193" s="714">
        <v>7529.4120000000003</v>
      </c>
      <c r="M193" s="714">
        <v>29275.698</v>
      </c>
      <c r="N193" s="713">
        <f t="shared" ref="N193:N241" si="59">+G193*K193</f>
        <v>369686.86200000002</v>
      </c>
      <c r="O193" s="714">
        <v>128000</v>
      </c>
      <c r="P193" s="713">
        <f t="shared" si="57"/>
        <v>497686.86200000002</v>
      </c>
      <c r="Q193" s="713"/>
      <c r="R193" s="723">
        <v>41.56</v>
      </c>
      <c r="S193" s="713">
        <v>1216698.01</v>
      </c>
      <c r="T193" s="713">
        <v>1327266.01</v>
      </c>
      <c r="U193" s="713"/>
      <c r="V193" s="700">
        <v>1</v>
      </c>
      <c r="W193" s="617">
        <f t="shared" ref="W193:W241" si="60">J193</f>
        <v>41.56</v>
      </c>
      <c r="X193" s="715">
        <f t="shared" ref="X193:X241" si="61">W193*M193</f>
        <v>1216698.0088800001</v>
      </c>
      <c r="Y193" s="716">
        <f t="shared" ref="Y193:Y200" si="62">X193/P193-1</f>
        <v>1.4447059020014881</v>
      </c>
      <c r="Z193" s="727" t="s">
        <v>1640</v>
      </c>
      <c r="AA193" s="718" t="s">
        <v>1642</v>
      </c>
      <c r="AB193" s="719">
        <f t="shared" si="58"/>
        <v>497686.86200000002</v>
      </c>
      <c r="AG193" s="729"/>
      <c r="AH193" s="726"/>
      <c r="AI193" s="725"/>
    </row>
    <row r="194" spans="1:69" s="728" customFormat="1" ht="13.5" customHeight="1">
      <c r="A194" s="721"/>
      <c r="B194" s="708" t="s">
        <v>1220</v>
      </c>
      <c r="C194" s="710" t="s">
        <v>1221</v>
      </c>
      <c r="D194" s="709" t="s">
        <v>639</v>
      </c>
      <c r="E194" s="710" t="s">
        <v>1222</v>
      </c>
      <c r="F194" s="711">
        <v>43055</v>
      </c>
      <c r="G194" s="723">
        <v>14</v>
      </c>
      <c r="H194" s="723">
        <v>14</v>
      </c>
      <c r="I194" s="723">
        <v>16</v>
      </c>
      <c r="J194" s="723">
        <v>13.5</v>
      </c>
      <c r="K194" s="713">
        <f t="shared" si="56"/>
        <v>11210.151000000002</v>
      </c>
      <c r="L194" s="714">
        <v>6400</v>
      </c>
      <c r="M194" s="714">
        <v>17610.151000000002</v>
      </c>
      <c r="N194" s="713">
        <f t="shared" si="59"/>
        <v>156942.11400000003</v>
      </c>
      <c r="O194" s="714">
        <f t="shared" ref="O194:O241" si="63">+G194*L194</f>
        <v>89600</v>
      </c>
      <c r="P194" s="713">
        <f t="shared" si="57"/>
        <v>246542.11400000003</v>
      </c>
      <c r="Q194" s="713"/>
      <c r="R194" s="723">
        <v>11.98</v>
      </c>
      <c r="S194" s="713">
        <v>221691.33</v>
      </c>
      <c r="T194" s="713">
        <v>272310.33</v>
      </c>
      <c r="U194" s="713"/>
      <c r="V194" s="700">
        <v>1</v>
      </c>
      <c r="W194" s="617">
        <f t="shared" si="60"/>
        <v>13.5</v>
      </c>
      <c r="X194" s="715">
        <f t="shared" si="61"/>
        <v>237737.03850000002</v>
      </c>
      <c r="Y194" s="716">
        <f t="shared" si="62"/>
        <v>-3.5714285714285698E-2</v>
      </c>
      <c r="Z194" s="717" t="s">
        <v>1223</v>
      </c>
      <c r="AA194" s="718" t="s">
        <v>1224</v>
      </c>
      <c r="AB194" s="719">
        <f t="shared" si="58"/>
        <v>246542.11400000003</v>
      </c>
      <c r="AC194" s="704"/>
      <c r="AD194" s="699"/>
      <c r="AE194" s="699"/>
      <c r="AF194" s="699"/>
      <c r="AG194" s="714"/>
      <c r="AH194" s="726"/>
      <c r="AI194" s="725"/>
      <c r="AJ194" s="699"/>
      <c r="AK194" s="699"/>
      <c r="AL194" s="699"/>
    </row>
    <row r="195" spans="1:69" s="728" customFormat="1" ht="13.5" customHeight="1">
      <c r="A195" s="721"/>
      <c r="B195" s="708" t="s">
        <v>1225</v>
      </c>
      <c r="C195" s="710" t="s">
        <v>1226</v>
      </c>
      <c r="D195" s="709" t="s">
        <v>383</v>
      </c>
      <c r="E195" s="710" t="s">
        <v>1227</v>
      </c>
      <c r="F195" s="711">
        <v>43005</v>
      </c>
      <c r="G195" s="723">
        <v>15</v>
      </c>
      <c r="H195" s="723">
        <v>14</v>
      </c>
      <c r="I195" s="723">
        <v>16</v>
      </c>
      <c r="J195" s="723">
        <v>12.5</v>
      </c>
      <c r="K195" s="713">
        <f t="shared" si="56"/>
        <v>24214.641</v>
      </c>
      <c r="L195" s="714">
        <v>6667</v>
      </c>
      <c r="M195" s="714">
        <v>30881.641</v>
      </c>
      <c r="N195" s="713">
        <f t="shared" si="59"/>
        <v>363219.61499999999</v>
      </c>
      <c r="O195" s="714">
        <f t="shared" si="63"/>
        <v>100005</v>
      </c>
      <c r="P195" s="713">
        <f t="shared" si="57"/>
        <v>463224.61499999999</v>
      </c>
      <c r="Q195" s="713"/>
      <c r="R195" s="723">
        <v>21.17</v>
      </c>
      <c r="S195" s="713">
        <v>662856.95999999996</v>
      </c>
      <c r="T195" s="713">
        <v>642183.70000000007</v>
      </c>
      <c r="U195" s="713"/>
      <c r="V195" s="700">
        <v>1</v>
      </c>
      <c r="W195" s="617">
        <f t="shared" si="60"/>
        <v>12.5</v>
      </c>
      <c r="X195" s="715">
        <f t="shared" si="61"/>
        <v>386020.51250000001</v>
      </c>
      <c r="Y195" s="716">
        <f t="shared" si="62"/>
        <v>-0.16666666666666663</v>
      </c>
      <c r="Z195" s="717" t="s">
        <v>1228</v>
      </c>
      <c r="AA195" s="718" t="s">
        <v>1229</v>
      </c>
      <c r="AB195" s="719">
        <f t="shared" si="58"/>
        <v>463224.61499999999</v>
      </c>
      <c r="AC195" s="704"/>
      <c r="AD195" s="699"/>
      <c r="AE195" s="699"/>
      <c r="AF195" s="699"/>
      <c r="AG195" s="714"/>
      <c r="AH195" s="726"/>
      <c r="AI195" s="725"/>
      <c r="AJ195" s="699"/>
      <c r="AK195" s="699"/>
      <c r="AL195" s="699"/>
    </row>
    <row r="196" spans="1:69" s="728" customFormat="1" ht="13.5" customHeight="1">
      <c r="A196" s="721"/>
      <c r="B196" s="708" t="s">
        <v>1230</v>
      </c>
      <c r="C196" s="710" t="s">
        <v>1231</v>
      </c>
      <c r="D196" s="709" t="s">
        <v>638</v>
      </c>
      <c r="E196" s="710" t="s">
        <v>1232</v>
      </c>
      <c r="F196" s="711">
        <v>42998</v>
      </c>
      <c r="G196" s="723">
        <v>18</v>
      </c>
      <c r="H196" s="723">
        <v>16</v>
      </c>
      <c r="I196" s="723">
        <v>18</v>
      </c>
      <c r="J196" s="723">
        <v>28.64</v>
      </c>
      <c r="K196" s="713">
        <f t="shared" si="56"/>
        <v>40972.57</v>
      </c>
      <c r="L196" s="714">
        <v>8333.3330000000005</v>
      </c>
      <c r="M196" s="714">
        <v>49305.902999999998</v>
      </c>
      <c r="N196" s="713">
        <f t="shared" si="59"/>
        <v>737506.26</v>
      </c>
      <c r="O196" s="714">
        <f t="shared" si="63"/>
        <v>149999.99400000001</v>
      </c>
      <c r="P196" s="713">
        <f t="shared" si="57"/>
        <v>887506.25399999996</v>
      </c>
      <c r="Q196" s="713"/>
      <c r="R196" s="723">
        <v>20.05</v>
      </c>
      <c r="S196" s="713">
        <v>988583.36</v>
      </c>
      <c r="T196" s="713">
        <v>1060528.49</v>
      </c>
      <c r="U196" s="713"/>
      <c r="V196" s="700">
        <v>1</v>
      </c>
      <c r="W196" s="617">
        <f t="shared" si="60"/>
        <v>28.64</v>
      </c>
      <c r="X196" s="715">
        <f t="shared" si="61"/>
        <v>1412121.06192</v>
      </c>
      <c r="Y196" s="716">
        <f t="shared" si="62"/>
        <v>0.59111111111111114</v>
      </c>
      <c r="Z196" s="717" t="s">
        <v>1233</v>
      </c>
      <c r="AA196" s="718" t="s">
        <v>1234</v>
      </c>
      <c r="AB196" s="719">
        <f t="shared" si="58"/>
        <v>887506.25399999996</v>
      </c>
      <c r="AC196" s="704"/>
      <c r="AD196" s="699"/>
      <c r="AE196" s="699"/>
      <c r="AF196" s="699"/>
      <c r="AG196" s="714"/>
      <c r="AH196" s="726"/>
      <c r="AI196" s="725"/>
      <c r="AJ196" s="699"/>
      <c r="AK196" s="699"/>
      <c r="AL196" s="699"/>
    </row>
    <row r="197" spans="1:69" s="728" customFormat="1" ht="13.5" customHeight="1">
      <c r="A197" s="721"/>
      <c r="B197" s="708" t="s">
        <v>1161</v>
      </c>
      <c r="C197" s="710" t="s">
        <v>1162</v>
      </c>
      <c r="D197" s="709" t="s">
        <v>383</v>
      </c>
      <c r="E197" s="710" t="s">
        <v>1163</v>
      </c>
      <c r="F197" s="711">
        <v>42935</v>
      </c>
      <c r="G197" s="723">
        <v>15</v>
      </c>
      <c r="H197" s="723">
        <v>14</v>
      </c>
      <c r="I197" s="723">
        <v>16</v>
      </c>
      <c r="J197" s="723">
        <v>21.36</v>
      </c>
      <c r="K197" s="713">
        <f t="shared" si="56"/>
        <v>17283</v>
      </c>
      <c r="L197" s="714">
        <v>6000</v>
      </c>
      <c r="M197" s="714">
        <v>23283</v>
      </c>
      <c r="N197" s="713">
        <f t="shared" si="59"/>
        <v>259245</v>
      </c>
      <c r="O197" s="714">
        <f t="shared" si="63"/>
        <v>90000</v>
      </c>
      <c r="P197" s="713">
        <f t="shared" si="57"/>
        <v>349245</v>
      </c>
      <c r="Q197" s="713"/>
      <c r="R197" s="723">
        <v>12.94</v>
      </c>
      <c r="S197" s="713">
        <v>317303.44</v>
      </c>
      <c r="T197" s="713">
        <v>214994.44</v>
      </c>
      <c r="U197" s="713"/>
      <c r="V197" s="700">
        <v>1</v>
      </c>
      <c r="W197" s="617">
        <f t="shared" si="60"/>
        <v>21.36</v>
      </c>
      <c r="X197" s="715">
        <f t="shared" si="61"/>
        <v>497324.88</v>
      </c>
      <c r="Y197" s="716">
        <f t="shared" si="62"/>
        <v>0.42399999999999993</v>
      </c>
      <c r="Z197" s="717" t="s">
        <v>1163</v>
      </c>
      <c r="AA197" s="718" t="s">
        <v>1164</v>
      </c>
      <c r="AB197" s="719">
        <f t="shared" si="58"/>
        <v>349245</v>
      </c>
      <c r="AC197" s="704"/>
      <c r="AD197" s="699"/>
      <c r="AE197" s="699"/>
      <c r="AF197" s="699"/>
      <c r="AG197" s="714"/>
      <c r="AH197" s="726"/>
      <c r="AI197" s="725"/>
      <c r="AJ197" s="699"/>
      <c r="AK197" s="699"/>
      <c r="AL197" s="699"/>
    </row>
    <row r="198" spans="1:69" s="728" customFormat="1" ht="13.5" customHeight="1">
      <c r="A198" s="721"/>
      <c r="B198" s="708" t="s">
        <v>1235</v>
      </c>
      <c r="C198" s="710" t="s">
        <v>1236</v>
      </c>
      <c r="D198" s="709" t="s">
        <v>383</v>
      </c>
      <c r="E198" s="710" t="s">
        <v>1237</v>
      </c>
      <c r="F198" s="711">
        <v>42929</v>
      </c>
      <c r="G198" s="723">
        <v>8</v>
      </c>
      <c r="H198" s="723">
        <v>12</v>
      </c>
      <c r="I198" s="723">
        <v>14</v>
      </c>
      <c r="J198" s="723">
        <v>14.21</v>
      </c>
      <c r="K198" s="713">
        <f t="shared" si="56"/>
        <v>48572.879000000001</v>
      </c>
      <c r="L198" s="714">
        <v>15625</v>
      </c>
      <c r="M198" s="714">
        <v>64197.879000000001</v>
      </c>
      <c r="N198" s="713">
        <f t="shared" si="59"/>
        <v>388583.03200000001</v>
      </c>
      <c r="O198" s="714">
        <f t="shared" si="63"/>
        <v>125000</v>
      </c>
      <c r="P198" s="713">
        <f t="shared" si="57"/>
        <v>513583.03200000001</v>
      </c>
      <c r="Q198" s="713"/>
      <c r="R198" s="723">
        <v>21.55</v>
      </c>
      <c r="S198" s="713">
        <v>1433972.1099999999</v>
      </c>
      <c r="T198" s="713">
        <v>1147841.1000000001</v>
      </c>
      <c r="U198" s="713"/>
      <c r="V198" s="700">
        <v>1</v>
      </c>
      <c r="W198" s="617">
        <f t="shared" si="60"/>
        <v>14.21</v>
      </c>
      <c r="X198" s="715">
        <f t="shared" si="61"/>
        <v>912251.86059000005</v>
      </c>
      <c r="Y198" s="716">
        <f t="shared" si="62"/>
        <v>0.77625000000000011</v>
      </c>
      <c r="Z198" s="717" t="s">
        <v>1238</v>
      </c>
      <c r="AA198" s="718" t="s">
        <v>1239</v>
      </c>
      <c r="AB198" s="719">
        <f t="shared" si="58"/>
        <v>513583.03200000001</v>
      </c>
      <c r="AC198" s="704"/>
      <c r="AD198" s="699"/>
      <c r="AE198" s="699"/>
      <c r="AF198" s="699"/>
      <c r="AG198" s="714"/>
      <c r="AH198" s="726"/>
      <c r="AI198" s="725"/>
      <c r="AJ198" s="699"/>
      <c r="AK198" s="699"/>
      <c r="AL198" s="699"/>
    </row>
    <row r="199" spans="1:69" s="728" customFormat="1" ht="13.5" customHeight="1">
      <c r="A199" s="721"/>
      <c r="B199" s="708" t="s">
        <v>1165</v>
      </c>
      <c r="C199" s="710" t="s">
        <v>1166</v>
      </c>
      <c r="D199" s="709" t="s">
        <v>383</v>
      </c>
      <c r="E199" s="710" t="s">
        <v>1167</v>
      </c>
      <c r="F199" s="711">
        <v>42914</v>
      </c>
      <c r="G199" s="723">
        <v>17</v>
      </c>
      <c r="H199" s="723">
        <v>15</v>
      </c>
      <c r="I199" s="723">
        <v>17</v>
      </c>
      <c r="J199" s="723">
        <v>19.5</v>
      </c>
      <c r="K199" s="713">
        <f t="shared" si="56"/>
        <v>20575.206999999999</v>
      </c>
      <c r="L199" s="713">
        <v>4415</v>
      </c>
      <c r="M199" s="713">
        <v>24990.206999999999</v>
      </c>
      <c r="N199" s="713">
        <f t="shared" si="59"/>
        <v>349778.51899999997</v>
      </c>
      <c r="O199" s="714">
        <f t="shared" si="63"/>
        <v>75055</v>
      </c>
      <c r="P199" s="713">
        <f t="shared" si="57"/>
        <v>424833.51899999997</v>
      </c>
      <c r="Q199" s="713"/>
      <c r="R199" s="723">
        <v>29.49</v>
      </c>
      <c r="S199" s="713">
        <v>756490.96</v>
      </c>
      <c r="T199" s="713">
        <v>683195.96</v>
      </c>
      <c r="U199" s="713"/>
      <c r="V199" s="700">
        <v>1</v>
      </c>
      <c r="W199" s="617">
        <f t="shared" si="60"/>
        <v>19.5</v>
      </c>
      <c r="X199" s="715">
        <f t="shared" si="61"/>
        <v>487309.03649999999</v>
      </c>
      <c r="Y199" s="716">
        <f t="shared" si="62"/>
        <v>0.14705882352941191</v>
      </c>
      <c r="Z199" s="717" t="s">
        <v>1168</v>
      </c>
      <c r="AA199" s="718" t="s">
        <v>1169</v>
      </c>
      <c r="AB199" s="719">
        <f t="shared" si="58"/>
        <v>424833.51899999997</v>
      </c>
      <c r="AC199" s="704"/>
      <c r="AD199" s="699"/>
      <c r="AE199" s="699"/>
      <c r="AF199" s="699"/>
      <c r="AG199" s="714"/>
      <c r="AH199" s="726"/>
      <c r="AI199" s="725"/>
      <c r="AJ199" s="699"/>
      <c r="AK199" s="699"/>
      <c r="AL199" s="699"/>
    </row>
    <row r="200" spans="1:69" s="728" customFormat="1" ht="13.5" customHeight="1">
      <c r="A200" s="721"/>
      <c r="B200" s="708" t="s">
        <v>1170</v>
      </c>
      <c r="C200" s="710" t="s">
        <v>1171</v>
      </c>
      <c r="D200" s="709" t="s">
        <v>383</v>
      </c>
      <c r="E200" s="710" t="s">
        <v>1172</v>
      </c>
      <c r="F200" s="711">
        <v>42900</v>
      </c>
      <c r="G200" s="723">
        <v>11</v>
      </c>
      <c r="H200" s="723">
        <v>11</v>
      </c>
      <c r="I200" s="723">
        <v>13</v>
      </c>
      <c r="J200" s="723">
        <v>18.82</v>
      </c>
      <c r="K200" s="713">
        <f t="shared" si="56"/>
        <v>49248.567999999999</v>
      </c>
      <c r="L200" s="713">
        <v>6000</v>
      </c>
      <c r="M200" s="713">
        <v>55248.567999999999</v>
      </c>
      <c r="N200" s="713">
        <f t="shared" si="59"/>
        <v>541734.24800000002</v>
      </c>
      <c r="O200" s="714">
        <f t="shared" si="63"/>
        <v>66000</v>
      </c>
      <c r="P200" s="713">
        <f t="shared" si="57"/>
        <v>607734.24800000002</v>
      </c>
      <c r="Q200" s="713"/>
      <c r="R200" s="723">
        <v>14.21</v>
      </c>
      <c r="S200" s="713">
        <v>885215.7</v>
      </c>
      <c r="T200" s="713">
        <v>818769.7</v>
      </c>
      <c r="U200" s="713"/>
      <c r="V200" s="700">
        <v>1</v>
      </c>
      <c r="W200" s="617">
        <f t="shared" si="60"/>
        <v>18.82</v>
      </c>
      <c r="X200" s="715">
        <f t="shared" si="61"/>
        <v>1039778.04976</v>
      </c>
      <c r="Y200" s="716">
        <f t="shared" si="62"/>
        <v>0.71090909090909071</v>
      </c>
      <c r="Z200" s="717" t="s">
        <v>1173</v>
      </c>
      <c r="AA200" s="718" t="s">
        <v>1174</v>
      </c>
      <c r="AB200" s="719">
        <f t="shared" si="58"/>
        <v>607734.24800000002</v>
      </c>
      <c r="AC200" s="704"/>
      <c r="AD200" s="699"/>
      <c r="AE200" s="699"/>
      <c r="AF200" s="699"/>
      <c r="AG200" s="714"/>
      <c r="AH200" s="726"/>
      <c r="AI200" s="725"/>
      <c r="AJ200" s="699"/>
      <c r="AK200" s="699"/>
      <c r="AL200" s="699"/>
    </row>
    <row r="201" spans="1:69" s="728" customFormat="1" ht="13.5" customHeight="1">
      <c r="A201" s="721"/>
      <c r="B201" s="708" t="s">
        <v>1032</v>
      </c>
      <c r="C201" s="710" t="s">
        <v>1033</v>
      </c>
      <c r="D201" s="709" t="s">
        <v>383</v>
      </c>
      <c r="E201" s="710" t="s">
        <v>1034</v>
      </c>
      <c r="F201" s="711">
        <v>42802</v>
      </c>
      <c r="G201" s="617">
        <v>20</v>
      </c>
      <c r="H201" s="617">
        <v>20</v>
      </c>
      <c r="I201" s="617">
        <v>22</v>
      </c>
      <c r="J201" s="617">
        <v>20.100000000000001</v>
      </c>
      <c r="K201" s="713">
        <f t="shared" si="56"/>
        <v>21381.206999999999</v>
      </c>
      <c r="L201" s="801">
        <v>174.286</v>
      </c>
      <c r="M201" s="801">
        <v>21555.492999999999</v>
      </c>
      <c r="N201" s="713">
        <f t="shared" si="59"/>
        <v>427624.13999999996</v>
      </c>
      <c r="O201" s="714">
        <f t="shared" si="63"/>
        <v>3485.7200000000003</v>
      </c>
      <c r="P201" s="713">
        <f t="shared" si="57"/>
        <v>431109.85999999993</v>
      </c>
      <c r="Q201" s="713"/>
      <c r="R201" s="723">
        <v>26.47</v>
      </c>
      <c r="S201" s="713">
        <v>604706.14</v>
      </c>
      <c r="T201" s="713">
        <v>565338.1399999999</v>
      </c>
      <c r="U201" s="713"/>
      <c r="V201" s="700">
        <v>1</v>
      </c>
      <c r="W201" s="617">
        <f t="shared" si="60"/>
        <v>20.100000000000001</v>
      </c>
      <c r="X201" s="715">
        <f t="shared" si="61"/>
        <v>433265.4093</v>
      </c>
      <c r="Y201" s="716">
        <f>IFERROR(X201/P201-1,"n/a")</f>
        <v>5.0000000000001155E-3</v>
      </c>
      <c r="Z201" s="717" t="s">
        <v>1035</v>
      </c>
      <c r="AA201" s="718" t="s">
        <v>1036</v>
      </c>
      <c r="AB201" s="719">
        <f t="shared" si="58"/>
        <v>431109.85999999993</v>
      </c>
      <c r="AC201" s="704"/>
      <c r="AD201" s="745" t="s">
        <v>1037</v>
      </c>
      <c r="AE201" s="704"/>
      <c r="AF201" s="704"/>
      <c r="AG201" s="704"/>
      <c r="AH201" s="704"/>
      <c r="AI201" s="704"/>
      <c r="AJ201" s="704"/>
      <c r="AK201" s="704"/>
      <c r="AL201" s="704"/>
      <c r="AM201" s="704"/>
      <c r="AN201" s="704"/>
      <c r="AO201" s="704"/>
      <c r="AP201" s="704"/>
      <c r="AQ201" s="704"/>
      <c r="AR201" s="704"/>
      <c r="AS201" s="704"/>
      <c r="AT201" s="704"/>
      <c r="AU201" s="704"/>
      <c r="AV201" s="704"/>
      <c r="AW201" s="704"/>
      <c r="AX201" s="704"/>
      <c r="AY201" s="704"/>
      <c r="AZ201" s="704"/>
      <c r="BA201" s="704"/>
      <c r="BB201" s="704"/>
      <c r="BC201" s="704"/>
      <c r="BD201" s="704"/>
      <c r="BE201" s="704"/>
      <c r="BF201" s="704"/>
      <c r="BG201" s="704"/>
      <c r="BH201" s="704"/>
      <c r="BI201" s="704"/>
      <c r="BJ201" s="704"/>
      <c r="BK201" s="704"/>
      <c r="BL201" s="704"/>
      <c r="BM201" s="704"/>
      <c r="BN201" s="704"/>
      <c r="BO201" s="704"/>
      <c r="BP201" s="704"/>
      <c r="BQ201" s="704"/>
    </row>
    <row r="202" spans="1:69" s="728" customFormat="1" ht="13.5" customHeight="1">
      <c r="A202" s="721"/>
      <c r="B202" s="708" t="s">
        <v>666</v>
      </c>
      <c r="C202" s="710" t="s">
        <v>667</v>
      </c>
      <c r="D202" s="709" t="s">
        <v>383</v>
      </c>
      <c r="E202" s="710" t="s">
        <v>668</v>
      </c>
      <c r="F202" s="711">
        <v>42633</v>
      </c>
      <c r="G202" s="617">
        <v>11</v>
      </c>
      <c r="H202" s="617">
        <v>11</v>
      </c>
      <c r="I202" s="617">
        <v>13</v>
      </c>
      <c r="J202" s="617">
        <v>20.59</v>
      </c>
      <c r="K202" s="713">
        <f t="shared" si="56"/>
        <v>11223.659</v>
      </c>
      <c r="L202" s="801">
        <v>4100</v>
      </c>
      <c r="M202" s="801">
        <v>15323.659</v>
      </c>
      <c r="N202" s="713">
        <f t="shared" si="59"/>
        <v>123460.249</v>
      </c>
      <c r="O202" s="714">
        <f t="shared" si="63"/>
        <v>45100</v>
      </c>
      <c r="P202" s="713">
        <f t="shared" si="57"/>
        <v>168560.24900000001</v>
      </c>
      <c r="Q202" s="713"/>
      <c r="R202" s="723">
        <v>2.92</v>
      </c>
      <c r="S202" s="713">
        <v>75889.070000000007</v>
      </c>
      <c r="T202" s="713">
        <v>72962.069999999992</v>
      </c>
      <c r="U202" s="713"/>
      <c r="V202" s="700">
        <v>1</v>
      </c>
      <c r="W202" s="617">
        <f t="shared" si="60"/>
        <v>20.59</v>
      </c>
      <c r="X202" s="715">
        <f t="shared" si="61"/>
        <v>315514.13880999997</v>
      </c>
      <c r="Y202" s="716">
        <f>X202/P202-1</f>
        <v>0.8718181818181816</v>
      </c>
      <c r="Z202" s="717" t="s">
        <v>669</v>
      </c>
      <c r="AA202" s="718" t="s">
        <v>670</v>
      </c>
      <c r="AB202" s="719">
        <f t="shared" si="58"/>
        <v>168560.24900000001</v>
      </c>
      <c r="AC202" s="704"/>
      <c r="AD202" s="704"/>
      <c r="AE202" s="704"/>
      <c r="AF202" s="704"/>
      <c r="AG202" s="704"/>
      <c r="AH202" s="704"/>
      <c r="AI202" s="704"/>
      <c r="AJ202" s="704"/>
      <c r="AK202" s="704"/>
      <c r="AL202" s="704"/>
      <c r="AM202" s="704"/>
      <c r="AN202" s="704"/>
      <c r="AO202" s="704"/>
      <c r="AP202" s="704"/>
      <c r="AQ202" s="704"/>
      <c r="AR202" s="704"/>
      <c r="AS202" s="704"/>
      <c r="AT202" s="704"/>
      <c r="AU202" s="704"/>
      <c r="AV202" s="704"/>
      <c r="AW202" s="704"/>
      <c r="AX202" s="704"/>
      <c r="AY202" s="704"/>
      <c r="AZ202" s="704"/>
      <c r="BA202" s="704"/>
      <c r="BB202" s="704"/>
      <c r="BC202" s="704"/>
      <c r="BD202" s="704"/>
      <c r="BE202" s="704"/>
      <c r="BF202" s="704"/>
      <c r="BG202" s="704"/>
      <c r="BH202" s="704"/>
      <c r="BI202" s="704"/>
      <c r="BJ202" s="704"/>
      <c r="BK202" s="704"/>
      <c r="BL202" s="704"/>
      <c r="BM202" s="704"/>
      <c r="BN202" s="704"/>
      <c r="BO202" s="704"/>
      <c r="BP202" s="704"/>
      <c r="BQ202" s="704"/>
    </row>
    <row r="203" spans="1:69" s="728" customFormat="1" ht="13.5" customHeight="1">
      <c r="A203" s="721"/>
      <c r="B203" s="708" t="s">
        <v>1038</v>
      </c>
      <c r="C203" s="710" t="s">
        <v>1039</v>
      </c>
      <c r="D203" s="709" t="s">
        <v>383</v>
      </c>
      <c r="E203" s="710" t="s">
        <v>1040</v>
      </c>
      <c r="F203" s="711">
        <v>42522</v>
      </c>
      <c r="G203" s="617">
        <v>7</v>
      </c>
      <c r="H203" s="617">
        <v>14</v>
      </c>
      <c r="I203" s="617">
        <v>16</v>
      </c>
      <c r="J203" s="617">
        <v>6.78</v>
      </c>
      <c r="K203" s="713">
        <f t="shared" si="56"/>
        <v>12251.079</v>
      </c>
      <c r="L203" s="801">
        <f>4000000/1000</f>
        <v>4000</v>
      </c>
      <c r="M203" s="801">
        <f>16251079/1000</f>
        <v>16251.079</v>
      </c>
      <c r="N203" s="713">
        <f t="shared" si="59"/>
        <v>85757.553</v>
      </c>
      <c r="O203" s="714">
        <f t="shared" si="63"/>
        <v>28000</v>
      </c>
      <c r="P203" s="713">
        <f t="shared" si="57"/>
        <v>113757.553</v>
      </c>
      <c r="Q203" s="713"/>
      <c r="R203" s="723">
        <v>5.62</v>
      </c>
      <c r="S203" s="713">
        <v>142424.54</v>
      </c>
      <c r="T203" s="713">
        <v>97700.540000000008</v>
      </c>
      <c r="U203" s="713"/>
      <c r="V203" s="700">
        <v>1</v>
      </c>
      <c r="W203" s="617">
        <f t="shared" si="60"/>
        <v>6.78</v>
      </c>
      <c r="X203" s="715">
        <f t="shared" si="61"/>
        <v>110182.31562000001</v>
      </c>
      <c r="Y203" s="743">
        <v>-3.1428571428571361E-2</v>
      </c>
      <c r="Z203" s="746" t="s">
        <v>1040</v>
      </c>
      <c r="AA203" s="744" t="s">
        <v>1041</v>
      </c>
      <c r="AB203" s="747">
        <f t="shared" si="58"/>
        <v>113757.553</v>
      </c>
      <c r="AC203" s="721"/>
      <c r="AD203" s="721"/>
      <c r="AE203" s="721"/>
      <c r="AF203" s="721"/>
      <c r="AG203" s="721"/>
      <c r="AH203" s="721"/>
      <c r="AI203" s="721"/>
      <c r="AJ203" s="721"/>
      <c r="AK203" s="721"/>
      <c r="AL203" s="721"/>
      <c r="AM203" s="721"/>
      <c r="AN203" s="721"/>
      <c r="AO203" s="721"/>
      <c r="AP203" s="721"/>
      <c r="AQ203" s="721"/>
      <c r="AR203" s="721"/>
      <c r="AS203" s="721"/>
      <c r="AT203" s="721"/>
      <c r="AU203" s="721"/>
      <c r="AV203" s="721"/>
      <c r="AW203" s="721"/>
      <c r="AX203" s="721"/>
      <c r="AY203" s="721"/>
      <c r="AZ203" s="721"/>
      <c r="BA203" s="721"/>
      <c r="BB203" s="721"/>
      <c r="BC203" s="721"/>
      <c r="BD203" s="721"/>
      <c r="BE203" s="721"/>
      <c r="BF203" s="721"/>
      <c r="BG203" s="721"/>
      <c r="BH203" s="721"/>
      <c r="BI203" s="721"/>
      <c r="BJ203" s="721"/>
      <c r="BK203" s="721"/>
      <c r="BL203" s="721"/>
      <c r="BM203" s="721"/>
      <c r="BN203" s="721"/>
      <c r="BO203" s="721"/>
      <c r="BP203" s="721"/>
      <c r="BQ203" s="721"/>
    </row>
    <row r="204" spans="1:69" s="728" customFormat="1" ht="13.5" customHeight="1">
      <c r="A204" s="721"/>
      <c r="B204" s="708" t="s">
        <v>698</v>
      </c>
      <c r="C204" s="710" t="s">
        <v>699</v>
      </c>
      <c r="D204" s="709" t="s">
        <v>383</v>
      </c>
      <c r="E204" s="710" t="s">
        <v>700</v>
      </c>
      <c r="F204" s="711">
        <v>42515</v>
      </c>
      <c r="G204" s="723">
        <v>11</v>
      </c>
      <c r="H204" s="723">
        <v>14</v>
      </c>
      <c r="I204" s="723">
        <v>16</v>
      </c>
      <c r="J204" s="723">
        <v>20.14</v>
      </c>
      <c r="K204" s="713">
        <f t="shared" si="56"/>
        <v>15998.106</v>
      </c>
      <c r="L204" s="801">
        <v>5500</v>
      </c>
      <c r="M204" s="801">
        <v>21498.106</v>
      </c>
      <c r="N204" s="713">
        <f t="shared" si="59"/>
        <v>175979.166</v>
      </c>
      <c r="O204" s="714">
        <f t="shared" si="63"/>
        <v>60500</v>
      </c>
      <c r="P204" s="713">
        <f t="shared" si="57"/>
        <v>236479.166</v>
      </c>
      <c r="Q204" s="713"/>
      <c r="R204" s="723">
        <v>26.86</v>
      </c>
      <c r="S204" s="713">
        <v>701434.6399999999</v>
      </c>
      <c r="T204" s="713">
        <v>566667.64</v>
      </c>
      <c r="U204" s="713"/>
      <c r="V204" s="700">
        <v>1</v>
      </c>
      <c r="W204" s="617">
        <f t="shared" si="60"/>
        <v>20.14</v>
      </c>
      <c r="X204" s="715">
        <f t="shared" si="61"/>
        <v>432971.85483999999</v>
      </c>
      <c r="Y204" s="716">
        <f t="shared" ref="Y204:Y241" si="64">X204/P204-1</f>
        <v>0.83090909090909082</v>
      </c>
      <c r="Z204" s="724" t="s">
        <v>701</v>
      </c>
      <c r="AA204" s="718" t="s">
        <v>702</v>
      </c>
      <c r="AB204" s="719">
        <f t="shared" si="58"/>
        <v>236479.166</v>
      </c>
      <c r="AC204" s="725"/>
      <c r="AD204" s="704"/>
      <c r="AE204" s="704"/>
      <c r="AF204" s="704"/>
      <c r="AG204" s="704"/>
      <c r="AH204" s="704"/>
      <c r="AI204" s="704"/>
      <c r="AJ204" s="704"/>
      <c r="AK204" s="704"/>
      <c r="AL204" s="704"/>
      <c r="AM204" s="704"/>
      <c r="AN204" s="704"/>
      <c r="AO204" s="704"/>
      <c r="AP204" s="704"/>
      <c r="AQ204" s="704"/>
      <c r="AR204" s="704"/>
      <c r="AS204" s="704"/>
      <c r="AT204" s="704"/>
      <c r="AU204" s="704"/>
      <c r="AV204" s="704"/>
      <c r="AW204" s="704"/>
      <c r="AX204" s="704"/>
      <c r="AY204" s="704"/>
      <c r="AZ204" s="704"/>
      <c r="BA204" s="704"/>
      <c r="BB204" s="704"/>
      <c r="BC204" s="704"/>
      <c r="BD204" s="704"/>
      <c r="BE204" s="704"/>
      <c r="BF204" s="704"/>
      <c r="BG204" s="704"/>
      <c r="BH204" s="704"/>
      <c r="BI204" s="704"/>
      <c r="BJ204" s="704"/>
      <c r="BK204" s="704"/>
      <c r="BL204" s="704"/>
      <c r="BM204" s="704"/>
      <c r="BN204" s="704"/>
      <c r="BO204" s="704"/>
      <c r="BP204" s="704"/>
      <c r="BQ204" s="704"/>
    </row>
    <row r="205" spans="1:69" s="728" customFormat="1" ht="13.5" customHeight="1">
      <c r="A205" s="721"/>
      <c r="B205" s="708" t="s">
        <v>743</v>
      </c>
      <c r="C205" s="710" t="s">
        <v>1086</v>
      </c>
      <c r="D205" s="709" t="s">
        <v>383</v>
      </c>
      <c r="E205" s="710" t="s">
        <v>744</v>
      </c>
      <c r="F205" s="711">
        <v>42327</v>
      </c>
      <c r="G205" s="723">
        <v>9</v>
      </c>
      <c r="H205" s="723">
        <v>11</v>
      </c>
      <c r="I205" s="723">
        <v>13</v>
      </c>
      <c r="J205" s="723">
        <v>9.11</v>
      </c>
      <c r="K205" s="713">
        <f t="shared" si="56"/>
        <v>13470.476999999999</v>
      </c>
      <c r="L205" s="801">
        <v>5666.6670000000004</v>
      </c>
      <c r="M205" s="801">
        <v>19137.144</v>
      </c>
      <c r="N205" s="713">
        <f t="shared" si="59"/>
        <v>121234.29299999999</v>
      </c>
      <c r="O205" s="714">
        <f t="shared" si="63"/>
        <v>51000.003000000004</v>
      </c>
      <c r="P205" s="713">
        <f t="shared" si="57"/>
        <v>172234.296</v>
      </c>
      <c r="Q205" s="713"/>
      <c r="R205" s="723">
        <v>2.5499999999999998</v>
      </c>
      <c r="S205" s="713">
        <v>64895.250000000007</v>
      </c>
      <c r="T205" s="713">
        <v>43314.35</v>
      </c>
      <c r="U205" s="713"/>
      <c r="V205" s="700">
        <v>1</v>
      </c>
      <c r="W205" s="617">
        <f t="shared" si="60"/>
        <v>9.11</v>
      </c>
      <c r="X205" s="715">
        <f t="shared" si="61"/>
        <v>174339.38183999999</v>
      </c>
      <c r="Y205" s="716">
        <f t="shared" si="64"/>
        <v>1.2222222222222134E-2</v>
      </c>
      <c r="Z205" s="727" t="s">
        <v>745</v>
      </c>
      <c r="AA205" s="718" t="s">
        <v>746</v>
      </c>
      <c r="AB205" s="719">
        <f t="shared" si="58"/>
        <v>172234.296</v>
      </c>
      <c r="AG205" s="729"/>
      <c r="AH205" s="726"/>
      <c r="AI205" s="725"/>
      <c r="AM205" s="699"/>
      <c r="AN205" s="699"/>
      <c r="AO205" s="699"/>
      <c r="AP205" s="699"/>
      <c r="AQ205" s="699"/>
      <c r="AR205" s="699"/>
      <c r="AS205" s="699"/>
      <c r="AT205" s="699"/>
      <c r="AU205" s="699"/>
      <c r="AV205" s="699"/>
      <c r="AW205" s="699"/>
      <c r="AX205" s="699"/>
      <c r="AY205" s="699"/>
      <c r="AZ205" s="699"/>
      <c r="BA205" s="699"/>
      <c r="BB205" s="699"/>
      <c r="BC205" s="699"/>
      <c r="BD205" s="699"/>
      <c r="BE205" s="699"/>
      <c r="BF205" s="699"/>
      <c r="BG205" s="699"/>
      <c r="BH205" s="699"/>
      <c r="BI205" s="699"/>
      <c r="BJ205" s="699"/>
      <c r="BK205" s="699"/>
      <c r="BL205" s="699"/>
      <c r="BM205" s="699"/>
      <c r="BN205" s="699"/>
      <c r="BO205" s="699"/>
      <c r="BP205" s="699"/>
      <c r="BQ205" s="699"/>
    </row>
    <row r="206" spans="1:69" s="728" customFormat="1" ht="13.5" customHeight="1">
      <c r="A206" s="721"/>
      <c r="B206" s="708" t="s">
        <v>801</v>
      </c>
      <c r="C206" s="710" t="s">
        <v>802</v>
      </c>
      <c r="D206" s="709" t="s">
        <v>383</v>
      </c>
      <c r="E206" s="710" t="s">
        <v>803</v>
      </c>
      <c r="F206" s="711">
        <v>42208</v>
      </c>
      <c r="G206" s="723">
        <v>15</v>
      </c>
      <c r="H206" s="723">
        <v>14</v>
      </c>
      <c r="I206" s="723">
        <v>16</v>
      </c>
      <c r="J206" s="723">
        <v>24.9</v>
      </c>
      <c r="K206" s="713">
        <f t="shared" si="56"/>
        <v>9688.7160000000003</v>
      </c>
      <c r="L206" s="801">
        <v>4800</v>
      </c>
      <c r="M206" s="801">
        <v>14488.716</v>
      </c>
      <c r="N206" s="713">
        <f t="shared" si="59"/>
        <v>145330.74</v>
      </c>
      <c r="O206" s="714">
        <f t="shared" si="63"/>
        <v>72000</v>
      </c>
      <c r="P206" s="713">
        <f t="shared" si="57"/>
        <v>217330.74</v>
      </c>
      <c r="Q206" s="713"/>
      <c r="R206" s="723">
        <v>9.3000000000000007</v>
      </c>
      <c r="S206" s="713">
        <v>269671.69</v>
      </c>
      <c r="T206" s="713">
        <v>269103.68999999994</v>
      </c>
      <c r="U206" s="713"/>
      <c r="V206" s="700">
        <v>1</v>
      </c>
      <c r="W206" s="617">
        <f t="shared" si="60"/>
        <v>24.9</v>
      </c>
      <c r="X206" s="715">
        <f t="shared" si="61"/>
        <v>360769.02840000001</v>
      </c>
      <c r="Y206" s="716">
        <f t="shared" si="64"/>
        <v>0.66000000000000014</v>
      </c>
      <c r="Z206" s="717" t="s">
        <v>804</v>
      </c>
      <c r="AA206" s="718" t="s">
        <v>805</v>
      </c>
      <c r="AB206" s="719">
        <f t="shared" si="58"/>
        <v>217330.74</v>
      </c>
      <c r="AC206" s="704"/>
      <c r="AD206" s="699"/>
      <c r="AE206" s="699"/>
      <c r="AF206" s="699"/>
      <c r="AG206" s="714"/>
      <c r="AH206" s="726"/>
      <c r="AI206" s="725"/>
      <c r="AJ206" s="699"/>
      <c r="AK206" s="699"/>
      <c r="AL206" s="699"/>
      <c r="AM206" s="699"/>
      <c r="AN206" s="699"/>
      <c r="AO206" s="699"/>
      <c r="AP206" s="699"/>
      <c r="AQ206" s="699"/>
      <c r="AR206" s="699"/>
      <c r="AS206" s="699"/>
      <c r="AT206" s="699"/>
      <c r="AU206" s="699"/>
      <c r="AV206" s="699"/>
      <c r="AW206" s="699"/>
      <c r="AX206" s="699"/>
      <c r="AY206" s="699"/>
      <c r="AZ206" s="699"/>
      <c r="BA206" s="699"/>
      <c r="BB206" s="699"/>
      <c r="BC206" s="699"/>
      <c r="BD206" s="699"/>
      <c r="BE206" s="699"/>
      <c r="BF206" s="699"/>
      <c r="BG206" s="699"/>
      <c r="BH206" s="699"/>
      <c r="BI206" s="699"/>
      <c r="BJ206" s="699"/>
      <c r="BK206" s="699"/>
      <c r="BL206" s="699"/>
      <c r="BM206" s="699"/>
      <c r="BN206" s="699"/>
      <c r="BO206" s="699"/>
      <c r="BP206" s="699"/>
      <c r="BQ206" s="699"/>
    </row>
    <row r="207" spans="1:69" s="728" customFormat="1" ht="13.5" customHeight="1">
      <c r="A207" s="721"/>
      <c r="B207" s="708" t="s">
        <v>806</v>
      </c>
      <c r="C207" s="710" t="s">
        <v>807</v>
      </c>
      <c r="D207" s="709" t="s">
        <v>1042</v>
      </c>
      <c r="E207" s="710" t="s">
        <v>808</v>
      </c>
      <c r="F207" s="711">
        <v>42200</v>
      </c>
      <c r="G207" s="723">
        <v>16</v>
      </c>
      <c r="H207" s="723">
        <v>13</v>
      </c>
      <c r="I207" s="723">
        <v>15</v>
      </c>
      <c r="J207" s="723">
        <v>28.27</v>
      </c>
      <c r="K207" s="713">
        <f t="shared" si="56"/>
        <v>16609.642</v>
      </c>
      <c r="L207" s="801">
        <v>6365</v>
      </c>
      <c r="M207" s="801">
        <v>22974.642</v>
      </c>
      <c r="N207" s="713">
        <f t="shared" si="59"/>
        <v>265754.272</v>
      </c>
      <c r="O207" s="714">
        <f t="shared" si="63"/>
        <v>101840</v>
      </c>
      <c r="P207" s="713">
        <f t="shared" si="57"/>
        <v>367594.272</v>
      </c>
      <c r="Q207" s="713"/>
      <c r="R207" s="723">
        <v>1.55</v>
      </c>
      <c r="S207" s="713">
        <v>37787.79</v>
      </c>
      <c r="T207" s="713">
        <v>-35383.22</v>
      </c>
      <c r="U207" s="713"/>
      <c r="V207" s="700">
        <v>1</v>
      </c>
      <c r="W207" s="617">
        <f t="shared" si="60"/>
        <v>28.27</v>
      </c>
      <c r="X207" s="715">
        <f t="shared" si="61"/>
        <v>649493.12933999998</v>
      </c>
      <c r="Y207" s="716">
        <f t="shared" si="64"/>
        <v>0.76687499999999997</v>
      </c>
      <c r="Z207" s="727" t="s">
        <v>809</v>
      </c>
      <c r="AA207" s="718" t="s">
        <v>810</v>
      </c>
      <c r="AB207" s="719">
        <f t="shared" si="58"/>
        <v>367594.272</v>
      </c>
      <c r="AC207" s="730"/>
      <c r="AD207" s="729"/>
      <c r="AE207" s="730"/>
      <c r="AF207" s="731"/>
      <c r="AG207" s="729"/>
      <c r="AH207" s="726"/>
      <c r="AI207" s="725"/>
      <c r="AJ207" s="727"/>
      <c r="AK207" s="732"/>
      <c r="AL207" s="732"/>
      <c r="AM207" s="699"/>
      <c r="AN207" s="699"/>
      <c r="AO207" s="699"/>
      <c r="AP207" s="699"/>
      <c r="AQ207" s="699"/>
      <c r="AR207" s="699"/>
      <c r="AS207" s="699"/>
      <c r="AT207" s="699"/>
      <c r="AU207" s="699"/>
      <c r="AV207" s="699"/>
      <c r="AW207" s="699"/>
      <c r="AX207" s="699"/>
      <c r="AY207" s="699"/>
      <c r="AZ207" s="699"/>
      <c r="BA207" s="699"/>
      <c r="BB207" s="699"/>
      <c r="BC207" s="699"/>
      <c r="BD207" s="699"/>
      <c r="BE207" s="699"/>
      <c r="BF207" s="699"/>
      <c r="BG207" s="699"/>
      <c r="BH207" s="699"/>
      <c r="BI207" s="699"/>
      <c r="BJ207" s="699"/>
      <c r="BK207" s="699"/>
      <c r="BL207" s="699"/>
      <c r="BM207" s="699"/>
      <c r="BN207" s="699"/>
      <c r="BO207" s="699"/>
      <c r="BP207" s="699"/>
      <c r="BQ207" s="699"/>
    </row>
    <row r="208" spans="1:69" s="728" customFormat="1" ht="13.5" customHeight="1">
      <c r="A208" s="721"/>
      <c r="B208" s="708" t="s">
        <v>835</v>
      </c>
      <c r="C208" s="710" t="s">
        <v>836</v>
      </c>
      <c r="D208" s="709" t="s">
        <v>1042</v>
      </c>
      <c r="E208" s="710" t="s">
        <v>837</v>
      </c>
      <c r="F208" s="711">
        <v>42130</v>
      </c>
      <c r="G208" s="723">
        <v>12</v>
      </c>
      <c r="H208" s="723">
        <v>12</v>
      </c>
      <c r="I208" s="723">
        <v>14</v>
      </c>
      <c r="J208" s="723">
        <v>19.079999999999998</v>
      </c>
      <c r="K208" s="713">
        <f t="shared" si="56"/>
        <v>13907.935000000001</v>
      </c>
      <c r="L208" s="801">
        <v>5800</v>
      </c>
      <c r="M208" s="801">
        <v>19707.935000000001</v>
      </c>
      <c r="N208" s="713">
        <f t="shared" si="59"/>
        <v>166895.22000000003</v>
      </c>
      <c r="O208" s="714">
        <f t="shared" si="63"/>
        <v>69600</v>
      </c>
      <c r="P208" s="713">
        <f t="shared" si="57"/>
        <v>236495.22000000003</v>
      </c>
      <c r="Q208" s="713"/>
      <c r="R208" s="723">
        <v>21</v>
      </c>
      <c r="S208" s="713">
        <v>683807.82</v>
      </c>
      <c r="T208" s="713">
        <v>578342.81999999995</v>
      </c>
      <c r="U208" s="713"/>
      <c r="V208" s="700">
        <v>1</v>
      </c>
      <c r="W208" s="617">
        <f t="shared" si="60"/>
        <v>19.079999999999998</v>
      </c>
      <c r="X208" s="715">
        <f t="shared" si="61"/>
        <v>376027.39980000001</v>
      </c>
      <c r="Y208" s="716">
        <f t="shared" si="64"/>
        <v>0.58999999999999986</v>
      </c>
      <c r="Z208" s="717" t="s">
        <v>838</v>
      </c>
      <c r="AA208" s="718" t="s">
        <v>839</v>
      </c>
      <c r="AB208" s="719">
        <f t="shared" si="58"/>
        <v>236495.22000000003</v>
      </c>
      <c r="AC208" s="704"/>
      <c r="AD208" s="699"/>
      <c r="AE208" s="699"/>
      <c r="AF208" s="699"/>
      <c r="AG208" s="714"/>
      <c r="AH208" s="726"/>
      <c r="AI208" s="725"/>
      <c r="AJ208" s="699"/>
      <c r="AK208" s="699"/>
      <c r="AL208" s="699"/>
    </row>
    <row r="209" spans="1:38" s="728" customFormat="1" ht="13.5" customHeight="1">
      <c r="A209" s="721"/>
      <c r="B209" s="708" t="s">
        <v>840</v>
      </c>
      <c r="C209" s="710" t="s">
        <v>842</v>
      </c>
      <c r="D209" s="709" t="s">
        <v>383</v>
      </c>
      <c r="E209" s="710" t="s">
        <v>841</v>
      </c>
      <c r="F209" s="711">
        <v>42129</v>
      </c>
      <c r="G209" s="723">
        <v>10</v>
      </c>
      <c r="H209" s="723">
        <v>13</v>
      </c>
      <c r="I209" s="723">
        <v>15</v>
      </c>
      <c r="J209" s="723">
        <v>8.4499999999999993</v>
      </c>
      <c r="K209" s="713">
        <f t="shared" si="56"/>
        <v>9638.9889999999996</v>
      </c>
      <c r="L209" s="801">
        <v>5500</v>
      </c>
      <c r="M209" s="801">
        <v>15138.989</v>
      </c>
      <c r="N209" s="713">
        <f t="shared" si="59"/>
        <v>96389.89</v>
      </c>
      <c r="O209" s="714">
        <f t="shared" si="63"/>
        <v>55000</v>
      </c>
      <c r="P209" s="713">
        <f t="shared" si="57"/>
        <v>151389.89000000001</v>
      </c>
      <c r="Q209" s="713"/>
      <c r="R209" s="723" t="s">
        <v>1</v>
      </c>
      <c r="S209" s="713" t="s">
        <v>1</v>
      </c>
      <c r="T209" s="713" t="s">
        <v>1</v>
      </c>
      <c r="U209" s="713"/>
      <c r="V209" s="700">
        <v>1</v>
      </c>
      <c r="W209" s="617">
        <f t="shared" si="60"/>
        <v>8.4499999999999993</v>
      </c>
      <c r="X209" s="715">
        <f t="shared" si="61"/>
        <v>127924.45704999998</v>
      </c>
      <c r="Y209" s="716">
        <f t="shared" si="64"/>
        <v>-0.15500000000000014</v>
      </c>
      <c r="Z209" s="727" t="s">
        <v>842</v>
      </c>
      <c r="AA209" s="718" t="s">
        <v>843</v>
      </c>
      <c r="AB209" s="719">
        <f t="shared" si="58"/>
        <v>151389.89000000001</v>
      </c>
      <c r="AG209" s="748"/>
      <c r="AH209" s="726"/>
      <c r="AI209" s="725"/>
    </row>
    <row r="210" spans="1:38" s="728" customFormat="1" ht="13.5" customHeight="1">
      <c r="A210" s="721"/>
      <c r="B210" s="708" t="s">
        <v>871</v>
      </c>
      <c r="C210" s="710" t="s">
        <v>872</v>
      </c>
      <c r="D210" s="709" t="s">
        <v>383</v>
      </c>
      <c r="E210" s="710" t="s">
        <v>873</v>
      </c>
      <c r="F210" s="711">
        <v>42108</v>
      </c>
      <c r="G210" s="723">
        <v>19</v>
      </c>
      <c r="H210" s="723">
        <v>18</v>
      </c>
      <c r="I210" s="723">
        <v>20</v>
      </c>
      <c r="J210" s="723">
        <v>19.93</v>
      </c>
      <c r="K210" s="713">
        <f t="shared" si="56"/>
        <v>27716.631000000001</v>
      </c>
      <c r="L210" s="801">
        <v>4000</v>
      </c>
      <c r="M210" s="801">
        <v>31716.631000000001</v>
      </c>
      <c r="N210" s="713">
        <f t="shared" si="59"/>
        <v>526615.98900000006</v>
      </c>
      <c r="O210" s="714">
        <f t="shared" si="63"/>
        <v>76000</v>
      </c>
      <c r="P210" s="713">
        <f t="shared" si="57"/>
        <v>602615.98900000006</v>
      </c>
      <c r="Q210" s="713"/>
      <c r="R210" s="723">
        <v>3.92</v>
      </c>
      <c r="S210" s="713">
        <v>138916.06999999998</v>
      </c>
      <c r="T210" s="713">
        <v>99939.07</v>
      </c>
      <c r="U210" s="713"/>
      <c r="V210" s="700">
        <v>1</v>
      </c>
      <c r="W210" s="617">
        <f t="shared" si="60"/>
        <v>19.93</v>
      </c>
      <c r="X210" s="715">
        <f t="shared" si="61"/>
        <v>632112.45582999999</v>
      </c>
      <c r="Y210" s="716">
        <f t="shared" si="64"/>
        <v>4.8947368421052406E-2</v>
      </c>
      <c r="Z210" s="718" t="s">
        <v>874</v>
      </c>
      <c r="AA210" s="718" t="s">
        <v>875</v>
      </c>
      <c r="AB210" s="719">
        <f t="shared" si="58"/>
        <v>602615.98900000006</v>
      </c>
      <c r="AC210" s="699"/>
      <c r="AD210" s="699"/>
      <c r="AE210" s="741"/>
      <c r="AF210" s="714"/>
      <c r="AG210" s="726"/>
      <c r="AH210" s="725"/>
      <c r="AI210" s="699"/>
      <c r="AJ210" s="699"/>
      <c r="AK210" s="699"/>
    </row>
    <row r="211" spans="1:38" s="728" customFormat="1" ht="13.5" customHeight="1">
      <c r="A211" s="721"/>
      <c r="B211" s="708" t="s">
        <v>885</v>
      </c>
      <c r="C211" s="710" t="s">
        <v>886</v>
      </c>
      <c r="D211" s="709" t="s">
        <v>383</v>
      </c>
      <c r="E211" s="710" t="s">
        <v>887</v>
      </c>
      <c r="F211" s="711">
        <v>42047</v>
      </c>
      <c r="G211" s="723">
        <v>6</v>
      </c>
      <c r="H211" s="723">
        <v>12</v>
      </c>
      <c r="I211" s="723">
        <v>14</v>
      </c>
      <c r="J211" s="723">
        <v>3.1</v>
      </c>
      <c r="K211" s="713">
        <f t="shared" si="56"/>
        <v>5645.3540000000003</v>
      </c>
      <c r="L211" s="801">
        <v>683.25</v>
      </c>
      <c r="M211" s="801">
        <v>6328.6040000000003</v>
      </c>
      <c r="N211" s="713">
        <f t="shared" si="59"/>
        <v>33872.124000000003</v>
      </c>
      <c r="O211" s="714">
        <f t="shared" si="63"/>
        <v>4099.5</v>
      </c>
      <c r="P211" s="713">
        <f t="shared" si="57"/>
        <v>37971.624000000003</v>
      </c>
      <c r="Q211" s="713"/>
      <c r="R211" s="723">
        <v>0.68</v>
      </c>
      <c r="S211" s="713">
        <v>11699.25</v>
      </c>
      <c r="T211" s="713">
        <v>2473.92</v>
      </c>
      <c r="U211" s="713"/>
      <c r="V211" s="700">
        <v>1</v>
      </c>
      <c r="W211" s="617">
        <f t="shared" si="60"/>
        <v>3.1</v>
      </c>
      <c r="X211" s="715">
        <f t="shared" si="61"/>
        <v>19618.672400000003</v>
      </c>
      <c r="Y211" s="716">
        <f t="shared" si="64"/>
        <v>-0.48333333333333328</v>
      </c>
      <c r="Z211" s="718" t="s">
        <v>888</v>
      </c>
      <c r="AA211" s="718" t="s">
        <v>889</v>
      </c>
      <c r="AB211" s="719">
        <f t="shared" si="58"/>
        <v>37971.624000000003</v>
      </c>
      <c r="AF211" s="729"/>
      <c r="AG211" s="726"/>
      <c r="AH211" s="725"/>
    </row>
    <row r="212" spans="1:38" s="728" customFormat="1" ht="13.5" customHeight="1">
      <c r="A212" s="721"/>
      <c r="B212" s="708" t="s">
        <v>580</v>
      </c>
      <c r="C212" s="710" t="s">
        <v>578</v>
      </c>
      <c r="D212" s="709" t="s">
        <v>383</v>
      </c>
      <c r="E212" s="710" t="s">
        <v>890</v>
      </c>
      <c r="F212" s="711">
        <v>42033</v>
      </c>
      <c r="G212" s="723">
        <v>23</v>
      </c>
      <c r="H212" s="723">
        <v>15</v>
      </c>
      <c r="I212" s="723">
        <v>17</v>
      </c>
      <c r="J212" s="723">
        <v>57.59</v>
      </c>
      <c r="K212" s="713">
        <f t="shared" si="56"/>
        <v>16490.366999999998</v>
      </c>
      <c r="L212" s="801">
        <v>7000</v>
      </c>
      <c r="M212" s="801">
        <v>23490.366999999998</v>
      </c>
      <c r="N212" s="713">
        <f t="shared" si="59"/>
        <v>379278.44099999999</v>
      </c>
      <c r="O212" s="714">
        <f t="shared" si="63"/>
        <v>161000</v>
      </c>
      <c r="P212" s="713">
        <f t="shared" si="57"/>
        <v>540278.44099999999</v>
      </c>
      <c r="Q212" s="713"/>
      <c r="R212" s="723">
        <v>51.03</v>
      </c>
      <c r="S212" s="713">
        <v>1888387.91</v>
      </c>
      <c r="T212" s="713">
        <v>1410988.92</v>
      </c>
      <c r="U212" s="713"/>
      <c r="V212" s="700">
        <v>1</v>
      </c>
      <c r="W212" s="617">
        <f t="shared" si="60"/>
        <v>57.59</v>
      </c>
      <c r="X212" s="715">
        <f t="shared" si="61"/>
        <v>1352810.2355299999</v>
      </c>
      <c r="Y212" s="716">
        <f t="shared" si="64"/>
        <v>1.5039130434782608</v>
      </c>
      <c r="Z212" s="718" t="s">
        <v>579</v>
      </c>
      <c r="AA212" s="718" t="s">
        <v>581</v>
      </c>
      <c r="AB212" s="719">
        <f t="shared" si="58"/>
        <v>540278.44099999999</v>
      </c>
      <c r="AC212" s="699"/>
      <c r="AD212" s="699"/>
      <c r="AE212" s="699"/>
      <c r="AF212" s="714"/>
      <c r="AG212" s="726"/>
      <c r="AH212" s="725"/>
      <c r="AI212" s="699"/>
      <c r="AJ212" s="699"/>
      <c r="AK212" s="699"/>
    </row>
    <row r="213" spans="1:38" s="728" customFormat="1" ht="13.5" customHeight="1">
      <c r="A213" s="721"/>
      <c r="B213" s="708" t="s">
        <v>2434</v>
      </c>
      <c r="C213" s="710" t="s">
        <v>2435</v>
      </c>
      <c r="D213" s="709" t="s">
        <v>383</v>
      </c>
      <c r="E213" s="710" t="s">
        <v>2436</v>
      </c>
      <c r="F213" s="711">
        <v>41975</v>
      </c>
      <c r="G213" s="723">
        <v>11</v>
      </c>
      <c r="H213" s="723">
        <v>13</v>
      </c>
      <c r="I213" s="723">
        <v>15</v>
      </c>
      <c r="J213" s="723">
        <v>11.05</v>
      </c>
      <c r="K213" s="713">
        <f t="shared" si="56"/>
        <v>6509.8690000000006</v>
      </c>
      <c r="L213" s="714">
        <v>4285.7139999999999</v>
      </c>
      <c r="M213" s="714">
        <v>10795.583000000001</v>
      </c>
      <c r="N213" s="713">
        <f t="shared" si="59"/>
        <v>71608.559000000008</v>
      </c>
      <c r="O213" s="714">
        <f t="shared" si="63"/>
        <v>47142.853999999999</v>
      </c>
      <c r="P213" s="713">
        <f t="shared" si="57"/>
        <v>118751.413</v>
      </c>
      <c r="Q213" s="713"/>
      <c r="R213" s="723">
        <v>2.57</v>
      </c>
      <c r="S213" s="713">
        <v>63147.55</v>
      </c>
      <c r="T213" s="713">
        <v>50852.54</v>
      </c>
      <c r="U213" s="713"/>
      <c r="V213" s="700">
        <v>1</v>
      </c>
      <c r="W213" s="617">
        <f t="shared" si="60"/>
        <v>11.05</v>
      </c>
      <c r="X213" s="715">
        <f t="shared" si="61"/>
        <v>119291.19215000002</v>
      </c>
      <c r="Y213" s="716">
        <f t="shared" si="64"/>
        <v>4.5454545454546302E-3</v>
      </c>
      <c r="Z213" s="717" t="s">
        <v>2478</v>
      </c>
      <c r="AA213" s="718" t="s">
        <v>2496</v>
      </c>
      <c r="AB213" s="719">
        <f t="shared" si="58"/>
        <v>118751.413</v>
      </c>
      <c r="AC213" s="704"/>
      <c r="AD213" s="699"/>
      <c r="AE213" s="699"/>
      <c r="AF213" s="699"/>
      <c r="AG213" s="714"/>
      <c r="AH213" s="726"/>
      <c r="AI213" s="725"/>
      <c r="AJ213" s="699"/>
      <c r="AK213" s="699"/>
      <c r="AL213" s="699"/>
    </row>
    <row r="214" spans="1:38" s="728" customFormat="1" ht="13.5" customHeight="1">
      <c r="A214" s="721"/>
      <c r="B214" s="708" t="s">
        <v>2437</v>
      </c>
      <c r="C214" s="710" t="s">
        <v>2438</v>
      </c>
      <c r="D214" s="709" t="s">
        <v>383</v>
      </c>
      <c r="E214" s="710" t="s">
        <v>2439</v>
      </c>
      <c r="F214" s="711">
        <v>41956</v>
      </c>
      <c r="G214" s="723">
        <v>18</v>
      </c>
      <c r="H214" s="723">
        <v>16</v>
      </c>
      <c r="I214" s="723">
        <v>19</v>
      </c>
      <c r="J214" s="723">
        <v>28.99</v>
      </c>
      <c r="K214" s="713">
        <f t="shared" si="56"/>
        <v>48571.851999999999</v>
      </c>
      <c r="L214" s="714">
        <v>7100</v>
      </c>
      <c r="M214" s="714">
        <v>55671.851999999999</v>
      </c>
      <c r="N214" s="713">
        <f t="shared" si="59"/>
        <v>874293.33600000001</v>
      </c>
      <c r="O214" s="714">
        <f t="shared" si="63"/>
        <v>127800</v>
      </c>
      <c r="P214" s="713">
        <f t="shared" si="57"/>
        <v>1002093.336</v>
      </c>
      <c r="Q214" s="713"/>
      <c r="R214" s="723">
        <v>51</v>
      </c>
      <c r="S214" s="713">
        <v>4182447.63</v>
      </c>
      <c r="T214" s="713">
        <v>3586038.63</v>
      </c>
      <c r="U214" s="713"/>
      <c r="V214" s="700">
        <v>1</v>
      </c>
      <c r="W214" s="617">
        <f t="shared" si="60"/>
        <v>28.99</v>
      </c>
      <c r="X214" s="715">
        <f t="shared" si="61"/>
        <v>1613926.98948</v>
      </c>
      <c r="Y214" s="716">
        <f t="shared" si="64"/>
        <v>0.61055555555555552</v>
      </c>
      <c r="Z214" s="717" t="s">
        <v>2479</v>
      </c>
      <c r="AA214" s="718" t="s">
        <v>2497</v>
      </c>
      <c r="AB214" s="719">
        <f t="shared" si="58"/>
        <v>1002093.336</v>
      </c>
      <c r="AC214" s="704"/>
      <c r="AD214" s="699"/>
      <c r="AE214" s="699"/>
      <c r="AF214" s="699"/>
      <c r="AG214" s="714"/>
      <c r="AH214" s="726"/>
      <c r="AI214" s="725"/>
      <c r="AJ214" s="699"/>
      <c r="AK214" s="699"/>
      <c r="AL214" s="699"/>
    </row>
    <row r="215" spans="1:38" s="728" customFormat="1" ht="13.5" customHeight="1">
      <c r="A215" s="721"/>
      <c r="B215" s="2410" t="s">
        <v>3193</v>
      </c>
      <c r="C215" s="2416" t="s">
        <v>3194</v>
      </c>
      <c r="D215" s="2411" t="s">
        <v>383</v>
      </c>
      <c r="E215" s="2416" t="s">
        <v>3195</v>
      </c>
      <c r="F215" s="2412">
        <v>41955</v>
      </c>
      <c r="G215" s="2414">
        <v>6.5</v>
      </c>
      <c r="H215" s="2414">
        <v>0</v>
      </c>
      <c r="I215" s="2414">
        <v>0</v>
      </c>
      <c r="J215" s="2414">
        <v>12.5</v>
      </c>
      <c r="K215" s="2417">
        <f t="shared" si="56"/>
        <v>4822.67</v>
      </c>
      <c r="L215" s="2418">
        <v>1650</v>
      </c>
      <c r="M215" s="2418">
        <v>6472.67</v>
      </c>
      <c r="N215" s="2418">
        <f t="shared" si="59"/>
        <v>31347.355</v>
      </c>
      <c r="O215" s="2418">
        <f t="shared" si="63"/>
        <v>10725</v>
      </c>
      <c r="P215" s="2418">
        <f t="shared" si="57"/>
        <v>42072.354999999996</v>
      </c>
      <c r="Q215" s="713"/>
      <c r="R215" s="723"/>
      <c r="S215" s="713"/>
      <c r="T215" s="713"/>
      <c r="U215" s="713"/>
      <c r="V215" s="700">
        <v>1</v>
      </c>
      <c r="W215" s="617">
        <f t="shared" si="60"/>
        <v>12.5</v>
      </c>
      <c r="X215" s="715">
        <f t="shared" si="61"/>
        <v>80908.375</v>
      </c>
      <c r="Y215" s="716">
        <f t="shared" si="64"/>
        <v>0.92307692307692335</v>
      </c>
      <c r="Z215" s="2419" t="s">
        <v>3206</v>
      </c>
      <c r="AA215" s="2419" t="s">
        <v>3207</v>
      </c>
      <c r="AB215" s="719">
        <f t="shared" si="58"/>
        <v>42072.354999999996</v>
      </c>
      <c r="AC215" s="704"/>
      <c r="AD215" s="699"/>
      <c r="AE215" s="699"/>
      <c r="AF215" s="699"/>
      <c r="AG215" s="714"/>
      <c r="AH215" s="726"/>
      <c r="AI215" s="725"/>
      <c r="AJ215" s="699"/>
      <c r="AK215" s="699"/>
      <c r="AL215" s="699"/>
    </row>
    <row r="216" spans="1:38" s="728" customFormat="1" ht="13.5" customHeight="1">
      <c r="A216" s="721"/>
      <c r="B216" s="708" t="s">
        <v>2440</v>
      </c>
      <c r="C216" s="710" t="s">
        <v>2441</v>
      </c>
      <c r="D216" s="709" t="s">
        <v>383</v>
      </c>
      <c r="E216" s="710" t="s">
        <v>2442</v>
      </c>
      <c r="F216" s="711">
        <v>41949</v>
      </c>
      <c r="G216" s="723">
        <v>13.5</v>
      </c>
      <c r="H216" s="723">
        <v>12</v>
      </c>
      <c r="I216" s="723">
        <v>15</v>
      </c>
      <c r="J216" s="723">
        <v>14.37</v>
      </c>
      <c r="K216" s="713">
        <f t="shared" si="56"/>
        <v>25755.649000000001</v>
      </c>
      <c r="L216" s="714">
        <v>6296.3</v>
      </c>
      <c r="M216" s="714">
        <v>32051.949000000001</v>
      </c>
      <c r="N216" s="713">
        <f t="shared" si="59"/>
        <v>347701.26150000002</v>
      </c>
      <c r="O216" s="714">
        <f t="shared" si="63"/>
        <v>85000.05</v>
      </c>
      <c r="P216" s="713">
        <f t="shared" si="57"/>
        <v>432701.31150000001</v>
      </c>
      <c r="Q216" s="713"/>
      <c r="R216" s="723">
        <v>9.4</v>
      </c>
      <c r="S216" s="713">
        <v>562500.39</v>
      </c>
      <c r="T216" s="713">
        <v>512420.39</v>
      </c>
      <c r="U216" s="713"/>
      <c r="V216" s="700">
        <v>1</v>
      </c>
      <c r="W216" s="617">
        <f t="shared" si="60"/>
        <v>14.37</v>
      </c>
      <c r="X216" s="715">
        <f t="shared" si="61"/>
        <v>460586.50712999998</v>
      </c>
      <c r="Y216" s="716">
        <f t="shared" si="64"/>
        <v>6.4444444444444304E-2</v>
      </c>
      <c r="Z216" s="717" t="s">
        <v>2480</v>
      </c>
      <c r="AA216" s="718" t="s">
        <v>2498</v>
      </c>
      <c r="AB216" s="719">
        <f t="shared" si="58"/>
        <v>432701.31150000001</v>
      </c>
      <c r="AC216" s="704"/>
      <c r="AD216" s="699"/>
      <c r="AE216" s="699"/>
      <c r="AF216" s="699"/>
      <c r="AG216" s="714"/>
      <c r="AH216" s="726"/>
      <c r="AI216" s="725"/>
      <c r="AJ216" s="699"/>
      <c r="AK216" s="699"/>
      <c r="AL216" s="699"/>
    </row>
    <row r="217" spans="1:38" s="728" customFormat="1" ht="13.5" customHeight="1">
      <c r="A217" s="721"/>
      <c r="B217" s="708" t="s">
        <v>2416</v>
      </c>
      <c r="C217" s="710" t="s">
        <v>2417</v>
      </c>
      <c r="D217" s="709" t="s">
        <v>2418</v>
      </c>
      <c r="E217" s="710" t="s">
        <v>2419</v>
      </c>
      <c r="F217" s="711">
        <v>41947</v>
      </c>
      <c r="G217" s="723">
        <v>9</v>
      </c>
      <c r="H217" s="723">
        <v>10</v>
      </c>
      <c r="I217" s="723">
        <v>12</v>
      </c>
      <c r="J217" s="723">
        <v>13.96</v>
      </c>
      <c r="K217" s="713">
        <f t="shared" si="56"/>
        <v>9539.232</v>
      </c>
      <c r="L217" s="714">
        <v>4000</v>
      </c>
      <c r="M217" s="714">
        <v>13539.232</v>
      </c>
      <c r="N217" s="713">
        <f t="shared" si="59"/>
        <v>85853.088000000003</v>
      </c>
      <c r="O217" s="714">
        <f t="shared" si="63"/>
        <v>36000</v>
      </c>
      <c r="P217" s="713">
        <f t="shared" si="57"/>
        <v>121853.088</v>
      </c>
      <c r="Q217" s="713"/>
      <c r="R217" s="723">
        <v>3</v>
      </c>
      <c r="S217" s="713">
        <v>53995.26</v>
      </c>
      <c r="T217" s="713">
        <v>10223.26</v>
      </c>
      <c r="U217" s="713"/>
      <c r="V217" s="700">
        <v>1</v>
      </c>
      <c r="W217" s="617">
        <f t="shared" si="60"/>
        <v>13.96</v>
      </c>
      <c r="X217" s="715">
        <f t="shared" si="61"/>
        <v>189007.67872000003</v>
      </c>
      <c r="Y217" s="716">
        <f t="shared" si="64"/>
        <v>0.55111111111111133</v>
      </c>
      <c r="Z217" s="717" t="s">
        <v>2472</v>
      </c>
      <c r="AA217" s="718" t="s">
        <v>2490</v>
      </c>
      <c r="AB217" s="719">
        <f t="shared" si="58"/>
        <v>121853.088</v>
      </c>
      <c r="AC217" s="704"/>
      <c r="AD217" s="699"/>
      <c r="AE217" s="699"/>
      <c r="AF217" s="699"/>
      <c r="AG217" s="714"/>
      <c r="AH217" s="726"/>
      <c r="AI217" s="725"/>
      <c r="AJ217" s="699"/>
      <c r="AK217" s="699"/>
      <c r="AL217" s="699"/>
    </row>
    <row r="218" spans="1:38" s="728" customFormat="1" ht="13.5" customHeight="1">
      <c r="A218" s="721"/>
      <c r="B218" s="708" t="s">
        <v>2443</v>
      </c>
      <c r="C218" s="710" t="s">
        <v>2444</v>
      </c>
      <c r="D218" s="709" t="s">
        <v>383</v>
      </c>
      <c r="E218" s="710" t="s">
        <v>2445</v>
      </c>
      <c r="F218" s="711">
        <v>41933</v>
      </c>
      <c r="G218" s="723">
        <v>10</v>
      </c>
      <c r="H218" s="723">
        <v>12</v>
      </c>
      <c r="I218" s="723">
        <v>14</v>
      </c>
      <c r="J218" s="723">
        <v>10.34</v>
      </c>
      <c r="K218" s="713">
        <f t="shared" si="56"/>
        <v>9345.3739999999998</v>
      </c>
      <c r="L218" s="714">
        <v>4700</v>
      </c>
      <c r="M218" s="714">
        <v>14045.374</v>
      </c>
      <c r="N218" s="713">
        <f t="shared" si="59"/>
        <v>93453.739999999991</v>
      </c>
      <c r="O218" s="714">
        <f t="shared" si="63"/>
        <v>47000</v>
      </c>
      <c r="P218" s="713">
        <f t="shared" si="57"/>
        <v>140453.74</v>
      </c>
      <c r="Q218" s="713"/>
      <c r="R218" s="723">
        <v>2.15</v>
      </c>
      <c r="S218" s="713">
        <v>37881.75</v>
      </c>
      <c r="T218" s="713">
        <v>11987.75</v>
      </c>
      <c r="U218" s="713"/>
      <c r="V218" s="700">
        <v>1</v>
      </c>
      <c r="W218" s="617">
        <f t="shared" si="60"/>
        <v>10.34</v>
      </c>
      <c r="X218" s="715">
        <f t="shared" si="61"/>
        <v>145229.16715999998</v>
      </c>
      <c r="Y218" s="716">
        <f t="shared" si="64"/>
        <v>3.400000000000003E-2</v>
      </c>
      <c r="Z218" s="717" t="s">
        <v>2481</v>
      </c>
      <c r="AA218" s="718" t="s">
        <v>2499</v>
      </c>
      <c r="AB218" s="719">
        <f t="shared" si="58"/>
        <v>140453.74</v>
      </c>
      <c r="AC218" s="704"/>
      <c r="AD218" s="699"/>
      <c r="AE218" s="699"/>
      <c r="AF218" s="699"/>
      <c r="AG218" s="714"/>
      <c r="AH218" s="726"/>
      <c r="AI218" s="725"/>
      <c r="AJ218" s="699"/>
      <c r="AK218" s="699"/>
      <c r="AL218" s="699"/>
    </row>
    <row r="219" spans="1:38" s="728" customFormat="1" ht="13.5" customHeight="1">
      <c r="A219" s="721"/>
      <c r="B219" s="708" t="s">
        <v>2423</v>
      </c>
      <c r="C219" s="710" t="s">
        <v>2424</v>
      </c>
      <c r="D219" s="709" t="s">
        <v>638</v>
      </c>
      <c r="E219" s="710" t="s">
        <v>2425</v>
      </c>
      <c r="F219" s="711">
        <v>41914</v>
      </c>
      <c r="G219" s="723">
        <v>16</v>
      </c>
      <c r="H219" s="723">
        <v>14</v>
      </c>
      <c r="I219" s="723">
        <v>16</v>
      </c>
      <c r="J219" s="723">
        <v>15.37</v>
      </c>
      <c r="K219" s="713">
        <f t="shared" si="56"/>
        <v>11541.179</v>
      </c>
      <c r="L219" s="714">
        <v>7812.5</v>
      </c>
      <c r="M219" s="714">
        <v>19353.679</v>
      </c>
      <c r="N219" s="713">
        <f t="shared" si="59"/>
        <v>184658.864</v>
      </c>
      <c r="O219" s="714">
        <f t="shared" si="63"/>
        <v>125000</v>
      </c>
      <c r="P219" s="713">
        <f t="shared" si="57"/>
        <v>309658.864</v>
      </c>
      <c r="Q219" s="713"/>
      <c r="R219" s="723">
        <v>26.07</v>
      </c>
      <c r="S219" s="713">
        <v>1086444.78</v>
      </c>
      <c r="T219" s="713">
        <v>702499.78</v>
      </c>
      <c r="U219" s="713"/>
      <c r="V219" s="700">
        <v>1</v>
      </c>
      <c r="W219" s="617">
        <f t="shared" si="60"/>
        <v>15.37</v>
      </c>
      <c r="X219" s="715">
        <f t="shared" si="61"/>
        <v>297466.04622999998</v>
      </c>
      <c r="Y219" s="716">
        <f t="shared" si="64"/>
        <v>-3.9375000000000049E-2</v>
      </c>
      <c r="Z219" s="717" t="s">
        <v>2474</v>
      </c>
      <c r="AA219" s="718" t="s">
        <v>2492</v>
      </c>
      <c r="AB219" s="719">
        <f t="shared" si="58"/>
        <v>309658.864</v>
      </c>
      <c r="AC219" s="704"/>
      <c r="AD219" s="699"/>
      <c r="AE219" s="699"/>
      <c r="AF219" s="699"/>
      <c r="AG219" s="714"/>
      <c r="AH219" s="726"/>
      <c r="AI219" s="725"/>
      <c r="AJ219" s="699"/>
      <c r="AK219" s="699"/>
      <c r="AL219" s="699"/>
    </row>
    <row r="220" spans="1:38" s="728" customFormat="1" ht="13.5" customHeight="1">
      <c r="A220" s="721"/>
      <c r="B220" s="708" t="s">
        <v>2469</v>
      </c>
      <c r="C220" s="710" t="s">
        <v>2470</v>
      </c>
      <c r="D220" s="709" t="s">
        <v>383</v>
      </c>
      <c r="E220" s="710" t="s">
        <v>2471</v>
      </c>
      <c r="F220" s="711">
        <v>41863</v>
      </c>
      <c r="G220" s="723">
        <v>16</v>
      </c>
      <c r="H220" s="723">
        <v>14</v>
      </c>
      <c r="I220" s="723">
        <v>16</v>
      </c>
      <c r="J220" s="723">
        <v>19.38</v>
      </c>
      <c r="K220" s="713">
        <f t="shared" si="56"/>
        <v>14085.786</v>
      </c>
      <c r="L220" s="714">
        <v>6250</v>
      </c>
      <c r="M220" s="714">
        <v>20335.786</v>
      </c>
      <c r="N220" s="713">
        <f t="shared" si="59"/>
        <v>225372.576</v>
      </c>
      <c r="O220" s="714">
        <f t="shared" si="63"/>
        <v>100000</v>
      </c>
      <c r="P220" s="713">
        <f t="shared" si="57"/>
        <v>325372.576</v>
      </c>
      <c r="Q220" s="713"/>
      <c r="R220" s="723">
        <v>5.4</v>
      </c>
      <c r="S220" s="713">
        <v>163820.44</v>
      </c>
      <c r="T220" s="713">
        <v>29512.440000000002</v>
      </c>
      <c r="U220" s="713"/>
      <c r="V220" s="700">
        <v>1</v>
      </c>
      <c r="W220" s="617">
        <f t="shared" si="60"/>
        <v>19.38</v>
      </c>
      <c r="X220" s="715">
        <f t="shared" si="61"/>
        <v>394107.53268</v>
      </c>
      <c r="Y220" s="716">
        <f t="shared" si="64"/>
        <v>0.21124999999999994</v>
      </c>
      <c r="Z220" s="717" t="s">
        <v>2489</v>
      </c>
      <c r="AA220" s="718" t="s">
        <v>2508</v>
      </c>
      <c r="AB220" s="719">
        <f t="shared" si="58"/>
        <v>325372.576</v>
      </c>
      <c r="AC220" s="704"/>
      <c r="AD220" s="699"/>
      <c r="AE220" s="699"/>
      <c r="AF220" s="699"/>
      <c r="AG220" s="714"/>
      <c r="AH220" s="726"/>
      <c r="AI220" s="725"/>
      <c r="AJ220" s="699"/>
      <c r="AK220" s="699"/>
      <c r="AL220" s="699"/>
    </row>
    <row r="221" spans="1:38" s="728" customFormat="1" ht="13.5" customHeight="1">
      <c r="A221" s="721"/>
      <c r="B221" s="708" t="s">
        <v>2446</v>
      </c>
      <c r="C221" s="710" t="s">
        <v>2447</v>
      </c>
      <c r="D221" s="709" t="s">
        <v>383</v>
      </c>
      <c r="E221" s="710" t="s">
        <v>2448</v>
      </c>
      <c r="F221" s="711">
        <v>41856</v>
      </c>
      <c r="G221" s="723">
        <v>6</v>
      </c>
      <c r="H221" s="723">
        <v>10</v>
      </c>
      <c r="I221" s="723">
        <v>12</v>
      </c>
      <c r="J221" s="723">
        <v>5.97</v>
      </c>
      <c r="K221" s="713">
        <f t="shared" si="56"/>
        <v>29018.891000000003</v>
      </c>
      <c r="L221" s="714">
        <v>5275</v>
      </c>
      <c r="M221" s="714">
        <v>34293.891000000003</v>
      </c>
      <c r="N221" s="713">
        <f t="shared" si="59"/>
        <v>174113.34600000002</v>
      </c>
      <c r="O221" s="714">
        <f t="shared" si="63"/>
        <v>31650</v>
      </c>
      <c r="P221" s="713">
        <f t="shared" si="57"/>
        <v>205763.34600000002</v>
      </c>
      <c r="Q221" s="713"/>
      <c r="R221" s="723">
        <v>0</v>
      </c>
      <c r="S221" s="713">
        <v>17617.21</v>
      </c>
      <c r="T221" s="713">
        <v>8158.3</v>
      </c>
      <c r="U221" s="713"/>
      <c r="V221" s="700">
        <v>1</v>
      </c>
      <c r="W221" s="617">
        <f t="shared" si="60"/>
        <v>5.97</v>
      </c>
      <c r="X221" s="715">
        <f t="shared" si="61"/>
        <v>204734.52927</v>
      </c>
      <c r="Y221" s="716">
        <f t="shared" si="64"/>
        <v>-5.0000000000001155E-3</v>
      </c>
      <c r="Z221" s="717" t="s">
        <v>2482</v>
      </c>
      <c r="AA221" s="718" t="s">
        <v>2500</v>
      </c>
      <c r="AB221" s="719">
        <f t="shared" si="58"/>
        <v>205763.34600000002</v>
      </c>
      <c r="AC221" s="704"/>
      <c r="AD221" s="699"/>
      <c r="AE221" s="699"/>
      <c r="AF221" s="699"/>
      <c r="AG221" s="714"/>
      <c r="AH221" s="726"/>
      <c r="AI221" s="725"/>
      <c r="AJ221" s="699"/>
      <c r="AK221" s="699"/>
      <c r="AL221" s="699"/>
    </row>
    <row r="222" spans="1:38" s="728" customFormat="1" ht="13.5" customHeight="1">
      <c r="A222" s="721"/>
      <c r="B222" s="708" t="s">
        <v>2449</v>
      </c>
      <c r="C222" s="710" t="s">
        <v>907</v>
      </c>
      <c r="D222" s="709" t="s">
        <v>383</v>
      </c>
      <c r="E222" s="710" t="s">
        <v>2450</v>
      </c>
      <c r="F222" s="711">
        <v>41844</v>
      </c>
      <c r="G222" s="723">
        <v>13</v>
      </c>
      <c r="H222" s="723">
        <v>14</v>
      </c>
      <c r="I222" s="723">
        <v>16</v>
      </c>
      <c r="J222" s="723">
        <v>15.39</v>
      </c>
      <c r="K222" s="713">
        <f t="shared" si="56"/>
        <v>15569.490000000002</v>
      </c>
      <c r="L222" s="714">
        <v>5000</v>
      </c>
      <c r="M222" s="714">
        <v>20569.490000000002</v>
      </c>
      <c r="N222" s="713">
        <f t="shared" si="59"/>
        <v>202403.37000000002</v>
      </c>
      <c r="O222" s="714">
        <f t="shared" si="63"/>
        <v>65000</v>
      </c>
      <c r="P222" s="713">
        <f t="shared" si="57"/>
        <v>267403.37</v>
      </c>
      <c r="Q222" s="713"/>
      <c r="R222" s="723">
        <v>5.03</v>
      </c>
      <c r="S222" s="713">
        <v>186780.01</v>
      </c>
      <c r="T222" s="713">
        <v>153532.01</v>
      </c>
      <c r="U222" s="713"/>
      <c r="V222" s="700">
        <v>1</v>
      </c>
      <c r="W222" s="617">
        <f t="shared" si="60"/>
        <v>15.39</v>
      </c>
      <c r="X222" s="715">
        <f t="shared" si="61"/>
        <v>316564.45110000006</v>
      </c>
      <c r="Y222" s="716">
        <f t="shared" si="64"/>
        <v>0.18384615384615421</v>
      </c>
      <c r="Z222" s="717" t="s">
        <v>2483</v>
      </c>
      <c r="AA222" s="718" t="s">
        <v>2501</v>
      </c>
      <c r="AB222" s="719">
        <f t="shared" si="58"/>
        <v>267403.37</v>
      </c>
      <c r="AC222" s="704"/>
      <c r="AD222" s="699"/>
      <c r="AE222" s="699"/>
      <c r="AF222" s="699"/>
      <c r="AG222" s="714"/>
      <c r="AH222" s="726"/>
      <c r="AI222" s="725"/>
      <c r="AJ222" s="699"/>
      <c r="AK222" s="699"/>
      <c r="AL222" s="699"/>
    </row>
    <row r="223" spans="1:38" s="728" customFormat="1" ht="13.5" customHeight="1">
      <c r="A223" s="721"/>
      <c r="B223" s="708" t="s">
        <v>2426</v>
      </c>
      <c r="C223" s="710" t="s">
        <v>909</v>
      </c>
      <c r="D223" s="709" t="s">
        <v>638</v>
      </c>
      <c r="E223" s="710" t="s">
        <v>2427</v>
      </c>
      <c r="F223" s="711">
        <v>41843</v>
      </c>
      <c r="G223" s="723">
        <v>11</v>
      </c>
      <c r="H223" s="723">
        <v>11</v>
      </c>
      <c r="I223" s="723">
        <v>13</v>
      </c>
      <c r="J223" s="723">
        <v>15.86</v>
      </c>
      <c r="K223" s="713">
        <f t="shared" si="56"/>
        <v>17501.808000000001</v>
      </c>
      <c r="L223" s="714">
        <v>5000</v>
      </c>
      <c r="M223" s="714">
        <v>22501.808000000001</v>
      </c>
      <c r="N223" s="713">
        <f t="shared" si="59"/>
        <v>192519.88800000001</v>
      </c>
      <c r="O223" s="714">
        <f t="shared" si="63"/>
        <v>55000</v>
      </c>
      <c r="P223" s="713">
        <f t="shared" si="57"/>
        <v>247519.88800000001</v>
      </c>
      <c r="Q223" s="713"/>
      <c r="R223" s="723">
        <v>35.15</v>
      </c>
      <c r="S223" s="713">
        <v>1035375.0299999999</v>
      </c>
      <c r="T223" s="713">
        <v>932877.03</v>
      </c>
      <c r="U223" s="713"/>
      <c r="V223" s="700">
        <v>1</v>
      </c>
      <c r="W223" s="617">
        <f t="shared" si="60"/>
        <v>15.86</v>
      </c>
      <c r="X223" s="715">
        <f t="shared" si="61"/>
        <v>356878.67488000001</v>
      </c>
      <c r="Y223" s="716">
        <f t="shared" si="64"/>
        <v>0.44181818181818189</v>
      </c>
      <c r="Z223" s="717" t="s">
        <v>2475</v>
      </c>
      <c r="AA223" s="718" t="s">
        <v>2493</v>
      </c>
      <c r="AB223" s="719">
        <f t="shared" si="58"/>
        <v>247519.88800000001</v>
      </c>
      <c r="AC223" s="704"/>
      <c r="AD223" s="699"/>
      <c r="AE223" s="699"/>
      <c r="AF223" s="699"/>
      <c r="AG223" s="714"/>
      <c r="AH223" s="726"/>
      <c r="AI223" s="725"/>
      <c r="AJ223" s="699"/>
      <c r="AK223" s="699"/>
      <c r="AL223" s="699"/>
    </row>
    <row r="224" spans="1:38" s="728" customFormat="1" ht="13.5" customHeight="1">
      <c r="A224" s="721"/>
      <c r="B224" s="708" t="s">
        <v>2451</v>
      </c>
      <c r="C224" s="710" t="s">
        <v>2452</v>
      </c>
      <c r="D224" s="709" t="s">
        <v>383</v>
      </c>
      <c r="E224" s="710" t="s">
        <v>2453</v>
      </c>
      <c r="F224" s="711">
        <v>41795</v>
      </c>
      <c r="G224" s="723">
        <v>8</v>
      </c>
      <c r="H224" s="723">
        <v>14</v>
      </c>
      <c r="I224" s="723">
        <v>16</v>
      </c>
      <c r="J224" s="723">
        <v>15.11</v>
      </c>
      <c r="K224" s="713">
        <f t="shared" si="56"/>
        <v>22438.899000000001</v>
      </c>
      <c r="L224" s="714">
        <v>6500</v>
      </c>
      <c r="M224" s="714">
        <v>28938.899000000001</v>
      </c>
      <c r="N224" s="713">
        <f t="shared" si="59"/>
        <v>179511.19200000001</v>
      </c>
      <c r="O224" s="714">
        <f t="shared" si="63"/>
        <v>52000</v>
      </c>
      <c r="P224" s="713">
        <f t="shared" si="57"/>
        <v>231511.19200000001</v>
      </c>
      <c r="Q224" s="713"/>
      <c r="R224" s="723">
        <v>33.5</v>
      </c>
      <c r="S224" s="713">
        <v>1493826.67</v>
      </c>
      <c r="T224" s="713">
        <v>1188503.6700000002</v>
      </c>
      <c r="U224" s="713"/>
      <c r="V224" s="700">
        <v>1</v>
      </c>
      <c r="W224" s="617">
        <f t="shared" si="60"/>
        <v>15.11</v>
      </c>
      <c r="X224" s="715">
        <f t="shared" si="61"/>
        <v>437266.76389</v>
      </c>
      <c r="Y224" s="716">
        <f t="shared" si="64"/>
        <v>0.88874999999999993</v>
      </c>
      <c r="Z224" s="717" t="s">
        <v>2484</v>
      </c>
      <c r="AA224" s="718" t="s">
        <v>2502</v>
      </c>
      <c r="AB224" s="719">
        <f t="shared" si="58"/>
        <v>231511.19200000001</v>
      </c>
      <c r="AC224" s="704"/>
      <c r="AD224" s="699"/>
      <c r="AE224" s="699"/>
      <c r="AF224" s="699"/>
      <c r="AG224" s="714"/>
      <c r="AH224" s="726"/>
      <c r="AI224" s="725"/>
      <c r="AJ224" s="699"/>
      <c r="AK224" s="699"/>
      <c r="AL224" s="699"/>
    </row>
    <row r="225" spans="1:69" s="728" customFormat="1" ht="13.5" customHeight="1">
      <c r="A225" s="721"/>
      <c r="B225" s="708" t="s">
        <v>2454</v>
      </c>
      <c r="C225" s="710" t="s">
        <v>2455</v>
      </c>
      <c r="D225" s="709" t="s">
        <v>383</v>
      </c>
      <c r="E225" s="710" t="s">
        <v>2456</v>
      </c>
      <c r="F225" s="711">
        <v>41781</v>
      </c>
      <c r="G225" s="723">
        <v>6</v>
      </c>
      <c r="H225" s="723">
        <v>12</v>
      </c>
      <c r="I225" s="723">
        <v>14</v>
      </c>
      <c r="J225" s="723">
        <v>7.65</v>
      </c>
      <c r="K225" s="713">
        <f t="shared" si="56"/>
        <v>9425.3920000000016</v>
      </c>
      <c r="L225" s="714">
        <v>9166.6669999999995</v>
      </c>
      <c r="M225" s="714">
        <v>18592.059000000001</v>
      </c>
      <c r="N225" s="713">
        <f t="shared" si="59"/>
        <v>56552.352000000014</v>
      </c>
      <c r="O225" s="714">
        <f t="shared" si="63"/>
        <v>55000.001999999993</v>
      </c>
      <c r="P225" s="713">
        <f t="shared" si="57"/>
        <v>111552.35400000001</v>
      </c>
      <c r="Q225" s="713"/>
      <c r="R225" s="723">
        <v>3.27</v>
      </c>
      <c r="S225" s="713">
        <v>111789.34</v>
      </c>
      <c r="T225" s="713">
        <v>80060.34</v>
      </c>
      <c r="U225" s="713"/>
      <c r="V225" s="700">
        <v>1</v>
      </c>
      <c r="W225" s="617">
        <f t="shared" si="60"/>
        <v>7.65</v>
      </c>
      <c r="X225" s="715">
        <f t="shared" si="61"/>
        <v>142229.25135000001</v>
      </c>
      <c r="Y225" s="716">
        <f t="shared" si="64"/>
        <v>0.27499999999999991</v>
      </c>
      <c r="Z225" s="717" t="s">
        <v>2485</v>
      </c>
      <c r="AA225" s="718" t="s">
        <v>2503</v>
      </c>
      <c r="AB225" s="719">
        <f t="shared" si="58"/>
        <v>111552.35400000001</v>
      </c>
      <c r="AC225" s="704"/>
      <c r="AD225" s="699"/>
      <c r="AE225" s="699"/>
      <c r="AF225" s="699"/>
      <c r="AG225" s="714"/>
      <c r="AH225" s="726"/>
      <c r="AI225" s="725"/>
      <c r="AJ225" s="699"/>
      <c r="AK225" s="699"/>
      <c r="AL225" s="699"/>
    </row>
    <row r="226" spans="1:69" s="728" customFormat="1" ht="13.5" customHeight="1">
      <c r="A226" s="721"/>
      <c r="B226" s="708" t="s">
        <v>2509</v>
      </c>
      <c r="C226" s="710" t="s">
        <v>2510</v>
      </c>
      <c r="D226" s="709" t="s">
        <v>383</v>
      </c>
      <c r="E226" s="710" t="s">
        <v>2511</v>
      </c>
      <c r="F226" s="711">
        <v>41745</v>
      </c>
      <c r="G226" s="723">
        <v>12</v>
      </c>
      <c r="H226" s="723">
        <v>16</v>
      </c>
      <c r="I226" s="723">
        <v>18</v>
      </c>
      <c r="J226" s="723">
        <v>12.38</v>
      </c>
      <c r="K226" s="713">
        <f t="shared" si="56"/>
        <v>21790.864000000001</v>
      </c>
      <c r="L226" s="714">
        <v>2000</v>
      </c>
      <c r="M226" s="714">
        <v>23790.864000000001</v>
      </c>
      <c r="N226" s="713">
        <f t="shared" si="59"/>
        <v>261490.36800000002</v>
      </c>
      <c r="O226" s="714">
        <f t="shared" si="63"/>
        <v>24000</v>
      </c>
      <c r="P226" s="713">
        <f t="shared" si="57"/>
        <v>285490.36800000002</v>
      </c>
      <c r="Q226" s="713"/>
      <c r="R226" s="723">
        <v>5.3</v>
      </c>
      <c r="S226" s="713">
        <v>223699.09000000003</v>
      </c>
      <c r="T226" s="713">
        <v>157308.09</v>
      </c>
      <c r="U226" s="713"/>
      <c r="V226" s="700">
        <v>1</v>
      </c>
      <c r="W226" s="617">
        <f t="shared" si="60"/>
        <v>12.38</v>
      </c>
      <c r="X226" s="715">
        <f t="shared" si="61"/>
        <v>294530.89632000006</v>
      </c>
      <c r="Y226" s="716">
        <f t="shared" si="64"/>
        <v>3.1666666666666732E-2</v>
      </c>
      <c r="Z226" s="717" t="s">
        <v>2527</v>
      </c>
      <c r="AA226" s="718" t="s">
        <v>2533</v>
      </c>
      <c r="AB226" s="719">
        <f t="shared" si="58"/>
        <v>285490.36800000002</v>
      </c>
      <c r="AC226" s="704"/>
      <c r="AD226" s="699"/>
      <c r="AE226" s="699"/>
      <c r="AF226" s="699"/>
      <c r="AG226" s="714"/>
      <c r="AH226" s="726"/>
      <c r="AI226" s="725"/>
      <c r="AJ226" s="699"/>
      <c r="AK226" s="699"/>
      <c r="AL226" s="699"/>
    </row>
    <row r="227" spans="1:69" s="728" customFormat="1" ht="13.5" customHeight="1">
      <c r="A227" s="721"/>
      <c r="B227" s="708" t="s">
        <v>2457</v>
      </c>
      <c r="C227" s="710" t="s">
        <v>2458</v>
      </c>
      <c r="D227" s="709" t="s">
        <v>383</v>
      </c>
      <c r="E227" s="710" t="s">
        <v>2459</v>
      </c>
      <c r="F227" s="711">
        <v>41738</v>
      </c>
      <c r="G227" s="723">
        <v>16</v>
      </c>
      <c r="H227" s="723">
        <v>16</v>
      </c>
      <c r="I227" s="723">
        <v>18</v>
      </c>
      <c r="J227" s="723">
        <v>19.23</v>
      </c>
      <c r="K227" s="713">
        <f t="shared" si="56"/>
        <v>13431.7</v>
      </c>
      <c r="L227" s="714">
        <v>3000</v>
      </c>
      <c r="M227" s="714">
        <v>16431.7</v>
      </c>
      <c r="N227" s="713">
        <f t="shared" si="59"/>
        <v>214907.2</v>
      </c>
      <c r="O227" s="714">
        <f t="shared" si="63"/>
        <v>48000</v>
      </c>
      <c r="P227" s="713">
        <f t="shared" si="57"/>
        <v>262907.2</v>
      </c>
      <c r="Q227" s="713"/>
      <c r="R227" s="723">
        <v>35.28</v>
      </c>
      <c r="S227" s="713">
        <v>923146.25</v>
      </c>
      <c r="T227" s="713">
        <v>834828.25</v>
      </c>
      <c r="U227" s="713"/>
      <c r="V227" s="700">
        <v>1</v>
      </c>
      <c r="W227" s="617">
        <f t="shared" si="60"/>
        <v>19.23</v>
      </c>
      <c r="X227" s="715">
        <f t="shared" si="61"/>
        <v>315981.59100000001</v>
      </c>
      <c r="Y227" s="716">
        <f t="shared" si="64"/>
        <v>0.20187500000000003</v>
      </c>
      <c r="Z227" s="717" t="s">
        <v>2486</v>
      </c>
      <c r="AA227" s="718" t="s">
        <v>2504</v>
      </c>
      <c r="AB227" s="719">
        <f t="shared" si="58"/>
        <v>262907.2</v>
      </c>
      <c r="AC227" s="704"/>
      <c r="AD227" s="699"/>
      <c r="AE227" s="699"/>
      <c r="AF227" s="699"/>
      <c r="AG227" s="714"/>
      <c r="AH227" s="726"/>
      <c r="AI227" s="725"/>
      <c r="AJ227" s="699"/>
      <c r="AK227" s="699"/>
      <c r="AL227" s="699"/>
    </row>
    <row r="228" spans="1:69" s="704" customFormat="1" ht="13.5" customHeight="1">
      <c r="A228" s="721"/>
      <c r="B228" s="708" t="s">
        <v>2428</v>
      </c>
      <c r="C228" s="710" t="s">
        <v>2429</v>
      </c>
      <c r="D228" s="709" t="s">
        <v>638</v>
      </c>
      <c r="E228" s="710" t="s">
        <v>2430</v>
      </c>
      <c r="F228" s="711">
        <v>41731</v>
      </c>
      <c r="G228" s="723">
        <v>8</v>
      </c>
      <c r="H228" s="723">
        <v>10</v>
      </c>
      <c r="I228" s="723">
        <v>12</v>
      </c>
      <c r="J228" s="723">
        <v>7.47</v>
      </c>
      <c r="K228" s="713">
        <f t="shared" si="56"/>
        <v>11117.428</v>
      </c>
      <c r="L228" s="714">
        <v>6500</v>
      </c>
      <c r="M228" s="714">
        <v>17617.428</v>
      </c>
      <c r="N228" s="713">
        <f t="shared" si="59"/>
        <v>88939.423999999999</v>
      </c>
      <c r="O228" s="714">
        <f t="shared" si="63"/>
        <v>52000</v>
      </c>
      <c r="P228" s="713">
        <f t="shared" si="57"/>
        <v>140939.424</v>
      </c>
      <c r="Q228" s="713"/>
      <c r="R228" s="723">
        <v>12.01</v>
      </c>
      <c r="S228" s="713">
        <v>433794.91000000003</v>
      </c>
      <c r="T228" s="713">
        <v>440856.91000000003</v>
      </c>
      <c r="U228" s="713"/>
      <c r="V228" s="700">
        <v>1</v>
      </c>
      <c r="W228" s="617">
        <f t="shared" si="60"/>
        <v>7.47</v>
      </c>
      <c r="X228" s="715">
        <f t="shared" si="61"/>
        <v>131602.18716</v>
      </c>
      <c r="Y228" s="716">
        <f t="shared" si="64"/>
        <v>-6.6250000000000031E-2</v>
      </c>
      <c r="Z228" s="717" t="s">
        <v>2476</v>
      </c>
      <c r="AA228" s="718" t="s">
        <v>2494</v>
      </c>
      <c r="AB228" s="719">
        <f t="shared" si="58"/>
        <v>140939.424</v>
      </c>
      <c r="AD228" s="699"/>
      <c r="AE228" s="699"/>
      <c r="AF228" s="699"/>
      <c r="AG228" s="714"/>
      <c r="AH228" s="726"/>
      <c r="AI228" s="725"/>
      <c r="AJ228" s="699"/>
      <c r="AK228" s="699"/>
      <c r="AL228" s="699"/>
      <c r="AM228" s="728"/>
      <c r="AN228" s="728"/>
      <c r="AO228" s="728"/>
      <c r="AP228" s="728"/>
      <c r="AQ228" s="728"/>
      <c r="AR228" s="728"/>
      <c r="AS228" s="728"/>
      <c r="AT228" s="728"/>
      <c r="AU228" s="728"/>
      <c r="AV228" s="728"/>
      <c r="AW228" s="728"/>
      <c r="AX228" s="728"/>
      <c r="AY228" s="728"/>
      <c r="AZ228" s="728"/>
      <c r="BA228" s="728"/>
      <c r="BB228" s="728"/>
      <c r="BC228" s="728"/>
      <c r="BD228" s="728"/>
      <c r="BE228" s="728"/>
      <c r="BF228" s="728"/>
      <c r="BG228" s="728"/>
      <c r="BH228" s="728"/>
      <c r="BI228" s="728"/>
      <c r="BJ228" s="728"/>
      <c r="BK228" s="728"/>
      <c r="BL228" s="728"/>
      <c r="BM228" s="728"/>
      <c r="BN228" s="728"/>
      <c r="BO228" s="728"/>
      <c r="BP228" s="728"/>
      <c r="BQ228" s="728"/>
    </row>
    <row r="229" spans="1:69" s="728" customFormat="1" ht="13.5" customHeight="1">
      <c r="A229" s="721"/>
      <c r="B229" s="708" t="s">
        <v>2420</v>
      </c>
      <c r="C229" s="710" t="s">
        <v>2421</v>
      </c>
      <c r="D229" s="709" t="s">
        <v>2418</v>
      </c>
      <c r="E229" s="710" t="s">
        <v>2422</v>
      </c>
      <c r="F229" s="711">
        <v>41718</v>
      </c>
      <c r="G229" s="723">
        <v>14</v>
      </c>
      <c r="H229" s="723">
        <v>14</v>
      </c>
      <c r="I229" s="723">
        <v>16</v>
      </c>
      <c r="J229" s="723">
        <v>12.84</v>
      </c>
      <c r="K229" s="713">
        <f t="shared" si="56"/>
        <v>15399.067999999999</v>
      </c>
      <c r="L229" s="714">
        <v>5000</v>
      </c>
      <c r="M229" s="714">
        <v>20399.067999999999</v>
      </c>
      <c r="N229" s="713">
        <f t="shared" si="59"/>
        <v>215586.95199999999</v>
      </c>
      <c r="O229" s="714">
        <f t="shared" si="63"/>
        <v>70000</v>
      </c>
      <c r="P229" s="713">
        <f t="shared" si="57"/>
        <v>285586.95199999999</v>
      </c>
      <c r="Q229" s="713"/>
      <c r="R229" s="723">
        <v>4.2</v>
      </c>
      <c r="S229" s="713">
        <v>113600.5</v>
      </c>
      <c r="T229" s="713">
        <v>73007.5</v>
      </c>
      <c r="U229" s="713"/>
      <c r="V229" s="700">
        <v>1</v>
      </c>
      <c r="W229" s="617">
        <f t="shared" si="60"/>
        <v>12.84</v>
      </c>
      <c r="X229" s="715">
        <f t="shared" si="61"/>
        <v>261924.03311999998</v>
      </c>
      <c r="Y229" s="716">
        <f t="shared" si="64"/>
        <v>-8.2857142857142851E-2</v>
      </c>
      <c r="Z229" s="717" t="s">
        <v>2473</v>
      </c>
      <c r="AA229" s="718" t="s">
        <v>2491</v>
      </c>
      <c r="AB229" s="719">
        <f t="shared" si="58"/>
        <v>285586.95199999999</v>
      </c>
      <c r="AC229" s="704"/>
      <c r="AD229" s="699"/>
      <c r="AE229" s="699"/>
      <c r="AF229" s="699"/>
      <c r="AG229" s="714"/>
      <c r="AH229" s="726"/>
      <c r="AI229" s="725"/>
      <c r="AJ229" s="699"/>
      <c r="AK229" s="699"/>
      <c r="AL229" s="699"/>
    </row>
    <row r="230" spans="1:69" s="728" customFormat="1" ht="13.5" customHeight="1">
      <c r="A230" s="721"/>
      <c r="B230" s="708" t="s">
        <v>2460</v>
      </c>
      <c r="C230" s="710" t="s">
        <v>2461</v>
      </c>
      <c r="D230" s="709" t="s">
        <v>383</v>
      </c>
      <c r="E230" s="710" t="s">
        <v>2462</v>
      </c>
      <c r="F230" s="711">
        <v>41710</v>
      </c>
      <c r="G230" s="723">
        <v>12</v>
      </c>
      <c r="H230" s="723">
        <v>12</v>
      </c>
      <c r="I230" s="723">
        <v>14</v>
      </c>
      <c r="J230" s="723">
        <v>80.08</v>
      </c>
      <c r="K230" s="713">
        <f t="shared" si="56"/>
        <v>5375.3770000000004</v>
      </c>
      <c r="L230" s="714">
        <v>2750</v>
      </c>
      <c r="M230" s="714">
        <v>8125.3770000000004</v>
      </c>
      <c r="N230" s="713">
        <f t="shared" si="59"/>
        <v>64504.524000000005</v>
      </c>
      <c r="O230" s="714">
        <f t="shared" si="63"/>
        <v>33000</v>
      </c>
      <c r="P230" s="713">
        <f t="shared" si="57"/>
        <v>97504.524000000005</v>
      </c>
      <c r="Q230" s="713"/>
      <c r="R230" s="723">
        <v>0</v>
      </c>
      <c r="S230" s="713">
        <v>0</v>
      </c>
      <c r="T230" s="713">
        <v>0</v>
      </c>
      <c r="U230" s="713"/>
      <c r="V230" s="700">
        <v>1</v>
      </c>
      <c r="W230" s="617">
        <f t="shared" si="60"/>
        <v>80.08</v>
      </c>
      <c r="X230" s="715">
        <f t="shared" si="61"/>
        <v>650680.19016</v>
      </c>
      <c r="Y230" s="716">
        <f t="shared" si="64"/>
        <v>5.6733333333333329</v>
      </c>
      <c r="Z230" s="717" t="s">
        <v>2461</v>
      </c>
      <c r="AA230" s="718" t="s">
        <v>2505</v>
      </c>
      <c r="AB230" s="719">
        <f t="shared" si="58"/>
        <v>97504.524000000005</v>
      </c>
      <c r="AC230" s="704"/>
      <c r="AD230" s="699"/>
      <c r="AE230" s="699"/>
      <c r="AF230" s="699"/>
      <c r="AG230" s="714"/>
      <c r="AH230" s="726"/>
      <c r="AI230" s="725"/>
      <c r="AJ230" s="699"/>
      <c r="AK230" s="699"/>
      <c r="AL230" s="699"/>
    </row>
    <row r="231" spans="1:69" s="704" customFormat="1" ht="13.5" customHeight="1">
      <c r="A231" s="721"/>
      <c r="B231" s="708" t="s">
        <v>2463</v>
      </c>
      <c r="C231" s="710" t="s">
        <v>2464</v>
      </c>
      <c r="D231" s="709" t="s">
        <v>383</v>
      </c>
      <c r="E231" s="710" t="s">
        <v>2465</v>
      </c>
      <c r="F231" s="711">
        <v>41709</v>
      </c>
      <c r="G231" s="723">
        <v>12</v>
      </c>
      <c r="H231" s="723">
        <v>12</v>
      </c>
      <c r="I231" s="723">
        <v>14</v>
      </c>
      <c r="J231" s="723">
        <v>13.31</v>
      </c>
      <c r="K231" s="713">
        <f t="shared" si="56"/>
        <v>10780.647000000001</v>
      </c>
      <c r="L231" s="714">
        <v>6000</v>
      </c>
      <c r="M231" s="714">
        <v>16780.647000000001</v>
      </c>
      <c r="N231" s="713">
        <f t="shared" si="59"/>
        <v>129367.76400000001</v>
      </c>
      <c r="O231" s="714">
        <f t="shared" si="63"/>
        <v>72000</v>
      </c>
      <c r="P231" s="713">
        <f t="shared" si="57"/>
        <v>201367.76400000002</v>
      </c>
      <c r="Q231" s="713"/>
      <c r="R231" s="723">
        <v>10.64</v>
      </c>
      <c r="S231" s="713">
        <v>451068</v>
      </c>
      <c r="T231" s="713">
        <v>276541</v>
      </c>
      <c r="U231" s="713"/>
      <c r="V231" s="700">
        <v>1</v>
      </c>
      <c r="W231" s="617">
        <f t="shared" si="60"/>
        <v>13.31</v>
      </c>
      <c r="X231" s="715">
        <f t="shared" si="61"/>
        <v>223350.41157000003</v>
      </c>
      <c r="Y231" s="716">
        <f t="shared" si="64"/>
        <v>0.10916666666666663</v>
      </c>
      <c r="Z231" s="717" t="s">
        <v>2487</v>
      </c>
      <c r="AA231" s="718" t="s">
        <v>2506</v>
      </c>
      <c r="AB231" s="719">
        <f t="shared" si="58"/>
        <v>201367.76400000002</v>
      </c>
      <c r="AD231" s="699"/>
      <c r="AE231" s="699"/>
      <c r="AF231" s="699"/>
      <c r="AG231" s="714"/>
      <c r="AH231" s="726"/>
      <c r="AI231" s="725"/>
      <c r="AJ231" s="699"/>
      <c r="AK231" s="699"/>
      <c r="AL231" s="699"/>
      <c r="AM231" s="728"/>
      <c r="AN231" s="728"/>
      <c r="AO231" s="728"/>
      <c r="AP231" s="728"/>
      <c r="AQ231" s="728"/>
      <c r="AR231" s="728"/>
      <c r="AS231" s="728"/>
      <c r="AT231" s="728"/>
      <c r="AU231" s="728"/>
      <c r="AV231" s="728"/>
      <c r="AW231" s="728"/>
      <c r="AX231" s="728"/>
      <c r="AY231" s="728"/>
      <c r="AZ231" s="728"/>
      <c r="BA231" s="728"/>
      <c r="BB231" s="728"/>
      <c r="BC231" s="728"/>
      <c r="BD231" s="728"/>
      <c r="BE231" s="728"/>
      <c r="BF231" s="728"/>
      <c r="BG231" s="728"/>
      <c r="BH231" s="728"/>
      <c r="BI231" s="728"/>
      <c r="BJ231" s="728"/>
      <c r="BK231" s="728"/>
      <c r="BL231" s="728"/>
      <c r="BM231" s="728"/>
      <c r="BN231" s="728"/>
      <c r="BO231" s="728"/>
      <c r="BP231" s="728"/>
      <c r="BQ231" s="728"/>
    </row>
    <row r="232" spans="1:69" s="721" customFormat="1" ht="13.5" customHeight="1">
      <c r="B232" s="708" t="s">
        <v>2431</v>
      </c>
      <c r="C232" s="710" t="s">
        <v>2432</v>
      </c>
      <c r="D232" s="709" t="s">
        <v>638</v>
      </c>
      <c r="E232" s="710" t="s">
        <v>2433</v>
      </c>
      <c r="F232" s="711">
        <v>41681</v>
      </c>
      <c r="G232" s="723">
        <v>15</v>
      </c>
      <c r="H232" s="723">
        <v>14</v>
      </c>
      <c r="I232" s="723">
        <v>16</v>
      </c>
      <c r="J232" s="723">
        <v>14.5</v>
      </c>
      <c r="K232" s="713">
        <f t="shared" si="56"/>
        <v>10568.742</v>
      </c>
      <c r="L232" s="714">
        <v>3350</v>
      </c>
      <c r="M232" s="714">
        <v>13918.742</v>
      </c>
      <c r="N232" s="713">
        <f t="shared" si="59"/>
        <v>158531.13</v>
      </c>
      <c r="O232" s="714">
        <f t="shared" si="63"/>
        <v>50250</v>
      </c>
      <c r="P232" s="713">
        <f t="shared" si="57"/>
        <v>208781.13</v>
      </c>
      <c r="Q232" s="713"/>
      <c r="R232" s="723">
        <v>56.07</v>
      </c>
      <c r="S232" s="713">
        <v>836655.4</v>
      </c>
      <c r="T232" s="713">
        <v>788046.39999999991</v>
      </c>
      <c r="U232" s="713"/>
      <c r="V232" s="700">
        <v>1</v>
      </c>
      <c r="W232" s="617">
        <f t="shared" si="60"/>
        <v>14.5</v>
      </c>
      <c r="X232" s="715">
        <f t="shared" si="61"/>
        <v>201821.75899999999</v>
      </c>
      <c r="Y232" s="716">
        <f t="shared" si="64"/>
        <v>-3.3333333333333437E-2</v>
      </c>
      <c r="Z232" s="717" t="s">
        <v>2477</v>
      </c>
      <c r="AA232" s="718" t="s">
        <v>2495</v>
      </c>
      <c r="AB232" s="719">
        <f t="shared" si="58"/>
        <v>208781.13</v>
      </c>
      <c r="AC232" s="704"/>
      <c r="AD232" s="699"/>
      <c r="AE232" s="699"/>
      <c r="AF232" s="699"/>
      <c r="AG232" s="714"/>
      <c r="AH232" s="726"/>
      <c r="AI232" s="725"/>
      <c r="AJ232" s="699"/>
      <c r="AK232" s="699"/>
      <c r="AL232" s="699"/>
      <c r="AM232" s="728"/>
      <c r="AN232" s="728"/>
      <c r="AO232" s="728"/>
      <c r="AP232" s="728"/>
      <c r="AQ232" s="728"/>
      <c r="AR232" s="728"/>
      <c r="AS232" s="728"/>
      <c r="AT232" s="728"/>
      <c r="AU232" s="728"/>
      <c r="AV232" s="728"/>
      <c r="AW232" s="728"/>
      <c r="AX232" s="728"/>
      <c r="AY232" s="728"/>
      <c r="AZ232" s="728"/>
      <c r="BA232" s="728"/>
      <c r="BB232" s="728"/>
      <c r="BC232" s="728"/>
      <c r="BD232" s="728"/>
      <c r="BE232" s="728"/>
      <c r="BF232" s="728"/>
      <c r="BG232" s="728"/>
      <c r="BH232" s="728"/>
      <c r="BI232" s="728"/>
      <c r="BJ232" s="728"/>
      <c r="BK232" s="728"/>
      <c r="BL232" s="728"/>
      <c r="BM232" s="728"/>
      <c r="BN232" s="728"/>
      <c r="BO232" s="728"/>
      <c r="BP232" s="728"/>
      <c r="BQ232" s="728"/>
    </row>
    <row r="233" spans="1:69" s="704" customFormat="1" ht="13.5" customHeight="1">
      <c r="A233" s="721"/>
      <c r="B233" s="708" t="s">
        <v>2524</v>
      </c>
      <c r="C233" s="710" t="s">
        <v>2525</v>
      </c>
      <c r="D233" s="709" t="s">
        <v>383</v>
      </c>
      <c r="E233" s="710" t="s">
        <v>2526</v>
      </c>
      <c r="F233" s="711">
        <v>41676</v>
      </c>
      <c r="G233" s="723">
        <v>8</v>
      </c>
      <c r="H233" s="723">
        <v>13</v>
      </c>
      <c r="I233" s="723">
        <v>15</v>
      </c>
      <c r="J233" s="723">
        <v>232</v>
      </c>
      <c r="K233" s="713">
        <f t="shared" si="56"/>
        <v>13423.957999999999</v>
      </c>
      <c r="L233" s="714">
        <v>5625</v>
      </c>
      <c r="M233" s="714">
        <v>19048.957999999999</v>
      </c>
      <c r="N233" s="713">
        <f t="shared" si="59"/>
        <v>107391.66399999999</v>
      </c>
      <c r="O233" s="714">
        <f t="shared" si="63"/>
        <v>45000</v>
      </c>
      <c r="P233" s="713">
        <f t="shared" si="57"/>
        <v>152391.66399999999</v>
      </c>
      <c r="Q233" s="713"/>
      <c r="R233" s="723">
        <v>1.59</v>
      </c>
      <c r="S233" s="713">
        <v>9759.59</v>
      </c>
      <c r="T233" s="713">
        <v>27247.140000000003</v>
      </c>
      <c r="U233" s="713"/>
      <c r="V233" s="700">
        <v>1</v>
      </c>
      <c r="W233" s="617">
        <f t="shared" si="60"/>
        <v>232</v>
      </c>
      <c r="X233" s="715">
        <f t="shared" si="61"/>
        <v>4419358.2560000001</v>
      </c>
      <c r="Y233" s="716">
        <f t="shared" si="64"/>
        <v>28.000000000000004</v>
      </c>
      <c r="Z233" s="717" t="s">
        <v>2532</v>
      </c>
      <c r="AA233" s="718" t="s">
        <v>2538</v>
      </c>
      <c r="AB233" s="719">
        <f t="shared" si="58"/>
        <v>152391.66399999999</v>
      </c>
      <c r="AD233" s="699"/>
      <c r="AE233" s="699"/>
      <c r="AF233" s="699"/>
      <c r="AG233" s="714"/>
      <c r="AH233" s="726"/>
      <c r="AI233" s="725"/>
      <c r="AJ233" s="699"/>
      <c r="AK233" s="699"/>
      <c r="AL233" s="699"/>
      <c r="AM233" s="728"/>
      <c r="AN233" s="728"/>
      <c r="AO233" s="728"/>
      <c r="AP233" s="728"/>
      <c r="AQ233" s="728"/>
      <c r="AR233" s="728"/>
      <c r="AS233" s="728"/>
      <c r="AT233" s="728"/>
      <c r="AU233" s="728"/>
      <c r="AV233" s="728"/>
      <c r="AW233" s="728"/>
      <c r="AX233" s="728"/>
      <c r="AY233" s="728"/>
      <c r="AZ233" s="728"/>
      <c r="BA233" s="728"/>
      <c r="BB233" s="728"/>
      <c r="BC233" s="728"/>
      <c r="BD233" s="728"/>
      <c r="BE233" s="728"/>
      <c r="BF233" s="728"/>
      <c r="BG233" s="728"/>
      <c r="BH233" s="728"/>
      <c r="BI233" s="728"/>
      <c r="BJ233" s="728"/>
      <c r="BK233" s="728"/>
      <c r="BL233" s="728"/>
      <c r="BM233" s="728"/>
      <c r="BN233" s="728"/>
      <c r="BO233" s="728"/>
      <c r="BP233" s="728"/>
      <c r="BQ233" s="728"/>
    </row>
    <row r="234" spans="1:69" s="699" customFormat="1" ht="13.5" customHeight="1">
      <c r="A234" s="721"/>
      <c r="B234" s="708" t="s">
        <v>2466</v>
      </c>
      <c r="C234" s="710" t="s">
        <v>2467</v>
      </c>
      <c r="D234" s="709" t="s">
        <v>383</v>
      </c>
      <c r="E234" s="710" t="s">
        <v>2468</v>
      </c>
      <c r="F234" s="711">
        <v>41675</v>
      </c>
      <c r="G234" s="723">
        <v>16</v>
      </c>
      <c r="H234" s="723">
        <v>14</v>
      </c>
      <c r="I234" s="723">
        <v>16</v>
      </c>
      <c r="J234" s="723">
        <v>34.35</v>
      </c>
      <c r="K234" s="713">
        <f t="shared" si="56"/>
        <v>11744.416000000001</v>
      </c>
      <c r="L234" s="714">
        <v>6000</v>
      </c>
      <c r="M234" s="714">
        <v>17744.416000000001</v>
      </c>
      <c r="N234" s="713">
        <f t="shared" si="59"/>
        <v>187910.65600000002</v>
      </c>
      <c r="O234" s="714">
        <f t="shared" si="63"/>
        <v>96000</v>
      </c>
      <c r="P234" s="713">
        <f t="shared" si="57"/>
        <v>283910.65600000002</v>
      </c>
      <c r="Q234" s="713"/>
      <c r="R234" s="723">
        <v>29.15</v>
      </c>
      <c r="S234" s="713">
        <v>1063975</v>
      </c>
      <c r="T234" s="713">
        <v>913262</v>
      </c>
      <c r="U234" s="713"/>
      <c r="V234" s="700">
        <v>1</v>
      </c>
      <c r="W234" s="617">
        <f t="shared" si="60"/>
        <v>34.35</v>
      </c>
      <c r="X234" s="715">
        <f t="shared" si="61"/>
        <v>609520.68960000004</v>
      </c>
      <c r="Y234" s="716">
        <f t="shared" si="64"/>
        <v>1.1468750000000001</v>
      </c>
      <c r="Z234" s="717" t="s">
        <v>2488</v>
      </c>
      <c r="AA234" s="718" t="s">
        <v>2507</v>
      </c>
      <c r="AB234" s="719">
        <f t="shared" si="58"/>
        <v>283910.65600000002</v>
      </c>
      <c r="AC234" s="704"/>
      <c r="AG234" s="714"/>
      <c r="AH234" s="726"/>
      <c r="AI234" s="725"/>
      <c r="AM234" s="728"/>
      <c r="AN234" s="728"/>
      <c r="AO234" s="728"/>
      <c r="AP234" s="728"/>
      <c r="AQ234" s="728"/>
      <c r="AR234" s="728"/>
      <c r="AS234" s="728"/>
      <c r="AT234" s="728"/>
      <c r="AU234" s="728"/>
      <c r="AV234" s="728"/>
      <c r="AW234" s="728"/>
      <c r="AX234" s="728"/>
      <c r="AY234" s="728"/>
      <c r="AZ234" s="728"/>
      <c r="BA234" s="728"/>
      <c r="BB234" s="728"/>
      <c r="BC234" s="728"/>
      <c r="BD234" s="728"/>
      <c r="BE234" s="728"/>
      <c r="BF234" s="728"/>
      <c r="BG234" s="728"/>
      <c r="BH234" s="728"/>
      <c r="BI234" s="728"/>
      <c r="BJ234" s="728"/>
      <c r="BK234" s="728"/>
      <c r="BL234" s="728"/>
      <c r="BM234" s="728"/>
      <c r="BN234" s="728"/>
      <c r="BO234" s="728"/>
      <c r="BP234" s="728"/>
      <c r="BQ234" s="728"/>
    </row>
    <row r="235" spans="1:69" s="699" customFormat="1" ht="13.5" customHeight="1">
      <c r="A235" s="721"/>
      <c r="B235" s="708" t="s">
        <v>2521</v>
      </c>
      <c r="C235" s="710" t="s">
        <v>2522</v>
      </c>
      <c r="D235" s="709" t="s">
        <v>383</v>
      </c>
      <c r="E235" s="710" t="s">
        <v>2523</v>
      </c>
      <c r="F235" s="711">
        <v>41563</v>
      </c>
      <c r="G235" s="723">
        <v>8.5</v>
      </c>
      <c r="H235" s="723">
        <v>13.5</v>
      </c>
      <c r="I235" s="723">
        <v>15.5</v>
      </c>
      <c r="J235" s="723">
        <v>8.5</v>
      </c>
      <c r="K235" s="713">
        <f t="shared" si="56"/>
        <v>5871.0019999999995</v>
      </c>
      <c r="L235" s="714">
        <v>3352.9409999999998</v>
      </c>
      <c r="M235" s="714">
        <v>9223.9429999999993</v>
      </c>
      <c r="N235" s="713">
        <f t="shared" si="59"/>
        <v>49903.516999999993</v>
      </c>
      <c r="O235" s="714">
        <f t="shared" si="63"/>
        <v>28499.998499999998</v>
      </c>
      <c r="P235" s="713">
        <f t="shared" si="57"/>
        <v>78403.515499999994</v>
      </c>
      <c r="Q235" s="713"/>
      <c r="R235" s="723">
        <v>3.64</v>
      </c>
      <c r="S235" s="713">
        <v>164952.64000000001</v>
      </c>
      <c r="T235" s="713">
        <v>180720.29</v>
      </c>
      <c r="U235" s="713"/>
      <c r="V235" s="700">
        <v>1</v>
      </c>
      <c r="W235" s="617">
        <f t="shared" si="60"/>
        <v>8.5</v>
      </c>
      <c r="X235" s="715">
        <f t="shared" si="61"/>
        <v>78403.515499999994</v>
      </c>
      <c r="Y235" s="716">
        <f t="shared" si="64"/>
        <v>0</v>
      </c>
      <c r="Z235" s="717" t="s">
        <v>2531</v>
      </c>
      <c r="AA235" s="718" t="s">
        <v>2537</v>
      </c>
      <c r="AB235" s="719">
        <f t="shared" si="58"/>
        <v>78403.515499999994</v>
      </c>
      <c r="AC235" s="704"/>
      <c r="AG235" s="714"/>
      <c r="AH235" s="726"/>
      <c r="AI235" s="725"/>
      <c r="AM235" s="728"/>
      <c r="AN235" s="728"/>
      <c r="AO235" s="728"/>
      <c r="AP235" s="728"/>
      <c r="AQ235" s="728"/>
      <c r="AR235" s="728"/>
      <c r="AS235" s="728"/>
      <c r="AT235" s="728"/>
      <c r="AU235" s="728"/>
      <c r="AV235" s="728"/>
      <c r="AW235" s="728"/>
      <c r="AX235" s="728"/>
      <c r="AY235" s="728"/>
      <c r="AZ235" s="728"/>
      <c r="BA235" s="728"/>
      <c r="BB235" s="728"/>
      <c r="BC235" s="728"/>
      <c r="BD235" s="728"/>
      <c r="BE235" s="728"/>
      <c r="BF235" s="728"/>
      <c r="BG235" s="728"/>
      <c r="BH235" s="728"/>
      <c r="BI235" s="728"/>
      <c r="BJ235" s="728"/>
      <c r="BK235" s="728"/>
      <c r="BL235" s="728"/>
      <c r="BM235" s="728"/>
      <c r="BN235" s="728"/>
      <c r="BO235" s="728"/>
      <c r="BP235" s="728"/>
      <c r="BQ235" s="728"/>
    </row>
    <row r="236" spans="1:69" s="728" customFormat="1" ht="13.5" customHeight="1">
      <c r="A236" s="721"/>
      <c r="B236" s="708" t="s">
        <v>2512</v>
      </c>
      <c r="C236" s="710" t="s">
        <v>2513</v>
      </c>
      <c r="D236" s="709" t="s">
        <v>383</v>
      </c>
      <c r="E236" s="710" t="s">
        <v>2514</v>
      </c>
      <c r="F236" s="711">
        <v>41479</v>
      </c>
      <c r="G236" s="723">
        <v>15</v>
      </c>
      <c r="H236" s="723">
        <v>12</v>
      </c>
      <c r="I236" s="723">
        <v>14</v>
      </c>
      <c r="J236" s="723">
        <v>269.8</v>
      </c>
      <c r="K236" s="713">
        <f t="shared" si="56"/>
        <v>15447.610999999997</v>
      </c>
      <c r="L236" s="714">
        <v>5166.6670000000004</v>
      </c>
      <c r="M236" s="714">
        <v>20614.277999999998</v>
      </c>
      <c r="N236" s="713">
        <f t="shared" si="59"/>
        <v>231714.16499999995</v>
      </c>
      <c r="O236" s="714">
        <f t="shared" si="63"/>
        <v>77500.005000000005</v>
      </c>
      <c r="P236" s="713">
        <f t="shared" si="57"/>
        <v>309214.16999999993</v>
      </c>
      <c r="Q236" s="713"/>
      <c r="R236" s="723">
        <v>1.06</v>
      </c>
      <c r="S236" s="713">
        <v>11417.43</v>
      </c>
      <c r="T236" s="713">
        <v>4647.43</v>
      </c>
      <c r="U236" s="713"/>
      <c r="V236" s="700">
        <v>1</v>
      </c>
      <c r="W236" s="617">
        <f t="shared" si="60"/>
        <v>269.8</v>
      </c>
      <c r="X236" s="715">
        <f t="shared" si="61"/>
        <v>5561732.2044000002</v>
      </c>
      <c r="Y236" s="716">
        <f t="shared" si="64"/>
        <v>16.986666666666672</v>
      </c>
      <c r="Z236" s="717" t="s">
        <v>2528</v>
      </c>
      <c r="AA236" s="718" t="s">
        <v>2534</v>
      </c>
      <c r="AB236" s="719">
        <f t="shared" si="58"/>
        <v>309214.16999999993</v>
      </c>
      <c r="AC236" s="704"/>
      <c r="AD236" s="699"/>
      <c r="AE236" s="699"/>
      <c r="AF236" s="699"/>
      <c r="AG236" s="714"/>
      <c r="AH236" s="726"/>
      <c r="AI236" s="725"/>
      <c r="AJ236" s="699"/>
      <c r="AK236" s="699"/>
      <c r="AL236" s="699"/>
    </row>
    <row r="237" spans="1:69" s="728" customFormat="1" ht="13.5" customHeight="1">
      <c r="A237" s="721"/>
      <c r="B237" s="708" t="s">
        <v>2515</v>
      </c>
      <c r="C237" s="710" t="s">
        <v>2516</v>
      </c>
      <c r="D237" s="709" t="s">
        <v>383</v>
      </c>
      <c r="E237" s="710" t="s">
        <v>2517</v>
      </c>
      <c r="F237" s="711">
        <v>41444</v>
      </c>
      <c r="G237" s="723">
        <v>15</v>
      </c>
      <c r="H237" s="723">
        <v>13</v>
      </c>
      <c r="I237" s="723">
        <v>16</v>
      </c>
      <c r="J237" s="723">
        <v>17.75</v>
      </c>
      <c r="K237" s="713">
        <f t="shared" si="56"/>
        <v>15306.189999999999</v>
      </c>
      <c r="L237" s="714">
        <v>8372</v>
      </c>
      <c r="M237" s="714">
        <v>23678.19</v>
      </c>
      <c r="N237" s="713">
        <f t="shared" si="59"/>
        <v>229592.84999999998</v>
      </c>
      <c r="O237" s="714">
        <f t="shared" si="63"/>
        <v>125580</v>
      </c>
      <c r="P237" s="713">
        <f t="shared" si="57"/>
        <v>355172.85</v>
      </c>
      <c r="Q237" s="713"/>
      <c r="R237" s="723">
        <v>23.23</v>
      </c>
      <c r="S237" s="713">
        <v>963802.94000000006</v>
      </c>
      <c r="T237" s="713">
        <v>937583.94</v>
      </c>
      <c r="U237" s="713"/>
      <c r="V237" s="700">
        <v>1</v>
      </c>
      <c r="W237" s="617">
        <f t="shared" si="60"/>
        <v>17.75</v>
      </c>
      <c r="X237" s="715">
        <f t="shared" si="61"/>
        <v>420287.8725</v>
      </c>
      <c r="Y237" s="716">
        <f t="shared" si="64"/>
        <v>0.18333333333333335</v>
      </c>
      <c r="Z237" s="717" t="s">
        <v>2529</v>
      </c>
      <c r="AA237" s="718" t="s">
        <v>2535</v>
      </c>
      <c r="AB237" s="719">
        <f t="shared" si="58"/>
        <v>355172.85</v>
      </c>
      <c r="AC237" s="704"/>
      <c r="AD237" s="699"/>
      <c r="AE237" s="699"/>
      <c r="AF237" s="699"/>
      <c r="AG237" s="714"/>
      <c r="AH237" s="726"/>
      <c r="AI237" s="725"/>
      <c r="AJ237" s="699"/>
      <c r="AK237" s="699"/>
      <c r="AL237" s="699"/>
    </row>
    <row r="238" spans="1:69" s="728" customFormat="1" ht="13.5" customHeight="1">
      <c r="A238" s="721"/>
      <c r="B238" s="708" t="s">
        <v>2518</v>
      </c>
      <c r="C238" s="710" t="s">
        <v>2519</v>
      </c>
      <c r="D238" s="709" t="s">
        <v>383</v>
      </c>
      <c r="E238" s="710" t="s">
        <v>2520</v>
      </c>
      <c r="F238" s="711">
        <v>41415</v>
      </c>
      <c r="G238" s="723">
        <v>14.5</v>
      </c>
      <c r="H238" s="723">
        <v>13</v>
      </c>
      <c r="I238" s="723">
        <v>16</v>
      </c>
      <c r="J238" s="723">
        <v>20.73</v>
      </c>
      <c r="K238" s="713">
        <f t="shared" si="56"/>
        <v>25460.18</v>
      </c>
      <c r="L238" s="714">
        <v>8422.7579999999998</v>
      </c>
      <c r="M238" s="714">
        <v>33882.938000000002</v>
      </c>
      <c r="N238" s="713">
        <f t="shared" si="59"/>
        <v>369172.61</v>
      </c>
      <c r="O238" s="714">
        <f t="shared" si="63"/>
        <v>122129.99099999999</v>
      </c>
      <c r="P238" s="713">
        <f t="shared" si="57"/>
        <v>491302.60099999997</v>
      </c>
      <c r="Q238" s="713"/>
      <c r="R238" s="723">
        <v>44.63</v>
      </c>
      <c r="S238" s="713">
        <v>2912175.87</v>
      </c>
      <c r="T238" s="713">
        <v>2450287.87</v>
      </c>
      <c r="U238" s="713"/>
      <c r="V238" s="700">
        <v>1</v>
      </c>
      <c r="W238" s="617">
        <f t="shared" si="60"/>
        <v>20.73</v>
      </c>
      <c r="X238" s="715">
        <f t="shared" si="61"/>
        <v>702393.30474000005</v>
      </c>
      <c r="Y238" s="716">
        <f t="shared" si="64"/>
        <v>0.42965517241379336</v>
      </c>
      <c r="Z238" s="717" t="s">
        <v>2530</v>
      </c>
      <c r="AA238" s="718" t="s">
        <v>2536</v>
      </c>
      <c r="AB238" s="719">
        <f t="shared" si="58"/>
        <v>491302.60099999997</v>
      </c>
      <c r="AC238" s="704"/>
      <c r="AD238" s="699"/>
      <c r="AE238" s="699"/>
      <c r="AF238" s="699"/>
      <c r="AG238" s="714"/>
      <c r="AH238" s="726"/>
      <c r="AI238" s="725"/>
      <c r="AJ238" s="699"/>
      <c r="AK238" s="699"/>
      <c r="AL238" s="699"/>
    </row>
    <row r="239" spans="1:69" s="728" customFormat="1" ht="13.5" customHeight="1">
      <c r="A239" s="721"/>
      <c r="B239" s="708" t="s">
        <v>2539</v>
      </c>
      <c r="C239" s="710" t="s">
        <v>2540</v>
      </c>
      <c r="D239" s="709" t="s">
        <v>383</v>
      </c>
      <c r="E239" s="710" t="s">
        <v>2541</v>
      </c>
      <c r="F239" s="711">
        <v>41353</v>
      </c>
      <c r="G239" s="723">
        <v>14</v>
      </c>
      <c r="H239" s="723">
        <v>14</v>
      </c>
      <c r="I239" s="723">
        <v>16</v>
      </c>
      <c r="J239" s="723">
        <v>20.13</v>
      </c>
      <c r="K239" s="713">
        <f t="shared" si="56"/>
        <v>12836.561000000002</v>
      </c>
      <c r="L239" s="714">
        <v>4000</v>
      </c>
      <c r="M239" s="714">
        <v>16836.561000000002</v>
      </c>
      <c r="N239" s="713">
        <f t="shared" si="59"/>
        <v>179711.85400000002</v>
      </c>
      <c r="O239" s="714">
        <f t="shared" si="63"/>
        <v>56000</v>
      </c>
      <c r="P239" s="713">
        <f t="shared" si="57"/>
        <v>235711.85400000002</v>
      </c>
      <c r="Q239" s="713"/>
      <c r="R239" s="723">
        <v>74.66</v>
      </c>
      <c r="S239" s="713">
        <v>1429847.85</v>
      </c>
      <c r="T239" s="713">
        <v>1210933.8499999999</v>
      </c>
      <c r="U239" s="713"/>
      <c r="V239" s="700">
        <v>1</v>
      </c>
      <c r="W239" s="617">
        <f t="shared" si="60"/>
        <v>20.13</v>
      </c>
      <c r="X239" s="715">
        <f t="shared" si="61"/>
        <v>338919.97292999999</v>
      </c>
      <c r="Y239" s="716">
        <f t="shared" si="64"/>
        <v>0.43785714285714272</v>
      </c>
      <c r="Z239" s="717" t="s">
        <v>2546</v>
      </c>
      <c r="AA239" s="718" t="s">
        <v>2548</v>
      </c>
      <c r="AB239" s="719">
        <f t="shared" si="58"/>
        <v>235711.85400000002</v>
      </c>
      <c r="AC239" s="704"/>
      <c r="AD239" s="699"/>
      <c r="AE239" s="699"/>
      <c r="AF239" s="699"/>
      <c r="AG239" s="714"/>
      <c r="AH239" s="726"/>
      <c r="AI239" s="725"/>
      <c r="AJ239" s="699"/>
      <c r="AK239" s="699"/>
      <c r="AL239" s="699"/>
    </row>
    <row r="240" spans="1:69" s="699" customFormat="1" ht="13.5" customHeight="1">
      <c r="A240" s="721"/>
      <c r="B240" s="708" t="s">
        <v>1645</v>
      </c>
      <c r="C240" s="710" t="s">
        <v>1643</v>
      </c>
      <c r="D240" s="709" t="s">
        <v>383</v>
      </c>
      <c r="E240" s="710" t="s">
        <v>2542</v>
      </c>
      <c r="F240" s="711">
        <v>41192</v>
      </c>
      <c r="G240" s="723">
        <v>15</v>
      </c>
      <c r="H240" s="723">
        <v>13</v>
      </c>
      <c r="I240" s="723">
        <v>15</v>
      </c>
      <c r="J240" s="723">
        <v>20</v>
      </c>
      <c r="K240" s="713">
        <f t="shared" si="56"/>
        <v>10733.483</v>
      </c>
      <c r="L240" s="714">
        <v>5000</v>
      </c>
      <c r="M240" s="714">
        <v>15733.483</v>
      </c>
      <c r="N240" s="713">
        <f t="shared" si="59"/>
        <v>161002.245</v>
      </c>
      <c r="O240" s="714">
        <f t="shared" si="63"/>
        <v>75000</v>
      </c>
      <c r="P240" s="713">
        <f t="shared" si="57"/>
        <v>236002.245</v>
      </c>
      <c r="Q240" s="713"/>
      <c r="R240" s="723">
        <v>53.29</v>
      </c>
      <c r="S240" s="713">
        <v>1337689.7899999998</v>
      </c>
      <c r="T240" s="713">
        <v>1196923.79</v>
      </c>
      <c r="U240" s="713"/>
      <c r="V240" s="700">
        <v>1</v>
      </c>
      <c r="W240" s="617">
        <f t="shared" si="60"/>
        <v>20</v>
      </c>
      <c r="X240" s="715">
        <f t="shared" si="61"/>
        <v>314669.66000000003</v>
      </c>
      <c r="Y240" s="716">
        <f t="shared" si="64"/>
        <v>0.33333333333333348</v>
      </c>
      <c r="Z240" s="717" t="s">
        <v>1644</v>
      </c>
      <c r="AA240" s="718" t="s">
        <v>1646</v>
      </c>
      <c r="AB240" s="719">
        <f t="shared" si="58"/>
        <v>236002.245</v>
      </c>
      <c r="AC240" s="704"/>
      <c r="AG240" s="714"/>
      <c r="AH240" s="726"/>
      <c r="AI240" s="725"/>
      <c r="AM240" s="728"/>
      <c r="AN240" s="728"/>
      <c r="AO240" s="728"/>
      <c r="AP240" s="728"/>
      <c r="AQ240" s="728"/>
      <c r="AR240" s="728"/>
      <c r="AS240" s="728"/>
      <c r="AT240" s="728"/>
      <c r="AU240" s="728"/>
      <c r="AV240" s="728"/>
      <c r="AW240" s="728"/>
      <c r="AX240" s="728"/>
      <c r="AY240" s="728"/>
      <c r="AZ240" s="728"/>
      <c r="BA240" s="728"/>
      <c r="BB240" s="728"/>
      <c r="BC240" s="728"/>
      <c r="BD240" s="728"/>
      <c r="BE240" s="728"/>
      <c r="BF240" s="728"/>
      <c r="BG240" s="728"/>
      <c r="BH240" s="728"/>
      <c r="BI240" s="728"/>
      <c r="BJ240" s="728"/>
      <c r="BK240" s="728"/>
      <c r="BL240" s="728"/>
      <c r="BM240" s="728"/>
      <c r="BN240" s="728"/>
      <c r="BO240" s="728"/>
      <c r="BP240" s="728"/>
      <c r="BQ240" s="728"/>
    </row>
    <row r="241" spans="1:38" s="728" customFormat="1" ht="13.5" customHeight="1">
      <c r="A241" s="721"/>
      <c r="B241" s="708" t="s">
        <v>2543</v>
      </c>
      <c r="C241" s="710" t="s">
        <v>2544</v>
      </c>
      <c r="D241" s="709" t="s">
        <v>383</v>
      </c>
      <c r="E241" s="710" t="s">
        <v>2545</v>
      </c>
      <c r="F241" s="711">
        <v>41087</v>
      </c>
      <c r="G241" s="723">
        <v>13.5</v>
      </c>
      <c r="H241" s="723">
        <v>12</v>
      </c>
      <c r="I241" s="723">
        <v>15</v>
      </c>
      <c r="J241" s="723">
        <v>13.59</v>
      </c>
      <c r="K241" s="713">
        <f t="shared" si="56"/>
        <v>20670.486000000001</v>
      </c>
      <c r="L241" s="714">
        <v>6000</v>
      </c>
      <c r="M241" s="714">
        <v>26670.486000000001</v>
      </c>
      <c r="N241" s="713">
        <f t="shared" si="59"/>
        <v>279051.56099999999</v>
      </c>
      <c r="O241" s="714">
        <f t="shared" si="63"/>
        <v>81000</v>
      </c>
      <c r="P241" s="713">
        <f t="shared" si="57"/>
        <v>360051.56099999999</v>
      </c>
      <c r="Q241" s="713"/>
      <c r="R241" s="723">
        <v>56.01</v>
      </c>
      <c r="S241" s="713">
        <v>3045931.79</v>
      </c>
      <c r="T241" s="713">
        <v>2665028.79</v>
      </c>
      <c r="U241" s="713"/>
      <c r="V241" s="700">
        <v>1</v>
      </c>
      <c r="W241" s="617">
        <f t="shared" si="60"/>
        <v>13.59</v>
      </c>
      <c r="X241" s="715">
        <f t="shared" si="61"/>
        <v>362451.90474000003</v>
      </c>
      <c r="Y241" s="716">
        <f t="shared" si="64"/>
        <v>6.6666666666668206E-3</v>
      </c>
      <c r="Z241" s="717" t="s">
        <v>2547</v>
      </c>
      <c r="AA241" s="718" t="s">
        <v>2549</v>
      </c>
      <c r="AB241" s="719">
        <f t="shared" si="58"/>
        <v>360051.56099999999</v>
      </c>
      <c r="AC241" s="704"/>
      <c r="AD241" s="699"/>
      <c r="AE241" s="699"/>
      <c r="AF241" s="699"/>
      <c r="AG241" s="714"/>
      <c r="AH241" s="726"/>
      <c r="AI241" s="725"/>
      <c r="AJ241" s="699"/>
      <c r="AK241" s="699"/>
      <c r="AL241" s="699"/>
    </row>
    <row r="242" spans="1:38" s="699" customFormat="1" ht="12.75" customHeight="1">
      <c r="A242" s="738"/>
      <c r="B242" s="708"/>
      <c r="C242" s="708"/>
      <c r="D242" s="708"/>
      <c r="E242" s="708"/>
      <c r="F242" s="749"/>
      <c r="G242" s="749"/>
      <c r="H242" s="749"/>
      <c r="I242" s="749"/>
      <c r="J242" s="749"/>
      <c r="K242" s="749"/>
      <c r="L242" s="749"/>
      <c r="M242" s="749"/>
      <c r="N242" s="749"/>
      <c r="O242" s="749"/>
      <c r="P242" s="749"/>
      <c r="Q242" s="749"/>
      <c r="R242" s="749"/>
      <c r="S242" s="749"/>
      <c r="T242" s="749"/>
      <c r="U242" s="713"/>
      <c r="V242" s="713"/>
      <c r="W242" s="750"/>
    </row>
    <row r="243" spans="1:38" s="699" customFormat="1" ht="12.75" customHeight="1">
      <c r="B243" s="826" t="s">
        <v>41</v>
      </c>
      <c r="C243" s="827"/>
      <c r="D243" s="827"/>
      <c r="E243" s="827"/>
      <c r="F243" s="827"/>
      <c r="G243" s="827"/>
      <c r="H243" s="827"/>
      <c r="I243" s="827"/>
      <c r="J243" s="827"/>
      <c r="K243" s="827"/>
      <c r="L243" s="827"/>
      <c r="M243" s="827"/>
      <c r="N243" s="828">
        <f>MAX(N188:N241)</f>
        <v>874293.33600000001</v>
      </c>
      <c r="O243" s="828"/>
      <c r="P243" s="828">
        <f>MAX(P188:P241)</f>
        <v>1002093.336</v>
      </c>
      <c r="Q243" s="828"/>
      <c r="R243" s="828"/>
      <c r="S243" s="828">
        <f>MAX(S188:S241)</f>
        <v>4182447.63</v>
      </c>
      <c r="T243" s="829">
        <f>MAX(T188:T241)</f>
        <v>3586038.63</v>
      </c>
      <c r="U243" s="700"/>
      <c r="V243" s="700"/>
      <c r="W243" s="832">
        <f>MAX(W193:W241)</f>
        <v>269.8</v>
      </c>
    </row>
    <row r="244" spans="1:38" s="699" customFormat="1" ht="12.75" customHeight="1">
      <c r="B244" s="618" t="s">
        <v>45</v>
      </c>
      <c r="C244" s="619"/>
      <c r="D244" s="619"/>
      <c r="E244" s="619"/>
      <c r="F244" s="619"/>
      <c r="G244" s="619"/>
      <c r="H244" s="619"/>
      <c r="I244" s="619"/>
      <c r="J244" s="619"/>
      <c r="K244" s="619"/>
      <c r="L244" s="619"/>
      <c r="M244" s="619"/>
      <c r="N244" s="600">
        <f>QUARTILE(N188:N241,3)</f>
        <v>294159.56400000001</v>
      </c>
      <c r="O244" s="600"/>
      <c r="P244" s="600">
        <f>QUARTILE(P188:P241,3)</f>
        <v>372545.24174999999</v>
      </c>
      <c r="Q244" s="600"/>
      <c r="R244" s="600"/>
      <c r="S244" s="600">
        <f>QUARTILE(S188:S241,3)</f>
        <v>1000281.2775</v>
      </c>
      <c r="T244" s="620">
        <f>QUARTILE(T188:T241,3)</f>
        <v>918165.75750000007</v>
      </c>
      <c r="U244" s="700"/>
      <c r="V244" s="700"/>
      <c r="W244" s="751">
        <f>QUARTILE(W193:W241,3)</f>
        <v>20.59</v>
      </c>
    </row>
    <row r="245" spans="1:38" s="699" customFormat="1">
      <c r="B245" s="618" t="s">
        <v>2</v>
      </c>
      <c r="C245" s="619"/>
      <c r="D245" s="619"/>
      <c r="E245" s="619"/>
      <c r="F245" s="619"/>
      <c r="G245" s="619"/>
      <c r="H245" s="619"/>
      <c r="I245" s="619"/>
      <c r="J245" s="619"/>
      <c r="K245" s="619"/>
      <c r="L245" s="619"/>
      <c r="M245" s="619"/>
      <c r="N245" s="600">
        <f>AVERAGE(N188:N241)</f>
        <v>235202.59352689813</v>
      </c>
      <c r="O245" s="600"/>
      <c r="P245" s="600">
        <f>AVERAGE(P188:P241)</f>
        <v>308472.37347148056</v>
      </c>
      <c r="Q245" s="600"/>
      <c r="R245" s="600"/>
      <c r="S245" s="600">
        <f>AVERAGE(S188:S241)</f>
        <v>701411.97980769246</v>
      </c>
      <c r="T245" s="620">
        <f>AVERAGE(T188:T241)</f>
        <v>611980.52500000014</v>
      </c>
      <c r="U245" s="700"/>
      <c r="V245" s="700"/>
      <c r="W245" s="751">
        <f>AVERAGE(W193:W241)</f>
        <v>28.382244897959183</v>
      </c>
    </row>
    <row r="246" spans="1:38" s="699" customFormat="1">
      <c r="B246" s="618" t="s">
        <v>3</v>
      </c>
      <c r="C246" s="619"/>
      <c r="D246" s="619"/>
      <c r="E246" s="619"/>
      <c r="F246" s="619"/>
      <c r="G246" s="619"/>
      <c r="H246" s="619"/>
      <c r="I246" s="619"/>
      <c r="J246" s="619"/>
      <c r="K246" s="619"/>
      <c r="L246" s="619"/>
      <c r="M246" s="619"/>
      <c r="N246" s="600">
        <f>MEDIAN(N188:N241)</f>
        <v>186621.60397624999</v>
      </c>
      <c r="O246" s="600"/>
      <c r="P246" s="600">
        <f>MEDIAN(P188:P241)</f>
        <v>255213.54399999999</v>
      </c>
      <c r="Q246" s="600"/>
      <c r="R246" s="600"/>
      <c r="S246" s="600">
        <f>MEDIAN(S188:S241)</f>
        <v>442431.45500000002</v>
      </c>
      <c r="T246" s="620">
        <f>MEDIAN(T188:T241)</f>
        <v>438836.28500000003</v>
      </c>
      <c r="U246" s="700"/>
      <c r="V246" s="700"/>
      <c r="W246" s="751">
        <f>MEDIAN(W193:W241)</f>
        <v>15.86</v>
      </c>
    </row>
    <row r="247" spans="1:38" s="699" customFormat="1">
      <c r="B247" s="618" t="s">
        <v>44</v>
      </c>
      <c r="C247" s="619"/>
      <c r="D247" s="619"/>
      <c r="E247" s="619"/>
      <c r="F247" s="619"/>
      <c r="G247" s="619"/>
      <c r="H247" s="619"/>
      <c r="I247" s="619"/>
      <c r="J247" s="619"/>
      <c r="K247" s="619"/>
      <c r="L247" s="619"/>
      <c r="M247" s="619"/>
      <c r="N247" s="600">
        <f>QUARTILE(N188:N241,1)</f>
        <v>121790.78199999999</v>
      </c>
      <c r="O247" s="600"/>
      <c r="P247" s="600">
        <f>QUARTILE(P188:P241,1)</f>
        <v>174543.84675</v>
      </c>
      <c r="Q247" s="600"/>
      <c r="R247" s="600"/>
      <c r="S247" s="600">
        <f>QUARTILE(S188:S241,1)</f>
        <v>132587.17749999999</v>
      </c>
      <c r="T247" s="620">
        <f>QUARTILE(T188:T241,1)</f>
        <v>78297.13</v>
      </c>
      <c r="U247" s="700"/>
      <c r="V247" s="700"/>
      <c r="W247" s="751">
        <f>QUARTILE(W193:W241,1)</f>
        <v>12.5</v>
      </c>
    </row>
    <row r="248" spans="1:38" s="699" customFormat="1">
      <c r="B248" s="735" t="s">
        <v>42</v>
      </c>
      <c r="C248" s="621"/>
      <c r="D248" s="621"/>
      <c r="E248" s="621"/>
      <c r="F248" s="621"/>
      <c r="G248" s="621"/>
      <c r="H248" s="621"/>
      <c r="I248" s="621"/>
      <c r="J248" s="621"/>
      <c r="K248" s="621"/>
      <c r="L248" s="621"/>
      <c r="M248" s="621"/>
      <c r="N248" s="601">
        <f>MIN(N188:N241)</f>
        <v>31347.355</v>
      </c>
      <c r="O248" s="601"/>
      <c r="P248" s="601">
        <f>MIN(P188:P241)</f>
        <v>37971.624000000003</v>
      </c>
      <c r="Q248" s="601"/>
      <c r="R248" s="601"/>
      <c r="S248" s="601">
        <f>MIN(S188:S241)</f>
        <v>0</v>
      </c>
      <c r="T248" s="622">
        <f>MIN(T188:T241)</f>
        <v>-35383.22</v>
      </c>
      <c r="U248" s="700"/>
      <c r="V248" s="700"/>
      <c r="W248" s="752">
        <f>MIN(W193:W241)</f>
        <v>3.1</v>
      </c>
    </row>
    <row r="249" spans="1:38" s="699" customFormat="1">
      <c r="B249" s="741"/>
      <c r="C249" s="741"/>
      <c r="D249" s="741"/>
      <c r="E249" s="741"/>
      <c r="F249" s="750"/>
      <c r="G249" s="750"/>
      <c r="H249" s="750"/>
      <c r="I249" s="750"/>
      <c r="J249" s="750"/>
      <c r="K249" s="750"/>
      <c r="L249" s="750"/>
      <c r="M249" s="750"/>
      <c r="N249" s="750"/>
      <c r="O249" s="750"/>
      <c r="P249" s="750"/>
      <c r="Q249" s="749"/>
      <c r="R249" s="750"/>
      <c r="S249" s="750"/>
      <c r="T249" s="750"/>
      <c r="U249" s="700"/>
      <c r="V249" s="700"/>
      <c r="W249" s="750"/>
    </row>
    <row r="250" spans="1:38" s="699" customFormat="1">
      <c r="B250" s="753" t="s">
        <v>1043</v>
      </c>
      <c r="C250" s="741"/>
      <c r="D250" s="741"/>
      <c r="E250" s="741"/>
      <c r="F250" s="750"/>
      <c r="G250" s="750"/>
      <c r="H250" s="750"/>
      <c r="I250" s="750"/>
      <c r="J250" s="750"/>
      <c r="K250" s="750"/>
      <c r="L250" s="750"/>
      <c r="M250" s="750"/>
      <c r="N250" s="750"/>
      <c r="O250" s="750"/>
      <c r="P250" s="750"/>
      <c r="Q250" s="750"/>
      <c r="R250" s="750"/>
      <c r="S250" s="750"/>
      <c r="T250" s="750"/>
      <c r="U250" s="700"/>
      <c r="V250" s="700"/>
      <c r="W250" s="750"/>
    </row>
    <row r="251" spans="1:38" s="699" customFormat="1">
      <c r="B251" s="826" t="s">
        <v>41</v>
      </c>
      <c r="C251" s="827"/>
      <c r="D251" s="827"/>
      <c r="E251" s="827"/>
      <c r="F251" s="827"/>
      <c r="G251" s="827"/>
      <c r="H251" s="827"/>
      <c r="I251" s="827"/>
      <c r="J251" s="827"/>
      <c r="K251" s="827"/>
      <c r="L251" s="827"/>
      <c r="M251" s="827"/>
      <c r="N251" s="828">
        <f t="array" ref="N251">MAX(IF($V$11:$V$241=1,N$11:N$241,""))</f>
        <v>1766090.8</v>
      </c>
      <c r="O251" s="828"/>
      <c r="P251" s="828">
        <f t="array" ref="P251">MAX(IF($V$11:$V$241=1,P$11:P$241,""))</f>
        <v>1973290.8</v>
      </c>
      <c r="Q251" s="828"/>
      <c r="R251" s="828"/>
      <c r="S251" s="828">
        <f t="array" ref="S251">MAX(IF($V$11:$V$241=1,S$11:S$241,""))</f>
        <v>9866622.4900000002</v>
      </c>
      <c r="T251" s="829">
        <f t="array" ref="T251">MAX(IF($V$11:$V$241=1,T$11:T$241,""))</f>
        <v>8949098.4900000002</v>
      </c>
      <c r="U251" s="700"/>
      <c r="V251" s="700"/>
      <c r="W251" s="750"/>
    </row>
    <row r="252" spans="1:38" s="699" customFormat="1">
      <c r="B252" s="618" t="s">
        <v>45</v>
      </c>
      <c r="C252" s="619"/>
      <c r="D252" s="619"/>
      <c r="E252" s="619"/>
      <c r="F252" s="619"/>
      <c r="G252" s="619"/>
      <c r="H252" s="619"/>
      <c r="I252" s="619"/>
      <c r="J252" s="619"/>
      <c r="K252" s="619"/>
      <c r="L252" s="619"/>
      <c r="M252" s="619"/>
      <c r="N252" s="600">
        <f t="array" ref="N252">QUARTILE(IF($V$11:$V$241=1,N$11:N$241,""),3)</f>
        <v>347705.678625</v>
      </c>
      <c r="O252" s="600"/>
      <c r="P252" s="600">
        <f t="array" ref="P252">QUARTILE(IF($V$11:$V$241=1,P$11:P$241,""),3)</f>
        <v>445354.54749999999</v>
      </c>
      <c r="Q252" s="600"/>
      <c r="R252" s="600"/>
      <c r="S252" s="600">
        <f t="array" ref="S252">QUARTILE(IF($V$11:$V$241=1,S$11:S$241,""),3)</f>
        <v>788712.27500000002</v>
      </c>
      <c r="T252" s="620">
        <f t="array" ref="T252">QUARTILE(IF($V$11:$V$241=1,T$11:T$241,""),3)</f>
        <v>717964.29</v>
      </c>
      <c r="U252" s="700"/>
      <c r="V252" s="700"/>
      <c r="W252" s="750"/>
    </row>
    <row r="253" spans="1:38" s="699" customFormat="1">
      <c r="B253" s="618" t="s">
        <v>2</v>
      </c>
      <c r="C253" s="619"/>
      <c r="D253" s="619"/>
      <c r="E253" s="619"/>
      <c r="F253" s="619"/>
      <c r="G253" s="619"/>
      <c r="H253" s="619"/>
      <c r="I253" s="619"/>
      <c r="J253" s="619"/>
      <c r="K253" s="619"/>
      <c r="L253" s="619"/>
      <c r="M253" s="619"/>
      <c r="N253" s="600">
        <f t="array" ref="N253">AVERAGE(IF($V$11:$V$241=1,N$11:N$241,""))</f>
        <v>255877.92148065023</v>
      </c>
      <c r="O253" s="600"/>
      <c r="P253" s="600">
        <f t="array" ref="P253">AVERAGE(IF($V$11:$V$241=1,P$11:P$241,""))</f>
        <v>332210.85310133983</v>
      </c>
      <c r="Q253" s="600"/>
      <c r="R253" s="600"/>
      <c r="S253" s="600">
        <f t="array" ref="S253">AVERAGE(IF($V$11:$V$241=1,S$11:S$241,""))</f>
        <v>685129.81441025645</v>
      </c>
      <c r="T253" s="620">
        <f t="array" ref="T253">AVERAGE(IF($V$11:$V$241=1,T$11:T$241,""))</f>
        <v>594472.07548717945</v>
      </c>
      <c r="U253" s="700"/>
      <c r="V253" s="700"/>
      <c r="W253" s="750"/>
    </row>
    <row r="254" spans="1:38" s="699" customFormat="1">
      <c r="B254" s="618" t="s">
        <v>3</v>
      </c>
      <c r="C254" s="619"/>
      <c r="D254" s="619"/>
      <c r="E254" s="619"/>
      <c r="F254" s="619"/>
      <c r="G254" s="619"/>
      <c r="H254" s="619"/>
      <c r="I254" s="619"/>
      <c r="J254" s="619"/>
      <c r="K254" s="619"/>
      <c r="L254" s="619"/>
      <c r="M254" s="619"/>
      <c r="N254" s="600">
        <f t="array" ref="N254">MEDIAN(IF($V$11:$V$241=1,N$11:N$241,""))</f>
        <v>201113.10000000003</v>
      </c>
      <c r="O254" s="600"/>
      <c r="P254" s="600">
        <f t="array" ref="P254">MEDIAN(IF($V$11:$V$241=1,P$11:P$241,""))</f>
        <v>277088.48499999999</v>
      </c>
      <c r="Q254" s="600"/>
      <c r="R254" s="600"/>
      <c r="S254" s="600">
        <f t="array" ref="S254">MEDIAN(IF($V$11:$V$241=1,S$11:S$241,""))</f>
        <v>329123.62</v>
      </c>
      <c r="T254" s="620">
        <f t="array" ref="T254">MEDIAN(IF($V$11:$V$241=1,T$11:T$241,""))</f>
        <v>272052.03000000003</v>
      </c>
      <c r="U254" s="700"/>
      <c r="V254" s="700"/>
      <c r="W254" s="750"/>
    </row>
    <row r="255" spans="1:38" s="699" customFormat="1">
      <c r="B255" s="618" t="s">
        <v>44</v>
      </c>
      <c r="C255" s="619"/>
      <c r="D255" s="619"/>
      <c r="E255" s="619"/>
      <c r="F255" s="619"/>
      <c r="G255" s="619"/>
      <c r="H255" s="619"/>
      <c r="I255" s="619"/>
      <c r="J255" s="619"/>
      <c r="K255" s="619"/>
      <c r="L255" s="619"/>
      <c r="M255" s="619"/>
      <c r="N255" s="600">
        <f t="array" ref="N255">QUARTILE(IF($V$11:$V$241=1,N$11:N$241,""),1)</f>
        <v>102623.03999999999</v>
      </c>
      <c r="O255" s="600"/>
      <c r="P255" s="600">
        <f t="array" ref="P255">QUARTILE(IF($V$11:$V$241=1,P$11:P$241,""),1)</f>
        <v>155448.27225000001</v>
      </c>
      <c r="Q255" s="600"/>
      <c r="R255" s="600"/>
      <c r="S255" s="600">
        <f t="array" ref="S255">QUARTILE(IF($V$11:$V$241=1,S$11:S$241,""),1)</f>
        <v>112694.92</v>
      </c>
      <c r="T255" s="620">
        <f t="array" ref="T255">QUARTILE(IF($V$11:$V$241=1,T$11:T$241,""),1)</f>
        <v>71606.73000000001</v>
      </c>
      <c r="U255" s="700"/>
      <c r="V255" s="700"/>
      <c r="W255" s="750"/>
    </row>
    <row r="256" spans="1:38" s="699" customFormat="1">
      <c r="B256" s="735" t="s">
        <v>42</v>
      </c>
      <c r="C256" s="621"/>
      <c r="D256" s="621"/>
      <c r="E256" s="621"/>
      <c r="F256" s="621"/>
      <c r="G256" s="621"/>
      <c r="H256" s="621"/>
      <c r="I256" s="621"/>
      <c r="J256" s="621"/>
      <c r="K256" s="621"/>
      <c r="L256" s="621"/>
      <c r="M256" s="621"/>
      <c r="N256" s="601">
        <f t="array" ref="N256">MIN(IF($V$11:$V$241=1,N$11:N$241,""))</f>
        <v>18940.300000000003</v>
      </c>
      <c r="O256" s="601"/>
      <c r="P256" s="601">
        <f t="array" ref="P256">MIN(IF($V$11:$V$241=1,P$11:P$241,""))</f>
        <v>37971.624000000003</v>
      </c>
      <c r="Q256" s="601"/>
      <c r="R256" s="601"/>
      <c r="S256" s="601">
        <f t="array" ref="S256">MIN(IF($V$11:$V$241=1,S$11:S$241,""))</f>
        <v>0</v>
      </c>
      <c r="T256" s="622">
        <f t="array" ref="T256">MIN(IF($V$11:$V$241=1,T$11:T$241,""))</f>
        <v>-54326.239999999998</v>
      </c>
      <c r="U256" s="700"/>
      <c r="V256" s="700"/>
      <c r="W256" s="750"/>
    </row>
    <row r="257" spans="2:23" s="699" customFormat="1">
      <c r="F257" s="754"/>
      <c r="G257" s="754"/>
      <c r="H257" s="754"/>
      <c r="I257" s="754"/>
      <c r="J257" s="754"/>
      <c r="K257" s="754"/>
      <c r="L257" s="754"/>
      <c r="M257" s="754"/>
      <c r="N257" s="754"/>
      <c r="O257" s="754"/>
      <c r="P257" s="754"/>
      <c r="Q257" s="754"/>
      <c r="R257" s="754"/>
      <c r="S257" s="754"/>
      <c r="T257" s="754"/>
      <c r="U257" s="754"/>
      <c r="V257" s="754"/>
      <c r="W257" s="754"/>
    </row>
    <row r="258" spans="2:23" s="699" customFormat="1">
      <c r="B258" s="8" t="s">
        <v>46</v>
      </c>
      <c r="C258" s="755"/>
      <c r="D258" s="755"/>
      <c r="E258" s="755"/>
      <c r="F258" s="755"/>
      <c r="G258" s="755"/>
      <c r="H258" s="755"/>
      <c r="I258" s="755"/>
      <c r="J258" s="755"/>
      <c r="K258" s="755"/>
      <c r="L258" s="755"/>
      <c r="M258" s="755"/>
      <c r="N258" s="755"/>
      <c r="O258" s="755"/>
      <c r="P258" s="755"/>
      <c r="Q258" s="755"/>
      <c r="R258" s="755"/>
      <c r="S258" s="755"/>
      <c r="T258" s="755"/>
      <c r="U258" s="754"/>
      <c r="V258" s="754"/>
      <c r="W258" s="754"/>
    </row>
    <row r="259" spans="2:23">
      <c r="C259" s="603" t="s">
        <v>905</v>
      </c>
      <c r="W259" s="605"/>
    </row>
    <row r="260" spans="2:23">
      <c r="C260" s="603" t="s">
        <v>917</v>
      </c>
      <c r="W260" s="605"/>
    </row>
    <row r="261" spans="2:23">
      <c r="C261" s="603" t="s">
        <v>906</v>
      </c>
      <c r="W261" s="605"/>
    </row>
    <row r="262" spans="2:23">
      <c r="C262" s="603" t="s">
        <v>615</v>
      </c>
      <c r="W262" s="605"/>
    </row>
    <row r="263" spans="2:23">
      <c r="C263" s="603" t="s">
        <v>907</v>
      </c>
      <c r="W263" s="605"/>
    </row>
    <row r="264" spans="2:23">
      <c r="C264" s="603" t="s">
        <v>908</v>
      </c>
      <c r="W264" s="605"/>
    </row>
    <row r="265" spans="2:23">
      <c r="C265" s="603" t="s">
        <v>909</v>
      </c>
      <c r="W265" s="605"/>
    </row>
    <row r="266" spans="2:23">
      <c r="C266" s="603" t="s">
        <v>910</v>
      </c>
      <c r="W266" s="605"/>
    </row>
    <row r="267" spans="2:23">
      <c r="C267" s="603" t="s">
        <v>911</v>
      </c>
      <c r="W267" s="605"/>
    </row>
    <row r="268" spans="2:23">
      <c r="C268" s="603" t="s">
        <v>912</v>
      </c>
      <c r="W268" s="605"/>
    </row>
    <row r="269" spans="2:23">
      <c r="C269" s="603" t="s">
        <v>913</v>
      </c>
      <c r="W269" s="605"/>
    </row>
    <row r="270" spans="2:23">
      <c r="C270" s="603" t="s">
        <v>914</v>
      </c>
      <c r="W270" s="605"/>
    </row>
    <row r="271" spans="2:23">
      <c r="C271" s="603" t="s">
        <v>915</v>
      </c>
      <c r="W271" s="605"/>
    </row>
    <row r="272" spans="2:23">
      <c r="C272" s="603" t="s">
        <v>916</v>
      </c>
      <c r="W272" s="605"/>
    </row>
    <row r="273" spans="23:23">
      <c r="W273" s="605"/>
    </row>
    <row r="274" spans="23:23">
      <c r="W274" s="605"/>
    </row>
    <row r="275" spans="23:23">
      <c r="W275" s="605"/>
    </row>
    <row r="276" spans="23:23">
      <c r="W276" s="605"/>
    </row>
    <row r="277" spans="23:23">
      <c r="W277" s="605"/>
    </row>
    <row r="278" spans="23:23">
      <c r="W278" s="605"/>
    </row>
    <row r="279" spans="23:23">
      <c r="W279" s="605"/>
    </row>
  </sheetData>
  <sortState ref="A47:BQ96">
    <sortCondition descending="1" ref="F47"/>
  </sortState>
  <mergeCells count="16">
    <mergeCell ref="AB7:AB8"/>
    <mergeCell ref="D7:D8"/>
    <mergeCell ref="F7:F8"/>
    <mergeCell ref="G7:G8"/>
    <mergeCell ref="H7:I7"/>
    <mergeCell ref="J7:J8"/>
    <mergeCell ref="K7:K8"/>
    <mergeCell ref="L7:L8"/>
    <mergeCell ref="M7:M8"/>
    <mergeCell ref="N7:N8"/>
    <mergeCell ref="O7:O8"/>
    <mergeCell ref="P7:P8"/>
    <mergeCell ref="W7:W8"/>
    <mergeCell ref="X7:X8"/>
    <mergeCell ref="Y7:Y8"/>
    <mergeCell ref="Z7:Z8"/>
  </mergeCells>
  <conditionalFormatting sqref="C4:E4">
    <cfRule type="cellIs" dxfId="91" priority="9" stopIfTrue="1" operator="equal">
      <formula>"input"</formula>
    </cfRule>
  </conditionalFormatting>
  <conditionalFormatting sqref="F4:G4">
    <cfRule type="cellIs" dxfId="90" priority="8" stopIfTrue="1" operator="equal">
      <formula>"input"</formula>
    </cfRule>
  </conditionalFormatting>
  <conditionalFormatting sqref="H4:I4">
    <cfRule type="cellIs" dxfId="89" priority="7" stopIfTrue="1" operator="equal">
      <formula>"input"</formula>
    </cfRule>
  </conditionalFormatting>
  <conditionalFormatting sqref="J4:K4">
    <cfRule type="cellIs" dxfId="88" priority="6" stopIfTrue="1" operator="equal">
      <formula>"input"</formula>
    </cfRule>
  </conditionalFormatting>
  <conditionalFormatting sqref="L4:M4">
    <cfRule type="cellIs" dxfId="87" priority="5" stopIfTrue="1" operator="equal">
      <formula>"input"</formula>
    </cfRule>
  </conditionalFormatting>
  <conditionalFormatting sqref="N4:S4">
    <cfRule type="cellIs" dxfId="86" priority="4" stopIfTrue="1" operator="equal">
      <formula>"input"</formula>
    </cfRule>
  </conditionalFormatting>
  <conditionalFormatting sqref="T4">
    <cfRule type="cellIs" dxfId="85" priority="3" stopIfTrue="1" operator="equal">
      <formula>"input"</formula>
    </cfRule>
  </conditionalFormatting>
  <pageMargins left="0.5" right="0.5" top="0.5" bottom="0.5" header="0.5" footer="0.5"/>
  <pageSetup scale="65" fitToWidth="0" fitToHeight="0" orientation="landscape" r:id="rId1"/>
  <rowBreaks count="3" manualBreakCount="3">
    <brk id="114" max="20" man="1"/>
    <brk id="167" max="20" man="1"/>
    <brk id="220" max="20" man="1"/>
  </rowBreaks>
  <legacyDrawing r:id="rId2"/>
  <legacyDrawingHF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499984740745262"/>
  </sheetPr>
  <dimension ref="A1"/>
  <sheetViews>
    <sheetView workbookViewId="0">
      <selection activeCell="I9" sqref="I9"/>
    </sheetView>
  </sheetViews>
  <sheetFormatPr defaultRowHeight="12.75"/>
  <sheetData/>
  <pageMargins left="0.7" right="0.7" top="0.75" bottom="0.75" header="0.3" footer="0.3"/>
  <pageSetup orientation="portrait" horizontalDpi="1200" verticalDpi="1200"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4:J28"/>
  <sheetViews>
    <sheetView showGridLines="0" view="pageBreakPreview" zoomScale="85" zoomScaleNormal="100" zoomScaleSheetLayoutView="85" workbookViewId="0">
      <selection activeCell="I9" sqref="I9"/>
    </sheetView>
  </sheetViews>
  <sheetFormatPr defaultColWidth="9.33203125" defaultRowHeight="15"/>
  <cols>
    <col min="1" max="1" width="4.5" style="222" customWidth="1"/>
    <col min="2" max="2" width="3.83203125" style="222" customWidth="1"/>
    <col min="3" max="3" width="15.83203125" style="222" customWidth="1"/>
    <col min="4" max="4" width="102.83203125" style="223" customWidth="1"/>
    <col min="5" max="5" width="15.83203125" style="222" customWidth="1"/>
    <col min="6" max="6" width="3.83203125" style="222" customWidth="1"/>
    <col min="7" max="7" width="4.5" style="222" customWidth="1"/>
    <col min="8" max="8" width="9.33203125" style="222"/>
    <col min="9" max="9" width="22.33203125" style="222" bestFit="1" customWidth="1"/>
    <col min="10" max="10" width="19" style="222" bestFit="1" customWidth="1"/>
    <col min="11" max="16384" width="9.33203125" style="222"/>
  </cols>
  <sheetData>
    <row r="4" spans="2:9">
      <c r="D4"/>
    </row>
    <row r="6" spans="2:9">
      <c r="B6" s="224"/>
      <c r="C6" s="213"/>
      <c r="D6" s="214"/>
      <c r="E6" s="213"/>
      <c r="F6" s="213"/>
    </row>
    <row r="7" spans="2:9" ht="15.75" thickBot="1">
      <c r="B7" s="224"/>
      <c r="C7" s="213"/>
      <c r="D7" s="214"/>
      <c r="E7" s="213"/>
      <c r="F7" s="213"/>
    </row>
    <row r="8" spans="2:9" ht="15.75" thickTop="1">
      <c r="B8" s="14"/>
      <c r="C8" s="225"/>
      <c r="D8" s="226"/>
      <c r="E8" s="225"/>
      <c r="F8" s="225"/>
    </row>
    <row r="9" spans="2:9" s="227" customFormat="1" ht="40.5">
      <c r="B9" s="228"/>
      <c r="C9" s="244"/>
      <c r="D9" s="244" t="str">
        <f>+'MASTER PubCo Inputs'!C8</f>
        <v>IRC 409A and IFRS 2 Common Stock Independent Appraisal</v>
      </c>
      <c r="E9" s="229"/>
      <c r="F9" s="229"/>
      <c r="I9" s="800" t="str">
        <f>IF(COUNTIF(Checklist!D8:D20,"Check")&gt;0,"Check","")</f>
        <v/>
      </c>
    </row>
    <row r="10" spans="2:9">
      <c r="B10" s="215"/>
      <c r="C10" s="231"/>
      <c r="D10" s="245"/>
      <c r="E10" s="231"/>
      <c r="F10" s="231"/>
    </row>
    <row r="11" spans="2:9" ht="23.25">
      <c r="B11" s="215"/>
      <c r="C11" s="231"/>
      <c r="D11" s="216" t="s">
        <v>1840</v>
      </c>
      <c r="E11" s="231"/>
      <c r="F11" s="231"/>
    </row>
    <row r="12" spans="2:9" ht="19.5">
      <c r="B12" s="215"/>
      <c r="C12" s="231"/>
      <c r="D12" s="246" t="s">
        <v>267</v>
      </c>
      <c r="E12" s="231"/>
      <c r="F12" s="231"/>
    </row>
    <row r="13" spans="2:9" ht="23.25">
      <c r="B13" s="215"/>
      <c r="C13" s="231"/>
      <c r="D13" s="216" t="str">
        <f>IF('MASTER PubCo Inputs'!C5="","",'MASTER PubCo Inputs'!C5)</f>
        <v>Hua Medicine</v>
      </c>
      <c r="E13" s="231"/>
      <c r="F13" s="231"/>
    </row>
    <row r="14" spans="2:9">
      <c r="B14" s="215"/>
      <c r="C14" s="231"/>
      <c r="D14" s="245"/>
      <c r="E14" s="231"/>
      <c r="F14" s="231"/>
    </row>
    <row r="15" spans="2:9" ht="23.25">
      <c r="B15" s="215"/>
      <c r="C15" s="231"/>
      <c r="D15" s="216" t="str">
        <f>"Valuation Date as of "&amp;TEXT('MASTER PubCo Inputs'!$C$6,"mmmm d, yyyy")&amp;""</f>
        <v>Valuation Date as of June 30, 2018</v>
      </c>
      <c r="E15" s="231"/>
      <c r="F15" s="231"/>
    </row>
    <row r="16" spans="2:9" ht="15.75" thickBot="1">
      <c r="B16" s="217"/>
      <c r="C16" s="232"/>
      <c r="D16" s="233"/>
      <c r="E16" s="232"/>
      <c r="F16" s="232"/>
    </row>
    <row r="17" spans="4:10" ht="15.75" thickTop="1"/>
    <row r="19" spans="4:10" ht="18.75">
      <c r="D19" s="218" t="s">
        <v>268</v>
      </c>
    </row>
    <row r="20" spans="4:10" ht="18.75">
      <c r="D20" s="219" t="str">
        <f ca="1">TEXT(J20,"mmmm d, yyyy")</f>
        <v>August 23, 2018</v>
      </c>
      <c r="I20" s="222" t="s">
        <v>270</v>
      </c>
      <c r="J20" s="243">
        <f ca="1">TODAY()</f>
        <v>43335</v>
      </c>
    </row>
    <row r="25" spans="4:10" ht="23.25">
      <c r="D25" s="687" t="s">
        <v>576</v>
      </c>
    </row>
    <row r="27" spans="4:10" ht="18.75">
      <c r="D27" s="220" t="s">
        <v>414</v>
      </c>
    </row>
    <row r="28" spans="4:10" ht="37.5">
      <c r="D28" s="221" t="s">
        <v>269</v>
      </c>
    </row>
  </sheetData>
  <pageMargins left="0.5" right="0.5" top="0.5" bottom="0.5" header="0.5" footer="0.5"/>
  <pageSetup orientation="landscape" r:id="rId1"/>
  <drawing r:id="rId2"/>
  <legacy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15"/>
  <sheetViews>
    <sheetView showGridLines="0" view="pageBreakPreview" zoomScale="85" zoomScaleNormal="145" zoomScaleSheetLayoutView="85" workbookViewId="0">
      <selection activeCell="C15" sqref="C15"/>
    </sheetView>
  </sheetViews>
  <sheetFormatPr defaultColWidth="9.33203125" defaultRowHeight="12.75" outlineLevelCol="1"/>
  <cols>
    <col min="1" max="1" width="4.5" style="310" customWidth="1"/>
    <col min="2" max="3" width="23.5" style="310" customWidth="1"/>
    <col min="4" max="4" width="64.33203125" style="316" customWidth="1"/>
    <col min="5" max="5" width="30.83203125" style="316" customWidth="1"/>
    <col min="6" max="6" width="20.83203125" style="316" hidden="1" customWidth="1" outlineLevel="1"/>
    <col min="7" max="7" width="4.5" style="310" customWidth="1" collapsed="1"/>
    <col min="8" max="9" width="2.83203125" style="310" customWidth="1"/>
    <col min="10" max="10" width="3.33203125" style="310" customWidth="1"/>
    <col min="11" max="16384" width="9.33203125" style="310"/>
  </cols>
  <sheetData>
    <row r="1" spans="2:6" ht="10.7" customHeight="1" thickBot="1"/>
    <row r="2" spans="2:6" ht="16.5" customHeight="1" thickTop="1">
      <c r="B2" s="10" t="str">
        <f>'MASTER PubCo Inputs'!$C$5</f>
        <v>Hua Medicine</v>
      </c>
      <c r="C2" s="10"/>
      <c r="D2" s="281"/>
      <c r="E2" s="281"/>
      <c r="F2" s="281"/>
    </row>
    <row r="3" spans="2:6" ht="16.5" customHeight="1" thickBot="1">
      <c r="B3" s="12" t="s">
        <v>391</v>
      </c>
      <c r="C3" s="12"/>
      <c r="D3" s="282"/>
      <c r="E3" s="282"/>
      <c r="F3" s="282"/>
    </row>
    <row r="4" spans="2:6" ht="12.75" customHeight="1" thickTop="1"/>
    <row r="5" spans="2:6" ht="12.75" customHeight="1"/>
    <row r="6" spans="2:6" ht="12.75" customHeight="1">
      <c r="B6" s="279" t="s">
        <v>1840</v>
      </c>
      <c r="C6" s="279"/>
      <c r="D6" s="279" t="s">
        <v>1841</v>
      </c>
      <c r="E6" s="279"/>
      <c r="F6" s="279"/>
    </row>
    <row r="7" spans="2:6" ht="12.75" customHeight="1">
      <c r="B7" s="290"/>
      <c r="C7" s="290"/>
      <c r="D7" s="279"/>
      <c r="E7" s="279"/>
      <c r="F7" s="279"/>
    </row>
    <row r="8" spans="2:6">
      <c r="B8" s="242" t="str">
        <f>Outline!B51</f>
        <v>#1</v>
      </c>
      <c r="C8" s="242"/>
      <c r="D8" s="242" t="str">
        <f>Outline!E51</f>
        <v>rNPV Analysis</v>
      </c>
      <c r="E8" s="242"/>
      <c r="F8" s="242" t="str">
        <f>Outline!G51</f>
        <v>Workpaper #1</v>
      </c>
    </row>
    <row r="9" spans="2:6">
      <c r="B9" s="242" t="str">
        <f>Outline!B52</f>
        <v>#2</v>
      </c>
      <c r="C9" s="242"/>
      <c r="D9" s="242" t="str">
        <f>Outline!E52</f>
        <v>Guideline Public Companies' Margins &amp; Cash Flow Metrics</v>
      </c>
      <c r="E9" s="242"/>
      <c r="F9" s="242" t="str">
        <f>Outline!G52</f>
        <v>Workpaper #2</v>
      </c>
    </row>
    <row r="10" spans="2:6">
      <c r="B10" s="242" t="str">
        <f>Outline!B53</f>
        <v>#3</v>
      </c>
      <c r="D10" s="242" t="str">
        <f>Outline!E53</f>
        <v>Discount Rate Support</v>
      </c>
    </row>
    <row r="11" spans="2:6">
      <c r="B11" s="242" t="str">
        <f>Outline!B54</f>
        <v>#4</v>
      </c>
      <c r="D11" s="242" t="str">
        <f>Outline!E54</f>
        <v>Weighted Average Cost of Capital - CAPM-Based</v>
      </c>
    </row>
    <row r="12" spans="2:6">
      <c r="B12" s="242" t="str">
        <f>Outline!B55</f>
        <v>#5</v>
      </c>
      <c r="D12" s="242" t="str">
        <f>Outline!E55</f>
        <v>Beta Calculation</v>
      </c>
    </row>
    <row r="13" spans="2:6">
      <c r="B13" s="242" t="str">
        <f>Outline!B56</f>
        <v>#6</v>
      </c>
      <c r="D13" s="242" t="str">
        <f>Outline!E56</f>
        <v>Summary of Type 2 Diabetes China Forecasts</v>
      </c>
    </row>
    <row r="14" spans="2:6">
      <c r="B14" s="242" t="str">
        <f>Outline!B57</f>
        <v>#7</v>
      </c>
      <c r="D14" s="242" t="str">
        <f>Outline!E57</f>
        <v>Comparative Sheet</v>
      </c>
    </row>
    <row r="15" spans="2:6">
      <c r="B15" s="242"/>
      <c r="D15" s="242"/>
    </row>
  </sheetData>
  <conditionalFormatting sqref="B3:F3">
    <cfRule type="cellIs" dxfId="84" priority="11" stopIfTrue="1" operator="equal">
      <formula>"input"</formula>
    </cfRule>
  </conditionalFormatting>
  <conditionalFormatting sqref="B7:C7">
    <cfRule type="expression" dxfId="83" priority="10">
      <formula>OR($B7="Exhibits",$B7="Workpapers")</formula>
    </cfRule>
  </conditionalFormatting>
  <conditionalFormatting sqref="D7:E8 F8:F9 E9 D9:D15">
    <cfRule type="expression" dxfId="82" priority="9">
      <formula>$B7=""</formula>
    </cfRule>
  </conditionalFormatting>
  <conditionalFormatting sqref="B8:C9 B10:B15">
    <cfRule type="expression" dxfId="81" priority="2">
      <formula>$B8=""</formula>
    </cfRule>
  </conditionalFormatting>
  <pageMargins left="0.5" right="0.5" top="0.5" bottom="0.5" header="0.5" footer="0.5"/>
  <pageSetup fitToWidth="0" fitToHeight="0" orientation="landscape"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F94"/>
  <sheetViews>
    <sheetView showGridLines="0" view="pageBreakPreview" topLeftCell="A38" zoomScale="85" zoomScaleNormal="100" zoomScaleSheetLayoutView="85" workbookViewId="0">
      <selection activeCell="C57" sqref="C57"/>
    </sheetView>
  </sheetViews>
  <sheetFormatPr defaultColWidth="9.33203125" defaultRowHeight="12.75" outlineLevelRow="1"/>
  <cols>
    <col min="1" max="1" width="4.5" style="1238" customWidth="1"/>
    <col min="2" max="2" width="52.33203125" style="1238" customWidth="1"/>
    <col min="3" max="3" width="11.83203125" style="1238" customWidth="1"/>
    <col min="4" max="4" width="3.83203125" style="1238" customWidth="1"/>
    <col min="5" max="12" width="16.5" style="1238" customWidth="1"/>
    <col min="13" max="19" width="15.83203125" style="1238" customWidth="1"/>
    <col min="20" max="20" width="1.83203125" style="1238" customWidth="1"/>
    <col min="21" max="21" width="16.5" style="1238" customWidth="1"/>
    <col min="22" max="22" width="4.5" style="1238" customWidth="1"/>
    <col min="23" max="23" width="9.33203125" style="1238"/>
    <col min="24" max="24" width="12" style="1238" bestFit="1" customWidth="1"/>
    <col min="25" max="25" width="15" style="1238" customWidth="1"/>
    <col min="26" max="16384" width="9.33203125" style="1238"/>
  </cols>
  <sheetData>
    <row r="1" spans="1:32" s="1237" customFormat="1" ht="13.5" thickBot="1"/>
    <row r="2" spans="1:32" s="1237" customFormat="1" ht="16.5" thickTop="1">
      <c r="B2" s="10" t="str">
        <f>'MASTER PubCo Inputs'!$C$5</f>
        <v>Hua Medicine</v>
      </c>
      <c r="C2" s="10"/>
      <c r="D2" s="10"/>
      <c r="E2" s="10"/>
      <c r="F2" s="10"/>
      <c r="G2" s="10"/>
      <c r="H2" s="10"/>
      <c r="I2" s="10"/>
      <c r="J2" s="10"/>
      <c r="K2" s="10"/>
      <c r="L2" s="10"/>
      <c r="M2" s="10"/>
      <c r="N2" s="10"/>
      <c r="O2" s="10"/>
      <c r="P2" s="10"/>
      <c r="Q2" s="10"/>
      <c r="R2" s="10"/>
      <c r="S2" s="10"/>
      <c r="T2" s="10"/>
      <c r="U2" s="10"/>
    </row>
    <row r="3" spans="1:32" s="1237" customFormat="1" ht="15.75">
      <c r="B3" s="11" t="str">
        <f>VLOOKUP(B4,Outline!$E$8:$G$81,COLUMNS(Outline!$E$8:$G$8),FALSE)</f>
        <v>Workpaper #1</v>
      </c>
      <c r="C3" s="11"/>
      <c r="D3" s="11"/>
      <c r="E3" s="11"/>
      <c r="F3" s="11"/>
      <c r="G3" s="11"/>
      <c r="H3" s="11"/>
      <c r="I3" s="11"/>
      <c r="J3" s="11"/>
      <c r="K3" s="11"/>
      <c r="L3" s="11"/>
      <c r="M3" s="11"/>
      <c r="N3" s="11"/>
      <c r="O3" s="11"/>
      <c r="P3" s="11"/>
      <c r="Q3" s="11"/>
      <c r="R3" s="11"/>
      <c r="S3" s="11"/>
      <c r="T3" s="11"/>
      <c r="U3" s="11"/>
    </row>
    <row r="4" spans="1:32" s="1237" customFormat="1" ht="15.75" customHeight="1" thickBot="1">
      <c r="B4" s="12" t="s">
        <v>1730</v>
      </c>
      <c r="C4" s="12"/>
      <c r="D4" s="12"/>
      <c r="E4" s="12"/>
      <c r="F4" s="12"/>
      <c r="G4" s="12"/>
      <c r="H4" s="12"/>
      <c r="I4" s="12"/>
      <c r="J4" s="12"/>
      <c r="K4" s="12"/>
      <c r="L4" s="13" t="str">
        <f>'MASTER PubCo Inputs'!$C$24</f>
        <v>(in millions of USD)</v>
      </c>
      <c r="M4" s="12"/>
      <c r="N4" s="12"/>
      <c r="O4" s="12"/>
      <c r="P4" s="12"/>
      <c r="Q4" s="12"/>
      <c r="R4" s="12"/>
      <c r="S4" s="12"/>
      <c r="T4" s="12"/>
      <c r="U4" s="13" t="str">
        <f>L4</f>
        <v>(in millions of USD)</v>
      </c>
    </row>
    <row r="5" spans="1:32" ht="13.5" thickTop="1">
      <c r="U5" s="1865" t="s">
        <v>163</v>
      </c>
    </row>
    <row r="6" spans="1:32">
      <c r="A6" s="1239"/>
      <c r="B6" s="1240" t="s">
        <v>1731</v>
      </c>
      <c r="C6" s="1241"/>
      <c r="D6" s="1241"/>
      <c r="E6" s="1242" t="str">
        <f>'China Revenues'!F3</f>
        <v>2018</v>
      </c>
      <c r="F6" s="1242" t="str">
        <f>'China Revenues'!G3</f>
        <v>2019</v>
      </c>
      <c r="G6" s="1242" t="str">
        <f>'China Revenues'!H3</f>
        <v>2020</v>
      </c>
      <c r="H6" s="1242" t="str">
        <f>'China Revenues'!I3</f>
        <v>2021</v>
      </c>
      <c r="I6" s="1242" t="str">
        <f>'China Revenues'!J3</f>
        <v>2022</v>
      </c>
      <c r="J6" s="1242" t="str">
        <f>'China Revenues'!K3</f>
        <v>2023</v>
      </c>
      <c r="K6" s="1242" t="str">
        <f>'China Revenues'!L3</f>
        <v>2024</v>
      </c>
      <c r="L6" s="1243" t="str">
        <f>'China Revenues'!M3</f>
        <v>2025</v>
      </c>
      <c r="M6" s="1242" t="str">
        <f>'China Revenues'!N3</f>
        <v>2026</v>
      </c>
      <c r="N6" s="1242" t="str">
        <f>'China Revenues'!O3</f>
        <v>2027</v>
      </c>
      <c r="O6" s="1242" t="str">
        <f>'China Revenues'!P3</f>
        <v>2028</v>
      </c>
      <c r="P6" s="1242" t="str">
        <f>'China Revenues'!Q3</f>
        <v>2029</v>
      </c>
      <c r="Q6" s="1242" t="str">
        <f>'China Revenues'!R3</f>
        <v>2030</v>
      </c>
      <c r="R6" s="1242" t="str">
        <f>'China Revenues'!S3</f>
        <v>2031</v>
      </c>
      <c r="S6" s="1809" t="str">
        <f>'China Revenues'!T3</f>
        <v>2032</v>
      </c>
      <c r="U6" s="1844" t="s">
        <v>2767</v>
      </c>
    </row>
    <row r="8" spans="1:32">
      <c r="B8" s="1238" t="s">
        <v>80</v>
      </c>
      <c r="C8" s="1244"/>
      <c r="D8" s="1244"/>
      <c r="E8" s="1245">
        <f>'China Revenues'!F18</f>
        <v>0</v>
      </c>
      <c r="F8" s="1245">
        <f>'China Revenues'!G18</f>
        <v>0</v>
      </c>
      <c r="G8" s="1245">
        <f>'China Revenues'!H18</f>
        <v>27.736541060567795</v>
      </c>
      <c r="H8" s="1245">
        <f>'China Revenues'!I18</f>
        <v>88.848687437022974</v>
      </c>
      <c r="I8" s="1245">
        <f>'China Revenues'!J18</f>
        <v>157.88600224471722</v>
      </c>
      <c r="J8" s="1245">
        <f>'China Revenues'!K18</f>
        <v>470.1324205992637</v>
      </c>
      <c r="K8" s="1245">
        <f>'China Revenues'!L18</f>
        <v>1113.2882864102976</v>
      </c>
      <c r="L8" s="1245">
        <f>'China Revenues'!M18</f>
        <v>1497.0627216316825</v>
      </c>
      <c r="M8" s="1245">
        <f>'China Revenues'!N18</f>
        <v>1776.7075196171461</v>
      </c>
      <c r="N8" s="1245">
        <f>'China Revenues'!O18</f>
        <v>2187.4448493767827</v>
      </c>
      <c r="O8" s="1245">
        <f>'China Revenues'!P18</f>
        <v>2232.0957854774633</v>
      </c>
      <c r="P8" s="1245">
        <f>'China Revenues'!Q18</f>
        <v>2271.9958369003448</v>
      </c>
      <c r="Q8" s="1245">
        <f>'China Revenues'!R18</f>
        <v>2242.1418116034743</v>
      </c>
      <c r="R8" s="1245">
        <f>'China Revenues'!S18</f>
        <v>2212.680068199003</v>
      </c>
      <c r="S8" s="1245">
        <f>'China Revenues'!T18</f>
        <v>2228.1688286763965</v>
      </c>
      <c r="U8" s="1841">
        <f>S8*W8</f>
        <v>222.81688286763966</v>
      </c>
      <c r="W8" s="1845">
        <v>0.1</v>
      </c>
    </row>
    <row r="9" spans="1:32" hidden="1" outlineLevel="1">
      <c r="B9" s="1246" t="s">
        <v>2633</v>
      </c>
      <c r="C9" s="1247"/>
      <c r="D9" s="1244"/>
      <c r="E9" s="1614">
        <v>0</v>
      </c>
      <c r="F9" s="1614">
        <f>$E$9</f>
        <v>0</v>
      </c>
      <c r="G9" s="1614">
        <f t="shared" ref="G9:S9" si="0">$E$9</f>
        <v>0</v>
      </c>
      <c r="H9" s="1614">
        <f t="shared" si="0"/>
        <v>0</v>
      </c>
      <c r="I9" s="1614">
        <f t="shared" si="0"/>
        <v>0</v>
      </c>
      <c r="J9" s="1614">
        <f t="shared" si="0"/>
        <v>0</v>
      </c>
      <c r="K9" s="1614">
        <f t="shared" si="0"/>
        <v>0</v>
      </c>
      <c r="L9" s="1614">
        <f t="shared" si="0"/>
        <v>0</v>
      </c>
      <c r="M9" s="1614">
        <f t="shared" si="0"/>
        <v>0</v>
      </c>
      <c r="N9" s="1614">
        <f t="shared" si="0"/>
        <v>0</v>
      </c>
      <c r="O9" s="1614">
        <f t="shared" si="0"/>
        <v>0</v>
      </c>
      <c r="P9" s="1614">
        <f t="shared" si="0"/>
        <v>0</v>
      </c>
      <c r="Q9" s="1614">
        <f t="shared" si="0"/>
        <v>0</v>
      </c>
      <c r="R9" s="1614">
        <f t="shared" si="0"/>
        <v>0</v>
      </c>
      <c r="S9" s="1614">
        <f t="shared" si="0"/>
        <v>0</v>
      </c>
      <c r="X9" s="1238">
        <v>0.05</v>
      </c>
      <c r="Y9" s="1238">
        <v>0.1</v>
      </c>
      <c r="Z9" s="1238">
        <v>0.15</v>
      </c>
      <c r="AA9" s="1238">
        <v>0.2</v>
      </c>
      <c r="AB9" s="1238">
        <v>0.25</v>
      </c>
      <c r="AC9" s="1238">
        <v>0.3</v>
      </c>
      <c r="AD9" s="1238">
        <v>0.3</v>
      </c>
      <c r="AE9" s="1238">
        <v>0.3</v>
      </c>
      <c r="AF9" s="1238">
        <v>0.3</v>
      </c>
    </row>
    <row r="10" spans="1:32" collapsed="1">
      <c r="B10" s="1246" t="s">
        <v>2734</v>
      </c>
      <c r="C10" s="1247"/>
      <c r="D10" s="1247"/>
      <c r="E10" s="1247">
        <f>'China Revenues'!F19</f>
        <v>0.65</v>
      </c>
      <c r="F10" s="1247">
        <f>'China Revenues'!G19</f>
        <v>0.65</v>
      </c>
      <c r="G10" s="1247">
        <f>'China Revenues'!H19</f>
        <v>0.65</v>
      </c>
      <c r="H10" s="1247">
        <f>'China Revenues'!I19</f>
        <v>0.65</v>
      </c>
      <c r="I10" s="1247">
        <f>'China Revenues'!J19</f>
        <v>0.65</v>
      </c>
      <c r="J10" s="1247">
        <f>'China Revenues'!K19</f>
        <v>0.65</v>
      </c>
      <c r="K10" s="1247">
        <f>'China Revenues'!L19</f>
        <v>0.65</v>
      </c>
      <c r="L10" s="1247">
        <f>'China Revenues'!M19</f>
        <v>0.65</v>
      </c>
      <c r="M10" s="1247">
        <f>'China Revenues'!N19</f>
        <v>0.65</v>
      </c>
      <c r="N10" s="1247">
        <f>'China Revenues'!O19</f>
        <v>0.65</v>
      </c>
      <c r="O10" s="1247">
        <f>'China Revenues'!P19</f>
        <v>0.65</v>
      </c>
      <c r="P10" s="1247">
        <f>'China Revenues'!Q19</f>
        <v>0.65</v>
      </c>
      <c r="Q10" s="1247">
        <f>'China Revenues'!R19</f>
        <v>0.65</v>
      </c>
      <c r="R10" s="1247">
        <f>'China Revenues'!S19</f>
        <v>0.65</v>
      </c>
      <c r="S10" s="1247">
        <f>'China Revenues'!T19</f>
        <v>0.65</v>
      </c>
      <c r="U10" s="1846">
        <f>S10</f>
        <v>0.65</v>
      </c>
    </row>
    <row r="11" spans="1:32">
      <c r="B11" s="1248" t="s">
        <v>1732</v>
      </c>
      <c r="E11" s="1249">
        <f>E8*E10</f>
        <v>0</v>
      </c>
      <c r="F11" s="1249">
        <f>F8*F10</f>
        <v>0</v>
      </c>
      <c r="G11" s="1249">
        <f>G8*(1-G9)*G10</f>
        <v>18.028751689369066</v>
      </c>
      <c r="H11" s="1249">
        <f t="shared" ref="H11:S11" si="1">H8*(1-H9)*H10</f>
        <v>57.751646834064935</v>
      </c>
      <c r="I11" s="1249">
        <f t="shared" si="1"/>
        <v>102.6259014590662</v>
      </c>
      <c r="J11" s="1249">
        <f t="shared" si="1"/>
        <v>305.5860733895214</v>
      </c>
      <c r="K11" s="1249">
        <f t="shared" si="1"/>
        <v>723.63738616669343</v>
      </c>
      <c r="L11" s="1249">
        <f t="shared" si="1"/>
        <v>973.09076906059363</v>
      </c>
      <c r="M11" s="1249">
        <f t="shared" si="1"/>
        <v>1154.8598877511449</v>
      </c>
      <c r="N11" s="1249">
        <f t="shared" si="1"/>
        <v>1421.8391520949087</v>
      </c>
      <c r="O11" s="1249">
        <f t="shared" si="1"/>
        <v>1450.8622605603512</v>
      </c>
      <c r="P11" s="1249">
        <f t="shared" si="1"/>
        <v>1476.7972939852241</v>
      </c>
      <c r="Q11" s="1249">
        <f t="shared" si="1"/>
        <v>1457.3921775422584</v>
      </c>
      <c r="R11" s="1249">
        <f t="shared" si="1"/>
        <v>1438.242044329352</v>
      </c>
      <c r="S11" s="1249">
        <f t="shared" si="1"/>
        <v>1448.3097386396578</v>
      </c>
      <c r="U11" s="1249">
        <f>U8*(1-U9)*U10</f>
        <v>144.8309738639658</v>
      </c>
    </row>
    <row r="12" spans="1:32" ht="13.5" customHeight="1">
      <c r="E12" s="1808"/>
      <c r="F12" s="1808"/>
      <c r="G12" s="1808"/>
      <c r="H12" s="1808"/>
      <c r="I12" s="1808"/>
      <c r="J12" s="1808"/>
      <c r="K12" s="1808"/>
      <c r="L12" s="1808"/>
      <c r="M12" s="1808"/>
      <c r="N12" s="1808"/>
      <c r="O12" s="1808"/>
      <c r="P12" s="1808"/>
      <c r="Q12" s="1808"/>
      <c r="R12" s="1808"/>
      <c r="S12" s="1808"/>
    </row>
    <row r="13" spans="1:32">
      <c r="B13" s="1250" t="s">
        <v>1733</v>
      </c>
      <c r="E13" s="1162"/>
      <c r="F13" s="312"/>
      <c r="G13" s="1869"/>
      <c r="H13" s="1869"/>
      <c r="I13" s="1869"/>
      <c r="J13" s="1869"/>
      <c r="K13" s="1870"/>
      <c r="L13" s="312"/>
      <c r="M13" s="312"/>
      <c r="N13" s="312"/>
      <c r="O13" s="312"/>
      <c r="P13" s="312"/>
      <c r="Q13" s="312"/>
      <c r="R13" s="312"/>
      <c r="S13" s="312"/>
    </row>
    <row r="14" spans="1:32">
      <c r="B14" s="1251" t="s">
        <v>2763</v>
      </c>
      <c r="E14" s="1868">
        <f t="shared" ref="E14:S14" si="2">-IF(E$8&gt;$AA$15,$Z$15*$Y$16+($AA$15-$Z$15)*$Z$16+(E$8-$AA$15)*$AA$16,IF(E$8&gt;$Z$15,$Z$15*$Y$16+(E$8-$Z$15)*$Z$16,E$8*$Y$16))*E$10-IF(E$6=$AA$23,$AA$18,0)-IF(E$6=$AB$23,$AB$18,0)-IF(E$6=$Z$23,$Z$18,0)-IF(E$6=$Y$23,$Y$18,0)</f>
        <v>0</v>
      </c>
      <c r="F14" s="1868">
        <f t="shared" si="2"/>
        <v>-1</v>
      </c>
      <c r="G14" s="1868">
        <f t="shared" si="2"/>
        <v>-3.2120126182558351</v>
      </c>
      <c r="H14" s="1868">
        <f t="shared" si="2"/>
        <v>-4.0426152783845462</v>
      </c>
      <c r="I14" s="1868">
        <f t="shared" si="2"/>
        <v>-7.1838131021346348</v>
      </c>
      <c r="J14" s="1868">
        <f t="shared" si="2"/>
        <v>-23.146885871161718</v>
      </c>
      <c r="K14" s="1868">
        <f t="shared" si="2"/>
        <v>-70.327364755002407</v>
      </c>
      <c r="L14" s="1868">
        <f t="shared" si="2"/>
        <v>-83.028169215453431</v>
      </c>
      <c r="M14" s="1868">
        <f t="shared" si="2"/>
        <v>-125.38738989760304</v>
      </c>
      <c r="N14" s="1868">
        <f t="shared" si="2"/>
        <v>-123.41552368854178</v>
      </c>
      <c r="O14" s="1868">
        <f t="shared" si="2"/>
        <v>-126.02760345043161</v>
      </c>
      <c r="P14" s="1868">
        <f t="shared" si="2"/>
        <v>-128.36175645867016</v>
      </c>
      <c r="Q14" s="1868">
        <f t="shared" si="2"/>
        <v>-126.61529597880323</v>
      </c>
      <c r="R14" s="1868">
        <f t="shared" si="2"/>
        <v>-124.89178398964168</v>
      </c>
      <c r="S14" s="1868">
        <f t="shared" si="2"/>
        <v>-125.79787647756919</v>
      </c>
      <c r="U14" s="1868">
        <f>(-IF(U$8&gt;$AA$15,$Z$15*$Y$16+($AA$15-$Z$15)*$Z$16+(U$8-$AA$15)*$AA$16,IF(U$8&gt;$Z$15,$Z$15*$Y$16+(U$8-$Z$15)*$Z$16,U$8*$Y$16))*U$10-IF(U$6=$AA$23,$AA$18,0)-IF(U$6=$AB$23,$AB$18,0)-IF(U$6=$Z$23,$Z$18,0)-IF(U$6=$Y$23,$Y$18,0))*W14</f>
        <v>-5.1432389545586314</v>
      </c>
      <c r="V14" s="1865"/>
      <c r="W14" s="1845">
        <v>0.5</v>
      </c>
    </row>
    <row r="15" spans="1:32">
      <c r="B15" s="1251" t="s">
        <v>1734</v>
      </c>
      <c r="E15" s="1252">
        <f>-'China Revenues'!F22</f>
        <v>0</v>
      </c>
      <c r="F15" s="1252">
        <f>-'China Revenues'!G22</f>
        <v>-7.5</v>
      </c>
      <c r="G15" s="1252">
        <f>-'China Revenues'!H22</f>
        <v>-15.45</v>
      </c>
      <c r="H15" s="1252">
        <f>-'China Revenues'!I22</f>
        <v>-23.870249999999999</v>
      </c>
      <c r="I15" s="1252">
        <f>-'China Revenues'!J22</f>
        <v>-32.781810000000007</v>
      </c>
      <c r="J15" s="1252">
        <f>-'China Revenues'!K22</f>
        <v>-33.765264300000005</v>
      </c>
      <c r="K15" s="1252">
        <f>-'China Revenues'!L22</f>
        <v>-34.778222229000008</v>
      </c>
      <c r="L15" s="1252">
        <f>-'China Revenues'!M22</f>
        <v>-35.821568895870008</v>
      </c>
      <c r="M15" s="1252">
        <f>-'China Revenues'!N22</f>
        <v>-36.896215962746105</v>
      </c>
      <c r="N15" s="1252">
        <f>-'China Revenues'!O22</f>
        <v>-38.003102441628485</v>
      </c>
      <c r="O15" s="1252">
        <f>-'China Revenues'!P22</f>
        <v>-39.143195514877341</v>
      </c>
      <c r="P15" s="1252">
        <f>-'China Revenues'!Q22</f>
        <v>-40.317491380323673</v>
      </c>
      <c r="Q15" s="1252">
        <f>-'China Revenues'!R22</f>
        <v>-41.527016121733382</v>
      </c>
      <c r="R15" s="1252">
        <f>-'China Revenues'!S22</f>
        <v>-42.772826605385383</v>
      </c>
      <c r="S15" s="1252">
        <f>-'China Revenues'!T22</f>
        <v>-44.056011403546947</v>
      </c>
      <c r="U15" s="1252">
        <f>S15</f>
        <v>-44.056011403546947</v>
      </c>
      <c r="X15" s="1250" t="s">
        <v>2728</v>
      </c>
      <c r="Y15" s="1803">
        <f>'China Revenues'!W20</f>
        <v>0</v>
      </c>
      <c r="Z15" s="1803">
        <f>'China Revenues'!X20</f>
        <v>200</v>
      </c>
      <c r="AA15" s="1803">
        <f>'China Revenues'!Y20</f>
        <v>500</v>
      </c>
      <c r="AB15" s="1840">
        <v>1000</v>
      </c>
    </row>
    <row r="16" spans="1:32">
      <c r="B16" s="1251" t="s">
        <v>82</v>
      </c>
      <c r="E16" s="2546">
        <f>Projections!D13</f>
        <v>-12.389178314995529</v>
      </c>
      <c r="F16" s="2546">
        <f>Projections!E13</f>
        <v>-15.448760630746975</v>
      </c>
      <c r="G16" s="1252">
        <f t="shared" ref="G16:U16" si="3">-(G11*G92)-(G11*G93)</f>
        <v>-15.685013969751088</v>
      </c>
      <c r="H16" s="1252">
        <f t="shared" si="3"/>
        <v>-42.736218657208049</v>
      </c>
      <c r="I16" s="1252">
        <f t="shared" si="3"/>
        <v>-62.601799890030378</v>
      </c>
      <c r="J16" s="1252">
        <f t="shared" si="3"/>
        <v>-146.68131522697027</v>
      </c>
      <c r="K16" s="1252">
        <f t="shared" si="3"/>
        <v>-318.40044991334508</v>
      </c>
      <c r="L16" s="1252">
        <f t="shared" si="3"/>
        <v>-413.56357685075227</v>
      </c>
      <c r="M16" s="1252">
        <f t="shared" si="3"/>
        <v>-490.58448031668638</v>
      </c>
      <c r="N16" s="1252">
        <f t="shared" si="3"/>
        <v>-603.99727180991727</v>
      </c>
      <c r="O16" s="1252">
        <f t="shared" si="3"/>
        <v>-616.32628828603708</v>
      </c>
      <c r="P16" s="1252">
        <f t="shared" si="3"/>
        <v>-627.34349048492322</v>
      </c>
      <c r="Q16" s="1252">
        <f t="shared" si="3"/>
        <v>-619.10019701995134</v>
      </c>
      <c r="R16" s="1252">
        <f t="shared" si="3"/>
        <v>-610.96522043110872</v>
      </c>
      <c r="S16" s="1252">
        <f t="shared" si="3"/>
        <v>-615.2419769741266</v>
      </c>
      <c r="U16" s="1252">
        <f t="shared" si="3"/>
        <v>-61.524197697412674</v>
      </c>
      <c r="X16" s="1250" t="s">
        <v>2729</v>
      </c>
      <c r="Y16" s="1804">
        <f>'China Revenues'!W21</f>
        <v>7.0000000000000007E-2</v>
      </c>
      <c r="Z16" s="1804">
        <f>'China Revenues'!X21</f>
        <v>0.08</v>
      </c>
      <c r="AA16" s="1804">
        <f>'China Revenues'!Y21</f>
        <v>0.09</v>
      </c>
    </row>
    <row r="17" spans="2:28">
      <c r="B17" s="1251" t="s">
        <v>1735</v>
      </c>
      <c r="E17" s="2546">
        <f>Projections!D14</f>
        <v>-64.767058876059835</v>
      </c>
      <c r="F17" s="2546">
        <f>Projections!E14</f>
        <v>-48.948593930843067</v>
      </c>
      <c r="G17" s="1252">
        <f>-'China Revenues'!H24</f>
        <v>-10</v>
      </c>
      <c r="H17" s="1252">
        <f>-'China Revenues'!I24</f>
        <v>-10</v>
      </c>
      <c r="I17" s="1252">
        <f>-'China Revenues'!J24</f>
        <v>-10</v>
      </c>
      <c r="J17" s="1252">
        <f>-'China Revenues'!K24</f>
        <v>-10</v>
      </c>
      <c r="K17" s="1252">
        <f>-'China Revenues'!L24</f>
        <v>0</v>
      </c>
      <c r="L17" s="1252">
        <f>-'China Revenues'!M24</f>
        <v>0</v>
      </c>
      <c r="M17" s="1252">
        <f>-'China Revenues'!N24</f>
        <v>0</v>
      </c>
      <c r="N17" s="1252">
        <f>-'China Revenues'!O24</f>
        <v>0</v>
      </c>
      <c r="O17" s="1252">
        <f>-'China Revenues'!P24</f>
        <v>0</v>
      </c>
      <c r="P17" s="1252">
        <f>-'China Revenues'!Q24</f>
        <v>0</v>
      </c>
      <c r="Q17" s="1252">
        <f>-'China Revenues'!R24</f>
        <v>0</v>
      </c>
      <c r="R17" s="1252">
        <f>-'China Revenues'!S24</f>
        <v>0</v>
      </c>
      <c r="S17" s="1252">
        <f>-'China Revenues'!T24</f>
        <v>0</v>
      </c>
      <c r="U17" s="1252">
        <f>-'China Revenues'!V24</f>
        <v>0</v>
      </c>
      <c r="X17" s="1250" t="s">
        <v>2764</v>
      </c>
      <c r="Y17" s="1867">
        <v>1</v>
      </c>
      <c r="Z17" s="1867">
        <v>3</v>
      </c>
      <c r="AA17" s="1842">
        <v>15</v>
      </c>
      <c r="AB17" s="1842">
        <v>40</v>
      </c>
    </row>
    <row r="18" spans="2:28">
      <c r="B18" s="1251" t="s">
        <v>2735</v>
      </c>
      <c r="C18" s="1793">
        <f>'China Revenues'!F53</f>
        <v>2.5000000000000001E-2</v>
      </c>
      <c r="E18" s="1252">
        <f t="shared" ref="E18:S18" si="4">-E11*$C$18</f>
        <v>0</v>
      </c>
      <c r="F18" s="1252">
        <f t="shared" si="4"/>
        <v>0</v>
      </c>
      <c r="G18" s="1252">
        <f t="shared" si="4"/>
        <v>-0.45071879223422667</v>
      </c>
      <c r="H18" s="1252">
        <f t="shared" si="4"/>
        <v>-1.4437911708516236</v>
      </c>
      <c r="I18" s="1252">
        <f t="shared" si="4"/>
        <v>-2.5656475364766553</v>
      </c>
      <c r="J18" s="1252">
        <f t="shared" si="4"/>
        <v>-7.6396518347380358</v>
      </c>
      <c r="K18" s="1252">
        <f t="shared" si="4"/>
        <v>-18.090934654167338</v>
      </c>
      <c r="L18" s="1252">
        <f t="shared" si="4"/>
        <v>-24.327269226514844</v>
      </c>
      <c r="M18" s="1252">
        <f t="shared" si="4"/>
        <v>-28.871497193778623</v>
      </c>
      <c r="N18" s="1252">
        <f t="shared" si="4"/>
        <v>-35.545978802372723</v>
      </c>
      <c r="O18" s="1252">
        <f t="shared" si="4"/>
        <v>-36.271556514008779</v>
      </c>
      <c r="P18" s="1252">
        <f t="shared" si="4"/>
        <v>-36.919932349630606</v>
      </c>
      <c r="Q18" s="1252">
        <f t="shared" si="4"/>
        <v>-36.434804438556462</v>
      </c>
      <c r="R18" s="1252">
        <f t="shared" si="4"/>
        <v>-35.956051108233801</v>
      </c>
      <c r="S18" s="1252">
        <f t="shared" si="4"/>
        <v>-36.207743465991449</v>
      </c>
      <c r="U18" s="1252">
        <f>-U11*$C$18</f>
        <v>-3.6207743465991449</v>
      </c>
      <c r="X18" s="1250" t="s">
        <v>2765</v>
      </c>
      <c r="Y18" s="1867">
        <f>Y17</f>
        <v>1</v>
      </c>
      <c r="Z18" s="1841">
        <f>Z17*$S$10</f>
        <v>1.9500000000000002</v>
      </c>
      <c r="AA18" s="1841">
        <f>AA17*$S$10</f>
        <v>9.75</v>
      </c>
      <c r="AB18" s="1841">
        <f>AB17*$S$10</f>
        <v>26</v>
      </c>
    </row>
    <row r="19" spans="2:28" ht="8.1" customHeight="1">
      <c r="E19" s="1253"/>
      <c r="F19" s="1253"/>
      <c r="G19" s="1253"/>
      <c r="H19" s="1253"/>
      <c r="I19" s="1253"/>
      <c r="J19" s="1253"/>
      <c r="K19" s="1253"/>
      <c r="L19" s="1253"/>
      <c r="M19" s="1253"/>
      <c r="N19" s="1253"/>
      <c r="O19" s="1253"/>
      <c r="P19" s="1253"/>
      <c r="Q19" s="1253"/>
      <c r="R19" s="1253"/>
      <c r="S19" s="1253"/>
      <c r="U19" s="1253"/>
    </row>
    <row r="20" spans="2:28">
      <c r="B20" s="1250" t="s">
        <v>1736</v>
      </c>
      <c r="E20" s="1254">
        <f t="shared" ref="E20:S20" si="5">SUM(E11,E14:E18)</f>
        <v>-77.156237191055368</v>
      </c>
      <c r="F20" s="1254">
        <f t="shared" si="5"/>
        <v>-72.897354561590049</v>
      </c>
      <c r="G20" s="1254">
        <f t="shared" si="5"/>
        <v>-26.768993690872083</v>
      </c>
      <c r="H20" s="1254">
        <f t="shared" si="5"/>
        <v>-24.341228272379283</v>
      </c>
      <c r="I20" s="1254">
        <f t="shared" si="5"/>
        <v>-12.507169069575477</v>
      </c>
      <c r="J20" s="1254">
        <f t="shared" si="5"/>
        <v>84.352956156651373</v>
      </c>
      <c r="K20" s="1254">
        <f t="shared" si="5"/>
        <v>282.04041461517858</v>
      </c>
      <c r="L20" s="1254">
        <f t="shared" si="5"/>
        <v>416.35018487200313</v>
      </c>
      <c r="M20" s="1254">
        <f t="shared" si="5"/>
        <v>473.12030438033082</v>
      </c>
      <c r="N20" s="1254">
        <f t="shared" si="5"/>
        <v>620.87727535244858</v>
      </c>
      <c r="O20" s="1254">
        <f t="shared" si="5"/>
        <v>633.09361679499636</v>
      </c>
      <c r="P20" s="1254">
        <f t="shared" si="5"/>
        <v>643.85462331167639</v>
      </c>
      <c r="Q20" s="1254">
        <f t="shared" si="5"/>
        <v>633.71486398321395</v>
      </c>
      <c r="R20" s="1254">
        <f t="shared" si="5"/>
        <v>623.65616219498224</v>
      </c>
      <c r="S20" s="1254">
        <f t="shared" si="5"/>
        <v>627.00613031842352</v>
      </c>
      <c r="U20" s="1254">
        <f>SUM(U11,U14:U18)</f>
        <v>30.486751461848403</v>
      </c>
      <c r="X20" s="1250" t="s">
        <v>2766</v>
      </c>
      <c r="AA20" s="1238">
        <f>MATCH(AA15,$E$11:$S$11,1)+1</f>
        <v>7</v>
      </c>
      <c r="AB20" s="1238">
        <f>MATCH(AB15,$E$11:$S$11,1)+1</f>
        <v>9</v>
      </c>
    </row>
    <row r="21" spans="2:28" hidden="1" outlineLevel="1">
      <c r="B21" s="1255" t="s">
        <v>1737</v>
      </c>
      <c r="E21" s="1256">
        <f t="shared" ref="E21:S21" si="6">SUM(E14:E18)</f>
        <v>-77.156237191055368</v>
      </c>
      <c r="F21" s="1256">
        <f t="shared" si="6"/>
        <v>-72.897354561590049</v>
      </c>
      <c r="G21" s="1256">
        <f t="shared" si="6"/>
        <v>-44.797745380241146</v>
      </c>
      <c r="H21" s="1256">
        <f t="shared" si="6"/>
        <v>-82.092875106444211</v>
      </c>
      <c r="I21" s="1256">
        <f t="shared" si="6"/>
        <v>-115.13307052864168</v>
      </c>
      <c r="J21" s="1256">
        <f t="shared" si="6"/>
        <v>-221.23311723287003</v>
      </c>
      <c r="K21" s="1256">
        <f t="shared" si="6"/>
        <v>-441.5969715515148</v>
      </c>
      <c r="L21" s="1256">
        <f t="shared" si="6"/>
        <v>-556.74058418859056</v>
      </c>
      <c r="M21" s="1256">
        <f t="shared" si="6"/>
        <v>-681.73958337081422</v>
      </c>
      <c r="N21" s="1256">
        <f t="shared" si="6"/>
        <v>-800.96187674246016</v>
      </c>
      <c r="O21" s="1256">
        <f t="shared" si="6"/>
        <v>-817.76864376535491</v>
      </c>
      <c r="P21" s="1256">
        <f t="shared" si="6"/>
        <v>-832.9426706735477</v>
      </c>
      <c r="Q21" s="1256">
        <f t="shared" si="6"/>
        <v>-823.67731355904448</v>
      </c>
      <c r="R21" s="1256">
        <f t="shared" si="6"/>
        <v>-814.58588213436963</v>
      </c>
      <c r="S21" s="1256">
        <f t="shared" si="6"/>
        <v>-821.30360832123426</v>
      </c>
      <c r="U21" s="1256">
        <f>SUM(U14:U18)</f>
        <v>-114.3442224021174</v>
      </c>
    </row>
    <row r="22" spans="2:28" ht="8.1" customHeight="1" collapsed="1">
      <c r="B22" s="1250"/>
      <c r="E22" s="1257"/>
      <c r="F22" s="1257"/>
      <c r="G22" s="1257"/>
      <c r="H22" s="1257"/>
      <c r="I22" s="1257"/>
      <c r="J22" s="1257"/>
      <c r="K22" s="1257"/>
      <c r="L22" s="1257"/>
      <c r="M22" s="1257"/>
      <c r="N22" s="1257"/>
      <c r="O22" s="1257"/>
      <c r="P22" s="1257"/>
      <c r="Q22" s="1257"/>
      <c r="R22" s="1257"/>
      <c r="S22" s="1257"/>
      <c r="U22" s="1257"/>
    </row>
    <row r="23" spans="2:28">
      <c r="B23" s="1250" t="s">
        <v>1738</v>
      </c>
      <c r="E23" s="1253"/>
      <c r="F23" s="1253"/>
      <c r="G23" s="1253"/>
      <c r="H23" s="1253"/>
      <c r="I23" s="1253"/>
      <c r="J23" s="1253"/>
      <c r="K23" s="1253"/>
      <c r="L23" s="1253"/>
      <c r="M23" s="1253"/>
      <c r="N23" s="1253"/>
      <c r="O23" s="1253"/>
      <c r="P23" s="1253"/>
      <c r="Q23" s="1253"/>
      <c r="R23" s="1253"/>
      <c r="S23" s="1253"/>
      <c r="U23" s="1253"/>
      <c r="X23" s="1250" t="s">
        <v>1768</v>
      </c>
      <c r="Y23" s="1867" t="str">
        <f>F6</f>
        <v>2019</v>
      </c>
      <c r="Z23" s="1867" t="str">
        <f>G6</f>
        <v>2020</v>
      </c>
      <c r="AA23" s="1843" t="str">
        <f>INDEX($E$6:$S$6,,AA20)</f>
        <v>2024</v>
      </c>
      <c r="AB23" s="1843" t="str">
        <f>INDEX($E$6:$S$6,,AB20)</f>
        <v>2026</v>
      </c>
    </row>
    <row r="24" spans="2:28">
      <c r="B24" s="1251" t="s">
        <v>1739</v>
      </c>
      <c r="E24" s="1618">
        <f>-'Hist BS'!G45/1000</f>
        <v>55.539379999999994</v>
      </c>
      <c r="F24" s="1258">
        <f>E27</f>
        <v>132.69561719105536</v>
      </c>
      <c r="G24" s="1258">
        <f t="shared" ref="G24:S24" si="7">F27</f>
        <v>205.59297175264541</v>
      </c>
      <c r="H24" s="1258">
        <f t="shared" si="7"/>
        <v>232.36196544351751</v>
      </c>
      <c r="I24" s="1258">
        <f t="shared" si="7"/>
        <v>256.70319371589676</v>
      </c>
      <c r="J24" s="1258">
        <f t="shared" si="7"/>
        <v>269.21036278547223</v>
      </c>
      <c r="K24" s="1258">
        <f t="shared" si="7"/>
        <v>184.85740662882085</v>
      </c>
      <c r="L24" s="1258">
        <f t="shared" si="7"/>
        <v>0</v>
      </c>
      <c r="M24" s="1258">
        <f t="shared" si="7"/>
        <v>0</v>
      </c>
      <c r="N24" s="1258">
        <f t="shared" si="7"/>
        <v>0</v>
      </c>
      <c r="O24" s="1258">
        <f t="shared" si="7"/>
        <v>0</v>
      </c>
      <c r="P24" s="1258">
        <f t="shared" si="7"/>
        <v>0</v>
      </c>
      <c r="Q24" s="1258">
        <f t="shared" si="7"/>
        <v>0</v>
      </c>
      <c r="R24" s="1258">
        <f t="shared" si="7"/>
        <v>0</v>
      </c>
      <c r="S24" s="1258">
        <f t="shared" si="7"/>
        <v>0</v>
      </c>
      <c r="U24" s="1258">
        <f>S27</f>
        <v>0</v>
      </c>
    </row>
    <row r="25" spans="2:28" ht="12.75" customHeight="1">
      <c r="B25" s="1259" t="s">
        <v>1740</v>
      </c>
      <c r="E25" s="1258">
        <f>IF(E20&gt;0,0,-E20)</f>
        <v>77.156237191055368</v>
      </c>
      <c r="F25" s="1258">
        <f t="shared" ref="F25:S25" si="8">IF(F20&gt;0,0,-F20)</f>
        <v>72.897354561590049</v>
      </c>
      <c r="G25" s="1258">
        <f t="shared" si="8"/>
        <v>26.768993690872083</v>
      </c>
      <c r="H25" s="1258">
        <f t="shared" si="8"/>
        <v>24.341228272379283</v>
      </c>
      <c r="I25" s="1258">
        <f t="shared" si="8"/>
        <v>12.507169069575477</v>
      </c>
      <c r="J25" s="1258">
        <f t="shared" si="8"/>
        <v>0</v>
      </c>
      <c r="K25" s="1258">
        <f t="shared" si="8"/>
        <v>0</v>
      </c>
      <c r="L25" s="1258">
        <f t="shared" si="8"/>
        <v>0</v>
      </c>
      <c r="M25" s="1258">
        <f t="shared" si="8"/>
        <v>0</v>
      </c>
      <c r="N25" s="1258">
        <f t="shared" si="8"/>
        <v>0</v>
      </c>
      <c r="O25" s="1258">
        <f t="shared" si="8"/>
        <v>0</v>
      </c>
      <c r="P25" s="1258">
        <f t="shared" si="8"/>
        <v>0</v>
      </c>
      <c r="Q25" s="1258">
        <f t="shared" si="8"/>
        <v>0</v>
      </c>
      <c r="R25" s="1258">
        <f t="shared" si="8"/>
        <v>0</v>
      </c>
      <c r="S25" s="1258">
        <f t="shared" si="8"/>
        <v>0</v>
      </c>
      <c r="U25" s="1258">
        <f>IF(U20&gt;0,0,-U20)</f>
        <v>0</v>
      </c>
    </row>
    <row r="26" spans="2:28">
      <c r="B26" s="1259" t="s">
        <v>1741</v>
      </c>
      <c r="E26" s="1245">
        <f>IF(E20&gt;0,-MAX(MIN(SUM(E24:E25),E20),0),0)</f>
        <v>0</v>
      </c>
      <c r="F26" s="1245">
        <f t="shared" ref="F26:S26" si="9">IF(F20&gt;0,-MAX(MIN(SUM(F24:F25),F20),0),0)</f>
        <v>0</v>
      </c>
      <c r="G26" s="1245">
        <f t="shared" si="9"/>
        <v>0</v>
      </c>
      <c r="H26" s="1245">
        <f t="shared" si="9"/>
        <v>0</v>
      </c>
      <c r="I26" s="1245">
        <f t="shared" si="9"/>
        <v>0</v>
      </c>
      <c r="J26" s="1245">
        <f t="shared" si="9"/>
        <v>-84.352956156651373</v>
      </c>
      <c r="K26" s="1245">
        <f t="shared" si="9"/>
        <v>-184.85740662882085</v>
      </c>
      <c r="L26" s="1245">
        <f t="shared" si="9"/>
        <v>0</v>
      </c>
      <c r="M26" s="1245">
        <f t="shared" si="9"/>
        <v>0</v>
      </c>
      <c r="N26" s="1245">
        <f t="shared" si="9"/>
        <v>0</v>
      </c>
      <c r="O26" s="1245">
        <f t="shared" si="9"/>
        <v>0</v>
      </c>
      <c r="P26" s="1245">
        <f t="shared" si="9"/>
        <v>0</v>
      </c>
      <c r="Q26" s="1245">
        <f t="shared" si="9"/>
        <v>0</v>
      </c>
      <c r="R26" s="1245">
        <f t="shared" si="9"/>
        <v>0</v>
      </c>
      <c r="S26" s="1253">
        <f t="shared" si="9"/>
        <v>0</v>
      </c>
      <c r="U26" s="1253">
        <f>IF(U20&gt;0,-MAX(MIN(SUM(U24:U25),U20),0),0)</f>
        <v>0</v>
      </c>
    </row>
    <row r="27" spans="2:28">
      <c r="B27" s="1251" t="s">
        <v>1742</v>
      </c>
      <c r="E27" s="1260">
        <f>SUM(E24:E26)</f>
        <v>132.69561719105536</v>
      </c>
      <c r="F27" s="1260">
        <f t="shared" ref="F27:S27" si="10">SUM(F24:F26)</f>
        <v>205.59297175264541</v>
      </c>
      <c r="G27" s="1260">
        <f t="shared" si="10"/>
        <v>232.36196544351751</v>
      </c>
      <c r="H27" s="1260">
        <f t="shared" si="10"/>
        <v>256.70319371589676</v>
      </c>
      <c r="I27" s="1260">
        <f t="shared" si="10"/>
        <v>269.21036278547223</v>
      </c>
      <c r="J27" s="1260">
        <f t="shared" si="10"/>
        <v>184.85740662882085</v>
      </c>
      <c r="K27" s="1260">
        <f t="shared" si="10"/>
        <v>0</v>
      </c>
      <c r="L27" s="1260">
        <f t="shared" si="10"/>
        <v>0</v>
      </c>
      <c r="M27" s="1260">
        <f t="shared" si="10"/>
        <v>0</v>
      </c>
      <c r="N27" s="1260">
        <f t="shared" si="10"/>
        <v>0</v>
      </c>
      <c r="O27" s="1260">
        <f t="shared" si="10"/>
        <v>0</v>
      </c>
      <c r="P27" s="1260">
        <f t="shared" si="10"/>
        <v>0</v>
      </c>
      <c r="Q27" s="1260">
        <f t="shared" si="10"/>
        <v>0</v>
      </c>
      <c r="R27" s="1260">
        <f t="shared" si="10"/>
        <v>0</v>
      </c>
      <c r="S27" s="1261">
        <f t="shared" si="10"/>
        <v>0</v>
      </c>
      <c r="U27" s="1261">
        <f>SUM(U24:U26)</f>
        <v>0</v>
      </c>
    </row>
    <row r="28" spans="2:28" ht="8.1" customHeight="1">
      <c r="B28" s="1259"/>
      <c r="E28" s="1245"/>
      <c r="F28" s="1245"/>
      <c r="G28" s="1245"/>
      <c r="H28" s="1245"/>
      <c r="I28" s="1245"/>
      <c r="J28" s="1245"/>
      <c r="K28" s="1245"/>
      <c r="L28" s="1245"/>
      <c r="M28" s="1245"/>
      <c r="N28" s="1245"/>
      <c r="O28" s="1245"/>
      <c r="P28" s="1245"/>
      <c r="Q28" s="1245"/>
      <c r="R28" s="1245"/>
      <c r="S28" s="1253"/>
      <c r="U28" s="1253"/>
    </row>
    <row r="29" spans="2:28">
      <c r="B29" s="1250" t="s">
        <v>1743</v>
      </c>
      <c r="E29" s="1249">
        <f>SUM(E25:E26,E20)</f>
        <v>0</v>
      </c>
      <c r="F29" s="1249">
        <f t="shared" ref="F29:S29" si="11">SUM(F25:F26,F20)</f>
        <v>0</v>
      </c>
      <c r="G29" s="1249">
        <f t="shared" si="11"/>
        <v>0</v>
      </c>
      <c r="H29" s="1249">
        <f t="shared" si="11"/>
        <v>0</v>
      </c>
      <c r="I29" s="1249">
        <f t="shared" si="11"/>
        <v>0</v>
      </c>
      <c r="J29" s="1249">
        <f t="shared" si="11"/>
        <v>0</v>
      </c>
      <c r="K29" s="1249">
        <f t="shared" si="11"/>
        <v>97.183007986357723</v>
      </c>
      <c r="L29" s="1249">
        <f t="shared" si="11"/>
        <v>416.35018487200313</v>
      </c>
      <c r="M29" s="1249">
        <f t="shared" si="11"/>
        <v>473.12030438033082</v>
      </c>
      <c r="N29" s="1249">
        <f t="shared" si="11"/>
        <v>620.87727535244858</v>
      </c>
      <c r="O29" s="1249">
        <f t="shared" si="11"/>
        <v>633.09361679499636</v>
      </c>
      <c r="P29" s="1249">
        <f t="shared" si="11"/>
        <v>643.85462331167639</v>
      </c>
      <c r="Q29" s="1249">
        <f t="shared" si="11"/>
        <v>633.71486398321395</v>
      </c>
      <c r="R29" s="1249">
        <f t="shared" si="11"/>
        <v>623.65616219498224</v>
      </c>
      <c r="S29" s="1254">
        <f t="shared" si="11"/>
        <v>627.00613031842352</v>
      </c>
      <c r="U29" s="1254">
        <f>SUM(U25:U26,U20)</f>
        <v>30.486751461848403</v>
      </c>
    </row>
    <row r="30" spans="2:28">
      <c r="B30" s="1251" t="s">
        <v>2754</v>
      </c>
      <c r="C30" s="1262">
        <f>'China Revenues'!$F$61</f>
        <v>0.25</v>
      </c>
      <c r="D30" s="1263"/>
      <c r="E30" s="1253">
        <f>E29*-$C$30</f>
        <v>0</v>
      </c>
      <c r="F30" s="1253">
        <f t="shared" ref="F30:S30" si="12">F29*-$C$30</f>
        <v>0</v>
      </c>
      <c r="G30" s="1253">
        <f t="shared" si="12"/>
        <v>0</v>
      </c>
      <c r="H30" s="1253">
        <f t="shared" si="12"/>
        <v>0</v>
      </c>
      <c r="I30" s="1253">
        <f t="shared" si="12"/>
        <v>0</v>
      </c>
      <c r="J30" s="1253">
        <f t="shared" si="12"/>
        <v>0</v>
      </c>
      <c r="K30" s="1253">
        <f t="shared" si="12"/>
        <v>-24.295751996589431</v>
      </c>
      <c r="L30" s="1253">
        <f t="shared" si="12"/>
        <v>-104.08754621800078</v>
      </c>
      <c r="M30" s="1253">
        <f t="shared" si="12"/>
        <v>-118.28007609508271</v>
      </c>
      <c r="N30" s="1253">
        <f t="shared" si="12"/>
        <v>-155.21931883811214</v>
      </c>
      <c r="O30" s="1253">
        <f t="shared" si="12"/>
        <v>-158.27340419874909</v>
      </c>
      <c r="P30" s="1253">
        <f t="shared" si="12"/>
        <v>-160.9636558279191</v>
      </c>
      <c r="Q30" s="1253">
        <f t="shared" si="12"/>
        <v>-158.42871599580349</v>
      </c>
      <c r="R30" s="1253">
        <f t="shared" si="12"/>
        <v>-155.91404054874556</v>
      </c>
      <c r="S30" s="1253">
        <f t="shared" si="12"/>
        <v>-156.75153257960588</v>
      </c>
      <c r="U30" s="1253">
        <f>U29*-$C$30</f>
        <v>-7.6216878654621008</v>
      </c>
    </row>
    <row r="31" spans="2:28" ht="12.75" customHeight="1">
      <c r="B31" s="1250" t="s">
        <v>1744</v>
      </c>
      <c r="E31" s="1249">
        <f t="shared" ref="E31:S31" si="13">SUM(E20,E30)</f>
        <v>-77.156237191055368</v>
      </c>
      <c r="F31" s="1249">
        <f t="shared" si="13"/>
        <v>-72.897354561590049</v>
      </c>
      <c r="G31" s="1249">
        <f t="shared" si="13"/>
        <v>-26.768993690872083</v>
      </c>
      <c r="H31" s="1249">
        <f t="shared" si="13"/>
        <v>-24.341228272379283</v>
      </c>
      <c r="I31" s="1249">
        <f t="shared" si="13"/>
        <v>-12.507169069575477</v>
      </c>
      <c r="J31" s="1249">
        <f t="shared" si="13"/>
        <v>84.352956156651373</v>
      </c>
      <c r="K31" s="1249">
        <f t="shared" si="13"/>
        <v>257.74466261858913</v>
      </c>
      <c r="L31" s="1249">
        <f t="shared" si="13"/>
        <v>312.26263865400233</v>
      </c>
      <c r="M31" s="1249">
        <f t="shared" si="13"/>
        <v>354.84022828524814</v>
      </c>
      <c r="N31" s="1249">
        <f t="shared" si="13"/>
        <v>465.65795651433643</v>
      </c>
      <c r="O31" s="1249">
        <f t="shared" si="13"/>
        <v>474.8202125962473</v>
      </c>
      <c r="P31" s="1249">
        <f t="shared" si="13"/>
        <v>482.89096748375732</v>
      </c>
      <c r="Q31" s="1249">
        <f t="shared" si="13"/>
        <v>475.28614798741046</v>
      </c>
      <c r="R31" s="1249">
        <f t="shared" si="13"/>
        <v>467.74212164623668</v>
      </c>
      <c r="S31" s="1249">
        <f t="shared" si="13"/>
        <v>470.25459773881767</v>
      </c>
      <c r="U31" s="1249">
        <f>SUM(U20,U30)</f>
        <v>22.865063596386303</v>
      </c>
    </row>
    <row r="32" spans="2:28" ht="8.1" customHeight="1">
      <c r="E32" s="1245"/>
      <c r="F32" s="1245"/>
      <c r="G32" s="1245"/>
      <c r="H32" s="1245"/>
      <c r="I32" s="1245"/>
      <c r="J32" s="1245"/>
      <c r="K32" s="1245"/>
      <c r="L32" s="1245"/>
      <c r="M32" s="1245"/>
      <c r="N32" s="1245"/>
      <c r="O32" s="1245"/>
      <c r="P32" s="1245"/>
      <c r="Q32" s="1245"/>
      <c r="R32" s="1245"/>
      <c r="S32" s="1245"/>
      <c r="U32" s="1245"/>
    </row>
    <row r="33" spans="2:26" ht="12.75" customHeight="1">
      <c r="B33" s="1251" t="s">
        <v>2755</v>
      </c>
      <c r="E33" s="1264">
        <f>-E18</f>
        <v>0</v>
      </c>
      <c r="F33" s="1264">
        <f t="shared" ref="F33:S33" si="14">-F18</f>
        <v>0</v>
      </c>
      <c r="G33" s="1264">
        <f t="shared" si="14"/>
        <v>0.45071879223422667</v>
      </c>
      <c r="H33" s="1264">
        <f t="shared" si="14"/>
        <v>1.4437911708516236</v>
      </c>
      <c r="I33" s="1264">
        <f t="shared" si="14"/>
        <v>2.5656475364766553</v>
      </c>
      <c r="J33" s="1264">
        <f t="shared" si="14"/>
        <v>7.6396518347380358</v>
      </c>
      <c r="K33" s="1264">
        <f t="shared" si="14"/>
        <v>18.090934654167338</v>
      </c>
      <c r="L33" s="1264">
        <f t="shared" si="14"/>
        <v>24.327269226514844</v>
      </c>
      <c r="M33" s="1264">
        <f t="shared" si="14"/>
        <v>28.871497193778623</v>
      </c>
      <c r="N33" s="1264">
        <f t="shared" si="14"/>
        <v>35.545978802372723</v>
      </c>
      <c r="O33" s="1264">
        <f t="shared" si="14"/>
        <v>36.271556514008779</v>
      </c>
      <c r="P33" s="1264">
        <f t="shared" si="14"/>
        <v>36.919932349630606</v>
      </c>
      <c r="Q33" s="1264">
        <f t="shared" si="14"/>
        <v>36.434804438556462</v>
      </c>
      <c r="R33" s="1264">
        <f t="shared" si="14"/>
        <v>35.956051108233801</v>
      </c>
      <c r="S33" s="1264">
        <f t="shared" si="14"/>
        <v>36.207743465991449</v>
      </c>
      <c r="U33" s="1264">
        <f>-U18</f>
        <v>3.6207743465991449</v>
      </c>
    </row>
    <row r="34" spans="2:26" ht="12.75" customHeight="1">
      <c r="B34" s="1251" t="s">
        <v>2756</v>
      </c>
      <c r="C34" s="1262"/>
      <c r="D34" s="1265"/>
      <c r="E34" s="1258">
        <f>-'China Revenues'!F58</f>
        <v>0</v>
      </c>
      <c r="F34" s="1258">
        <f>-'China Revenues'!G58</f>
        <v>-25</v>
      </c>
      <c r="G34" s="1258">
        <f>-'China Revenues'!H58</f>
        <v>-0.45071879223422667</v>
      </c>
      <c r="H34" s="1258">
        <f>-'China Revenues'!I58</f>
        <v>-1.4437911708516236</v>
      </c>
      <c r="I34" s="1258">
        <f>-'China Revenues'!J58</f>
        <v>-2.5656475364766553</v>
      </c>
      <c r="J34" s="1258">
        <f>-'China Revenues'!K58</f>
        <v>-7.6396518347380358</v>
      </c>
      <c r="K34" s="1258">
        <f>-'China Revenues'!L58</f>
        <v>-18.090934654167338</v>
      </c>
      <c r="L34" s="1258">
        <f>-'China Revenues'!M58</f>
        <v>-24.327269226514844</v>
      </c>
      <c r="M34" s="1258">
        <f>-'China Revenues'!N58</f>
        <v>-28.871497193778623</v>
      </c>
      <c r="N34" s="1258">
        <f>-'China Revenues'!O58</f>
        <v>-35.545978802372723</v>
      </c>
      <c r="O34" s="1258">
        <f>-'China Revenues'!P58</f>
        <v>-36.271556514008779</v>
      </c>
      <c r="P34" s="1258">
        <f>-'China Revenues'!Q58</f>
        <v>-36.919932349630606</v>
      </c>
      <c r="Q34" s="1258">
        <f>-'China Revenues'!R58</f>
        <v>-36.434804438556462</v>
      </c>
      <c r="R34" s="1258">
        <f>-'China Revenues'!S58</f>
        <v>-35.956051108233801</v>
      </c>
      <c r="S34" s="1258">
        <f>-'China Revenues'!T58</f>
        <v>-36.207743465991449</v>
      </c>
      <c r="U34" s="1848">
        <f>-U33</f>
        <v>-3.6207743465991449</v>
      </c>
    </row>
    <row r="35" spans="2:26" ht="12.75" customHeight="1">
      <c r="B35" s="137" t="s">
        <v>2757</v>
      </c>
      <c r="C35" s="2502">
        <v>0.1</v>
      </c>
      <c r="D35" s="1265"/>
      <c r="E35" s="1258"/>
      <c r="F35" s="1258">
        <f t="shared" ref="F35:S35" si="15">-(F11-E11)*$C$35</f>
        <v>0</v>
      </c>
      <c r="G35" s="1258">
        <f t="shared" si="15"/>
        <v>-1.8028751689369067</v>
      </c>
      <c r="H35" s="1258">
        <f t="shared" si="15"/>
        <v>-3.9722895144695869</v>
      </c>
      <c r="I35" s="1258">
        <f t="shared" si="15"/>
        <v>-4.4874254625001262</v>
      </c>
      <c r="J35" s="1258">
        <f t="shared" si="15"/>
        <v>-20.296017193045522</v>
      </c>
      <c r="K35" s="1258">
        <f t="shared" si="15"/>
        <v>-41.805131277717209</v>
      </c>
      <c r="L35" s="1258">
        <f t="shared" si="15"/>
        <v>-24.945338289390023</v>
      </c>
      <c r="M35" s="1258">
        <f t="shared" si="15"/>
        <v>-18.176911869055129</v>
      </c>
      <c r="N35" s="1258">
        <f t="shared" si="15"/>
        <v>-26.697926434376384</v>
      </c>
      <c r="O35" s="1258">
        <f t="shared" si="15"/>
        <v>-2.9023108465442422</v>
      </c>
      <c r="P35" s="1258">
        <f t="shared" si="15"/>
        <v>-2.5935033424872929</v>
      </c>
      <c r="Q35" s="1258">
        <f t="shared" si="15"/>
        <v>1.9405116442965664</v>
      </c>
      <c r="R35" s="1258">
        <f t="shared" si="15"/>
        <v>1.9150133212906439</v>
      </c>
      <c r="S35" s="1258">
        <f t="shared" si="15"/>
        <v>-1.0067694310305797</v>
      </c>
      <c r="U35" s="1849"/>
    </row>
    <row r="36" spans="2:26" ht="8.1" customHeight="1">
      <c r="E36" s="1245"/>
      <c r="F36" s="1245"/>
      <c r="G36" s="1245"/>
      <c r="H36" s="1245"/>
      <c r="I36" s="1245"/>
      <c r="J36" s="1245"/>
      <c r="K36" s="1245"/>
      <c r="L36" s="1245"/>
      <c r="M36" s="1245"/>
      <c r="N36" s="1245"/>
      <c r="O36" s="1245"/>
      <c r="P36" s="1245"/>
      <c r="Q36" s="1245"/>
      <c r="R36" s="1245"/>
      <c r="S36" s="1245"/>
      <c r="U36" s="1245"/>
    </row>
    <row r="37" spans="2:26">
      <c r="B37" s="1250" t="s">
        <v>1745</v>
      </c>
      <c r="E37" s="1249">
        <f>SUM(E31:E35)</f>
        <v>-77.156237191055368</v>
      </c>
      <c r="F37" s="1249">
        <f t="shared" ref="F37:S37" si="16">SUM(F31:F35)</f>
        <v>-97.897354561590049</v>
      </c>
      <c r="G37" s="1249">
        <f t="shared" si="16"/>
        <v>-28.57186885980899</v>
      </c>
      <c r="H37" s="1249">
        <f t="shared" si="16"/>
        <v>-28.31351778684887</v>
      </c>
      <c r="I37" s="1249">
        <f t="shared" si="16"/>
        <v>-16.994594532075602</v>
      </c>
      <c r="J37" s="1249">
        <f t="shared" si="16"/>
        <v>64.056938963605859</v>
      </c>
      <c r="K37" s="1249">
        <f t="shared" si="16"/>
        <v>215.93953134087192</v>
      </c>
      <c r="L37" s="1249">
        <f t="shared" si="16"/>
        <v>287.31730036461232</v>
      </c>
      <c r="M37" s="1249">
        <f t="shared" si="16"/>
        <v>336.66331641619303</v>
      </c>
      <c r="N37" s="1249">
        <f t="shared" si="16"/>
        <v>438.96003007996006</v>
      </c>
      <c r="O37" s="1249">
        <f t="shared" si="16"/>
        <v>471.91790174970305</v>
      </c>
      <c r="P37" s="1249">
        <f t="shared" si="16"/>
        <v>480.29746414127004</v>
      </c>
      <c r="Q37" s="1249">
        <f t="shared" si="16"/>
        <v>477.22665963170704</v>
      </c>
      <c r="R37" s="1249">
        <f t="shared" si="16"/>
        <v>469.65713496752733</v>
      </c>
      <c r="S37" s="1249">
        <f t="shared" si="16"/>
        <v>469.24782830778707</v>
      </c>
      <c r="U37" s="1249">
        <f>SUM(U31:U35)</f>
        <v>22.865063596386303</v>
      </c>
      <c r="Y37" s="1253"/>
      <c r="Z37" s="1266"/>
    </row>
    <row r="38" spans="2:26" ht="8.1" customHeight="1">
      <c r="B38" s="1250"/>
      <c r="E38" s="1256"/>
      <c r="F38" s="1256"/>
      <c r="G38" s="1256"/>
      <c r="H38" s="1256"/>
      <c r="I38" s="1256"/>
      <c r="J38" s="1256"/>
      <c r="K38" s="1256"/>
      <c r="L38" s="1256"/>
      <c r="M38" s="1256"/>
      <c r="N38" s="1256"/>
      <c r="O38" s="1256"/>
      <c r="P38" s="1256"/>
      <c r="Q38" s="1256"/>
      <c r="R38" s="1256"/>
      <c r="S38" s="1256"/>
      <c r="U38" s="1256"/>
    </row>
    <row r="39" spans="2:26" ht="12.75" customHeight="1">
      <c r="B39" s="1251" t="s">
        <v>1746</v>
      </c>
      <c r="E39" s="1267">
        <f>YEARFRAC('MASTER PubCo Inputs'!C6,DATE(E6,12,31),3)</f>
        <v>0.50410958904109593</v>
      </c>
      <c r="F39" s="1267">
        <v>1</v>
      </c>
      <c r="G39" s="1267">
        <f>F39</f>
        <v>1</v>
      </c>
      <c r="H39" s="1267">
        <f t="shared" ref="H39:S39" si="17">G39</f>
        <v>1</v>
      </c>
      <c r="I39" s="1267">
        <f t="shared" si="17"/>
        <v>1</v>
      </c>
      <c r="J39" s="1267">
        <f t="shared" si="17"/>
        <v>1</v>
      </c>
      <c r="K39" s="1267">
        <f t="shared" si="17"/>
        <v>1</v>
      </c>
      <c r="L39" s="1267">
        <f t="shared" si="17"/>
        <v>1</v>
      </c>
      <c r="M39" s="1267">
        <f t="shared" si="17"/>
        <v>1</v>
      </c>
      <c r="N39" s="1267">
        <f t="shared" si="17"/>
        <v>1</v>
      </c>
      <c r="O39" s="1267">
        <f t="shared" si="17"/>
        <v>1</v>
      </c>
      <c r="P39" s="1267">
        <f t="shared" si="17"/>
        <v>1</v>
      </c>
      <c r="Q39" s="1267">
        <f t="shared" si="17"/>
        <v>1</v>
      </c>
      <c r="R39" s="1267">
        <f t="shared" si="17"/>
        <v>1</v>
      </c>
      <c r="S39" s="1267">
        <f t="shared" si="17"/>
        <v>1</v>
      </c>
      <c r="U39" s="1267">
        <f>S39</f>
        <v>1</v>
      </c>
      <c r="W39" s="1238" t="s">
        <v>464</v>
      </c>
      <c r="X39" s="1419">
        <f>'MASTER PubCo Inputs'!C6</f>
        <v>43281</v>
      </c>
    </row>
    <row r="40" spans="2:26" ht="8.1" customHeight="1">
      <c r="B40" s="1250"/>
      <c r="E40" s="1256"/>
      <c r="F40" s="1256"/>
      <c r="G40" s="1256"/>
      <c r="H40" s="1256"/>
      <c r="I40" s="1256"/>
      <c r="J40" s="1256"/>
      <c r="K40" s="1256"/>
      <c r="L40" s="1256"/>
      <c r="M40" s="1256"/>
      <c r="N40" s="1256"/>
      <c r="O40" s="1256"/>
      <c r="P40" s="1256"/>
      <c r="Q40" s="1256"/>
      <c r="R40" s="1256"/>
      <c r="S40" s="1256"/>
      <c r="U40" s="1256"/>
    </row>
    <row r="41" spans="2:26" ht="12.75" customHeight="1">
      <c r="B41" s="1250" t="s">
        <v>1747</v>
      </c>
      <c r="E41" s="1249">
        <f>E37*E39</f>
        <v>-38.895199022340243</v>
      </c>
      <c r="F41" s="1249">
        <f t="shared" ref="F41:S41" si="18">F37*F39</f>
        <v>-97.897354561590049</v>
      </c>
      <c r="G41" s="1249">
        <f t="shared" si="18"/>
        <v>-28.57186885980899</v>
      </c>
      <c r="H41" s="1249">
        <f t="shared" si="18"/>
        <v>-28.31351778684887</v>
      </c>
      <c r="I41" s="1249">
        <f t="shared" si="18"/>
        <v>-16.994594532075602</v>
      </c>
      <c r="J41" s="1249">
        <f t="shared" si="18"/>
        <v>64.056938963605859</v>
      </c>
      <c r="K41" s="1249">
        <f t="shared" si="18"/>
        <v>215.93953134087192</v>
      </c>
      <c r="L41" s="1249">
        <f t="shared" si="18"/>
        <v>287.31730036461232</v>
      </c>
      <c r="M41" s="1249">
        <f t="shared" si="18"/>
        <v>336.66331641619303</v>
      </c>
      <c r="N41" s="1249">
        <f t="shared" si="18"/>
        <v>438.96003007996006</v>
      </c>
      <c r="O41" s="1249">
        <f t="shared" si="18"/>
        <v>471.91790174970305</v>
      </c>
      <c r="P41" s="1249">
        <f t="shared" si="18"/>
        <v>480.29746414127004</v>
      </c>
      <c r="Q41" s="1249">
        <f t="shared" si="18"/>
        <v>477.22665963170704</v>
      </c>
      <c r="R41" s="1249">
        <f t="shared" si="18"/>
        <v>469.65713496752733</v>
      </c>
      <c r="S41" s="1249">
        <f t="shared" si="18"/>
        <v>469.24782830778707</v>
      </c>
      <c r="U41" s="1249">
        <f>U37*U39</f>
        <v>22.865063596386303</v>
      </c>
      <c r="W41" s="1238" t="s">
        <v>1902</v>
      </c>
      <c r="X41" s="1419">
        <v>43465</v>
      </c>
    </row>
    <row r="42" spans="2:26" ht="8.1" customHeight="1">
      <c r="B42" s="1250"/>
      <c r="E42" s="1256"/>
      <c r="F42" s="1256"/>
      <c r="G42" s="1256"/>
      <c r="H42" s="1256"/>
      <c r="I42" s="1256"/>
      <c r="J42" s="1256"/>
      <c r="K42" s="1256"/>
      <c r="L42" s="1256"/>
      <c r="M42" s="1256"/>
      <c r="N42" s="1256"/>
      <c r="O42" s="1256"/>
      <c r="P42" s="1256"/>
      <c r="Q42" s="1256"/>
      <c r="R42" s="1256"/>
      <c r="S42" s="1256"/>
      <c r="U42" s="1256"/>
    </row>
    <row r="43" spans="2:26">
      <c r="B43" s="1251" t="s">
        <v>2758</v>
      </c>
      <c r="E43" s="1267">
        <f>E39/2</f>
        <v>0.25205479452054796</v>
      </c>
      <c r="F43" s="1267">
        <f>E43*2+0.5</f>
        <v>1.004109589041096</v>
      </c>
      <c r="G43" s="1267">
        <f t="shared" ref="G43:S43" si="19">F43+1</f>
        <v>2.004109589041096</v>
      </c>
      <c r="H43" s="1267">
        <f t="shared" si="19"/>
        <v>3.004109589041096</v>
      </c>
      <c r="I43" s="1267">
        <f t="shared" si="19"/>
        <v>4.0041095890410965</v>
      </c>
      <c r="J43" s="1267">
        <f t="shared" si="19"/>
        <v>5.0041095890410965</v>
      </c>
      <c r="K43" s="1267">
        <f t="shared" si="19"/>
        <v>6.0041095890410965</v>
      </c>
      <c r="L43" s="1267">
        <f t="shared" si="19"/>
        <v>7.0041095890410965</v>
      </c>
      <c r="M43" s="1267">
        <f t="shared" si="19"/>
        <v>8.0041095890410965</v>
      </c>
      <c r="N43" s="1267">
        <f t="shared" si="19"/>
        <v>9.0041095890410965</v>
      </c>
      <c r="O43" s="1267">
        <f t="shared" si="19"/>
        <v>10.004109589041096</v>
      </c>
      <c r="P43" s="1267">
        <f t="shared" si="19"/>
        <v>11.004109589041096</v>
      </c>
      <c r="Q43" s="1267">
        <f t="shared" si="19"/>
        <v>12.004109589041096</v>
      </c>
      <c r="R43" s="1267">
        <f t="shared" si="19"/>
        <v>13.004109589041096</v>
      </c>
      <c r="S43" s="1267">
        <f t="shared" si="19"/>
        <v>14.004109589041096</v>
      </c>
      <c r="U43" s="1850"/>
    </row>
    <row r="44" spans="2:26">
      <c r="B44" s="1251" t="s">
        <v>2759</v>
      </c>
      <c r="C44" s="1839">
        <f>'WACC CAPM'!H14</f>
        <v>0.19500000000000001</v>
      </c>
      <c r="D44" s="1263"/>
      <c r="E44" s="1268">
        <f t="shared" ref="E44:S44" si="20">1/(1+$C$44)^E43</f>
        <v>0.95609060037783611</v>
      </c>
      <c r="F44" s="1268">
        <f t="shared" si="20"/>
        <v>0.8362076655349161</v>
      </c>
      <c r="G44" s="1268">
        <f t="shared" si="20"/>
        <v>0.69975536864846533</v>
      </c>
      <c r="H44" s="1268">
        <f t="shared" si="20"/>
        <v>0.58556934614934342</v>
      </c>
      <c r="I44" s="1268">
        <f t="shared" si="20"/>
        <v>0.49001618924631229</v>
      </c>
      <c r="J44" s="1268">
        <f t="shared" si="20"/>
        <v>0.41005538849063794</v>
      </c>
      <c r="K44" s="1268">
        <f t="shared" si="20"/>
        <v>0.34314258451099405</v>
      </c>
      <c r="L44" s="1268">
        <f t="shared" si="20"/>
        <v>0.28714860628535066</v>
      </c>
      <c r="M44" s="1268">
        <f t="shared" si="20"/>
        <v>0.24029172074087921</v>
      </c>
      <c r="N44" s="1268">
        <f t="shared" si="20"/>
        <v>0.20108093785847631</v>
      </c>
      <c r="O44" s="1268">
        <f t="shared" si="20"/>
        <v>0.16826856724558686</v>
      </c>
      <c r="P44" s="1268">
        <f t="shared" si="20"/>
        <v>0.14081051652350365</v>
      </c>
      <c r="Q44" s="1268">
        <f t="shared" si="20"/>
        <v>0.11783306822050513</v>
      </c>
      <c r="R44" s="1268">
        <f t="shared" si="20"/>
        <v>9.8605078008790883E-2</v>
      </c>
      <c r="S44" s="1268">
        <f t="shared" si="20"/>
        <v>8.2514709630787358E-2</v>
      </c>
      <c r="U44" s="1851"/>
    </row>
    <row r="45" spans="2:26" ht="8.1" customHeight="1">
      <c r="U45" s="1852"/>
    </row>
    <row r="46" spans="2:26">
      <c r="B46" s="1250" t="s">
        <v>1748</v>
      </c>
      <c r="E46" s="1249">
        <f>E41*E44</f>
        <v>-37.187334185084708</v>
      </c>
      <c r="F46" s="1249">
        <f t="shared" ref="F46:S46" si="21">F41*F44</f>
        <v>-81.862518319991182</v>
      </c>
      <c r="G46" s="1249">
        <f t="shared" si="21"/>
        <v>-19.993318626971245</v>
      </c>
      <c r="H46" s="1249">
        <f t="shared" si="21"/>
        <v>-16.579528097632899</v>
      </c>
      <c r="I46" s="1249">
        <f t="shared" si="21"/>
        <v>-8.3276264503939021</v>
      </c>
      <c r="J46" s="1249">
        <f t="shared" si="21"/>
        <v>26.266892992242482</v>
      </c>
      <c r="K46" s="1249">
        <f t="shared" si="21"/>
        <v>74.098048882399596</v>
      </c>
      <c r="L46" s="1249">
        <f t="shared" si="21"/>
        <v>82.5027623613679</v>
      </c>
      <c r="M46" s="1249">
        <f t="shared" si="21"/>
        <v>80.89740761197811</v>
      </c>
      <c r="N46" s="1249">
        <f t="shared" si="21"/>
        <v>88.266494530863341</v>
      </c>
      <c r="O46" s="1249">
        <f t="shared" si="21"/>
        <v>79.408949184966161</v>
      </c>
      <c r="P46" s="1249">
        <f t="shared" si="21"/>
        <v>67.630934010661207</v>
      </c>
      <c r="Q46" s="1249">
        <f t="shared" si="21"/>
        <v>56.233081541026714</v>
      </c>
      <c r="R46" s="1249">
        <f t="shared" si="21"/>
        <v>46.310578430858264</v>
      </c>
      <c r="S46" s="1249">
        <f t="shared" si="21"/>
        <v>38.719848297694611</v>
      </c>
      <c r="U46" s="1853"/>
    </row>
    <row r="47" spans="2:26">
      <c r="C47" s="1269"/>
      <c r="X47" s="1805"/>
      <c r="Y47" s="1239"/>
      <c r="Z47" s="1239"/>
    </row>
    <row r="48" spans="2:26">
      <c r="B48" s="1813" t="s">
        <v>1748</v>
      </c>
      <c r="C48" s="1814">
        <f>SUM(E46:S46)</f>
        <v>476.38467216398442</v>
      </c>
      <c r="D48" s="1256"/>
      <c r="E48" s="1270"/>
      <c r="F48" s="1856" t="s">
        <v>2769</v>
      </c>
      <c r="G48" s="1857"/>
      <c r="H48" s="1858">
        <v>0.03</v>
      </c>
      <c r="I48" s="1272"/>
      <c r="J48" s="1271"/>
      <c r="K48" s="1270"/>
      <c r="L48" s="1271"/>
      <c r="M48" s="1270"/>
      <c r="N48" s="1856" t="str">
        <f>F48</f>
        <v>Terminal Growth Rate</v>
      </c>
      <c r="O48" s="1857"/>
      <c r="P48" s="1858">
        <f>H48</f>
        <v>0.03</v>
      </c>
      <c r="Q48" s="1272"/>
      <c r="R48" s="1271"/>
      <c r="S48" s="1270"/>
      <c r="T48" s="1273"/>
      <c r="U48" s="1273"/>
      <c r="V48" s="1273"/>
      <c r="X48" s="1806"/>
      <c r="Y48" s="1239"/>
      <c r="Z48" s="1239"/>
    </row>
    <row r="49" spans="1:26">
      <c r="B49" s="1815" t="s">
        <v>2768</v>
      </c>
      <c r="C49" s="1864">
        <f>H50*H49*H51</f>
        <v>11.777607308155522</v>
      </c>
      <c r="D49" s="1256"/>
      <c r="E49" s="1270"/>
      <c r="F49" s="1859" t="s">
        <v>2773</v>
      </c>
      <c r="G49" s="1270"/>
      <c r="H49" s="1860">
        <f>(1+H48)/(C44-H48)</f>
        <v>6.2424242424242422</v>
      </c>
      <c r="I49" s="1272"/>
      <c r="J49" s="1271"/>
      <c r="K49" s="1270"/>
      <c r="L49" s="1271"/>
      <c r="M49" s="1270"/>
      <c r="N49" s="1859" t="str">
        <f>F49</f>
        <v>Terminal Multiple</v>
      </c>
      <c r="O49" s="1270"/>
      <c r="P49" s="1860">
        <f>H49</f>
        <v>6.2424242424242422</v>
      </c>
      <c r="Q49" s="1272"/>
      <c r="R49" s="1271"/>
      <c r="S49" s="1270"/>
      <c r="T49" s="1273"/>
      <c r="U49" s="1273"/>
      <c r="V49" s="1273"/>
      <c r="X49" s="1806"/>
      <c r="Y49" s="1239"/>
      <c r="Z49" s="1239"/>
    </row>
    <row r="50" spans="1:26">
      <c r="B50" s="1815" t="s">
        <v>2760</v>
      </c>
      <c r="C50" s="1818">
        <f>'Hist BS'!I13/1000</f>
        <v>128.83252258512857</v>
      </c>
      <c r="D50" s="1256"/>
      <c r="E50" s="1270"/>
      <c r="F50" s="1854" t="s">
        <v>2770</v>
      </c>
      <c r="G50" s="1805"/>
      <c r="H50" s="1855">
        <f>U41</f>
        <v>22.865063596386303</v>
      </c>
      <c r="I50" s="1272"/>
      <c r="J50" s="1271"/>
      <c r="K50" s="1270"/>
      <c r="L50" s="1271"/>
      <c r="M50" s="1270"/>
      <c r="N50" s="1854" t="str">
        <f>F50</f>
        <v>Terminal Cash Flow</v>
      </c>
      <c r="O50" s="1805"/>
      <c r="P50" s="1855">
        <f>H50</f>
        <v>22.865063596386303</v>
      </c>
      <c r="Q50" s="1272"/>
      <c r="R50" s="1271"/>
      <c r="S50" s="1270"/>
      <c r="T50" s="1273"/>
      <c r="U50" s="1273"/>
      <c r="V50" s="1273"/>
      <c r="X50" s="1806"/>
      <c r="Y50" s="1239"/>
      <c r="Z50" s="1239"/>
    </row>
    <row r="51" spans="1:26">
      <c r="B51" s="1816" t="s">
        <v>2736</v>
      </c>
      <c r="C51" s="1817">
        <f>SUM(C48:C50)</f>
        <v>616.99480205726854</v>
      </c>
      <c r="D51" s="1256"/>
      <c r="E51" s="1270"/>
      <c r="F51" s="1861" t="s">
        <v>2772</v>
      </c>
      <c r="G51" s="1862"/>
      <c r="H51" s="1863">
        <f>S44</f>
        <v>8.2514709630787358E-2</v>
      </c>
      <c r="I51" s="1272"/>
      <c r="J51" s="1271"/>
      <c r="K51" s="1270"/>
      <c r="L51" s="1271"/>
      <c r="M51" s="1270"/>
      <c r="N51" s="1861" t="str">
        <f>F51</f>
        <v>Terminal Disc. Factor</v>
      </c>
      <c r="O51" s="1862"/>
      <c r="P51" s="1863">
        <f>H51</f>
        <v>8.2514709630787358E-2</v>
      </c>
      <c r="Q51" s="1272"/>
      <c r="R51" s="1271"/>
      <c r="S51" s="1270"/>
      <c r="T51" s="1273"/>
      <c r="U51" s="1273"/>
      <c r="V51" s="1273"/>
      <c r="X51" s="1806"/>
      <c r="Y51" s="1239"/>
      <c r="Z51" s="1239"/>
    </row>
    <row r="52" spans="1:26" s="1794" customFormat="1">
      <c r="B52" s="1795"/>
      <c r="C52" s="167"/>
      <c r="D52" s="167"/>
      <c r="E52" s="1796"/>
      <c r="F52" s="167"/>
      <c r="G52" s="167"/>
    </row>
    <row r="53" spans="1:26">
      <c r="E53" s="1274" t="s">
        <v>16</v>
      </c>
      <c r="M53" s="1274" t="str">
        <f>E53</f>
        <v>Footnotes:</v>
      </c>
    </row>
    <row r="54" spans="1:26" ht="12.75" customHeight="1">
      <c r="D54" s="1265" t="s">
        <v>128</v>
      </c>
      <c r="E54" s="1411" t="s">
        <v>2761</v>
      </c>
      <c r="F54" s="1794"/>
      <c r="G54" s="1794"/>
      <c r="H54" s="1794"/>
      <c r="I54" s="1794"/>
      <c r="J54" s="1794"/>
      <c r="K54" s="1794"/>
      <c r="M54" s="2621" t="str">
        <f t="shared" ref="M54:M59" si="22">E54</f>
        <v>Considered probability adjustment consistent with Management forecasts.</v>
      </c>
      <c r="N54" s="2621"/>
      <c r="O54" s="2621"/>
      <c r="P54" s="2621"/>
      <c r="Q54" s="2621"/>
      <c r="R54" s="2621"/>
      <c r="S54" s="2621"/>
      <c r="T54" s="2621"/>
      <c r="U54" s="2621"/>
    </row>
    <row r="55" spans="1:26" ht="12.75" customHeight="1">
      <c r="D55" s="1265" t="s">
        <v>127</v>
      </c>
      <c r="E55" s="1411" t="s">
        <v>2762</v>
      </c>
      <c r="M55" s="2621" t="str">
        <f t="shared" si="22"/>
        <v>Royalty and milestone payments based on terms as per the Agreement.</v>
      </c>
      <c r="N55" s="2621"/>
      <c r="O55" s="2621"/>
      <c r="P55" s="2621"/>
      <c r="Q55" s="2621"/>
      <c r="R55" s="2621"/>
      <c r="S55" s="2621"/>
      <c r="T55" s="2621"/>
      <c r="U55" s="2621"/>
    </row>
    <row r="56" spans="1:26" ht="12.75" customHeight="1">
      <c r="D56" s="1265" t="s">
        <v>144</v>
      </c>
      <c r="E56" s="1411" t="s">
        <v>2634</v>
      </c>
      <c r="M56" s="2621" t="str">
        <f>E56</f>
        <v>Considered as provided by Management.</v>
      </c>
      <c r="N56" s="2621"/>
      <c r="O56" s="2621"/>
      <c r="P56" s="2621"/>
      <c r="Q56" s="2621"/>
      <c r="R56" s="2621"/>
      <c r="S56" s="2621"/>
      <c r="T56" s="2621"/>
      <c r="U56" s="2621"/>
    </row>
    <row r="57" spans="1:26">
      <c r="D57" s="1619" t="s">
        <v>145</v>
      </c>
      <c r="E57" s="2623" t="str">
        <f>"Based on Management discussions, our industry experience, and consideration of guideline companies. Refer to "&amp;Comp.5!B3&amp;"."</f>
        <v>Based on Management discussions, our industry experience, and consideration of guideline companies. Refer to Workpaper #2.</v>
      </c>
      <c r="F57" s="2623"/>
      <c r="G57" s="2623"/>
      <c r="H57" s="2623"/>
      <c r="I57" s="2623"/>
      <c r="J57" s="2623"/>
      <c r="K57" s="2623"/>
      <c r="L57" s="2623"/>
      <c r="M57" s="2621" t="str">
        <f>E57</f>
        <v>Based on Management discussions, our industry experience, and consideration of guideline companies. Refer to Workpaper #2.</v>
      </c>
      <c r="N57" s="2621"/>
      <c r="O57" s="2621"/>
      <c r="P57" s="2621"/>
      <c r="Q57" s="2621"/>
      <c r="R57" s="2621"/>
      <c r="S57" s="2621"/>
      <c r="T57" s="2621"/>
      <c r="U57" s="2621"/>
    </row>
    <row r="58" spans="1:26" ht="12.75" customHeight="1">
      <c r="D58" s="1619" t="s">
        <v>146</v>
      </c>
      <c r="E58" s="2623" t="s">
        <v>1843</v>
      </c>
      <c r="F58" s="2623"/>
      <c r="G58" s="2623"/>
      <c r="H58" s="2623"/>
      <c r="I58" s="2623"/>
      <c r="J58" s="2623"/>
      <c r="K58" s="2623"/>
      <c r="L58" s="2623"/>
      <c r="M58" s="2621" t="str">
        <f>E58</f>
        <v>Applied mid-period discounting.</v>
      </c>
      <c r="N58" s="2621"/>
      <c r="O58" s="2621"/>
      <c r="P58" s="2621"/>
      <c r="Q58" s="2621"/>
      <c r="R58" s="2621"/>
      <c r="S58" s="2621"/>
      <c r="T58" s="2621"/>
      <c r="U58" s="2621"/>
    </row>
    <row r="59" spans="1:26" ht="12.75" customHeight="1">
      <c r="D59" s="1619" t="s">
        <v>161</v>
      </c>
      <c r="E59" s="2623" t="str">
        <f>"Refer to "&amp;'WACC CAPM'!B3&amp;"."</f>
        <v>Refer to Workpaper #4.</v>
      </c>
      <c r="F59" s="2623"/>
      <c r="G59" s="2623"/>
      <c r="H59" s="2623"/>
      <c r="I59" s="2623"/>
      <c r="J59" s="2623"/>
      <c r="K59" s="2623"/>
      <c r="L59" s="2623"/>
      <c r="M59" s="2621" t="str">
        <f t="shared" si="22"/>
        <v>Refer to Workpaper #4.</v>
      </c>
      <c r="N59" s="2621"/>
      <c r="O59" s="2621"/>
      <c r="P59" s="2621"/>
      <c r="Q59" s="2621"/>
      <c r="R59" s="2621"/>
      <c r="S59" s="2621"/>
      <c r="T59" s="2621"/>
      <c r="U59" s="2621"/>
    </row>
    <row r="60" spans="1:26" ht="12.75" customHeight="1">
      <c r="D60" s="1619" t="s">
        <v>162</v>
      </c>
      <c r="E60" s="2623" t="str">
        <f>"Refer to "&amp;'Hist BS'!B3&amp;"."</f>
        <v>Refer to Exhibit C.3.</v>
      </c>
      <c r="F60" s="2623"/>
      <c r="G60" s="2623"/>
      <c r="H60" s="2623"/>
      <c r="I60" s="2623"/>
      <c r="J60" s="2623"/>
      <c r="K60" s="2623"/>
      <c r="L60" s="2623"/>
      <c r="M60" s="2621" t="str">
        <f>E60</f>
        <v>Refer to Exhibit C.3.</v>
      </c>
      <c r="N60" s="2621"/>
      <c r="O60" s="2621"/>
      <c r="P60" s="2621"/>
      <c r="Q60" s="2621"/>
      <c r="R60" s="2621"/>
      <c r="S60" s="2621"/>
      <c r="T60" s="2621"/>
      <c r="U60" s="2621"/>
    </row>
    <row r="61" spans="1:26" ht="30" customHeight="1">
      <c r="D61" s="1619" t="s">
        <v>163</v>
      </c>
      <c r="E61" s="2622" t="s">
        <v>2771</v>
      </c>
      <c r="F61" s="2622"/>
      <c r="G61" s="2622"/>
      <c r="H61" s="2622"/>
      <c r="I61" s="2622"/>
      <c r="J61" s="2622"/>
      <c r="K61" s="2622"/>
      <c r="L61" s="2622"/>
      <c r="M61" s="2621" t="str">
        <f>E61</f>
        <v>Reflects a normalized level of future performance after loss of exclusivity and generic competition. Roche royalty rate decreases upon generic entry.</v>
      </c>
      <c r="N61" s="2621"/>
      <c r="O61" s="2621"/>
      <c r="P61" s="2621"/>
      <c r="Q61" s="2621"/>
      <c r="R61" s="2621"/>
      <c r="S61" s="2621"/>
      <c r="T61" s="2621"/>
      <c r="U61" s="2621"/>
    </row>
    <row r="62" spans="1:26">
      <c r="D62" s="1265"/>
    </row>
    <row r="63" spans="1:26">
      <c r="H63" s="1238" t="s">
        <v>402</v>
      </c>
    </row>
    <row r="64" spans="1:26">
      <c r="A64" s="1265"/>
      <c r="B64" s="1275" t="s">
        <v>1749</v>
      </c>
      <c r="C64" s="1276">
        <v>5</v>
      </c>
      <c r="E64" s="1615" t="s">
        <v>2632</v>
      </c>
      <c r="F64" s="1616"/>
      <c r="G64" s="1617">
        <f>'Val Summ'!D9/1000</f>
        <v>617</v>
      </c>
      <c r="H64" s="317">
        <f>G64/C51-1</f>
        <v>8.4246134879339962E-6</v>
      </c>
    </row>
    <row r="66" spans="2:19">
      <c r="B66" s="1277" t="s">
        <v>1750</v>
      </c>
      <c r="C66" s="1278"/>
      <c r="D66" s="1278"/>
      <c r="E66" s="1278" t="str">
        <f t="shared" ref="E66:S66" si="23">E6</f>
        <v>2018</v>
      </c>
      <c r="F66" s="1278" t="str">
        <f t="shared" si="23"/>
        <v>2019</v>
      </c>
      <c r="G66" s="1278" t="str">
        <f t="shared" si="23"/>
        <v>2020</v>
      </c>
      <c r="H66" s="1278" t="str">
        <f t="shared" si="23"/>
        <v>2021</v>
      </c>
      <c r="I66" s="1278" t="str">
        <f t="shared" si="23"/>
        <v>2022</v>
      </c>
      <c r="J66" s="1278" t="str">
        <f t="shared" si="23"/>
        <v>2023</v>
      </c>
      <c r="K66" s="1278" t="str">
        <f t="shared" si="23"/>
        <v>2024</v>
      </c>
      <c r="L66" s="1278" t="str">
        <f t="shared" si="23"/>
        <v>2025</v>
      </c>
      <c r="M66" s="1278" t="str">
        <f t="shared" si="23"/>
        <v>2026</v>
      </c>
      <c r="N66" s="1278" t="str">
        <f t="shared" si="23"/>
        <v>2027</v>
      </c>
      <c r="O66" s="1278" t="str">
        <f t="shared" si="23"/>
        <v>2028</v>
      </c>
      <c r="P66" s="1278" t="str">
        <f t="shared" si="23"/>
        <v>2029</v>
      </c>
      <c r="Q66" s="1278" t="str">
        <f t="shared" si="23"/>
        <v>2030</v>
      </c>
      <c r="R66" s="1278" t="str">
        <f t="shared" si="23"/>
        <v>2031</v>
      </c>
      <c r="S66" s="1278" t="str">
        <f t="shared" si="23"/>
        <v>2032</v>
      </c>
    </row>
    <row r="67" spans="2:19">
      <c r="B67" s="1278" t="str">
        <f t="array" ref="B67:B82">TRANSPOSE(E66:S66)</f>
        <v>2018</v>
      </c>
      <c r="C67" s="1245">
        <f t="array" ref="C67:C82">-TRANSPOSE(E34:S34)</f>
        <v>0</v>
      </c>
      <c r="D67" s="1278"/>
      <c r="E67" s="1279">
        <f>IF($B67&gt;E$66,0,IF(SUM($D67:D67)&gt;=$C67,0,$C67/$C$64))</f>
        <v>0</v>
      </c>
      <c r="F67" s="1279">
        <f>IF($B67&gt;F$66,0,IF(SUM($D67:E67)&gt;=$C67,0,$C67/$C$64))</f>
        <v>0</v>
      </c>
      <c r="G67" s="1279">
        <f>IF($B67&gt;G$66,0,IF(SUM($D67:F67)&gt;=$C67,0,$C67/$C$64))</f>
        <v>0</v>
      </c>
      <c r="H67" s="1279">
        <f>IF($B67&gt;H$66,0,IF(SUM($D67:G67)&gt;=$C67,0,$C67/$C$64))</f>
        <v>0</v>
      </c>
      <c r="I67" s="1279">
        <f>IF($B67&gt;I$66,0,IF(SUM($D67:H67)&gt;=$C67,0,$C67/$C$64))</f>
        <v>0</v>
      </c>
      <c r="J67" s="1279">
        <f>IF($B67&gt;J$66,0,IF(SUM($D67:I67)&gt;=$C67,0,$C67/$C$64))</f>
        <v>0</v>
      </c>
      <c r="K67" s="1279">
        <f>IF($B67&gt;K$66,0,IF(SUM($D67:J67)&gt;=$C67,0,$C67/$C$64))</f>
        <v>0</v>
      </c>
      <c r="L67" s="1279">
        <f>IF($B67&gt;L$66,0,IF(SUM($D67:K67)&gt;=$C67,0,$C67/$C$64))</f>
        <v>0</v>
      </c>
      <c r="M67" s="1279">
        <f>IF($B67&gt;M$66,0,IF(SUM($D67:L67)&gt;=$C67,0,$C67/$C$64))</f>
        <v>0</v>
      </c>
      <c r="N67" s="1279">
        <f>IF($B67&gt;N$66,0,IF(SUM($D67:M67)&gt;=$C67,0,$C67/$C$64))</f>
        <v>0</v>
      </c>
      <c r="O67" s="1279">
        <f>IF($B67&gt;O$66,0,IF(SUM($D67:N67)&gt;=$C67,0,$C67/$C$64))</f>
        <v>0</v>
      </c>
      <c r="P67" s="1279">
        <f>IF($B67&gt;P$66,0,IF(SUM($D67:O67)&gt;=$C67,0,$C67/$C$64))</f>
        <v>0</v>
      </c>
      <c r="Q67" s="1279">
        <f>IF($B67&gt;Q$66,0,IF(SUM($D67:P67)&gt;=$C67,0,$C67/$C$64))</f>
        <v>0</v>
      </c>
      <c r="R67" s="1279">
        <f>IF($B67&gt;R$66,0,IF(SUM($D67:Q67)&gt;=$C67,0,$C67/$C$64))</f>
        <v>0</v>
      </c>
      <c r="S67" s="1279">
        <f>IF($B67&gt;S$66,0,IF(SUM($D67:R67)&gt;=$C67,0,$C67/$C$64))</f>
        <v>0</v>
      </c>
    </row>
    <row r="68" spans="2:19">
      <c r="B68" s="1278" t="str">
        <v>2019</v>
      </c>
      <c r="C68" s="1245">
        <v>25</v>
      </c>
      <c r="D68" s="1278"/>
      <c r="E68" s="1279">
        <f>IF($B68&gt;E$66,0,IF(SUM($D68:D68)&gt;=$C68,0,$C68/$C$64))</f>
        <v>0</v>
      </c>
      <c r="F68" s="1279">
        <f>IF($B68&gt;F$66,0,IF(SUM($D68:E68)&gt;=$C68,0,$C68/$C$64))</f>
        <v>5</v>
      </c>
      <c r="G68" s="1279">
        <f>IF($B68&gt;G$66,0,IF(SUM($D68:F68)&gt;=$C68,0,$C68/$C$64))</f>
        <v>5</v>
      </c>
      <c r="H68" s="1279">
        <f>IF($B68&gt;H$66,0,IF(SUM($D68:G68)&gt;=$C68,0,$C68/$C$64))</f>
        <v>5</v>
      </c>
      <c r="I68" s="1279">
        <f>IF($B68&gt;I$66,0,IF(SUM($D68:H68)&gt;=$C68,0,$C68/$C$64))</f>
        <v>5</v>
      </c>
      <c r="J68" s="1279">
        <f>IF($B68&gt;J$66,0,IF(SUM($D68:I68)&gt;=$C68,0,$C68/$C$64))</f>
        <v>5</v>
      </c>
      <c r="K68" s="1279">
        <f>IF($B68&gt;K$66,0,IF(SUM($D68:J68)&gt;=$C68,0,$C68/$C$64))</f>
        <v>0</v>
      </c>
      <c r="L68" s="1279">
        <f>IF($B68&gt;L$66,0,IF(SUM($D68:K68)&gt;=$C68,0,$C68/$C$64))</f>
        <v>0</v>
      </c>
      <c r="M68" s="1279">
        <f>IF($B68&gt;M$66,0,IF(SUM($D68:L68)&gt;=$C68,0,$C68/$C$64))</f>
        <v>0</v>
      </c>
      <c r="N68" s="1279">
        <f>IF($B68&gt;N$66,0,IF(SUM($D68:M68)&gt;=$C68,0,$C68/$C$64))</f>
        <v>0</v>
      </c>
      <c r="O68" s="1279">
        <f>IF($B68&gt;O$66,0,IF(SUM($D68:N68)&gt;=$C68,0,$C68/$C$64))</f>
        <v>0</v>
      </c>
      <c r="P68" s="1279">
        <f>IF($B68&gt;P$66,0,IF(SUM($D68:O68)&gt;=$C68,0,$C68/$C$64))</f>
        <v>0</v>
      </c>
      <c r="Q68" s="1279">
        <f>IF($B68&gt;Q$66,0,IF(SUM($D68:P68)&gt;=$C68,0,$C68/$C$64))</f>
        <v>0</v>
      </c>
      <c r="R68" s="1279">
        <f>IF($B68&gt;R$66,0,IF(SUM($D68:Q68)&gt;=$C68,0,$C68/$C$64))</f>
        <v>0</v>
      </c>
      <c r="S68" s="1279">
        <f>IF($B68&gt;S$66,0,IF(SUM($D68:R68)&gt;=$C68,0,$C68/$C$64))</f>
        <v>0</v>
      </c>
    </row>
    <row r="69" spans="2:19">
      <c r="B69" s="1278" t="str">
        <v>2020</v>
      </c>
      <c r="C69" s="1245">
        <v>0.45071879223422667</v>
      </c>
      <c r="D69" s="1278"/>
      <c r="E69" s="1279">
        <f>IF($B69&gt;E$66,0,IF(SUM($D69:D69)&gt;=$C69,0,$C69/$C$64))</f>
        <v>0</v>
      </c>
      <c r="F69" s="1279">
        <f>IF($B69&gt;F$66,0,IF(SUM($D69:E69)&gt;=$C69,0,$C69/$C$64))</f>
        <v>0</v>
      </c>
      <c r="G69" s="1279">
        <f>IF($B69&gt;G$66,0,IF(SUM($D69:F69)&gt;=$C69,0,$C69/$C$64))</f>
        <v>9.0143758446845329E-2</v>
      </c>
      <c r="H69" s="1279">
        <f>IF($B69&gt;H$66,0,IF(SUM($D69:G69)&gt;=$C69,0,$C69/$C$64))</f>
        <v>9.0143758446845329E-2</v>
      </c>
      <c r="I69" s="1279">
        <f>IF($B69&gt;I$66,0,IF(SUM($D69:H69)&gt;=$C69,0,$C69/$C$64))</f>
        <v>9.0143758446845329E-2</v>
      </c>
      <c r="J69" s="1279">
        <f>IF($B69&gt;J$66,0,IF(SUM($D69:I69)&gt;=$C69,0,$C69/$C$64))</f>
        <v>9.0143758446845329E-2</v>
      </c>
      <c r="K69" s="1279">
        <f>IF($B69&gt;K$66,0,IF(SUM($D69:J69)&gt;=$C69,0,$C69/$C$64))</f>
        <v>9.0143758446845329E-2</v>
      </c>
      <c r="L69" s="1279">
        <f>IF($B69&gt;L$66,0,IF(SUM($D69:K69)&gt;=$C69,0,$C69/$C$64))</f>
        <v>0</v>
      </c>
      <c r="M69" s="1279">
        <f>IF($B69&gt;M$66,0,IF(SUM($D69:L69)&gt;=$C69,0,$C69/$C$64))</f>
        <v>0</v>
      </c>
      <c r="N69" s="1279">
        <f>IF($B69&gt;N$66,0,IF(SUM($D69:M69)&gt;=$C69,0,$C69/$C$64))</f>
        <v>0</v>
      </c>
      <c r="O69" s="1279">
        <f>IF($B69&gt;O$66,0,IF(SUM($D69:N69)&gt;=$C69,0,$C69/$C$64))</f>
        <v>0</v>
      </c>
      <c r="P69" s="1279">
        <f>IF($B69&gt;P$66,0,IF(SUM($D69:O69)&gt;=$C69,0,$C69/$C$64))</f>
        <v>0</v>
      </c>
      <c r="Q69" s="1279">
        <f>IF($B69&gt;Q$66,0,IF(SUM($D69:P69)&gt;=$C69,0,$C69/$C$64))</f>
        <v>0</v>
      </c>
      <c r="R69" s="1279">
        <f>IF($B69&gt;R$66,0,IF(SUM($D69:Q69)&gt;=$C69,0,$C69/$C$64))</f>
        <v>0</v>
      </c>
      <c r="S69" s="1279">
        <f>IF($B69&gt;S$66,0,IF(SUM($D69:R69)&gt;=$C69,0,$C69/$C$64))</f>
        <v>0</v>
      </c>
    </row>
    <row r="70" spans="2:19">
      <c r="B70" s="1278" t="str">
        <v>2021</v>
      </c>
      <c r="C70" s="1245">
        <v>1.4437911708516236</v>
      </c>
      <c r="D70" s="1278"/>
      <c r="E70" s="1279">
        <f>IF($B70&gt;E$66,0,IF(SUM($D70:D70)&gt;=$C70,0,$C70/$C$64))</f>
        <v>0</v>
      </c>
      <c r="F70" s="1279">
        <f>IF($B70&gt;F$66,0,IF(SUM($D70:E70)&gt;=$C70,0,$C70/$C$64))</f>
        <v>0</v>
      </c>
      <c r="G70" s="1279">
        <f>IF($B70&gt;G$66,0,IF(SUM($D70:F70)&gt;=$C70,0,$C70/$C$64))</f>
        <v>0</v>
      </c>
      <c r="H70" s="1279">
        <f>IF($B70&gt;H$66,0,IF(SUM($D70:G70)&gt;=$C70,0,$C70/$C$64))</f>
        <v>0.2887582341703247</v>
      </c>
      <c r="I70" s="1279">
        <f>IF($B70&gt;I$66,0,IF(SUM($D70:H70)&gt;=$C70,0,$C70/$C$64))</f>
        <v>0.2887582341703247</v>
      </c>
      <c r="J70" s="1279">
        <f>IF($B70&gt;J$66,0,IF(SUM($D70:I70)&gt;=$C70,0,$C70/$C$64))</f>
        <v>0.2887582341703247</v>
      </c>
      <c r="K70" s="1279">
        <f>IF($B70&gt;K$66,0,IF(SUM($D70:J70)&gt;=$C70,0,$C70/$C$64))</f>
        <v>0.2887582341703247</v>
      </c>
      <c r="L70" s="1279">
        <f>IF($B70&gt;L$66,0,IF(SUM($D70:K70)&gt;=$C70,0,$C70/$C$64))</f>
        <v>0.2887582341703247</v>
      </c>
      <c r="M70" s="1279">
        <f>IF($B70&gt;M$66,0,IF(SUM($D70:L70)&gt;=$C70,0,$C70/$C$64))</f>
        <v>0</v>
      </c>
      <c r="N70" s="1279">
        <f>IF($B70&gt;N$66,0,IF(SUM($D70:M70)&gt;=$C70,0,$C70/$C$64))</f>
        <v>0</v>
      </c>
      <c r="O70" s="1279">
        <f>IF($B70&gt;O$66,0,IF(SUM($D70:N70)&gt;=$C70,0,$C70/$C$64))</f>
        <v>0</v>
      </c>
      <c r="P70" s="1279">
        <f>IF($B70&gt;P$66,0,IF(SUM($D70:O70)&gt;=$C70,0,$C70/$C$64))</f>
        <v>0</v>
      </c>
      <c r="Q70" s="1279">
        <f>IF($B70&gt;Q$66,0,IF(SUM($D70:P70)&gt;=$C70,0,$C70/$C$64))</f>
        <v>0</v>
      </c>
      <c r="R70" s="1279">
        <f>IF($B70&gt;R$66,0,IF(SUM($D70:Q70)&gt;=$C70,0,$C70/$C$64))</f>
        <v>0</v>
      </c>
      <c r="S70" s="1279">
        <f>IF($B70&gt;S$66,0,IF(SUM($D70:R70)&gt;=$C70,0,$C70/$C$64))</f>
        <v>0</v>
      </c>
    </row>
    <row r="71" spans="2:19">
      <c r="B71" s="1278" t="str">
        <v>2022</v>
      </c>
      <c r="C71" s="1245">
        <v>2.5656475364766553</v>
      </c>
      <c r="D71" s="1278"/>
      <c r="E71" s="1279">
        <f>IF($B71&gt;E$66,0,IF(SUM($D71:D71)&gt;=$C71,0,$C71/$C$64))</f>
        <v>0</v>
      </c>
      <c r="F71" s="1279">
        <f>IF($B71&gt;F$66,0,IF(SUM($D71:E71)&gt;=$C71,0,$C71/$C$64))</f>
        <v>0</v>
      </c>
      <c r="G71" s="1279">
        <f>IF($B71&gt;G$66,0,IF(SUM($D71:F71)&gt;=$C71,0,$C71/$C$64))</f>
        <v>0</v>
      </c>
      <c r="H71" s="1279">
        <f>IF($B71&gt;H$66,0,IF(SUM($D71:G71)&gt;=$C71,0,$C71/$C$64))</f>
        <v>0</v>
      </c>
      <c r="I71" s="1279">
        <f>IF($B71&gt;I$66,0,IF(SUM($D71:H71)&gt;=$C71,0,$C71/$C$64))</f>
        <v>0.51312950729533102</v>
      </c>
      <c r="J71" s="1279">
        <f>IF($B71&gt;J$66,0,IF(SUM($D71:I71)&gt;=$C71,0,$C71/$C$64))</f>
        <v>0.51312950729533102</v>
      </c>
      <c r="K71" s="1279">
        <f>IF($B71&gt;K$66,0,IF(SUM($D71:J71)&gt;=$C71,0,$C71/$C$64))</f>
        <v>0.51312950729533102</v>
      </c>
      <c r="L71" s="1279">
        <f>IF($B71&gt;L$66,0,IF(SUM($D71:K71)&gt;=$C71,0,$C71/$C$64))</f>
        <v>0.51312950729533102</v>
      </c>
      <c r="M71" s="1279">
        <f>IF($B71&gt;M$66,0,IF(SUM($D71:L71)&gt;=$C71,0,$C71/$C$64))</f>
        <v>0.51312950729533102</v>
      </c>
      <c r="N71" s="1279">
        <f>IF($B71&gt;N$66,0,IF(SUM($D71:M71)&gt;=$C71,0,$C71/$C$64))</f>
        <v>0</v>
      </c>
      <c r="O71" s="1279">
        <f>IF($B71&gt;O$66,0,IF(SUM($D71:N71)&gt;=$C71,0,$C71/$C$64))</f>
        <v>0</v>
      </c>
      <c r="P71" s="1279">
        <f>IF($B71&gt;P$66,0,IF(SUM($D71:O71)&gt;=$C71,0,$C71/$C$64))</f>
        <v>0</v>
      </c>
      <c r="Q71" s="1279">
        <f>IF($B71&gt;Q$66,0,IF(SUM($D71:P71)&gt;=$C71,0,$C71/$C$64))</f>
        <v>0</v>
      </c>
      <c r="R71" s="1279">
        <f>IF($B71&gt;R$66,0,IF(SUM($D71:Q71)&gt;=$C71,0,$C71/$C$64))</f>
        <v>0</v>
      </c>
      <c r="S71" s="1279">
        <f>IF($B71&gt;S$66,0,IF(SUM($D71:R71)&gt;=$C71,0,$C71/$C$64))</f>
        <v>0</v>
      </c>
    </row>
    <row r="72" spans="2:19">
      <c r="B72" s="1278" t="str">
        <v>2023</v>
      </c>
      <c r="C72" s="1245">
        <v>7.6396518347380358</v>
      </c>
      <c r="D72" s="1278"/>
      <c r="E72" s="1279">
        <f>IF($B72&gt;E$66,0,IF(SUM($D72:D72)&gt;=$C72,0,$C72/$C$64))</f>
        <v>0</v>
      </c>
      <c r="F72" s="1279">
        <f>IF($B72&gt;F$66,0,IF(SUM($D72:E72)&gt;=$C72,0,$C72/$C$64))</f>
        <v>0</v>
      </c>
      <c r="G72" s="1279">
        <f>IF($B72&gt;G$66,0,IF(SUM($D72:F72)&gt;=$C72,0,$C72/$C$64))</f>
        <v>0</v>
      </c>
      <c r="H72" s="1279">
        <f>IF($B72&gt;H$66,0,IF(SUM($D72:G72)&gt;=$C72,0,$C72/$C$64))</f>
        <v>0</v>
      </c>
      <c r="I72" s="1279">
        <f>IF($B72&gt;I$66,0,IF(SUM($D72:H72)&gt;=$C72,0,$C72/$C$64))</f>
        <v>0</v>
      </c>
      <c r="J72" s="1279">
        <f>IF($B72&gt;J$66,0,IF(SUM($D72:I72)&gt;=$C72,0,$C72/$C$64))</f>
        <v>1.5279303669476072</v>
      </c>
      <c r="K72" s="1279">
        <f>IF($B72&gt;K$66,0,IF(SUM($D72:J72)&gt;=$C72,0,$C72/$C$64))</f>
        <v>1.5279303669476072</v>
      </c>
      <c r="L72" s="1279">
        <f>IF($B72&gt;L$66,0,IF(SUM($D72:K72)&gt;=$C72,0,$C72/$C$64))</f>
        <v>1.5279303669476072</v>
      </c>
      <c r="M72" s="1279">
        <f>IF($B72&gt;M$66,0,IF(SUM($D72:L72)&gt;=$C72,0,$C72/$C$64))</f>
        <v>1.5279303669476072</v>
      </c>
      <c r="N72" s="1279">
        <f>IF($B72&gt;N$66,0,IF(SUM($D72:M72)&gt;=$C72,0,$C72/$C$64))</f>
        <v>1.5279303669476072</v>
      </c>
      <c r="O72" s="1279">
        <f>IF($B72&gt;O$66,0,IF(SUM($D72:N72)&gt;=$C72,0,$C72/$C$64))</f>
        <v>0</v>
      </c>
      <c r="P72" s="1279">
        <f>IF($B72&gt;P$66,0,IF(SUM($D72:O72)&gt;=$C72,0,$C72/$C$64))</f>
        <v>0</v>
      </c>
      <c r="Q72" s="1279">
        <f>IF($B72&gt;Q$66,0,IF(SUM($D72:P72)&gt;=$C72,0,$C72/$C$64))</f>
        <v>0</v>
      </c>
      <c r="R72" s="1279">
        <f>IF($B72&gt;R$66,0,IF(SUM($D72:Q72)&gt;=$C72,0,$C72/$C$64))</f>
        <v>0</v>
      </c>
      <c r="S72" s="1279">
        <f>IF($B72&gt;S$66,0,IF(SUM($D72:R72)&gt;=$C72,0,$C72/$C$64))</f>
        <v>0</v>
      </c>
    </row>
    <row r="73" spans="2:19">
      <c r="B73" s="1278" t="str">
        <v>2024</v>
      </c>
      <c r="C73" s="1245">
        <v>18.090934654167338</v>
      </c>
      <c r="D73" s="1278"/>
      <c r="E73" s="1279">
        <f>IF($B73&gt;E$66,0,IF(SUM($D73:D73)&gt;=$C73,0,$C73/$C$64))</f>
        <v>0</v>
      </c>
      <c r="F73" s="1279">
        <f>IF($B73&gt;F$66,0,IF(SUM($D73:E73)&gt;=$C73,0,$C73/$C$64))</f>
        <v>0</v>
      </c>
      <c r="G73" s="1279">
        <f>IF($B73&gt;G$66,0,IF(SUM($D73:F73)&gt;=$C73,0,$C73/$C$64))</f>
        <v>0</v>
      </c>
      <c r="H73" s="1279">
        <f>IF($B73&gt;H$66,0,IF(SUM($D73:G73)&gt;=$C73,0,$C73/$C$64))</f>
        <v>0</v>
      </c>
      <c r="I73" s="1279">
        <f>IF($B73&gt;I$66,0,IF(SUM($D73:H73)&gt;=$C73,0,$C73/$C$64))</f>
        <v>0</v>
      </c>
      <c r="J73" s="1279">
        <f>IF($B73&gt;J$66,0,IF(SUM($D73:I73)&gt;=$C73,0,$C73/$C$64))</f>
        <v>0</v>
      </c>
      <c r="K73" s="1279">
        <f>IF($B73&gt;K$66,0,IF(SUM($D73:J73)&gt;=$C73,0,$C73/$C$64))</f>
        <v>3.6181869308334678</v>
      </c>
      <c r="L73" s="1279">
        <f>IF($B73&gt;L$66,0,IF(SUM($D73:K73)&gt;=$C73,0,$C73/$C$64))</f>
        <v>3.6181869308334678</v>
      </c>
      <c r="M73" s="1279">
        <f>IF($B73&gt;M$66,0,IF(SUM($D73:L73)&gt;=$C73,0,$C73/$C$64))</f>
        <v>3.6181869308334678</v>
      </c>
      <c r="N73" s="1279">
        <f>IF($B73&gt;N$66,0,IF(SUM($D73:M73)&gt;=$C73,0,$C73/$C$64))</f>
        <v>3.6181869308334678</v>
      </c>
      <c r="O73" s="1279">
        <f>IF($B73&gt;O$66,0,IF(SUM($D73:N73)&gt;=$C73,0,$C73/$C$64))</f>
        <v>3.6181869308334678</v>
      </c>
      <c r="P73" s="1279">
        <f>IF($B73&gt;P$66,0,IF(SUM($D73:O73)&gt;=$C73,0,$C73/$C$64))</f>
        <v>0</v>
      </c>
      <c r="Q73" s="1279">
        <f>IF($B73&gt;Q$66,0,IF(SUM($D73:P73)&gt;=$C73,0,$C73/$C$64))</f>
        <v>0</v>
      </c>
      <c r="R73" s="1279">
        <f>IF($B73&gt;R$66,0,IF(SUM($D73:Q73)&gt;=$C73,0,$C73/$C$64))</f>
        <v>0</v>
      </c>
      <c r="S73" s="1279">
        <f>IF($B73&gt;S$66,0,IF(SUM($D73:R73)&gt;=$C73,0,$C73/$C$64))</f>
        <v>0</v>
      </c>
    </row>
    <row r="74" spans="2:19">
      <c r="B74" s="1278" t="str">
        <v>2025</v>
      </c>
      <c r="C74" s="1245">
        <v>24.327269226514844</v>
      </c>
      <c r="D74" s="1278"/>
      <c r="E74" s="1279">
        <f>IF($B74&gt;E$66,0,IF(SUM($D74:D74)&gt;=$C74,0,$C74/$C$64))</f>
        <v>0</v>
      </c>
      <c r="F74" s="1279">
        <f>IF($B74&gt;F$66,0,IF(SUM($D74:E74)&gt;=$C74,0,$C74/$C$64))</f>
        <v>0</v>
      </c>
      <c r="G74" s="1279">
        <f>IF($B74&gt;G$66,0,IF(SUM($D74:F74)&gt;=$C74,0,$C74/$C$64))</f>
        <v>0</v>
      </c>
      <c r="H74" s="1279">
        <f>IF($B74&gt;H$66,0,IF(SUM($D74:G74)&gt;=$C74,0,$C74/$C$64))</f>
        <v>0</v>
      </c>
      <c r="I74" s="1279">
        <f>IF($B74&gt;I$66,0,IF(SUM($D74:H74)&gt;=$C74,0,$C74/$C$64))</f>
        <v>0</v>
      </c>
      <c r="J74" s="1279">
        <f>IF($B74&gt;J$66,0,IF(SUM($D74:I74)&gt;=$C74,0,$C74/$C$64))</f>
        <v>0</v>
      </c>
      <c r="K74" s="1279">
        <f>IF($B74&gt;K$66,0,IF(SUM($D74:J74)&gt;=$C74,0,$C74/$C$64))</f>
        <v>0</v>
      </c>
      <c r="L74" s="1279">
        <f>IF($B74&gt;L$66,0,IF(SUM($D74:K74)&gt;=$C74,0,$C74/$C$64))</f>
        <v>4.8654538453029685</v>
      </c>
      <c r="M74" s="1279">
        <f>IF($B74&gt;M$66,0,IF(SUM($D74:L74)&gt;=$C74,0,$C74/$C$64))</f>
        <v>4.8654538453029685</v>
      </c>
      <c r="N74" s="1279">
        <f>IF($B74&gt;N$66,0,IF(SUM($D74:M74)&gt;=$C74,0,$C74/$C$64))</f>
        <v>4.8654538453029685</v>
      </c>
      <c r="O74" s="1279">
        <f>IF($B74&gt;O$66,0,IF(SUM($D74:N74)&gt;=$C74,0,$C74/$C$64))</f>
        <v>4.8654538453029685</v>
      </c>
      <c r="P74" s="1279">
        <f>IF($B74&gt;P$66,0,IF(SUM($D74:O74)&gt;=$C74,0,$C74/$C$64))</f>
        <v>4.8654538453029685</v>
      </c>
      <c r="Q74" s="1279">
        <f>IF($B74&gt;Q$66,0,IF(SUM($D74:P74)&gt;=$C74,0,$C74/$C$64))</f>
        <v>0</v>
      </c>
      <c r="R74" s="1279">
        <f>IF($B74&gt;R$66,0,IF(SUM($D74:Q74)&gt;=$C74,0,$C74/$C$64))</f>
        <v>0</v>
      </c>
      <c r="S74" s="1279">
        <f>IF($B74&gt;S$66,0,IF(SUM($D74:R74)&gt;=$C74,0,$C74/$C$64))</f>
        <v>0</v>
      </c>
    </row>
    <row r="75" spans="2:19">
      <c r="B75" s="1278" t="str">
        <v>2026</v>
      </c>
      <c r="C75" s="1245">
        <v>28.871497193778623</v>
      </c>
      <c r="D75" s="1278"/>
      <c r="E75" s="1279">
        <f>IF($B75&gt;E$66,0,IF(SUM($D75:D75)&gt;=$C75,0,$C75/$C$64))</f>
        <v>0</v>
      </c>
      <c r="F75" s="1279">
        <f>IF($B75&gt;F$66,0,IF(SUM($D75:E75)&gt;=$C75,0,$C75/$C$64))</f>
        <v>0</v>
      </c>
      <c r="G75" s="1279">
        <f>IF($B75&gt;G$66,0,IF(SUM($D75:F75)&gt;=$C75,0,$C75/$C$64))</f>
        <v>0</v>
      </c>
      <c r="H75" s="1279">
        <f>IF($B75&gt;H$66,0,IF(SUM($D75:G75)&gt;=$C75,0,$C75/$C$64))</f>
        <v>0</v>
      </c>
      <c r="I75" s="1279">
        <f>IF($B75&gt;I$66,0,IF(SUM($D75:H75)&gt;=$C75,0,$C75/$C$64))</f>
        <v>0</v>
      </c>
      <c r="J75" s="1279">
        <f>IF($B75&gt;J$66,0,IF(SUM($D75:I75)&gt;=$C75,0,$C75/$C$64))</f>
        <v>0</v>
      </c>
      <c r="K75" s="1279">
        <f>IF($B75&gt;K$66,0,IF(SUM($D75:J75)&gt;=$C75,0,$C75/$C$64))</f>
        <v>0</v>
      </c>
      <c r="L75" s="1279">
        <f>IF($B75&gt;L$66,0,IF(SUM($D75:K75)&gt;=$C75,0,$C75/$C$64))</f>
        <v>0</v>
      </c>
      <c r="M75" s="1279">
        <f>IF($B75&gt;M$66,0,IF(SUM($D75:L75)&gt;=$C75,0,$C75/$C$64))</f>
        <v>5.7742994387557243</v>
      </c>
      <c r="N75" s="1279">
        <f>IF($B75&gt;N$66,0,IF(SUM($D75:M75)&gt;=$C75,0,$C75/$C$64))</f>
        <v>5.7742994387557243</v>
      </c>
      <c r="O75" s="1279">
        <f>IF($B75&gt;O$66,0,IF(SUM($D75:N75)&gt;=$C75,0,$C75/$C$64))</f>
        <v>5.7742994387557243</v>
      </c>
      <c r="P75" s="1279">
        <f>IF($B75&gt;P$66,0,IF(SUM($D75:O75)&gt;=$C75,0,$C75/$C$64))</f>
        <v>5.7742994387557243</v>
      </c>
      <c r="Q75" s="1279">
        <f>IF($B75&gt;Q$66,0,IF(SUM($D75:P75)&gt;=$C75,0,$C75/$C$64))</f>
        <v>5.7742994387557243</v>
      </c>
      <c r="R75" s="1279">
        <f>IF($B75&gt;R$66,0,IF(SUM($D75:Q75)&gt;=$C75,0,$C75/$C$64))</f>
        <v>0</v>
      </c>
      <c r="S75" s="1279">
        <f>IF($B75&gt;S$66,0,IF(SUM($D75:R75)&gt;=$C75,0,$C75/$C$64))</f>
        <v>0</v>
      </c>
    </row>
    <row r="76" spans="2:19">
      <c r="B76" s="1278" t="str">
        <v>2027</v>
      </c>
      <c r="C76" s="1245">
        <v>35.545978802372723</v>
      </c>
      <c r="D76" s="1278"/>
      <c r="E76" s="1279">
        <f>IF($B76&gt;E$66,0,IF(SUM($D76:D76)&gt;=$C76,0,$C76/$C$64))</f>
        <v>0</v>
      </c>
      <c r="F76" s="1279">
        <f>IF($B76&gt;F$66,0,IF(SUM($D76:E76)&gt;=$C76,0,$C76/$C$64))</f>
        <v>0</v>
      </c>
      <c r="G76" s="1279">
        <f>IF($B76&gt;G$66,0,IF(SUM($D76:F76)&gt;=$C76,0,$C76/$C$64))</f>
        <v>0</v>
      </c>
      <c r="H76" s="1279">
        <f>IF($B76&gt;H$66,0,IF(SUM($D76:G76)&gt;=$C76,0,$C76/$C$64))</f>
        <v>0</v>
      </c>
      <c r="I76" s="1279">
        <f>IF($B76&gt;I$66,0,IF(SUM($D76:H76)&gt;=$C76,0,$C76/$C$64))</f>
        <v>0</v>
      </c>
      <c r="J76" s="1279">
        <f>IF($B76&gt;J$66,0,IF(SUM($D76:I76)&gt;=$C76,0,$C76/$C$64))</f>
        <v>0</v>
      </c>
      <c r="K76" s="1279">
        <f>IF($B76&gt;K$66,0,IF(SUM($D76:J76)&gt;=$C76,0,$C76/$C$64))</f>
        <v>0</v>
      </c>
      <c r="L76" s="1279">
        <f>IF($B76&gt;L$66,0,IF(SUM($D76:K76)&gt;=$C76,0,$C76/$C$64))</f>
        <v>0</v>
      </c>
      <c r="M76" s="1279">
        <f>IF($B76&gt;M$66,0,IF(SUM($D76:L76)&gt;=$C76,0,$C76/$C$64))</f>
        <v>0</v>
      </c>
      <c r="N76" s="1279">
        <f>IF($B76&gt;N$66,0,IF(SUM($D76:M76)&gt;=$C76,0,$C76/$C$64))</f>
        <v>7.1091957604745444</v>
      </c>
      <c r="O76" s="1279">
        <f>IF($B76&gt;O$66,0,IF(SUM($D76:N76)&gt;=$C76,0,$C76/$C$64))</f>
        <v>7.1091957604745444</v>
      </c>
      <c r="P76" s="1279">
        <f>IF($B76&gt;P$66,0,IF(SUM($D76:O76)&gt;=$C76,0,$C76/$C$64))</f>
        <v>7.1091957604745444</v>
      </c>
      <c r="Q76" s="1279">
        <f>IF($B76&gt;Q$66,0,IF(SUM($D76:P76)&gt;=$C76,0,$C76/$C$64))</f>
        <v>7.1091957604745444</v>
      </c>
      <c r="R76" s="1279">
        <f>IF($B76&gt;R$66,0,IF(SUM($D76:Q76)&gt;=$C76,0,$C76/$C$64))</f>
        <v>7.1091957604745444</v>
      </c>
      <c r="S76" s="1279">
        <f>IF($B76&gt;S$66,0,IF(SUM($D76:R76)&gt;=$C76,0,$C76/$C$64))</f>
        <v>0</v>
      </c>
    </row>
    <row r="77" spans="2:19">
      <c r="B77" s="1278" t="str">
        <v>2028</v>
      </c>
      <c r="C77" s="1245">
        <v>36.271556514008779</v>
      </c>
      <c r="D77" s="1278"/>
      <c r="E77" s="1279">
        <f>IF($B77&gt;E$66,0,IF(SUM($D77:D77)&gt;=$C77,0,$C77/$C$64))</f>
        <v>0</v>
      </c>
      <c r="F77" s="1279">
        <f>IF($B77&gt;F$66,0,IF(SUM($D77:E77)&gt;=$C77,0,$C77/$C$64))</f>
        <v>0</v>
      </c>
      <c r="G77" s="1279">
        <f>IF($B77&gt;G$66,0,IF(SUM($D77:F77)&gt;=$C77,0,$C77/$C$64))</f>
        <v>0</v>
      </c>
      <c r="H77" s="1279">
        <f>IF($B77&gt;H$66,0,IF(SUM($D77:G77)&gt;=$C77,0,$C77/$C$64))</f>
        <v>0</v>
      </c>
      <c r="I77" s="1279">
        <f>IF($B77&gt;I$66,0,IF(SUM($D77:H77)&gt;=$C77,0,$C77/$C$64))</f>
        <v>0</v>
      </c>
      <c r="J77" s="1279">
        <f>IF($B77&gt;J$66,0,IF(SUM($D77:I77)&gt;=$C77,0,$C77/$C$64))</f>
        <v>0</v>
      </c>
      <c r="K77" s="1279">
        <f>IF($B77&gt;K$66,0,IF(SUM($D77:J77)&gt;=$C77,0,$C77/$C$64))</f>
        <v>0</v>
      </c>
      <c r="L77" s="1279">
        <f>IF($B77&gt;L$66,0,IF(SUM($D77:K77)&gt;=$C77,0,$C77/$C$64))</f>
        <v>0</v>
      </c>
      <c r="M77" s="1279">
        <f>IF($B77&gt;M$66,0,IF(SUM($D77:L77)&gt;=$C77,0,$C77/$C$64))</f>
        <v>0</v>
      </c>
      <c r="N77" s="1279">
        <f>IF($B77&gt;N$66,0,IF(SUM($D77:M77)&gt;=$C77,0,$C77/$C$64))</f>
        <v>0</v>
      </c>
      <c r="O77" s="1279">
        <f>IF($B77&gt;O$66,0,IF(SUM($D77:N77)&gt;=$C77,0,$C77/$C$64))</f>
        <v>7.2543113028017556</v>
      </c>
      <c r="P77" s="1279">
        <f>IF($B77&gt;P$66,0,IF(SUM($D77:O77)&gt;=$C77,0,$C77/$C$64))</f>
        <v>7.2543113028017556</v>
      </c>
      <c r="Q77" s="1279">
        <f>IF($B77&gt;Q$66,0,IF(SUM($D77:P77)&gt;=$C77,0,$C77/$C$64))</f>
        <v>7.2543113028017556</v>
      </c>
      <c r="R77" s="1279">
        <f>IF($B77&gt;R$66,0,IF(SUM($D77:Q77)&gt;=$C77,0,$C77/$C$64))</f>
        <v>7.2543113028017556</v>
      </c>
      <c r="S77" s="1279">
        <f>IF($B77&gt;S$66,0,IF(SUM($D77:R77)&gt;=$C77,0,$C77/$C$64))</f>
        <v>7.2543113028017556</v>
      </c>
    </row>
    <row r="78" spans="2:19">
      <c r="B78" s="1278" t="str">
        <v>2029</v>
      </c>
      <c r="C78" s="1245">
        <v>36.919932349630606</v>
      </c>
      <c r="D78" s="1278"/>
      <c r="E78" s="1279">
        <f>IF($B78&gt;E$66,0,IF(SUM($D78:D78)&gt;=$C78,0,$C78/$C$64))</f>
        <v>0</v>
      </c>
      <c r="F78" s="1279">
        <f>IF($B78&gt;F$66,0,IF(SUM($D78:E78)&gt;=$C78,0,$C78/$C$64))</f>
        <v>0</v>
      </c>
      <c r="G78" s="1279">
        <f>IF($B78&gt;G$66,0,IF(SUM($D78:F78)&gt;=$C78,0,$C78/$C$64))</f>
        <v>0</v>
      </c>
      <c r="H78" s="1279">
        <f>IF($B78&gt;H$66,0,IF(SUM($D78:G78)&gt;=$C78,0,$C78/$C$64))</f>
        <v>0</v>
      </c>
      <c r="I78" s="1279">
        <f>IF($B78&gt;I$66,0,IF(SUM($D78:H78)&gt;=$C78,0,$C78/$C$64))</f>
        <v>0</v>
      </c>
      <c r="J78" s="1279">
        <f>IF($B78&gt;J$66,0,IF(SUM($D78:I78)&gt;=$C78,0,$C78/$C$64))</f>
        <v>0</v>
      </c>
      <c r="K78" s="1279">
        <f>IF($B78&gt;K$66,0,IF(SUM($D78:J78)&gt;=$C78,0,$C78/$C$64))</f>
        <v>0</v>
      </c>
      <c r="L78" s="1279">
        <f>IF($B78&gt;L$66,0,IF(SUM($D78:K78)&gt;=$C78,0,$C78/$C$64))</f>
        <v>0</v>
      </c>
      <c r="M78" s="1279">
        <f>IF($B78&gt;M$66,0,IF(SUM($D78:L78)&gt;=$C78,0,$C78/$C$64))</f>
        <v>0</v>
      </c>
      <c r="N78" s="1279">
        <f>IF($B78&gt;N$66,0,IF(SUM($D78:M78)&gt;=$C78,0,$C78/$C$64))</f>
        <v>0</v>
      </c>
      <c r="O78" s="1279">
        <f>IF($B78&gt;O$66,0,IF(SUM($D78:N78)&gt;=$C78,0,$C78/$C$64))</f>
        <v>0</v>
      </c>
      <c r="P78" s="1279">
        <f>IF($B78&gt;P$66,0,IF(SUM($D78:O78)&gt;=$C78,0,$C78/$C$64))</f>
        <v>7.3839864699261213</v>
      </c>
      <c r="Q78" s="1279">
        <f>IF($B78&gt;Q$66,0,IF(SUM($D78:P78)&gt;=$C78,0,$C78/$C$64))</f>
        <v>7.3839864699261213</v>
      </c>
      <c r="R78" s="1279">
        <f>IF($B78&gt;R$66,0,IF(SUM($D78:Q78)&gt;=$C78,0,$C78/$C$64))</f>
        <v>7.3839864699261213</v>
      </c>
      <c r="S78" s="1279">
        <f>IF($B78&gt;S$66,0,IF(SUM($D78:R78)&gt;=$C78,0,$C78/$C$64))</f>
        <v>7.3839864699261213</v>
      </c>
    </row>
    <row r="79" spans="2:19">
      <c r="B79" s="1278" t="str">
        <v>2030</v>
      </c>
      <c r="C79" s="1245">
        <v>36.434804438556462</v>
      </c>
      <c r="D79" s="1278"/>
      <c r="E79" s="1279">
        <f>IF($B79&gt;E$66,0,IF(SUM($D79:D79)&gt;=$C79,0,$C79/$C$64))</f>
        <v>0</v>
      </c>
      <c r="F79" s="1279">
        <f>IF($B79&gt;F$66,0,IF(SUM($D79:E79)&gt;=$C79,0,$C79/$C$64))</f>
        <v>0</v>
      </c>
      <c r="G79" s="1279">
        <f>IF($B79&gt;G$66,0,IF(SUM($D79:F79)&gt;=$C79,0,$C79/$C$64))</f>
        <v>0</v>
      </c>
      <c r="H79" s="1279">
        <f>IF($B79&gt;H$66,0,IF(SUM($D79:G79)&gt;=$C79,0,$C79/$C$64))</f>
        <v>0</v>
      </c>
      <c r="I79" s="1279">
        <f>IF($B79&gt;I$66,0,IF(SUM($D79:H79)&gt;=$C79,0,$C79/$C$64))</f>
        <v>0</v>
      </c>
      <c r="J79" s="1279">
        <f>IF($B79&gt;J$66,0,IF(SUM($D79:I79)&gt;=$C79,0,$C79/$C$64))</f>
        <v>0</v>
      </c>
      <c r="K79" s="1279">
        <f>IF($B79&gt;K$66,0,IF(SUM($D79:J79)&gt;=$C79,0,$C79/$C$64))</f>
        <v>0</v>
      </c>
      <c r="L79" s="1279">
        <f>IF($B79&gt;L$66,0,IF(SUM($D79:K79)&gt;=$C79,0,$C79/$C$64))</f>
        <v>0</v>
      </c>
      <c r="M79" s="1279">
        <f>IF($B79&gt;M$66,0,IF(SUM($D79:L79)&gt;=$C79,0,$C79/$C$64))</f>
        <v>0</v>
      </c>
      <c r="N79" s="1279">
        <f>IF($B79&gt;N$66,0,IF(SUM($D79:M79)&gt;=$C79,0,$C79/$C$64))</f>
        <v>0</v>
      </c>
      <c r="O79" s="1279">
        <f>IF($B79&gt;O$66,0,IF(SUM($D79:N79)&gt;=$C79,0,$C79/$C$64))</f>
        <v>0</v>
      </c>
      <c r="P79" s="1279">
        <f>IF($B79&gt;P$66,0,IF(SUM($D79:O79)&gt;=$C79,0,$C79/$C$64))</f>
        <v>0</v>
      </c>
      <c r="Q79" s="1279">
        <f>IF($B79&gt;Q$66,0,IF(SUM($D79:P79)&gt;=$C79,0,$C79/$C$64))</f>
        <v>7.2869608877112926</v>
      </c>
      <c r="R79" s="1279">
        <f>IF($B79&gt;R$66,0,IF(SUM($D79:Q79)&gt;=$C79,0,$C79/$C$64))</f>
        <v>7.2869608877112926</v>
      </c>
      <c r="S79" s="1279">
        <f>IF($B79&gt;S$66,0,IF(SUM($D79:R79)&gt;=$C79,0,$C79/$C$64))</f>
        <v>7.2869608877112926</v>
      </c>
    </row>
    <row r="80" spans="2:19">
      <c r="B80" s="1278" t="str">
        <v>2031</v>
      </c>
      <c r="C80" s="1245">
        <v>35.956051108233801</v>
      </c>
      <c r="D80" s="1278"/>
      <c r="E80" s="1279">
        <f>IF($B80&gt;E$66,0,IF(SUM($D80:D80)&gt;=$C80,0,$C80/$C$64))</f>
        <v>0</v>
      </c>
      <c r="F80" s="1279">
        <f>IF($B80&gt;F$66,0,IF(SUM($D80:E80)&gt;=$C80,0,$C80/$C$64))</f>
        <v>0</v>
      </c>
      <c r="G80" s="1279">
        <f>IF($B80&gt;G$66,0,IF(SUM($D80:F80)&gt;=$C80,0,$C80/$C$64))</f>
        <v>0</v>
      </c>
      <c r="H80" s="1279">
        <f>IF($B80&gt;H$66,0,IF(SUM($D80:G80)&gt;=$C80,0,$C80/$C$64))</f>
        <v>0</v>
      </c>
      <c r="I80" s="1279">
        <f>IF($B80&gt;I$66,0,IF(SUM($D80:H80)&gt;=$C80,0,$C80/$C$64))</f>
        <v>0</v>
      </c>
      <c r="J80" s="1279">
        <f>IF($B80&gt;J$66,0,IF(SUM($D80:I80)&gt;=$C80,0,$C80/$C$64))</f>
        <v>0</v>
      </c>
      <c r="K80" s="1279">
        <f>IF($B80&gt;K$66,0,IF(SUM($D80:J80)&gt;=$C80,0,$C80/$C$64))</f>
        <v>0</v>
      </c>
      <c r="L80" s="1279">
        <f>IF($B80&gt;L$66,0,IF(SUM($D80:K80)&gt;=$C80,0,$C80/$C$64))</f>
        <v>0</v>
      </c>
      <c r="M80" s="1279">
        <f>IF($B80&gt;M$66,0,IF(SUM($D80:L80)&gt;=$C80,0,$C80/$C$64))</f>
        <v>0</v>
      </c>
      <c r="N80" s="1279">
        <f>IF($B80&gt;N$66,0,IF(SUM($D80:M80)&gt;=$C80,0,$C80/$C$64))</f>
        <v>0</v>
      </c>
      <c r="O80" s="1279">
        <f>IF($B80&gt;O$66,0,IF(SUM($D80:N80)&gt;=$C80,0,$C80/$C$64))</f>
        <v>0</v>
      </c>
      <c r="P80" s="1279">
        <f>IF($B80&gt;P$66,0,IF(SUM($D80:O80)&gt;=$C80,0,$C80/$C$64))</f>
        <v>0</v>
      </c>
      <c r="Q80" s="1279">
        <f>IF($B80&gt;Q$66,0,IF(SUM($D80:P80)&gt;=$C80,0,$C80/$C$64))</f>
        <v>0</v>
      </c>
      <c r="R80" s="1279">
        <f>IF($B80&gt;R$66,0,IF(SUM($D80:Q80)&gt;=$C80,0,$C80/$C$64))</f>
        <v>7.1912102216467604</v>
      </c>
      <c r="S80" s="1279">
        <f>IF($B80&gt;S$66,0,IF(SUM($D80:R80)&gt;=$C80,0,$C80/$C$64))</f>
        <v>7.1912102216467604</v>
      </c>
    </row>
    <row r="81" spans="2:21">
      <c r="B81" s="1278" t="str">
        <v>2032</v>
      </c>
      <c r="C81" s="1245">
        <v>36.207743465991449</v>
      </c>
      <c r="D81" s="1278"/>
      <c r="E81" s="1279">
        <f>IF($B81&gt;E$66,0,IF(SUM($D81:D81)&gt;=$C81,0,$C81/$C$64))</f>
        <v>0</v>
      </c>
      <c r="F81" s="1279">
        <f>IF($B81&gt;F$66,0,IF(SUM($D81:E81)&gt;=$C81,0,$C81/$C$64))</f>
        <v>0</v>
      </c>
      <c r="G81" s="1279">
        <f>IF($B81&gt;G$66,0,IF(SUM($D81:F81)&gt;=$C81,0,$C81/$C$64))</f>
        <v>0</v>
      </c>
      <c r="H81" s="1279">
        <f>IF($B81&gt;H$66,0,IF(SUM($D81:G81)&gt;=$C81,0,$C81/$C$64))</f>
        <v>0</v>
      </c>
      <c r="I81" s="1279">
        <f>IF($B81&gt;I$66,0,IF(SUM($D81:H81)&gt;=$C81,0,$C81/$C$64))</f>
        <v>0</v>
      </c>
      <c r="J81" s="1279">
        <f>IF($B81&gt;J$66,0,IF(SUM($D81:I81)&gt;=$C81,0,$C81/$C$64))</f>
        <v>0</v>
      </c>
      <c r="K81" s="1279">
        <f>IF($B81&gt;K$66,0,IF(SUM($D81:J81)&gt;=$C81,0,$C81/$C$64))</f>
        <v>0</v>
      </c>
      <c r="L81" s="1279">
        <f>IF($B81&gt;L$66,0,IF(SUM($D81:K81)&gt;=$C81,0,$C81/$C$64))</f>
        <v>0</v>
      </c>
      <c r="M81" s="1279">
        <f>IF($B81&gt;M$66,0,IF(SUM($D81:L81)&gt;=$C81,0,$C81/$C$64))</f>
        <v>0</v>
      </c>
      <c r="N81" s="1279">
        <f>IF($B81&gt;N$66,0,IF(SUM($D81:M81)&gt;=$C81,0,$C81/$C$64))</f>
        <v>0</v>
      </c>
      <c r="O81" s="1279">
        <f>IF($B81&gt;O$66,0,IF(SUM($D81:N81)&gt;=$C81,0,$C81/$C$64))</f>
        <v>0</v>
      </c>
      <c r="P81" s="1279">
        <f>IF($B81&gt;P$66,0,IF(SUM($D81:O81)&gt;=$C81,0,$C81/$C$64))</f>
        <v>0</v>
      </c>
      <c r="Q81" s="1279">
        <f>IF($B81&gt;Q$66,0,IF(SUM($D81:P81)&gt;=$C81,0,$C81/$C$64))</f>
        <v>0</v>
      </c>
      <c r="R81" s="1279">
        <f>IF($B81&gt;R$66,0,IF(SUM($D81:Q81)&gt;=$C81,0,$C81/$C$64))</f>
        <v>0</v>
      </c>
      <c r="S81" s="1279">
        <f>IF($B81&gt;S$66,0,IF(SUM($D81:R81)&gt;=$C81,0,$C81/$C$64))</f>
        <v>7.2415486931982898</v>
      </c>
    </row>
    <row r="82" spans="2:21">
      <c r="B82" s="1278" t="e">
        <v>#N/A</v>
      </c>
      <c r="C82" s="1245" t="e">
        <v>#N/A</v>
      </c>
      <c r="D82" s="1278"/>
      <c r="E82" s="1279" t="e">
        <f>IF($B82&gt;E$66,0,IF(SUM($D82:D82)&gt;=$C82,0,$C82/$C$64))</f>
        <v>#N/A</v>
      </c>
      <c r="F82" s="1279" t="e">
        <f>IF($B82&gt;F$66,0,IF(SUM($D82:E82)&gt;=$C82,0,$C82/$C$64))</f>
        <v>#N/A</v>
      </c>
      <c r="G82" s="1279" t="e">
        <f>IF($B82&gt;G$66,0,IF(SUM($D82:F82)&gt;=$C82,0,$C82/$C$64))</f>
        <v>#N/A</v>
      </c>
      <c r="H82" s="1279" t="e">
        <f>IF($B82&gt;H$66,0,IF(SUM($D82:G82)&gt;=$C82,0,$C82/$C$64))</f>
        <v>#N/A</v>
      </c>
      <c r="I82" s="1279" t="e">
        <f>IF($B82&gt;I$66,0,IF(SUM($D82:H82)&gt;=$C82,0,$C82/$C$64))</f>
        <v>#N/A</v>
      </c>
      <c r="J82" s="1279" t="e">
        <f>IF($B82&gt;J$66,0,IF(SUM($D82:I82)&gt;=$C82,0,$C82/$C$64))</f>
        <v>#N/A</v>
      </c>
      <c r="K82" s="1279" t="e">
        <f>IF($B82&gt;K$66,0,IF(SUM($D82:J82)&gt;=$C82,0,$C82/$C$64))</f>
        <v>#N/A</v>
      </c>
      <c r="L82" s="1279" t="e">
        <f>IF($B82&gt;L$66,0,IF(SUM($D82:K82)&gt;=$C82,0,$C82/$C$64))</f>
        <v>#N/A</v>
      </c>
      <c r="M82" s="1279" t="e">
        <f>IF($B82&gt;M$66,0,IF(SUM($D82:L82)&gt;=$C82,0,$C82/$C$64))</f>
        <v>#N/A</v>
      </c>
      <c r="N82" s="1279" t="e">
        <f>IF($B82&gt;N$66,0,IF(SUM($D82:M82)&gt;=$C82,0,$C82/$C$64))</f>
        <v>#N/A</v>
      </c>
      <c r="O82" s="1279" t="e">
        <f>IF($B82&gt;O$66,0,IF(SUM($D82:N82)&gt;=$C82,0,$C82/$C$64))</f>
        <v>#N/A</v>
      </c>
      <c r="P82" s="1279" t="e">
        <f>IF($B82&gt;P$66,0,IF(SUM($D82:O82)&gt;=$C82,0,$C82/$C$64))</f>
        <v>#N/A</v>
      </c>
      <c r="Q82" s="1279" t="e">
        <f>IF($B82&gt;Q$66,0,IF(SUM($D82:P82)&gt;=$C82,0,$C82/$C$64))</f>
        <v>#N/A</v>
      </c>
      <c r="R82" s="1279" t="e">
        <f>IF($B82&gt;R$66,0,IF(SUM($D82:Q82)&gt;=$C82,0,$C82/$C$64))</f>
        <v>#N/A</v>
      </c>
      <c r="S82" s="1279" t="e">
        <f>IF($B82&gt;S$66,0,IF(SUM($D82:R82)&gt;=$C82,0,$C82/$C$64))</f>
        <v>#N/A</v>
      </c>
    </row>
    <row r="83" spans="2:21">
      <c r="B83" s="1280" t="s">
        <v>81</v>
      </c>
      <c r="C83" s="1278"/>
      <c r="D83" s="1278"/>
      <c r="E83" s="1281" t="e">
        <f t="shared" ref="E83:S83" si="24">SUM(E67:E82)</f>
        <v>#N/A</v>
      </c>
      <c r="F83" s="1281" t="e">
        <f t="shared" si="24"/>
        <v>#N/A</v>
      </c>
      <c r="G83" s="1281" t="e">
        <f t="shared" si="24"/>
        <v>#N/A</v>
      </c>
      <c r="H83" s="1281" t="e">
        <f t="shared" si="24"/>
        <v>#N/A</v>
      </c>
      <c r="I83" s="1281" t="e">
        <f t="shared" si="24"/>
        <v>#N/A</v>
      </c>
      <c r="J83" s="1281" t="e">
        <f t="shared" si="24"/>
        <v>#N/A</v>
      </c>
      <c r="K83" s="1281" t="e">
        <f t="shared" si="24"/>
        <v>#N/A</v>
      </c>
      <c r="L83" s="1281" t="e">
        <f t="shared" si="24"/>
        <v>#N/A</v>
      </c>
      <c r="M83" s="1281" t="e">
        <f t="shared" si="24"/>
        <v>#N/A</v>
      </c>
      <c r="N83" s="1281" t="e">
        <f t="shared" si="24"/>
        <v>#N/A</v>
      </c>
      <c r="O83" s="1281" t="e">
        <f t="shared" si="24"/>
        <v>#N/A</v>
      </c>
      <c r="P83" s="1281" t="e">
        <f t="shared" si="24"/>
        <v>#N/A</v>
      </c>
      <c r="Q83" s="1281" t="e">
        <f t="shared" si="24"/>
        <v>#N/A</v>
      </c>
      <c r="R83" s="1281" t="e">
        <f t="shared" si="24"/>
        <v>#N/A</v>
      </c>
      <c r="S83" s="1281" t="e">
        <f t="shared" si="24"/>
        <v>#N/A</v>
      </c>
    </row>
    <row r="90" spans="2:21">
      <c r="F90" s="1253">
        <f>C51</f>
        <v>616.99480205726854</v>
      </c>
      <c r="G90" s="1253">
        <f>G64</f>
        <v>617</v>
      </c>
      <c r="H90" s="1878">
        <f>G90/F90-1</f>
        <v>8.4246134879339962E-6</v>
      </c>
    </row>
    <row r="92" spans="2:21">
      <c r="B92" s="1238" t="s">
        <v>1832</v>
      </c>
      <c r="C92" s="317"/>
      <c r="D92" s="317"/>
      <c r="E92" s="317">
        <f>'China Revenues'!F52</f>
        <v>1</v>
      </c>
      <c r="F92" s="317">
        <f>'China Revenues'!G52</f>
        <v>1</v>
      </c>
      <c r="G92" s="317">
        <f>'China Revenues'!H52</f>
        <v>0.87</v>
      </c>
      <c r="H92" s="317">
        <f>'China Revenues'!I52</f>
        <v>0.74</v>
      </c>
      <c r="I92" s="317">
        <f>'China Revenues'!J52</f>
        <v>0.61</v>
      </c>
      <c r="J92" s="317">
        <f>'China Revenues'!K52</f>
        <v>0.48</v>
      </c>
      <c r="K92" s="317">
        <f>'China Revenues'!L52</f>
        <v>0.35</v>
      </c>
      <c r="L92" s="317">
        <f>'China Revenues'!M52</f>
        <v>0.35</v>
      </c>
      <c r="M92" s="317">
        <f>'China Revenues'!N52</f>
        <v>0.35</v>
      </c>
      <c r="N92" s="317">
        <f>'China Revenues'!O52</f>
        <v>0.35</v>
      </c>
      <c r="O92" s="317">
        <f>'China Revenues'!P52</f>
        <v>0.35</v>
      </c>
      <c r="P92" s="317">
        <f>'China Revenues'!Q52</f>
        <v>0.35</v>
      </c>
      <c r="Q92" s="317">
        <f>'China Revenues'!R52</f>
        <v>0.35</v>
      </c>
      <c r="R92" s="317">
        <f>'China Revenues'!S52</f>
        <v>0.35</v>
      </c>
      <c r="S92" s="317">
        <f>'China Revenues'!T52</f>
        <v>0.35</v>
      </c>
      <c r="U92" s="1847">
        <f>S92</f>
        <v>0.35</v>
      </c>
    </row>
    <row r="93" spans="2:21">
      <c r="B93" s="1238" t="s">
        <v>2775</v>
      </c>
      <c r="E93" s="1877">
        <v>0</v>
      </c>
      <c r="F93" s="1877">
        <v>0</v>
      </c>
      <c r="G93" s="1877">
        <v>0</v>
      </c>
      <c r="H93" s="1877">
        <v>0</v>
      </c>
      <c r="I93" s="1877">
        <v>0</v>
      </c>
      <c r="J93" s="1877">
        <v>0</v>
      </c>
      <c r="K93" s="1877">
        <v>0.09</v>
      </c>
      <c r="L93" s="1877">
        <v>7.4999999999999997E-2</v>
      </c>
      <c r="M93" s="1877">
        <v>7.4800000000000005E-2</v>
      </c>
      <c r="N93" s="1614">
        <f>M93</f>
        <v>7.4800000000000005E-2</v>
      </c>
      <c r="O93" s="1614">
        <f>N93</f>
        <v>7.4800000000000005E-2</v>
      </c>
      <c r="P93" s="1614">
        <f t="shared" ref="P93:U93" si="25">O93</f>
        <v>7.4800000000000005E-2</v>
      </c>
      <c r="Q93" s="1614">
        <f t="shared" si="25"/>
        <v>7.4800000000000005E-2</v>
      </c>
      <c r="R93" s="1614">
        <f t="shared" si="25"/>
        <v>7.4800000000000005E-2</v>
      </c>
      <c r="S93" s="1614">
        <f t="shared" si="25"/>
        <v>7.4800000000000005E-2</v>
      </c>
      <c r="T93" s="1614">
        <f t="shared" si="25"/>
        <v>7.4800000000000005E-2</v>
      </c>
      <c r="U93" s="1614">
        <f t="shared" si="25"/>
        <v>7.4800000000000005E-2</v>
      </c>
    </row>
    <row r="94" spans="2:21">
      <c r="B94" s="1879" t="s">
        <v>2776</v>
      </c>
      <c r="C94" s="1879"/>
      <c r="D94" s="1879"/>
      <c r="E94" s="1880">
        <f>SUM(E92:E93)</f>
        <v>1</v>
      </c>
      <c r="F94" s="1880">
        <f t="shared" ref="F94:U94" si="26">SUM(F92:F93)</f>
        <v>1</v>
      </c>
      <c r="G94" s="1880">
        <f t="shared" si="26"/>
        <v>0.87</v>
      </c>
      <c r="H94" s="1880">
        <f t="shared" si="26"/>
        <v>0.74</v>
      </c>
      <c r="I94" s="1880">
        <f t="shared" si="26"/>
        <v>0.61</v>
      </c>
      <c r="J94" s="1880">
        <f t="shared" si="26"/>
        <v>0.48</v>
      </c>
      <c r="K94" s="1880">
        <f t="shared" si="26"/>
        <v>0.43999999999999995</v>
      </c>
      <c r="L94" s="1880">
        <f t="shared" si="26"/>
        <v>0.42499999999999999</v>
      </c>
      <c r="M94" s="1880">
        <f t="shared" si="26"/>
        <v>0.42479999999999996</v>
      </c>
      <c r="N94" s="1880">
        <f t="shared" si="26"/>
        <v>0.42479999999999996</v>
      </c>
      <c r="O94" s="1880">
        <f t="shared" si="26"/>
        <v>0.42479999999999996</v>
      </c>
      <c r="P94" s="1880">
        <f t="shared" si="26"/>
        <v>0.42479999999999996</v>
      </c>
      <c r="Q94" s="1880">
        <f t="shared" si="26"/>
        <v>0.42479999999999996</v>
      </c>
      <c r="R94" s="1880">
        <f t="shared" si="26"/>
        <v>0.42479999999999996</v>
      </c>
      <c r="S94" s="1880">
        <f t="shared" si="26"/>
        <v>0.42479999999999996</v>
      </c>
      <c r="T94" s="1880">
        <f t="shared" si="26"/>
        <v>7.4800000000000005E-2</v>
      </c>
      <c r="U94" s="1880">
        <f t="shared" si="26"/>
        <v>0.42479999999999996</v>
      </c>
    </row>
  </sheetData>
  <mergeCells count="13">
    <mergeCell ref="M54:U54"/>
    <mergeCell ref="E61:L61"/>
    <mergeCell ref="E60:L60"/>
    <mergeCell ref="E57:L57"/>
    <mergeCell ref="E58:L58"/>
    <mergeCell ref="E59:L59"/>
    <mergeCell ref="M61:U61"/>
    <mergeCell ref="M60:U60"/>
    <mergeCell ref="M59:U59"/>
    <mergeCell ref="M58:U58"/>
    <mergeCell ref="M57:U57"/>
    <mergeCell ref="M56:U56"/>
    <mergeCell ref="M55:U55"/>
  </mergeCells>
  <conditionalFormatting sqref="B4:U4">
    <cfRule type="cellIs" dxfId="80" priority="31" stopIfTrue="1" operator="equal">
      <formula>"input"</formula>
    </cfRule>
  </conditionalFormatting>
  <conditionalFormatting sqref="E8:S10 E14:S18">
    <cfRule type="cellIs" dxfId="79" priority="30" operator="equal">
      <formula>0</formula>
    </cfRule>
  </conditionalFormatting>
  <conditionalFormatting sqref="E11:S11">
    <cfRule type="cellIs" dxfId="78" priority="29" operator="equal">
      <formula>0</formula>
    </cfRule>
  </conditionalFormatting>
  <conditionalFormatting sqref="E26:S27">
    <cfRule type="cellIs" dxfId="77" priority="27" operator="equal">
      <formula>0</formula>
    </cfRule>
  </conditionalFormatting>
  <conditionalFormatting sqref="E44:S44 E46:S46 E29:S31 E37:S37">
    <cfRule type="cellIs" dxfId="76" priority="26" operator="equal">
      <formula>0</formula>
    </cfRule>
  </conditionalFormatting>
  <conditionalFormatting sqref="E43:S43">
    <cfRule type="cellIs" dxfId="75" priority="25" operator="equal">
      <formula>0</formula>
    </cfRule>
  </conditionalFormatting>
  <conditionalFormatting sqref="E34:S35">
    <cfRule type="cellIs" dxfId="74" priority="24" operator="equal">
      <formula>0</formula>
    </cfRule>
  </conditionalFormatting>
  <conditionalFormatting sqref="E24:S25">
    <cfRule type="cellIs" dxfId="73" priority="23" operator="equal">
      <formula>0</formula>
    </cfRule>
  </conditionalFormatting>
  <conditionalFormatting sqref="E39:S39">
    <cfRule type="cellIs" dxfId="72" priority="22" operator="equal">
      <formula>0</formula>
    </cfRule>
  </conditionalFormatting>
  <conditionalFormatting sqref="E41:S41">
    <cfRule type="cellIs" dxfId="71" priority="21" operator="equal">
      <formula>0</formula>
    </cfRule>
  </conditionalFormatting>
  <conditionalFormatting sqref="G64">
    <cfRule type="cellIs" dxfId="70" priority="19" operator="equal">
      <formula>0</formula>
    </cfRule>
  </conditionalFormatting>
  <conditionalFormatting sqref="C18">
    <cfRule type="cellIs" dxfId="69" priority="17" operator="equal">
      <formula>0</formula>
    </cfRule>
  </conditionalFormatting>
  <conditionalFormatting sqref="U10">
    <cfRule type="cellIs" dxfId="68" priority="16" operator="equal">
      <formula>0</formula>
    </cfRule>
  </conditionalFormatting>
  <conditionalFormatting sqref="U11">
    <cfRule type="cellIs" dxfId="67" priority="15" operator="equal">
      <formula>0</formula>
    </cfRule>
  </conditionalFormatting>
  <conditionalFormatting sqref="U15 U17">
    <cfRule type="cellIs" dxfId="66" priority="14" operator="equal">
      <formula>0</formula>
    </cfRule>
  </conditionalFormatting>
  <conditionalFormatting sqref="U26:U27">
    <cfRule type="cellIs" dxfId="65" priority="13" operator="equal">
      <formula>0</formula>
    </cfRule>
  </conditionalFormatting>
  <conditionalFormatting sqref="U44 U46 U29:U31 U37">
    <cfRule type="cellIs" dxfId="64" priority="12" operator="equal">
      <formula>0</formula>
    </cfRule>
  </conditionalFormatting>
  <conditionalFormatting sqref="U43">
    <cfRule type="cellIs" dxfId="63" priority="11" operator="equal">
      <formula>0</formula>
    </cfRule>
  </conditionalFormatting>
  <conditionalFormatting sqref="U34:U35">
    <cfRule type="cellIs" dxfId="62" priority="10" operator="equal">
      <formula>0</formula>
    </cfRule>
  </conditionalFormatting>
  <conditionalFormatting sqref="U25">
    <cfRule type="cellIs" dxfId="61" priority="9" operator="equal">
      <formula>0</formula>
    </cfRule>
  </conditionalFormatting>
  <conditionalFormatting sqref="U39">
    <cfRule type="cellIs" dxfId="60" priority="8" operator="equal">
      <formula>0</formula>
    </cfRule>
  </conditionalFormatting>
  <conditionalFormatting sqref="U41">
    <cfRule type="cellIs" dxfId="59" priority="7" operator="equal">
      <formula>0</formula>
    </cfRule>
  </conditionalFormatting>
  <conditionalFormatting sqref="U18">
    <cfRule type="cellIs" dxfId="58" priority="6" operator="equal">
      <formula>0</formula>
    </cfRule>
  </conditionalFormatting>
  <conditionalFormatting sqref="U24">
    <cfRule type="cellIs" dxfId="57" priority="5" operator="equal">
      <formula>0</formula>
    </cfRule>
  </conditionalFormatting>
  <conditionalFormatting sqref="U14">
    <cfRule type="cellIs" dxfId="56" priority="3" operator="equal">
      <formula>0</formula>
    </cfRule>
  </conditionalFormatting>
  <conditionalFormatting sqref="U16">
    <cfRule type="cellIs" dxfId="55" priority="1" operator="equal">
      <formula>0</formula>
    </cfRule>
  </conditionalFormatting>
  <pageMargins left="0.5" right="0.5" top="0.5" bottom="0.5" header="0.5" footer="0.5"/>
  <pageSetup scale="74" fitToWidth="0" fitToHeight="0" pageOrder="overThenDown" orientation="landscape" r:id="rId1"/>
  <colBreaks count="1" manualBreakCount="1">
    <brk id="12" max="60" man="1"/>
  </colBreaks>
  <legacy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Z76"/>
  <sheetViews>
    <sheetView showGridLines="0" view="pageBreakPreview" topLeftCell="A6" zoomScale="85" zoomScaleNormal="100" zoomScaleSheetLayoutView="85" workbookViewId="0">
      <selection activeCell="N23" sqref="N23:N24"/>
    </sheetView>
  </sheetViews>
  <sheetFormatPr defaultRowHeight="12.75"/>
  <cols>
    <col min="1" max="1" width="4.5" style="310" customWidth="1"/>
    <col min="2" max="2" width="72.6640625" style="310" bestFit="1" customWidth="1"/>
    <col min="3" max="3" width="2.83203125" style="310" customWidth="1"/>
    <col min="4" max="6" width="15.33203125" style="310" customWidth="1"/>
    <col min="7" max="7" width="2.83203125" style="310" customWidth="1"/>
    <col min="8" max="10" width="15.83203125" style="310" customWidth="1"/>
    <col min="11" max="11" width="2.83203125" style="310" customWidth="1"/>
    <col min="12" max="14" width="11.5" style="310" customWidth="1"/>
    <col min="15" max="15" width="2.83203125" style="310" customWidth="1"/>
    <col min="16" max="17" width="10.6640625" style="310" customWidth="1"/>
    <col min="18" max="18" width="2.83203125" style="310" customWidth="1"/>
    <col min="19" max="20" width="17.5" style="310" customWidth="1"/>
    <col min="21" max="21" width="4.5" style="310" customWidth="1"/>
    <col min="22" max="22" width="4.1640625" style="310" customWidth="1"/>
    <col min="23" max="23" width="15.33203125" style="310" bestFit="1" customWidth="1"/>
    <col min="24" max="24" width="10.5" style="310" bestFit="1" customWidth="1"/>
    <col min="25" max="25" width="15.33203125" style="310" bestFit="1" customWidth="1"/>
    <col min="26" max="30" width="9.33203125" style="310"/>
    <col min="31" max="31" width="8.83203125" style="310" customWidth="1"/>
    <col min="32" max="16384" width="9.33203125" style="310"/>
  </cols>
  <sheetData>
    <row r="1" spans="2:26" ht="10.7" customHeight="1" thickBot="1"/>
    <row r="2" spans="2:26" ht="16.5" customHeight="1" thickTop="1">
      <c r="B2" s="10" t="str">
        <f>'MASTER PubCo Inputs'!$C$5</f>
        <v>Hua Medicine</v>
      </c>
      <c r="C2" s="10"/>
      <c r="D2" s="10"/>
      <c r="E2" s="10"/>
      <c r="F2" s="10"/>
      <c r="G2" s="10"/>
      <c r="H2" s="10"/>
      <c r="I2" s="10"/>
      <c r="J2" s="10"/>
      <c r="K2" s="10"/>
      <c r="L2" s="10"/>
      <c r="M2" s="10"/>
      <c r="N2" s="10"/>
      <c r="O2" s="10"/>
      <c r="P2" s="10"/>
      <c r="Q2" s="10"/>
      <c r="R2" s="10"/>
      <c r="S2" s="10"/>
      <c r="T2" s="10"/>
      <c r="W2" s="1530" t="s">
        <v>17</v>
      </c>
      <c r="X2" s="235">
        <f>+Comp.1!$AL$2</f>
        <v>43281</v>
      </c>
    </row>
    <row r="3" spans="2:26" ht="15.75" customHeight="1">
      <c r="B3" s="11" t="str">
        <f>VLOOKUP(B4,Outline!$E$8:$G$81,COLUMNS(Outline!$E$8:$G$8),FALSE)</f>
        <v>Workpaper #2</v>
      </c>
      <c r="C3" s="11"/>
      <c r="D3" s="11"/>
      <c r="E3" s="11"/>
      <c r="F3" s="11"/>
      <c r="G3" s="11"/>
      <c r="H3" s="11"/>
      <c r="I3" s="11"/>
      <c r="J3" s="11"/>
      <c r="K3" s="11"/>
      <c r="L3" s="11"/>
      <c r="M3" s="11"/>
      <c r="N3" s="11"/>
      <c r="O3" s="11"/>
      <c r="P3" s="11"/>
      <c r="Q3" s="11"/>
      <c r="R3" s="11"/>
      <c r="S3" s="11"/>
      <c r="T3" s="11"/>
      <c r="W3" s="275" t="s">
        <v>273</v>
      </c>
      <c r="X3" s="239" t="str">
        <f>+Comp.1!$AL$3</f>
        <v>F</v>
      </c>
    </row>
    <row r="4" spans="2:26" ht="16.5" customHeight="1" thickBot="1">
      <c r="B4" s="12" t="s">
        <v>2737</v>
      </c>
      <c r="C4" s="12"/>
      <c r="D4" s="12"/>
      <c r="E4" s="12"/>
      <c r="F4" s="12"/>
      <c r="G4" s="12"/>
      <c r="H4" s="12"/>
      <c r="I4" s="13"/>
      <c r="J4" s="13" t="str">
        <f>+'MASTER PubCo Inputs'!$C$24</f>
        <v>(in millions of USD)</v>
      </c>
      <c r="K4" s="12"/>
      <c r="L4" s="13"/>
      <c r="M4" s="13"/>
      <c r="N4" s="13"/>
      <c r="O4" s="13"/>
      <c r="P4" s="13"/>
      <c r="Q4" s="13"/>
      <c r="R4" s="13"/>
      <c r="S4" s="13"/>
      <c r="T4" s="13" t="str">
        <f>+'MASTER PubCo Inputs'!$C$24</f>
        <v>(in millions of USD)</v>
      </c>
      <c r="W4" s="275" t="s">
        <v>274</v>
      </c>
      <c r="X4" s="239" t="str">
        <f>+Comp.1!$AL$4</f>
        <v>USD</v>
      </c>
    </row>
    <row r="5" spans="2:26" ht="12.75" customHeight="1" thickTop="1">
      <c r="W5" s="1819" t="s">
        <v>19</v>
      </c>
      <c r="X5" s="522" t="str">
        <f>+Comp.1!$AL$5</f>
        <v>H</v>
      </c>
    </row>
    <row r="6" spans="2:26" ht="12.75" customHeight="1">
      <c r="D6" s="1874"/>
      <c r="E6" s="1875"/>
      <c r="F6" s="1875"/>
    </row>
    <row r="7" spans="2:26">
      <c r="D7" s="1871" t="s">
        <v>2738</v>
      </c>
      <c r="E7" s="1872"/>
      <c r="F7" s="1873"/>
      <c r="H7" s="318" t="s">
        <v>2739</v>
      </c>
      <c r="I7" s="314"/>
      <c r="J7" s="319"/>
      <c r="L7" s="2624" t="s">
        <v>2740</v>
      </c>
      <c r="M7" s="2625"/>
      <c r="N7" s="2626"/>
      <c r="P7" s="318" t="s">
        <v>2745</v>
      </c>
      <c r="Q7" s="319"/>
      <c r="S7" s="318" t="s">
        <v>2746</v>
      </c>
      <c r="T7" s="319"/>
      <c r="W7" s="1193" t="s">
        <v>628</v>
      </c>
      <c r="X7" s="1820">
        <v>1</v>
      </c>
      <c r="Y7" s="1193" t="s">
        <v>629</v>
      </c>
      <c r="Z7" s="1820">
        <v>-1</v>
      </c>
    </row>
    <row r="8" spans="2:26" s="6" customFormat="1" ht="14.25" customHeight="1">
      <c r="B8" s="1196" t="s">
        <v>455</v>
      </c>
      <c r="D8" s="1821" t="s">
        <v>169</v>
      </c>
      <c r="E8" s="467" t="s">
        <v>164</v>
      </c>
      <c r="F8" s="1822" t="s">
        <v>165</v>
      </c>
      <c r="G8" s="260"/>
      <c r="H8" s="1821" t="s">
        <v>169</v>
      </c>
      <c r="I8" s="467" t="s">
        <v>164</v>
      </c>
      <c r="J8" s="1822" t="s">
        <v>165</v>
      </c>
      <c r="K8" s="260"/>
      <c r="L8" s="1821" t="s">
        <v>169</v>
      </c>
      <c r="M8" s="467" t="s">
        <v>164</v>
      </c>
      <c r="N8" s="1822" t="s">
        <v>165</v>
      </c>
      <c r="O8" s="260"/>
      <c r="P8" s="483" t="s">
        <v>164</v>
      </c>
      <c r="Q8" s="475" t="s">
        <v>165</v>
      </c>
      <c r="R8" s="260"/>
      <c r="S8" s="483" t="s">
        <v>164</v>
      </c>
      <c r="T8" s="475" t="s">
        <v>165</v>
      </c>
      <c r="U8" s="310"/>
      <c r="W8" s="77" t="s">
        <v>38</v>
      </c>
    </row>
    <row r="9" spans="2:26" ht="12.75" customHeight="1"/>
    <row r="10" spans="2:26" ht="12.75" customHeight="1">
      <c r="B10" s="1" t="s">
        <v>1688</v>
      </c>
    </row>
    <row r="11" spans="2:26" ht="12.75" customHeight="1">
      <c r="B11" s="310" t="str">
        <f>Comp.1!B13</f>
        <v>Novo Nordisk A/S</v>
      </c>
      <c r="D11" s="81">
        <f>'Capital IQ Sheet-GPC'!O13</f>
        <v>16804.59172</v>
      </c>
      <c r="E11" s="81">
        <f>'Capital IQ Sheet-GPC'!P13</f>
        <v>16251.231239999999</v>
      </c>
      <c r="F11" s="81">
        <f>'Capital IQ Sheet-GPC'!Q13</f>
        <v>18209.76585</v>
      </c>
      <c r="H11" s="81">
        <f>'Capital IQ Sheet-GPC'!AJ13</f>
        <v>-479.50231000000002</v>
      </c>
      <c r="I11" s="81">
        <f>'Capital IQ Sheet-GPC'!AK13</f>
        <v>-1496.57419</v>
      </c>
      <c r="J11" s="81">
        <f>'Capital IQ Sheet-GPC'!AL13</f>
        <v>-750.04917</v>
      </c>
      <c r="L11" s="51">
        <f t="shared" ref="L11:L19" si="0">IFERROR(IF(H11/D11&gt;$X$7,"NM",IF((H11/D11)&lt;$Z$7,"NM",H11/D11)),"n/a")</f>
        <v>-2.8534005347438458E-2</v>
      </c>
      <c r="M11" s="51">
        <f t="shared" ref="M11:M19" si="1">IFERROR(IF(I11/E11&gt;$X$7,"NM",IF((I11/E11)&lt;$Z$7,"NM",I11/E11)),"n/a")</f>
        <v>-9.2089895706880615E-2</v>
      </c>
      <c r="N11" s="51">
        <f t="shared" ref="N11:N19" si="2">IFERROR(IF(J11/F11&gt;$X$7,"NM",IF((J11/F11)&lt;$Z$7,"NM",J11/F11)),"n/a")</f>
        <v>-4.1189391240854425E-2</v>
      </c>
      <c r="O11" s="311"/>
      <c r="P11" s="81">
        <f t="shared" ref="P11:P19" si="3">IFERROR(E11-D11, "n/a")</f>
        <v>-553.36048000000119</v>
      </c>
      <c r="Q11" s="81">
        <f t="shared" ref="Q11:Q19" si="4">IFERROR(F11-E11, "n/a")</f>
        <v>1958.5346100000006</v>
      </c>
      <c r="S11" s="51" t="str">
        <f t="shared" ref="S11:S19" si="5">IFERROR(IF(I11/P11&gt;$X$7,"NM",IF((I11/P11)&lt;$Z$7,"NM",I11/P11)),"n/a")</f>
        <v>NM</v>
      </c>
      <c r="T11" s="51">
        <f t="shared" ref="T11:T19" si="6">IFERROR(IF(J11/Q11&gt;$X$7,"NM",IF((J11/Q11)&lt;$Z$7,"NM",J11/Q11)),"n/a")</f>
        <v>-0.38296447056404059</v>
      </c>
      <c r="V11" s="310">
        <v>1</v>
      </c>
      <c r="W11" s="82" t="str">
        <f>IF('MASTER PubCo Inputs'!B28="","",'MASTER PubCo Inputs'!B28)</f>
        <v>CPSE:NOVO B</v>
      </c>
    </row>
    <row r="12" spans="2:26" ht="12.75" customHeight="1">
      <c r="B12" s="310" t="str">
        <f>Comp.1!B14</f>
        <v>Tonghua Dongbao Pharmaceutical Co., Ltd.</v>
      </c>
      <c r="D12" s="81">
        <f>'Capital IQ Sheet-GPC'!O14</f>
        <v>266.80338999999998</v>
      </c>
      <c r="E12" s="81">
        <f>'Capital IQ Sheet-GPC'!P14</f>
        <v>312.89407</v>
      </c>
      <c r="F12" s="81">
        <f>'Capital IQ Sheet-GPC'!Q14</f>
        <v>430.28374000000002</v>
      </c>
      <c r="H12" s="81">
        <f>'Capital IQ Sheet-GPC'!AJ14</f>
        <v>208.21476999999999</v>
      </c>
      <c r="I12" s="81">
        <f>'Capital IQ Sheet-GPC'!AK14</f>
        <v>261.31078000000002</v>
      </c>
      <c r="J12" s="81">
        <f>'Capital IQ Sheet-GPC'!AL14</f>
        <v>300.94391999999999</v>
      </c>
      <c r="L12" s="51">
        <f t="shared" si="0"/>
        <v>0.78040526396609877</v>
      </c>
      <c r="M12" s="51">
        <f t="shared" si="1"/>
        <v>0.8351413626982449</v>
      </c>
      <c r="N12" s="51">
        <f t="shared" si="2"/>
        <v>0.69940806966119606</v>
      </c>
      <c r="O12" s="311"/>
      <c r="P12" s="81">
        <f t="shared" si="3"/>
        <v>46.09068000000002</v>
      </c>
      <c r="Q12" s="81">
        <f t="shared" si="4"/>
        <v>117.38967000000002</v>
      </c>
      <c r="S12" s="51" t="str">
        <f t="shared" si="5"/>
        <v>NM</v>
      </c>
      <c r="T12" s="51" t="str">
        <f t="shared" si="6"/>
        <v>NM</v>
      </c>
      <c r="V12" s="310">
        <v>1</v>
      </c>
      <c r="W12" s="82" t="str">
        <f>IF('MASTER PubCo Inputs'!B29="","",'MASTER PubCo Inputs'!B29)</f>
        <v>SHSE:600867</v>
      </c>
    </row>
    <row r="13" spans="2:26" ht="12.75" customHeight="1">
      <c r="B13" s="310" t="str">
        <f>Comp.1!B15</f>
        <v>3SBio Inc.</v>
      </c>
      <c r="D13" s="81">
        <f>'Capital IQ Sheet-GPC'!O15</f>
        <v>257.70134999999999</v>
      </c>
      <c r="E13" s="81">
        <f>'Capital IQ Sheet-GPC'!P15</f>
        <v>402.87020999999999</v>
      </c>
      <c r="F13" s="81">
        <f>'Capital IQ Sheet-GPC'!Q15</f>
        <v>573.92133999999999</v>
      </c>
      <c r="H13" s="81">
        <f>'Capital IQ Sheet-GPC'!AJ15</f>
        <v>76.224260000000001</v>
      </c>
      <c r="I13" s="81">
        <f>'Capital IQ Sheet-GPC'!AK15</f>
        <v>82.928100000000001</v>
      </c>
      <c r="J13" s="81">
        <f>'Capital IQ Sheet-GPC'!AL15</f>
        <v>163.62949</v>
      </c>
      <c r="L13" s="51">
        <f t="shared" si="0"/>
        <v>0.29578525684867385</v>
      </c>
      <c r="M13" s="51">
        <f t="shared" si="1"/>
        <v>0.20584321685140236</v>
      </c>
      <c r="N13" s="51">
        <f t="shared" si="2"/>
        <v>0.28510786861488718</v>
      </c>
      <c r="O13" s="311"/>
      <c r="P13" s="81">
        <f t="shared" si="3"/>
        <v>145.16886</v>
      </c>
      <c r="Q13" s="81">
        <f t="shared" si="4"/>
        <v>171.05113</v>
      </c>
      <c r="S13" s="51">
        <f t="shared" si="5"/>
        <v>0.57125267774369792</v>
      </c>
      <c r="T13" s="51">
        <f t="shared" si="6"/>
        <v>0.95661156988556584</v>
      </c>
      <c r="V13" s="310">
        <v>1</v>
      </c>
      <c r="W13" s="82" t="str">
        <f>IF('MASTER PubCo Inputs'!B30="","",'MASTER PubCo Inputs'!B30)</f>
        <v>SEHK:1530</v>
      </c>
    </row>
    <row r="14" spans="2:26" ht="12.75" customHeight="1">
      <c r="B14" s="310" t="str">
        <f>Comp.1!B16</f>
        <v>Luye Pharma Group Ltd.</v>
      </c>
      <c r="D14" s="81">
        <f>'Capital IQ Sheet-GPC'!O16</f>
        <v>394.78305999999998</v>
      </c>
      <c r="E14" s="81">
        <f>'Capital IQ Sheet-GPC'!P16</f>
        <v>420.22554000000002</v>
      </c>
      <c r="F14" s="81">
        <f>'Capital IQ Sheet-GPC'!Q16</f>
        <v>586.29443000000003</v>
      </c>
      <c r="H14" s="81">
        <f>'Capital IQ Sheet-GPC'!AJ16</f>
        <v>203.59737999999999</v>
      </c>
      <c r="I14" s="81">
        <f>'Capital IQ Sheet-GPC'!AK16</f>
        <v>339.03059000000002</v>
      </c>
      <c r="J14" s="81">
        <f>'Capital IQ Sheet-GPC'!AL16</f>
        <v>426.18977000000001</v>
      </c>
      <c r="L14" s="51">
        <f t="shared" si="0"/>
        <v>0.51571964612665999</v>
      </c>
      <c r="M14" s="51">
        <f t="shared" si="1"/>
        <v>0.80678244830145263</v>
      </c>
      <c r="N14" s="51">
        <f t="shared" si="2"/>
        <v>0.7269210625112027</v>
      </c>
      <c r="O14" s="311"/>
      <c r="P14" s="81">
        <f t="shared" si="3"/>
        <v>25.442480000000046</v>
      </c>
      <c r="Q14" s="81">
        <f t="shared" si="4"/>
        <v>166.06889000000001</v>
      </c>
      <c r="S14" s="51" t="str">
        <f t="shared" si="5"/>
        <v>NM</v>
      </c>
      <c r="T14" s="51" t="str">
        <f t="shared" si="6"/>
        <v>NM</v>
      </c>
      <c r="V14" s="310">
        <v>1</v>
      </c>
      <c r="W14" s="82" t="str">
        <f>IF('MASTER PubCo Inputs'!B31="","",'MASTER PubCo Inputs'!B31)</f>
        <v>SEHK:2186</v>
      </c>
    </row>
    <row r="15" spans="2:26" ht="12.75" customHeight="1">
      <c r="B15" s="310" t="str">
        <f>Comp.1!B17</f>
        <v>Intercept Pharmaceuticals, Inc.</v>
      </c>
      <c r="D15" s="81">
        <f>'Capital IQ Sheet-GPC'!O17</f>
        <v>1.782</v>
      </c>
      <c r="E15" s="81">
        <f>'Capital IQ Sheet-GPC'!P17</f>
        <v>45.554000000000002</v>
      </c>
      <c r="F15" s="81">
        <f>'Capital IQ Sheet-GPC'!Q17</f>
        <v>145.87100000000001</v>
      </c>
      <c r="H15" s="81">
        <f>'Capital IQ Sheet-GPC'!AJ17</f>
        <v>-81.165000000000006</v>
      </c>
      <c r="I15" s="81">
        <f>'Capital IQ Sheet-GPC'!AK17</f>
        <v>-45.707000000000001</v>
      </c>
      <c r="J15" s="81">
        <f>'Capital IQ Sheet-GPC'!AL17</f>
        <v>-41.692999999999998</v>
      </c>
      <c r="L15" s="51" t="str">
        <f t="shared" si="0"/>
        <v>NM</v>
      </c>
      <c r="M15" s="51" t="str">
        <f t="shared" si="1"/>
        <v>NM</v>
      </c>
      <c r="N15" s="51">
        <f t="shared" si="2"/>
        <v>-0.28582103365302214</v>
      </c>
      <c r="O15" s="311"/>
      <c r="P15" s="81">
        <f t="shared" si="3"/>
        <v>43.772000000000006</v>
      </c>
      <c r="Q15" s="81">
        <f t="shared" si="4"/>
        <v>100.31700000000001</v>
      </c>
      <c r="S15" s="51" t="str">
        <f t="shared" si="5"/>
        <v>NM</v>
      </c>
      <c r="T15" s="51">
        <f t="shared" si="6"/>
        <v>-0.41561250834853508</v>
      </c>
      <c r="V15" s="310">
        <v>1</v>
      </c>
      <c r="W15" s="82" t="str">
        <f>IF('MASTER PubCo Inputs'!B32="","",'MASTER PubCo Inputs'!B32)</f>
        <v>NasdaqGS:ICPT</v>
      </c>
    </row>
    <row r="16" spans="2:26" ht="12.75" customHeight="1">
      <c r="B16" s="310" t="str">
        <f>Comp.1!B18</f>
        <v>The United Laboratories International Holdings Limited</v>
      </c>
      <c r="D16" s="81">
        <f>'Capital IQ Sheet-GPC'!O18</f>
        <v>992.83531000000005</v>
      </c>
      <c r="E16" s="81">
        <f>'Capital IQ Sheet-GPC'!P18</f>
        <v>875.35559000000001</v>
      </c>
      <c r="F16" s="81">
        <f>'Capital IQ Sheet-GPC'!Q18</f>
        <v>1049.1716200000001</v>
      </c>
      <c r="H16" s="81">
        <f>'Capital IQ Sheet-GPC'!AJ18</f>
        <v>142.24519000000001</v>
      </c>
      <c r="I16" s="81">
        <f>'Capital IQ Sheet-GPC'!AK18</f>
        <v>125.88545000000001</v>
      </c>
      <c r="J16" s="81">
        <f>'Capital IQ Sheet-GPC'!AL18</f>
        <v>123.82467</v>
      </c>
      <c r="L16" s="51">
        <f t="shared" si="0"/>
        <v>0.14327168722474223</v>
      </c>
      <c r="M16" s="51">
        <f t="shared" si="1"/>
        <v>0.14381064271263749</v>
      </c>
      <c r="N16" s="51">
        <f t="shared" si="2"/>
        <v>0.11802136813422383</v>
      </c>
      <c r="O16" s="311"/>
      <c r="P16" s="81">
        <f t="shared" si="3"/>
        <v>-117.47972000000004</v>
      </c>
      <c r="Q16" s="81">
        <f t="shared" si="4"/>
        <v>173.81603000000007</v>
      </c>
      <c r="S16" s="51" t="str">
        <f t="shared" si="5"/>
        <v>NM</v>
      </c>
      <c r="T16" s="51">
        <f t="shared" si="6"/>
        <v>0.71238924281034344</v>
      </c>
      <c r="V16" s="310">
        <v>1</v>
      </c>
      <c r="W16" s="82" t="str">
        <f>IF('MASTER PubCo Inputs'!B33="","",'MASTER PubCo Inputs'!B33)</f>
        <v>SEHK:3933</v>
      </c>
    </row>
    <row r="17" spans="2:23" ht="12.75" customHeight="1">
      <c r="B17" s="310" t="str">
        <f>Comp.1!B19</f>
        <v>Corcept Therapeutics Incorporated</v>
      </c>
      <c r="D17" s="81">
        <f>'Capital IQ Sheet-GPC'!O19</f>
        <v>56.244999999999997</v>
      </c>
      <c r="E17" s="81">
        <f>'Capital IQ Sheet-GPC'!P19</f>
        <v>92.858999999999995</v>
      </c>
      <c r="F17" s="81">
        <f>'Capital IQ Sheet-GPC'!Q19</f>
        <v>189.261</v>
      </c>
      <c r="H17" s="81">
        <f>'Capital IQ Sheet-GPC'!AJ19</f>
        <v>2.0670000000000002</v>
      </c>
      <c r="I17" s="81">
        <f>'Capital IQ Sheet-GPC'!AK19</f>
        <v>-1.7509999999999999</v>
      </c>
      <c r="J17" s="81">
        <f>'Capital IQ Sheet-GPC'!AL19</f>
        <v>-2.2879999999999998</v>
      </c>
      <c r="L17" s="51">
        <f t="shared" si="0"/>
        <v>3.6749933327406885E-2</v>
      </c>
      <c r="M17" s="51">
        <f t="shared" si="1"/>
        <v>-1.8856545946004156E-2</v>
      </c>
      <c r="N17" s="51">
        <f t="shared" si="2"/>
        <v>-1.2089125599040478E-2</v>
      </c>
      <c r="O17" s="311"/>
      <c r="P17" s="81">
        <f t="shared" si="3"/>
        <v>36.613999999999997</v>
      </c>
      <c r="Q17" s="81">
        <f t="shared" si="4"/>
        <v>96.402000000000001</v>
      </c>
      <c r="S17" s="51">
        <f t="shared" si="5"/>
        <v>-4.7823237013164363E-2</v>
      </c>
      <c r="T17" s="51">
        <f t="shared" si="6"/>
        <v>-2.3733947428476586E-2</v>
      </c>
      <c r="V17" s="310">
        <v>1</v>
      </c>
      <c r="W17" s="82" t="str">
        <f>IF('MASTER PubCo Inputs'!B34="","",'MASTER PubCo Inputs'!B34)</f>
        <v>NasdaqCM:CORT</v>
      </c>
    </row>
    <row r="18" spans="2:23" ht="12.75" customHeight="1">
      <c r="B18" s="310" t="str">
        <f>Comp.1!B20</f>
        <v>MannKind Corporation</v>
      </c>
      <c r="D18" s="81" t="str">
        <f>'Capital IQ Sheet-GPC'!O20</f>
        <v>n/a</v>
      </c>
      <c r="E18" s="81">
        <f>'Capital IQ Sheet-GPC'!P20</f>
        <v>177.767</v>
      </c>
      <c r="F18" s="81">
        <f>'Capital IQ Sheet-GPC'!Q20</f>
        <v>11.601000000000001</v>
      </c>
      <c r="H18" s="81">
        <f>'Capital IQ Sheet-GPC'!AJ20</f>
        <v>-157.71100000000001</v>
      </c>
      <c r="I18" s="81">
        <f>'Capital IQ Sheet-GPC'!AK20</f>
        <v>-13.138</v>
      </c>
      <c r="J18" s="81">
        <f>'Capital IQ Sheet-GPC'!AL20</f>
        <v>-28.693000000000001</v>
      </c>
      <c r="L18" s="51" t="str">
        <f t="shared" si="0"/>
        <v>n/a</v>
      </c>
      <c r="M18" s="51">
        <f t="shared" si="1"/>
        <v>-7.3905730534913686E-2</v>
      </c>
      <c r="N18" s="51" t="str">
        <f t="shared" si="2"/>
        <v>NM</v>
      </c>
      <c r="O18" s="311"/>
      <c r="P18" s="81" t="str">
        <f t="shared" si="3"/>
        <v>n/a</v>
      </c>
      <c r="Q18" s="81">
        <f t="shared" si="4"/>
        <v>-166.166</v>
      </c>
      <c r="S18" s="51" t="str">
        <f t="shared" si="5"/>
        <v>n/a</v>
      </c>
      <c r="T18" s="51">
        <f t="shared" si="6"/>
        <v>0.17267672086949196</v>
      </c>
      <c r="V18" s="310">
        <v>1</v>
      </c>
      <c r="W18" s="82" t="str">
        <f>IF('MASTER PubCo Inputs'!B35="","",'MASTER PubCo Inputs'!B35)</f>
        <v>NasdaqGM:MNKD</v>
      </c>
    </row>
    <row r="19" spans="2:23" ht="12.75" customHeight="1">
      <c r="B19" s="310" t="str">
        <f>Comp.1!B21</f>
        <v>Zealand Pharma A/S</v>
      </c>
      <c r="D19" s="81">
        <f>'Capital IQ Sheet-GPC'!O21</f>
        <v>28.79383</v>
      </c>
      <c r="E19" s="81">
        <f>'Capital IQ Sheet-GPC'!P21</f>
        <v>43.950650000000003</v>
      </c>
      <c r="F19" s="81">
        <f>'Capital IQ Sheet-GPC'!Q21</f>
        <v>12.0631</v>
      </c>
      <c r="H19" s="81">
        <f>'Capital IQ Sheet-GPC'!AJ21</f>
        <v>15.90856</v>
      </c>
      <c r="I19" s="81">
        <f>'Capital IQ Sheet-GPC'!AK21</f>
        <v>-1.87446</v>
      </c>
      <c r="J19" s="81">
        <f>'Capital IQ Sheet-GPC'!AL21</f>
        <v>-3.78694</v>
      </c>
      <c r="L19" s="51">
        <f t="shared" si="0"/>
        <v>0.55249892077573559</v>
      </c>
      <c r="M19" s="51">
        <f t="shared" si="1"/>
        <v>-4.2649198589781945E-2</v>
      </c>
      <c r="N19" s="51">
        <f t="shared" si="2"/>
        <v>-0.31392759738375708</v>
      </c>
      <c r="O19" s="311"/>
      <c r="P19" s="81">
        <f t="shared" si="3"/>
        <v>15.156820000000003</v>
      </c>
      <c r="Q19" s="81">
        <f t="shared" si="4"/>
        <v>-31.887550000000005</v>
      </c>
      <c r="S19" s="51">
        <f t="shared" si="5"/>
        <v>-0.12367106028837181</v>
      </c>
      <c r="T19" s="51">
        <f t="shared" si="6"/>
        <v>0.11875920225918891</v>
      </c>
      <c r="V19" s="310">
        <v>1</v>
      </c>
      <c r="W19" s="82" t="str">
        <f>IF('MASTER PubCo Inputs'!B36="","",'MASTER PubCo Inputs'!B36)</f>
        <v>CPSE:ZEAL</v>
      </c>
    </row>
    <row r="20" spans="2:23" ht="12.75" customHeight="1">
      <c r="D20" s="81"/>
      <c r="E20" s="81"/>
      <c r="F20" s="81"/>
      <c r="H20" s="81"/>
      <c r="I20" s="81"/>
      <c r="J20" s="81"/>
      <c r="L20" s="51"/>
      <c r="M20" s="51"/>
      <c r="N20" s="51"/>
      <c r="O20" s="311"/>
      <c r="P20" s="81"/>
      <c r="Q20" s="81"/>
      <c r="S20" s="51"/>
      <c r="T20" s="51"/>
      <c r="W20" s="82"/>
    </row>
    <row r="21" spans="2:23" ht="12.75" customHeight="1">
      <c r="B21" s="1574" t="s">
        <v>41</v>
      </c>
      <c r="C21" s="833"/>
      <c r="D21" s="1415">
        <f t="shared" ref="D21:J21" si="7">MAX(D11:D19)</f>
        <v>16804.59172</v>
      </c>
      <c r="E21" s="1415">
        <f t="shared" si="7"/>
        <v>16251.231239999999</v>
      </c>
      <c r="F21" s="1415">
        <f>IFERROR(MAX(F11:F19),0)</f>
        <v>18209.76585</v>
      </c>
      <c r="G21" s="1415"/>
      <c r="H21" s="1415">
        <f t="shared" si="7"/>
        <v>208.21476999999999</v>
      </c>
      <c r="I21" s="1415">
        <f t="shared" si="7"/>
        <v>339.03059000000002</v>
      </c>
      <c r="J21" s="1573">
        <f t="shared" si="7"/>
        <v>426.18977000000001</v>
      </c>
      <c r="K21" s="833"/>
      <c r="L21" s="1202">
        <f>MAX(L11:L19)</f>
        <v>0.78040526396609877</v>
      </c>
      <c r="M21" s="1202">
        <f>MAX(M11:M19)</f>
        <v>0.8351413626982449</v>
      </c>
      <c r="N21" s="1202">
        <f>MAX(N11:N19)</f>
        <v>0.7269210625112027</v>
      </c>
      <c r="O21" s="1827"/>
      <c r="P21" s="1415">
        <f>MAX(P11:P19)</f>
        <v>145.16886</v>
      </c>
      <c r="Q21" s="1415">
        <f>MAX(Q11:Q19)</f>
        <v>1958.5346100000006</v>
      </c>
      <c r="R21" s="1828"/>
      <c r="S21" s="1202">
        <f>MAX(S11:S19)</f>
        <v>0.57125267774369792</v>
      </c>
      <c r="T21" s="1826">
        <f>MAX(T11:T19)</f>
        <v>0.95661156988556584</v>
      </c>
      <c r="U21" s="1834"/>
      <c r="V21" s="89"/>
      <c r="W21" s="1829"/>
    </row>
    <row r="22" spans="2:23" ht="12.75" customHeight="1">
      <c r="B22" s="278" t="s">
        <v>45</v>
      </c>
      <c r="C22" s="73"/>
      <c r="D22" s="89">
        <f t="shared" ref="D22:J22" si="8">QUARTILE(D11:D19,3)</f>
        <v>544.29612250000002</v>
      </c>
      <c r="E22" s="89">
        <f t="shared" si="8"/>
        <v>420.22554000000002</v>
      </c>
      <c r="F22" s="89">
        <f>IFERROR(QUARTILE(F11:F19,3),0)</f>
        <v>586.29443000000003</v>
      </c>
      <c r="G22" s="89"/>
      <c r="H22" s="89">
        <f t="shared" si="8"/>
        <v>142.24519000000001</v>
      </c>
      <c r="I22" s="89">
        <f t="shared" si="8"/>
        <v>125.88545000000001</v>
      </c>
      <c r="J22" s="1572">
        <f t="shared" si="8"/>
        <v>163.62949</v>
      </c>
      <c r="K22" s="73"/>
      <c r="L22" s="116">
        <f>QUARTILE(L11:L19,3)</f>
        <v>0.53410928345119779</v>
      </c>
      <c r="M22" s="116">
        <f>QUARTILE(M11:M19,3)</f>
        <v>0.35607802471391492</v>
      </c>
      <c r="N22" s="116">
        <f>QUARTILE(N11:N19,3)</f>
        <v>0.38868291887646439</v>
      </c>
      <c r="O22" s="181"/>
      <c r="P22" s="89">
        <f>QUARTILE(P11:P19,3)</f>
        <v>44.351670000000013</v>
      </c>
      <c r="Q22" s="89">
        <f>QUARTILE(Q11:Q19,3)</f>
        <v>171.05113</v>
      </c>
      <c r="R22" s="185"/>
      <c r="S22" s="116">
        <f>QUARTILE(S11:S19,3)</f>
        <v>0.26171472036526677</v>
      </c>
      <c r="T22" s="117">
        <f>QUARTILE(T11:T19,3)</f>
        <v>0.44253298183991774</v>
      </c>
      <c r="U22" s="1834"/>
      <c r="V22" s="89"/>
      <c r="W22" s="1829"/>
    </row>
    <row r="23" spans="2:23" ht="12.75" customHeight="1">
      <c r="B23" s="278" t="s">
        <v>43</v>
      </c>
      <c r="C23" s="73"/>
      <c r="D23" s="89">
        <f t="shared" ref="D23:J23" si="9">AVERAGE(D11:D19)</f>
        <v>2350.4419574999997</v>
      </c>
      <c r="E23" s="89">
        <f t="shared" si="9"/>
        <v>2069.1896999999999</v>
      </c>
      <c r="F23" s="89">
        <f>IFERROR(AVERAGE(F11:F19),0)</f>
        <v>2356.4703422222219</v>
      </c>
      <c r="G23" s="89"/>
      <c r="H23" s="89">
        <f t="shared" si="9"/>
        <v>-7.7912388888888948</v>
      </c>
      <c r="I23" s="89">
        <f t="shared" si="9"/>
        <v>-83.321081111111098</v>
      </c>
      <c r="J23" s="1572">
        <f t="shared" si="9"/>
        <v>20.897526666666661</v>
      </c>
      <c r="K23" s="73"/>
      <c r="L23" s="116">
        <f>AVERAGE(L11:L19)</f>
        <v>0.32798524327455414</v>
      </c>
      <c r="M23" s="116">
        <f>AVERAGE(M11:M19)</f>
        <v>0.22050953747326962</v>
      </c>
      <c r="N23" s="116">
        <f>AVERAGE(N11:N19)</f>
        <v>0.14705390263060447</v>
      </c>
      <c r="O23" s="181"/>
      <c r="P23" s="89">
        <f>AVERAGE(P11:P19)</f>
        <v>-44.824420000000153</v>
      </c>
      <c r="Q23" s="89">
        <f>AVERAGE(Q11:Q19)</f>
        <v>287.28064222222224</v>
      </c>
      <c r="R23" s="185"/>
      <c r="S23" s="116">
        <f>AVERAGE(S11:S19)</f>
        <v>0.13325279348072058</v>
      </c>
      <c r="T23" s="117">
        <f>AVERAGE(T11:T19)</f>
        <v>0.16258940135479114</v>
      </c>
      <c r="U23" s="1834"/>
      <c r="V23" s="89"/>
      <c r="W23" s="1829"/>
    </row>
    <row r="24" spans="2:23" ht="12.75" customHeight="1">
      <c r="B24" s="278" t="s">
        <v>3</v>
      </c>
      <c r="C24" s="73"/>
      <c r="D24" s="89">
        <f t="shared" ref="D24:J24" si="10">MEDIAN(D11:D19)</f>
        <v>262.25236999999998</v>
      </c>
      <c r="E24" s="89">
        <f t="shared" si="10"/>
        <v>312.89407</v>
      </c>
      <c r="F24" s="89">
        <f>IFERROR(MEDIAN(F11:F19),0)</f>
        <v>430.28374000000002</v>
      </c>
      <c r="G24" s="89"/>
      <c r="H24" s="89">
        <f t="shared" si="10"/>
        <v>15.90856</v>
      </c>
      <c r="I24" s="89">
        <f t="shared" si="10"/>
        <v>-1.7509999999999999</v>
      </c>
      <c r="J24" s="1572">
        <f t="shared" si="10"/>
        <v>-2.2879999999999998</v>
      </c>
      <c r="K24" s="73"/>
      <c r="L24" s="116">
        <f>MEDIAN(L11:L19)</f>
        <v>0.29578525684867385</v>
      </c>
      <c r="M24" s="116">
        <f>MEDIAN(M11:M19)</f>
        <v>6.2477048383316677E-2</v>
      </c>
      <c r="N24" s="116">
        <f>MEDIAN(N11:N19)</f>
        <v>5.2966121267591676E-2</v>
      </c>
      <c r="O24" s="181"/>
      <c r="P24" s="89">
        <f>MEDIAN(P11:P19)</f>
        <v>31.028240000000022</v>
      </c>
      <c r="Q24" s="89">
        <f>MEDIAN(Q11:Q19)</f>
        <v>117.38967000000002</v>
      </c>
      <c r="R24" s="185"/>
      <c r="S24" s="116">
        <f>MEDIAN(S11:S19)</f>
        <v>-4.7823237013164363E-2</v>
      </c>
      <c r="T24" s="117">
        <f>MEDIAN(T11:T19)</f>
        <v>0.11875920225918891</v>
      </c>
      <c r="U24" s="1834"/>
      <c r="V24" s="89"/>
      <c r="W24" s="1829"/>
    </row>
    <row r="25" spans="2:23" ht="12.75" customHeight="1">
      <c r="B25" s="278" t="s">
        <v>44</v>
      </c>
      <c r="C25" s="73"/>
      <c r="D25" s="89">
        <f t="shared" ref="D25:J25" si="11">QUARTILE(D11:D19,1)</f>
        <v>49.3822075</v>
      </c>
      <c r="E25" s="89">
        <f t="shared" si="11"/>
        <v>92.858999999999995</v>
      </c>
      <c r="F25" s="89">
        <f>IFERROR(QUARTILE(F11:F19,1),0)</f>
        <v>145.87100000000001</v>
      </c>
      <c r="G25" s="89"/>
      <c r="H25" s="89">
        <f t="shared" si="11"/>
        <v>-81.165000000000006</v>
      </c>
      <c r="I25" s="89">
        <f t="shared" si="11"/>
        <v>-13.138</v>
      </c>
      <c r="J25" s="1572">
        <f t="shared" si="11"/>
        <v>-28.693000000000001</v>
      </c>
      <c r="K25" s="73"/>
      <c r="L25" s="116">
        <f>QUARTILE(L11:L19,1)</f>
        <v>9.0010810276074549E-2</v>
      </c>
      <c r="M25" s="116">
        <f>QUARTILE(M11:M19,1)</f>
        <v>-5.0463331576064877E-2</v>
      </c>
      <c r="N25" s="116">
        <f>QUARTILE(N11:N19,1)</f>
        <v>-0.10234730184389634</v>
      </c>
      <c r="O25" s="181"/>
      <c r="P25" s="89">
        <f>QUARTILE(P11:P19,1)</f>
        <v>-18.00231500000001</v>
      </c>
      <c r="Q25" s="89">
        <f>QUARTILE(Q11:Q19,1)</f>
        <v>96.402000000000001</v>
      </c>
      <c r="R25" s="185"/>
      <c r="S25" s="116">
        <f>QUARTILE(S11:S19,1)</f>
        <v>-8.5747148650768087E-2</v>
      </c>
      <c r="T25" s="117">
        <f>QUARTILE(T2:T18,1)</f>
        <v>-0.29315683978014961</v>
      </c>
      <c r="U25" s="1834"/>
      <c r="V25" s="89"/>
      <c r="W25" s="1829"/>
    </row>
    <row r="26" spans="2:23" ht="12.75" customHeight="1">
      <c r="B26" s="1204" t="s">
        <v>42</v>
      </c>
      <c r="C26" s="67"/>
      <c r="D26" s="70">
        <f t="shared" ref="D26:J26" si="12">MIN(D11:D19)</f>
        <v>1.782</v>
      </c>
      <c r="E26" s="70">
        <f t="shared" si="12"/>
        <v>43.950650000000003</v>
      </c>
      <c r="F26" s="70">
        <f>IFERROR(MIN(F11:F19),0)</f>
        <v>11.601000000000001</v>
      </c>
      <c r="G26" s="70"/>
      <c r="H26" s="70">
        <f t="shared" si="12"/>
        <v>-479.50231000000002</v>
      </c>
      <c r="I26" s="70">
        <f t="shared" si="12"/>
        <v>-1496.57419</v>
      </c>
      <c r="J26" s="1571">
        <f t="shared" si="12"/>
        <v>-750.04917</v>
      </c>
      <c r="K26" s="67"/>
      <c r="L26" s="118">
        <f>MIN(L11:L19)</f>
        <v>-2.8534005347438458E-2</v>
      </c>
      <c r="M26" s="118">
        <f>MIN(M11:M19)</f>
        <v>-9.2089895706880615E-2</v>
      </c>
      <c r="N26" s="118">
        <f>MIN(N11:N19)</f>
        <v>-0.31392759738375708</v>
      </c>
      <c r="O26" s="635"/>
      <c r="P26" s="70">
        <f>MIN(P11:P19)</f>
        <v>-553.36048000000119</v>
      </c>
      <c r="Q26" s="70">
        <f>MIN(Q11:Q19)</f>
        <v>-166.166</v>
      </c>
      <c r="R26" s="639"/>
      <c r="S26" s="118">
        <f>MIN(S11:S19)</f>
        <v>-0.12367106028837181</v>
      </c>
      <c r="T26" s="321">
        <f>MIN(T11:T19)</f>
        <v>-0.41561250834853508</v>
      </c>
      <c r="U26" s="1834"/>
      <c r="V26" s="89"/>
      <c r="W26" s="1829"/>
    </row>
    <row r="27" spans="2:23" s="72" customFormat="1" ht="12.75" customHeight="1">
      <c r="B27" s="1602"/>
      <c r="C27" s="1602"/>
      <c r="D27" s="1604"/>
      <c r="E27" s="1604"/>
      <c r="F27" s="1604"/>
      <c r="G27" s="1604"/>
      <c r="H27" s="1604"/>
      <c r="I27" s="1604"/>
      <c r="J27" s="1604"/>
      <c r="K27" s="1602"/>
      <c r="L27" s="1602"/>
      <c r="M27" s="1830"/>
      <c r="N27" s="1604"/>
      <c r="O27" s="1831"/>
      <c r="P27" s="1832"/>
      <c r="Q27" s="46"/>
      <c r="R27" s="1833"/>
      <c r="S27" s="1834"/>
      <c r="T27" s="1834"/>
      <c r="U27" s="1834"/>
      <c r="V27" s="1604"/>
      <c r="W27" s="1835"/>
    </row>
    <row r="28" spans="2:23" ht="12.75" customHeight="1">
      <c r="B28" s="1" t="s">
        <v>1689</v>
      </c>
      <c r="D28" s="51"/>
      <c r="E28" s="51"/>
      <c r="F28" s="51"/>
      <c r="H28" s="81"/>
      <c r="I28" s="81"/>
      <c r="J28" s="81"/>
      <c r="L28" s="51"/>
      <c r="M28" s="51"/>
      <c r="N28" s="51"/>
      <c r="O28" s="311"/>
      <c r="P28" s="81"/>
      <c r="Q28" s="81"/>
      <c r="S28" s="51"/>
      <c r="T28" s="51"/>
      <c r="W28" s="82"/>
    </row>
    <row r="29" spans="2:23" ht="12.75" customHeight="1">
      <c r="B29" s="310" t="str">
        <f>Comp.1!B24</f>
        <v>Amicus Therapeutics, Inc.</v>
      </c>
      <c r="D29" s="81" t="str">
        <f>'Capital IQ Sheet-GPC'!O22</f>
        <v>n/a</v>
      </c>
      <c r="E29" s="81">
        <f>'Capital IQ Sheet-GPC'!P22</f>
        <v>9.1270000000000007</v>
      </c>
      <c r="F29" s="81">
        <f>'Capital IQ Sheet-GPC'!Q22</f>
        <v>49.457000000000001</v>
      </c>
      <c r="H29" s="81">
        <f>'Capital IQ Sheet-GPC'!AJ22</f>
        <v>-61.765000000000001</v>
      </c>
      <c r="I29" s="81">
        <f>'Capital IQ Sheet-GPC'!AK22</f>
        <v>-93.230999999999995</v>
      </c>
      <c r="J29" s="81">
        <f>'Capital IQ Sheet-GPC'!AL22</f>
        <v>-111.19199999999999</v>
      </c>
      <c r="L29" s="51" t="str">
        <f t="shared" ref="L29:L45" si="13">IFERROR(IF(H29/D29&gt;$X$7,"NM",IF((H29/D29)&lt;$Z$7,"NM",H29/D29)),"n/a")</f>
        <v>n/a</v>
      </c>
      <c r="M29" s="51" t="str">
        <f t="shared" ref="M29:M45" si="14">IFERROR(IF(I29/E29&gt;$X$7,"NM",IF((I29/E29)&lt;$Z$7,"NM",I29/E29)),"n/a")</f>
        <v>NM</v>
      </c>
      <c r="N29" s="51" t="str">
        <f t="shared" ref="N29:N45" si="15">IFERROR(IF(J29/F29&gt;$X$7,"NM",IF((J29/F29)&lt;$Z$7,"NM",J29/F29)),"n/a")</f>
        <v>NM</v>
      </c>
      <c r="O29" s="311"/>
      <c r="P29" s="81" t="str">
        <f t="shared" ref="P29:P45" si="16">IFERROR(E29-D29, "n/a")</f>
        <v>n/a</v>
      </c>
      <c r="Q29" s="81">
        <f t="shared" ref="Q29:Q45" si="17">IFERROR(F29-E29, "n/a")</f>
        <v>40.33</v>
      </c>
      <c r="S29" s="51" t="str">
        <f t="shared" ref="S29:S45" si="18">IFERROR(IF(I29/P29&gt;$X$7,"NM",IF((I29/P29)&lt;$Z$7,"NM",I29/P29)),"n/a")</f>
        <v>n/a</v>
      </c>
      <c r="T29" s="51" t="str">
        <f t="shared" ref="T29:T45" si="19">IFERROR(IF(J29/Q29&gt;$X$7,"NM",IF((J29/Q29)&lt;$Z$7,"NM",J29/Q29)),"n/a")</f>
        <v>NM</v>
      </c>
      <c r="V29" s="310">
        <v>1</v>
      </c>
      <c r="W29" s="82" t="str">
        <f>IF('MASTER PubCo Inputs'!B37="","",'MASTER PubCo Inputs'!B37)</f>
        <v>NasdaqGM:FOLD</v>
      </c>
    </row>
    <row r="30" spans="2:23" ht="12.75" customHeight="1">
      <c r="B30" s="310" t="str">
        <f>Comp.1!B25</f>
        <v>Myovant Sciences Ltd.</v>
      </c>
      <c r="D30" s="81" t="str">
        <f>'Capital IQ Sheet-GPC'!O23</f>
        <v>n/a</v>
      </c>
      <c r="E30" s="81" t="str">
        <f>'Capital IQ Sheet-GPC'!P23</f>
        <v>n/a</v>
      </c>
      <c r="F30" s="81" t="str">
        <f>'Capital IQ Sheet-GPC'!Q23</f>
        <v>n/a</v>
      </c>
      <c r="H30" s="81" t="str">
        <f>'Capital IQ Sheet-GPC'!AJ23</f>
        <v>n/a</v>
      </c>
      <c r="I30" s="81">
        <f>'Capital IQ Sheet-GPC'!AK23</f>
        <v>-15.010999999999999</v>
      </c>
      <c r="J30" s="81">
        <f>'Capital IQ Sheet-GPC'!AL23</f>
        <v>-30.946000000000002</v>
      </c>
      <c r="L30" s="51" t="str">
        <f t="shared" si="13"/>
        <v>n/a</v>
      </c>
      <c r="M30" s="51" t="str">
        <f t="shared" si="14"/>
        <v>n/a</v>
      </c>
      <c r="N30" s="51" t="str">
        <f t="shared" si="15"/>
        <v>n/a</v>
      </c>
      <c r="O30" s="311"/>
      <c r="P30" s="81" t="str">
        <f t="shared" si="16"/>
        <v>n/a</v>
      </c>
      <c r="Q30" s="81" t="str">
        <f t="shared" si="17"/>
        <v>n/a</v>
      </c>
      <c r="S30" s="51" t="str">
        <f t="shared" si="18"/>
        <v>n/a</v>
      </c>
      <c r="T30" s="51" t="str">
        <f t="shared" si="19"/>
        <v>n/a</v>
      </c>
      <c r="V30" s="310">
        <v>1</v>
      </c>
      <c r="W30" s="82" t="str">
        <f>IF('MASTER PubCo Inputs'!B38="","",'MASTER PubCo Inputs'!B38)</f>
        <v>NYSE:MYOV</v>
      </c>
    </row>
    <row r="31" spans="2:23" ht="12.75" customHeight="1">
      <c r="B31" s="310" t="str">
        <f>Comp.1!B26</f>
        <v>Lexicon Pharmaceuticals, Inc.</v>
      </c>
      <c r="D31" s="81">
        <f>'Capital IQ Sheet-GPC'!O24</f>
        <v>140.71600000000001</v>
      </c>
      <c r="E31" s="81">
        <f>'Capital IQ Sheet-GPC'!P24</f>
        <v>89.135999999999996</v>
      </c>
      <c r="F31" s="81">
        <f>'Capital IQ Sheet-GPC'!Q24</f>
        <v>97.248999999999995</v>
      </c>
      <c r="H31" s="81">
        <f>'Capital IQ Sheet-GPC'!AJ24</f>
        <v>-104.911</v>
      </c>
      <c r="I31" s="81">
        <f>'Capital IQ Sheet-GPC'!AK24</f>
        <v>-101.96299999999999</v>
      </c>
      <c r="J31" s="81">
        <f>'Capital IQ Sheet-GPC'!AL24</f>
        <v>-75.974999999999994</v>
      </c>
      <c r="L31" s="51">
        <f t="shared" si="13"/>
        <v>-0.74555132323261031</v>
      </c>
      <c r="M31" s="51" t="str">
        <f t="shared" si="14"/>
        <v>NM</v>
      </c>
      <c r="N31" s="51">
        <f t="shared" si="15"/>
        <v>-0.78124196649837019</v>
      </c>
      <c r="O31" s="311"/>
      <c r="P31" s="81">
        <f t="shared" si="16"/>
        <v>-51.580000000000013</v>
      </c>
      <c r="Q31" s="81">
        <f t="shared" si="17"/>
        <v>8.1129999999999995</v>
      </c>
      <c r="S31" s="51" t="str">
        <f t="shared" si="18"/>
        <v>NM</v>
      </c>
      <c r="T31" s="51" t="str">
        <f t="shared" si="19"/>
        <v>NM</v>
      </c>
      <c r="V31" s="310">
        <v>1</v>
      </c>
      <c r="W31" s="82" t="str">
        <f>IF('MASTER PubCo Inputs'!B39="","",'MASTER PubCo Inputs'!B39)</f>
        <v>NasdaqGS:LXRX</v>
      </c>
    </row>
    <row r="32" spans="2:23" ht="12.75" customHeight="1">
      <c r="B32" s="310" t="str">
        <f>Comp.1!B27</f>
        <v>Rhythm Pharmaceuticals, Inc.</v>
      </c>
      <c r="D32" s="81" t="str">
        <f>'Capital IQ Sheet-GPC'!O25</f>
        <v>n/a</v>
      </c>
      <c r="E32" s="81" t="str">
        <f>'Capital IQ Sheet-GPC'!P25</f>
        <v>n/a</v>
      </c>
      <c r="F32" s="81" t="str">
        <f>'Capital IQ Sheet-GPC'!Q25</f>
        <v>n/a</v>
      </c>
      <c r="H32" s="81" t="str">
        <f>'Capital IQ Sheet-GPC'!AJ25</f>
        <v>n/a</v>
      </c>
      <c r="I32" s="81">
        <f>'Capital IQ Sheet-GPC'!AK25</f>
        <v>-3.21</v>
      </c>
      <c r="J32" s="81">
        <f>'Capital IQ Sheet-GPC'!AL25</f>
        <v>-3.6179999999999999</v>
      </c>
      <c r="L32" s="51" t="str">
        <f t="shared" si="13"/>
        <v>n/a</v>
      </c>
      <c r="M32" s="51" t="str">
        <f t="shared" si="14"/>
        <v>n/a</v>
      </c>
      <c r="N32" s="51" t="str">
        <f t="shared" si="15"/>
        <v>n/a</v>
      </c>
      <c r="O32" s="311"/>
      <c r="P32" s="81" t="str">
        <f t="shared" si="16"/>
        <v>n/a</v>
      </c>
      <c r="Q32" s="81" t="str">
        <f t="shared" si="17"/>
        <v>n/a</v>
      </c>
      <c r="S32" s="51" t="str">
        <f t="shared" si="18"/>
        <v>n/a</v>
      </c>
      <c r="T32" s="51" t="str">
        <f t="shared" si="19"/>
        <v>n/a</v>
      </c>
      <c r="V32" s="310">
        <v>1</v>
      </c>
      <c r="W32" s="82" t="str">
        <f>IF('MASTER PubCo Inputs'!B40="","",'MASTER PubCo Inputs'!B40)</f>
        <v>NasdaqGM:RYTM</v>
      </c>
    </row>
    <row r="33" spans="2:23" ht="12.75" customHeight="1">
      <c r="B33" s="310" t="str">
        <f>Comp.1!B28</f>
        <v>Aptinyx Inc.</v>
      </c>
      <c r="D33" s="81" t="str">
        <f>'Capital IQ Sheet-GPC'!O26</f>
        <v>n/a</v>
      </c>
      <c r="E33" s="81" t="str">
        <f>'Capital IQ Sheet-GPC'!P26</f>
        <v>n/a</v>
      </c>
      <c r="F33" s="81">
        <f>'Capital IQ Sheet-GPC'!Q26</f>
        <v>6.2809999999999997</v>
      </c>
      <c r="H33" s="81" t="str">
        <f>'Capital IQ Sheet-GPC'!AJ26</f>
        <v>n/a</v>
      </c>
      <c r="I33" s="81" t="str">
        <f>'Capital IQ Sheet-GPC'!AK26</f>
        <v>n/a</v>
      </c>
      <c r="J33" s="81">
        <f>'Capital IQ Sheet-GPC'!AL26</f>
        <v>-2.8730000000000002</v>
      </c>
      <c r="L33" s="51" t="str">
        <f t="shared" si="13"/>
        <v>n/a</v>
      </c>
      <c r="M33" s="51" t="str">
        <f t="shared" si="14"/>
        <v>n/a</v>
      </c>
      <c r="N33" s="51">
        <f t="shared" si="15"/>
        <v>-0.45741124024836816</v>
      </c>
      <c r="O33" s="311"/>
      <c r="P33" s="81" t="str">
        <f t="shared" si="16"/>
        <v>n/a</v>
      </c>
      <c r="Q33" s="81" t="str">
        <f t="shared" si="17"/>
        <v>n/a</v>
      </c>
      <c r="S33" s="51" t="str">
        <f t="shared" si="18"/>
        <v>n/a</v>
      </c>
      <c r="T33" s="51" t="str">
        <f t="shared" si="19"/>
        <v>n/a</v>
      </c>
      <c r="V33" s="310">
        <v>1</v>
      </c>
      <c r="W33" s="82" t="str">
        <f>IF('MASTER PubCo Inputs'!B41="","",'MASTER PubCo Inputs'!B41)</f>
        <v>NasdaqGS:APTX</v>
      </c>
    </row>
    <row r="34" spans="2:23" ht="12.75" customHeight="1">
      <c r="B34" s="310" t="str">
        <f>Comp.1!B29</f>
        <v>BeyondSpring Inc.</v>
      </c>
      <c r="D34" s="81" t="str">
        <f>'Capital IQ Sheet-GPC'!O27</f>
        <v>n/a</v>
      </c>
      <c r="E34" s="81" t="str">
        <f>'Capital IQ Sheet-GPC'!P27</f>
        <v>n/a</v>
      </c>
      <c r="F34" s="81" t="str">
        <f>'Capital IQ Sheet-GPC'!Q27</f>
        <v>n/a</v>
      </c>
      <c r="H34" s="81" t="str">
        <f>'Capital IQ Sheet-GPC'!AJ27</f>
        <v>n/a</v>
      </c>
      <c r="I34" s="81">
        <f>'Capital IQ Sheet-GPC'!AK27</f>
        <v>-0.82899999999999996</v>
      </c>
      <c r="J34" s="81">
        <f>'Capital IQ Sheet-GPC'!AL27</f>
        <v>-4.0540000000000003</v>
      </c>
      <c r="L34" s="51" t="str">
        <f t="shared" si="13"/>
        <v>n/a</v>
      </c>
      <c r="M34" s="51" t="str">
        <f t="shared" si="14"/>
        <v>n/a</v>
      </c>
      <c r="N34" s="51" t="str">
        <f t="shared" si="15"/>
        <v>n/a</v>
      </c>
      <c r="O34" s="311"/>
      <c r="P34" s="81" t="str">
        <f t="shared" si="16"/>
        <v>n/a</v>
      </c>
      <c r="Q34" s="81" t="str">
        <f t="shared" si="17"/>
        <v>n/a</v>
      </c>
      <c r="S34" s="51" t="str">
        <f t="shared" si="18"/>
        <v>n/a</v>
      </c>
      <c r="T34" s="51" t="str">
        <f t="shared" si="19"/>
        <v>n/a</v>
      </c>
      <c r="V34" s="310">
        <v>1</v>
      </c>
      <c r="W34" s="82" t="str">
        <f>IF('MASTER PubCo Inputs'!B42="","",'MASTER PubCo Inputs'!B42)</f>
        <v>NasdaqCM:BYSI</v>
      </c>
    </row>
    <row r="35" spans="2:23" ht="12.75" customHeight="1">
      <c r="B35" s="310" t="str">
        <f>Comp.1!B30</f>
        <v>CymaBay Therapeutics, Inc.</v>
      </c>
      <c r="D35" s="81" t="str">
        <f>'Capital IQ Sheet-GPC'!O28</f>
        <v>n/a</v>
      </c>
      <c r="E35" s="81">
        <f>'Capital IQ Sheet-GPC'!P28</f>
        <v>4.7930000000000001</v>
      </c>
      <c r="F35" s="81">
        <f>'Capital IQ Sheet-GPC'!Q28</f>
        <v>5.2069999999999999</v>
      </c>
      <c r="H35" s="81">
        <f>'Capital IQ Sheet-GPC'!AJ28</f>
        <v>-4.2489999999999997</v>
      </c>
      <c r="I35" s="81">
        <f>'Capital IQ Sheet-GPC'!AK28</f>
        <v>-6.8220000000000001</v>
      </c>
      <c r="J35" s="81">
        <f>'Capital IQ Sheet-GPC'!AL28</f>
        <v>-13.058999999999999</v>
      </c>
      <c r="L35" s="51" t="str">
        <f t="shared" si="13"/>
        <v>n/a</v>
      </c>
      <c r="M35" s="51" t="str">
        <f t="shared" si="14"/>
        <v>NM</v>
      </c>
      <c r="N35" s="51" t="str">
        <f t="shared" si="15"/>
        <v>NM</v>
      </c>
      <c r="O35" s="311"/>
      <c r="P35" s="81" t="str">
        <f t="shared" si="16"/>
        <v>n/a</v>
      </c>
      <c r="Q35" s="81">
        <f t="shared" si="17"/>
        <v>0.4139999999999997</v>
      </c>
      <c r="S35" s="51" t="str">
        <f t="shared" si="18"/>
        <v>n/a</v>
      </c>
      <c r="T35" s="51" t="str">
        <f t="shared" si="19"/>
        <v>NM</v>
      </c>
      <c r="V35" s="310">
        <v>1</v>
      </c>
      <c r="W35" s="82" t="str">
        <f>IF('MASTER PubCo Inputs'!B43="","",'MASTER PubCo Inputs'!B43)</f>
        <v>NasdaqGS:CBAY</v>
      </c>
    </row>
    <row r="36" spans="2:23" ht="12.75" customHeight="1">
      <c r="B36" s="310" t="str">
        <f>Comp.1!B31</f>
        <v>Intra-Cellular Therapies, Inc.</v>
      </c>
      <c r="D36" s="81">
        <f>'Capital IQ Sheet-GPC'!O29</f>
        <v>8.8050000000000003E-2</v>
      </c>
      <c r="E36" s="81">
        <f>'Capital IQ Sheet-GPC'!P29</f>
        <v>0.42598999999999998</v>
      </c>
      <c r="F36" s="81">
        <f>'Capital IQ Sheet-GPC'!Q29</f>
        <v>0.15054999999999999</v>
      </c>
      <c r="H36" s="81">
        <f>'Capital IQ Sheet-GPC'!AJ29</f>
        <v>-2.1565699999999999</v>
      </c>
      <c r="I36" s="81">
        <f>'Capital IQ Sheet-GPC'!AK29</f>
        <v>-12.48917</v>
      </c>
      <c r="J36" s="81">
        <f>'Capital IQ Sheet-GPC'!AL29</f>
        <v>-13.5047</v>
      </c>
      <c r="L36" s="51" t="str">
        <f t="shared" si="13"/>
        <v>NM</v>
      </c>
      <c r="M36" s="51" t="str">
        <f t="shared" si="14"/>
        <v>NM</v>
      </c>
      <c r="N36" s="51" t="str">
        <f t="shared" si="15"/>
        <v>NM</v>
      </c>
      <c r="O36" s="311"/>
      <c r="P36" s="81">
        <f t="shared" si="16"/>
        <v>0.33793999999999996</v>
      </c>
      <c r="Q36" s="81">
        <f t="shared" si="17"/>
        <v>-0.27544000000000002</v>
      </c>
      <c r="S36" s="51" t="str">
        <f t="shared" si="18"/>
        <v>NM</v>
      </c>
      <c r="T36" s="51" t="str">
        <f t="shared" si="19"/>
        <v>NM</v>
      </c>
      <c r="V36" s="310">
        <v>1</v>
      </c>
      <c r="W36" s="82" t="str">
        <f>IF('MASTER PubCo Inputs'!B44="","",'MASTER PubCo Inputs'!B44)</f>
        <v>NasdaqGS:ITCI</v>
      </c>
    </row>
    <row r="37" spans="2:23" ht="12.75" customHeight="1">
      <c r="B37" s="310" t="str">
        <f>Comp.1!B32</f>
        <v>Viking Therapeutics, Inc.</v>
      </c>
      <c r="D37" s="81" t="str">
        <f>'Capital IQ Sheet-GPC'!O30</f>
        <v>n/a</v>
      </c>
      <c r="E37" s="81" t="str">
        <f>'Capital IQ Sheet-GPC'!P30</f>
        <v>n/a</v>
      </c>
      <c r="F37" s="81" t="str">
        <f>'Capital IQ Sheet-GPC'!Q30</f>
        <v>n/a</v>
      </c>
      <c r="H37" s="81">
        <f>'Capital IQ Sheet-GPC'!AJ30</f>
        <v>-1.00823</v>
      </c>
      <c r="I37" s="81">
        <f>'Capital IQ Sheet-GPC'!AK30</f>
        <v>-1.0215399999999999</v>
      </c>
      <c r="J37" s="81">
        <f>'Capital IQ Sheet-GPC'!AL30</f>
        <v>-1.355</v>
      </c>
      <c r="L37" s="51" t="str">
        <f t="shared" si="13"/>
        <v>n/a</v>
      </c>
      <c r="M37" s="51" t="str">
        <f t="shared" si="14"/>
        <v>n/a</v>
      </c>
      <c r="N37" s="51" t="str">
        <f t="shared" si="15"/>
        <v>n/a</v>
      </c>
      <c r="O37" s="311"/>
      <c r="P37" s="81" t="str">
        <f t="shared" si="16"/>
        <v>n/a</v>
      </c>
      <c r="Q37" s="81" t="str">
        <f t="shared" si="17"/>
        <v>n/a</v>
      </c>
      <c r="S37" s="51" t="str">
        <f t="shared" si="18"/>
        <v>n/a</v>
      </c>
      <c r="T37" s="51" t="str">
        <f t="shared" si="19"/>
        <v>n/a</v>
      </c>
      <c r="V37" s="310">
        <v>1</v>
      </c>
      <c r="W37" s="82" t="str">
        <f>IF('MASTER PubCo Inputs'!B45="","",'MASTER PubCo Inputs'!B45)</f>
        <v>NasdaqCM:VKTX</v>
      </c>
    </row>
    <row r="38" spans="2:23" ht="12.75" customHeight="1">
      <c r="B38" s="310" t="str">
        <f>Comp.1!B33</f>
        <v>Xeris Pharmaceuticals, Inc.</v>
      </c>
      <c r="D38" s="81" t="str">
        <f>'Capital IQ Sheet-GPC'!O31</f>
        <v>n/a</v>
      </c>
      <c r="E38" s="81" t="str">
        <f>'Capital IQ Sheet-GPC'!P31</f>
        <v>n/a</v>
      </c>
      <c r="F38" s="81">
        <f>'Capital IQ Sheet-GPC'!Q31</f>
        <v>1.4650000000000001</v>
      </c>
      <c r="H38" s="81" t="str">
        <f>'Capital IQ Sheet-GPC'!AJ31</f>
        <v>n/a</v>
      </c>
      <c r="I38" s="81" t="str">
        <f>'Capital IQ Sheet-GPC'!AK31</f>
        <v>n/a</v>
      </c>
      <c r="J38" s="81">
        <f>'Capital IQ Sheet-GPC'!AL31</f>
        <v>-7.4660000000000002</v>
      </c>
      <c r="L38" s="51" t="str">
        <f t="shared" si="13"/>
        <v>n/a</v>
      </c>
      <c r="M38" s="51" t="str">
        <f t="shared" si="14"/>
        <v>n/a</v>
      </c>
      <c r="N38" s="51" t="str">
        <f t="shared" si="15"/>
        <v>NM</v>
      </c>
      <c r="O38" s="311"/>
      <c r="P38" s="81" t="str">
        <f t="shared" si="16"/>
        <v>n/a</v>
      </c>
      <c r="Q38" s="81" t="str">
        <f t="shared" si="17"/>
        <v>n/a</v>
      </c>
      <c r="S38" s="51" t="str">
        <f t="shared" si="18"/>
        <v>n/a</v>
      </c>
      <c r="T38" s="51" t="str">
        <f t="shared" si="19"/>
        <v>n/a</v>
      </c>
      <c r="V38" s="310">
        <v>1</v>
      </c>
      <c r="W38" s="82" t="str">
        <f>IF('MASTER PubCo Inputs'!B46="","",'MASTER PubCo Inputs'!B46)</f>
        <v>NasdaqGS:XERS</v>
      </c>
    </row>
    <row r="39" spans="2:23" ht="12.75" customHeight="1">
      <c r="B39" s="310" t="str">
        <f>Comp.1!B34</f>
        <v>Odonate Therapeutics, Inc.</v>
      </c>
      <c r="D39" s="81" t="str">
        <f>'Capital IQ Sheet-GPC'!O32</f>
        <v>n/a</v>
      </c>
      <c r="E39" s="81" t="str">
        <f>'Capital IQ Sheet-GPC'!P32</f>
        <v>n/a</v>
      </c>
      <c r="F39" s="81" t="str">
        <f>'Capital IQ Sheet-GPC'!Q32</f>
        <v>n/a</v>
      </c>
      <c r="H39" s="81" t="str">
        <f>'Capital IQ Sheet-GPC'!AJ32</f>
        <v>n/a</v>
      </c>
      <c r="I39" s="81" t="str">
        <f>'Capital IQ Sheet-GPC'!AK32</f>
        <v>n/a</v>
      </c>
      <c r="J39" s="81">
        <f>'Capital IQ Sheet-GPC'!AL32</f>
        <v>-6.1310000000000002</v>
      </c>
      <c r="L39" s="51" t="str">
        <f t="shared" si="13"/>
        <v>n/a</v>
      </c>
      <c r="M39" s="51" t="str">
        <f t="shared" si="14"/>
        <v>n/a</v>
      </c>
      <c r="N39" s="51" t="str">
        <f t="shared" si="15"/>
        <v>n/a</v>
      </c>
      <c r="O39" s="311"/>
      <c r="P39" s="81" t="str">
        <f t="shared" si="16"/>
        <v>n/a</v>
      </c>
      <c r="Q39" s="81" t="str">
        <f t="shared" si="17"/>
        <v>n/a</v>
      </c>
      <c r="S39" s="51" t="str">
        <f t="shared" si="18"/>
        <v>n/a</v>
      </c>
      <c r="T39" s="51" t="str">
        <f t="shared" si="19"/>
        <v>n/a</v>
      </c>
      <c r="V39" s="310">
        <v>1</v>
      </c>
      <c r="W39" s="82" t="str">
        <f>IF('MASTER PubCo Inputs'!B47="","",'MASTER PubCo Inputs'!B47)</f>
        <v>NasdaqGS:ODT</v>
      </c>
    </row>
    <row r="40" spans="2:23" ht="12.75" customHeight="1">
      <c r="B40" s="310" t="str">
        <f>Comp.1!B35</f>
        <v>Nightstar Therapeutics plc</v>
      </c>
      <c r="D40" s="81" t="str">
        <f>'Capital IQ Sheet-GPC'!O33</f>
        <v>n/a</v>
      </c>
      <c r="E40" s="81" t="str">
        <f>'Capital IQ Sheet-GPC'!P33</f>
        <v>n/a</v>
      </c>
      <c r="F40" s="81" t="str">
        <f>'Capital IQ Sheet-GPC'!Q33</f>
        <v>n/a</v>
      </c>
      <c r="H40" s="81">
        <f>'Capital IQ Sheet-GPC'!AJ33</f>
        <v>0.17299999999999999</v>
      </c>
      <c r="I40" s="81" t="str">
        <f>'Capital IQ Sheet-GPC'!AK33</f>
        <v>n/a</v>
      </c>
      <c r="J40" s="81">
        <f>'Capital IQ Sheet-GPC'!AL33</f>
        <v>-3.9929999999999999</v>
      </c>
      <c r="L40" s="51" t="str">
        <f t="shared" si="13"/>
        <v>n/a</v>
      </c>
      <c r="M40" s="51" t="str">
        <f t="shared" si="14"/>
        <v>n/a</v>
      </c>
      <c r="N40" s="51" t="str">
        <f t="shared" si="15"/>
        <v>n/a</v>
      </c>
      <c r="O40" s="311"/>
      <c r="P40" s="81" t="str">
        <f t="shared" si="16"/>
        <v>n/a</v>
      </c>
      <c r="Q40" s="81" t="str">
        <f t="shared" si="17"/>
        <v>n/a</v>
      </c>
      <c r="S40" s="51" t="str">
        <f t="shared" si="18"/>
        <v>n/a</v>
      </c>
      <c r="T40" s="51" t="str">
        <f t="shared" si="19"/>
        <v>n/a</v>
      </c>
      <c r="V40" s="310">
        <v>1</v>
      </c>
      <c r="W40" s="82" t="str">
        <f>IF('MASTER PubCo Inputs'!B48="","",'MASTER PubCo Inputs'!B48)</f>
        <v>NasdaqGS:NITE</v>
      </c>
    </row>
    <row r="41" spans="2:23" ht="12.75" customHeight="1">
      <c r="B41" s="310" t="str">
        <f>Comp.1!B36</f>
        <v>Zafgen, Inc.</v>
      </c>
      <c r="D41" s="81" t="str">
        <f>'Capital IQ Sheet-GPC'!O34</f>
        <v>n/a</v>
      </c>
      <c r="E41" s="81" t="str">
        <f>'Capital IQ Sheet-GPC'!P34</f>
        <v>n/a</v>
      </c>
      <c r="F41" s="81" t="str">
        <f>'Capital IQ Sheet-GPC'!Q34</f>
        <v>n/a</v>
      </c>
      <c r="H41" s="81">
        <f>'Capital IQ Sheet-GPC'!AJ34</f>
        <v>-7.2249999999999996</v>
      </c>
      <c r="I41" s="81">
        <f>'Capital IQ Sheet-GPC'!AK34</f>
        <v>-4.0140000000000002</v>
      </c>
      <c r="J41" s="81">
        <f>'Capital IQ Sheet-GPC'!AL34</f>
        <v>-5.1050000000000004</v>
      </c>
      <c r="L41" s="51" t="str">
        <f t="shared" si="13"/>
        <v>n/a</v>
      </c>
      <c r="M41" s="51" t="str">
        <f t="shared" si="14"/>
        <v>n/a</v>
      </c>
      <c r="N41" s="51" t="str">
        <f t="shared" si="15"/>
        <v>n/a</v>
      </c>
      <c r="O41" s="311"/>
      <c r="P41" s="81" t="str">
        <f t="shared" si="16"/>
        <v>n/a</v>
      </c>
      <c r="Q41" s="81" t="str">
        <f t="shared" si="17"/>
        <v>n/a</v>
      </c>
      <c r="S41" s="51" t="str">
        <f t="shared" si="18"/>
        <v>n/a</v>
      </c>
      <c r="T41" s="51" t="str">
        <f t="shared" si="19"/>
        <v>n/a</v>
      </c>
      <c r="V41" s="310">
        <v>1</v>
      </c>
      <c r="W41" s="82" t="str">
        <f>IF('MASTER PubCo Inputs'!B49="","",'MASTER PubCo Inputs'!B49)</f>
        <v>NasdaqGS:ZFGN</v>
      </c>
    </row>
    <row r="42" spans="2:23" ht="12.75" customHeight="1">
      <c r="B42" s="310" t="str">
        <f>Comp.1!B37</f>
        <v>MediciNova, Inc.</v>
      </c>
      <c r="D42" s="81" t="str">
        <f>'Capital IQ Sheet-GPC'!O35</f>
        <v>n/a</v>
      </c>
      <c r="E42" s="81" t="str">
        <f>'Capital IQ Sheet-GPC'!P35</f>
        <v>n/a</v>
      </c>
      <c r="F42" s="81" t="str">
        <f>'Capital IQ Sheet-GPC'!Q35</f>
        <v>n/a</v>
      </c>
      <c r="H42" s="81">
        <f>'Capital IQ Sheet-GPC'!AJ35</f>
        <v>1.9310000000000001E-2</v>
      </c>
      <c r="I42" s="81">
        <f>'Capital IQ Sheet-GPC'!AK35</f>
        <v>-0.33476</v>
      </c>
      <c r="J42" s="81">
        <f>'Capital IQ Sheet-GPC'!AL35</f>
        <v>-0.56630999999999998</v>
      </c>
      <c r="L42" s="51" t="str">
        <f t="shared" si="13"/>
        <v>n/a</v>
      </c>
      <c r="M42" s="51" t="str">
        <f t="shared" si="14"/>
        <v>n/a</v>
      </c>
      <c r="N42" s="51" t="str">
        <f t="shared" si="15"/>
        <v>n/a</v>
      </c>
      <c r="O42" s="311"/>
      <c r="P42" s="81" t="str">
        <f t="shared" si="16"/>
        <v>n/a</v>
      </c>
      <c r="Q42" s="81" t="str">
        <f t="shared" si="17"/>
        <v>n/a</v>
      </c>
      <c r="S42" s="51" t="str">
        <f t="shared" si="18"/>
        <v>n/a</v>
      </c>
      <c r="T42" s="51" t="str">
        <f t="shared" si="19"/>
        <v>n/a</v>
      </c>
      <c r="V42" s="310">
        <v>1</v>
      </c>
      <c r="W42" s="82" t="str">
        <f>IF('MASTER PubCo Inputs'!B50="","",'MASTER PubCo Inputs'!B50)</f>
        <v>NasdaqGM:MNOV</v>
      </c>
    </row>
    <row r="43" spans="2:23" ht="12.75" customHeight="1">
      <c r="B43" s="310" t="str">
        <f>Comp.1!B38</f>
        <v>AVEO Pharmaceuticals, Inc.</v>
      </c>
      <c r="D43" s="81">
        <f>'Capital IQ Sheet-GPC'!O36</f>
        <v>20.093</v>
      </c>
      <c r="E43" s="81">
        <f>'Capital IQ Sheet-GPC'!P36</f>
        <v>3.8439999999999999</v>
      </c>
      <c r="F43" s="81">
        <f>'Capital IQ Sheet-GPC'!Q36</f>
        <v>6.0730000000000004</v>
      </c>
      <c r="H43" s="81">
        <f>'Capital IQ Sheet-GPC'!AJ36</f>
        <v>-0.98399999999999999</v>
      </c>
      <c r="I43" s="81">
        <f>'Capital IQ Sheet-GPC'!AK36</f>
        <v>-8.2219999999999995</v>
      </c>
      <c r="J43" s="81">
        <f>'Capital IQ Sheet-GPC'!AL36</f>
        <v>-15.234999999999999</v>
      </c>
      <c r="L43" s="51">
        <f t="shared" si="13"/>
        <v>-4.8972278903100581E-2</v>
      </c>
      <c r="M43" s="51" t="str">
        <f t="shared" si="14"/>
        <v>NM</v>
      </c>
      <c r="N43" s="51" t="str">
        <f t="shared" si="15"/>
        <v>NM</v>
      </c>
      <c r="O43" s="311"/>
      <c r="P43" s="81">
        <f t="shared" si="16"/>
        <v>-16.248999999999999</v>
      </c>
      <c r="Q43" s="81">
        <f t="shared" si="17"/>
        <v>2.2290000000000005</v>
      </c>
      <c r="S43" s="51">
        <f t="shared" si="18"/>
        <v>0.50600036925349257</v>
      </c>
      <c r="T43" s="51" t="str">
        <f t="shared" si="19"/>
        <v>NM</v>
      </c>
      <c r="V43" s="310">
        <v>1</v>
      </c>
      <c r="W43" s="82" t="str">
        <f>IF('MASTER PubCo Inputs'!B51="","",'MASTER PubCo Inputs'!B51)</f>
        <v>NasdaqCM:AVEO</v>
      </c>
    </row>
    <row r="44" spans="2:23" ht="12.75" customHeight="1">
      <c r="B44" s="310" t="str">
        <f>Comp.1!B39</f>
        <v>BioTime, Inc.</v>
      </c>
      <c r="D44" s="81">
        <f>'Capital IQ Sheet-GPC'!O37</f>
        <v>7.8449999999999998</v>
      </c>
      <c r="E44" s="81">
        <f>'Capital IQ Sheet-GPC'!P37</f>
        <v>4.24</v>
      </c>
      <c r="F44" s="81">
        <f>'Capital IQ Sheet-GPC'!Q37</f>
        <v>3.7690000000000001</v>
      </c>
      <c r="H44" s="81">
        <f>'Capital IQ Sheet-GPC'!AJ37</f>
        <v>-8.6059999999999999</v>
      </c>
      <c r="I44" s="81">
        <f>'Capital IQ Sheet-GPC'!AK37</f>
        <v>-3.1</v>
      </c>
      <c r="J44" s="81">
        <f>'Capital IQ Sheet-GPC'!AL37</f>
        <v>-0.72099999999999997</v>
      </c>
      <c r="L44" s="51" t="str">
        <f t="shared" si="13"/>
        <v>NM</v>
      </c>
      <c r="M44" s="51">
        <f t="shared" si="14"/>
        <v>-0.73113207547169812</v>
      </c>
      <c r="N44" s="51">
        <f t="shared" si="15"/>
        <v>-0.19129742637304323</v>
      </c>
      <c r="O44" s="311"/>
      <c r="P44" s="81">
        <f t="shared" si="16"/>
        <v>-3.6049999999999995</v>
      </c>
      <c r="Q44" s="81">
        <f t="shared" si="17"/>
        <v>-0.47100000000000009</v>
      </c>
      <c r="S44" s="51">
        <f t="shared" si="18"/>
        <v>0.85991678224687951</v>
      </c>
      <c r="T44" s="51" t="str">
        <f t="shared" si="19"/>
        <v>NM</v>
      </c>
      <c r="V44" s="310">
        <v>1</v>
      </c>
      <c r="W44" s="82" t="str">
        <f>IF('MASTER PubCo Inputs'!B52="","",'MASTER PubCo Inputs'!B52)</f>
        <v>AMEX:BTX</v>
      </c>
    </row>
    <row r="45" spans="2:23" ht="12.75" customHeight="1">
      <c r="B45" s="310" t="str">
        <f>Comp.1!B40</f>
        <v>Cytokinetics, Incorporated</v>
      </c>
      <c r="D45" s="81">
        <f>'Capital IQ Sheet-GPC'!O38</f>
        <v>32.664999999999999</v>
      </c>
      <c r="E45" s="81">
        <f>'Capital IQ Sheet-GPC'!P38</f>
        <v>102.139</v>
      </c>
      <c r="F45" s="81">
        <f>'Capital IQ Sheet-GPC'!Q38</f>
        <v>14.483000000000001</v>
      </c>
      <c r="H45" s="81">
        <f>'Capital IQ Sheet-GPC'!AJ38</f>
        <v>-21.986999999999998</v>
      </c>
      <c r="I45" s="81">
        <f>'Capital IQ Sheet-GPC'!AK38</f>
        <v>-27.504000000000001</v>
      </c>
      <c r="J45" s="81">
        <f>'Capital IQ Sheet-GPC'!AL38</f>
        <v>-17.661000000000001</v>
      </c>
      <c r="L45" s="51">
        <f t="shared" si="13"/>
        <v>-0.67310577070258681</v>
      </c>
      <c r="M45" s="51">
        <f t="shared" si="14"/>
        <v>-0.2692800986890414</v>
      </c>
      <c r="N45" s="51" t="str">
        <f t="shared" si="15"/>
        <v>NM</v>
      </c>
      <c r="O45" s="311"/>
      <c r="P45" s="81">
        <f t="shared" si="16"/>
        <v>69.47399999999999</v>
      </c>
      <c r="Q45" s="81">
        <f t="shared" si="17"/>
        <v>-87.655999999999992</v>
      </c>
      <c r="S45" s="51">
        <f t="shared" si="18"/>
        <v>-0.39588910959495649</v>
      </c>
      <c r="T45" s="51">
        <f t="shared" si="19"/>
        <v>0.20148078853700835</v>
      </c>
      <c r="V45" s="310">
        <v>1</v>
      </c>
      <c r="W45" s="82" t="str">
        <f>IF('MASTER PubCo Inputs'!B53="","",'MASTER PubCo Inputs'!B53)</f>
        <v>NasdaqGS:CYTK</v>
      </c>
    </row>
    <row r="46" spans="2:23" ht="12.75" customHeight="1">
      <c r="B46" s="310" t="str">
        <f>Comp.1!B41</f>
        <v>Emisphere Technologies, Inc.</v>
      </c>
      <c r="D46" s="81">
        <f>'Capital IQ Sheet-GPC'!O39</f>
        <v>6.0000000000000001E-3</v>
      </c>
      <c r="E46" s="81">
        <f>'Capital IQ Sheet-GPC'!P39</f>
        <v>0.77800000000000002</v>
      </c>
      <c r="F46" s="81">
        <f>'Capital IQ Sheet-GPC'!Q39</f>
        <v>1.044</v>
      </c>
      <c r="H46" s="81">
        <f>'Capital IQ Sheet-GPC'!AJ39</f>
        <v>-14.817</v>
      </c>
      <c r="I46" s="81">
        <f>'Capital IQ Sheet-GPC'!AK39</f>
        <v>-12.302</v>
      </c>
      <c r="J46" s="81">
        <f>'Capital IQ Sheet-GPC'!AL39</f>
        <v>-6.0590000000000002</v>
      </c>
      <c r="L46" s="51" t="str">
        <f t="shared" ref="L46:N52" si="20">IFERROR(IF(H46/D46&gt;$X$7,"NM",IF((H46/D46)&lt;$Z$7,"NM",H46/D46)),"n/a")</f>
        <v>NM</v>
      </c>
      <c r="M46" s="51" t="str">
        <f t="shared" si="20"/>
        <v>NM</v>
      </c>
      <c r="N46" s="51" t="str">
        <f t="shared" si="20"/>
        <v>NM</v>
      </c>
      <c r="O46" s="311"/>
      <c r="P46" s="81">
        <f t="shared" ref="P46:Q52" si="21">IFERROR(E46-D46, "n/a")</f>
        <v>0.77200000000000002</v>
      </c>
      <c r="Q46" s="81">
        <f t="shared" si="21"/>
        <v>0.26600000000000001</v>
      </c>
      <c r="S46" s="51" t="str">
        <f t="shared" ref="S46:T52" si="22">IFERROR(IF(I46/P46&gt;$X$7,"NM",IF((I46/P46)&lt;$Z$7,"NM",I46/P46)),"n/a")</f>
        <v>NM</v>
      </c>
      <c r="T46" s="51" t="str">
        <f t="shared" si="22"/>
        <v>NM</v>
      </c>
      <c r="V46" s="310">
        <v>1</v>
      </c>
      <c r="W46" s="82" t="str">
        <f>IF('MASTER PubCo Inputs'!B54="","",'MASTER PubCo Inputs'!B54)</f>
        <v>OTCPK:EMIS</v>
      </c>
    </row>
    <row r="47" spans="2:23" ht="12.75" customHeight="1">
      <c r="B47" s="310" t="str">
        <f>Comp.1!B42</f>
        <v>CohBar, Inc.</v>
      </c>
      <c r="D47" s="81" t="str">
        <f>'Capital IQ Sheet-GPC'!O40</f>
        <v>n/a</v>
      </c>
      <c r="E47" s="81" t="str">
        <f>'Capital IQ Sheet-GPC'!P40</f>
        <v>n/a</v>
      </c>
      <c r="F47" s="81" t="str">
        <f>'Capital IQ Sheet-GPC'!Q40</f>
        <v>n/a</v>
      </c>
      <c r="H47" s="81">
        <f>'Capital IQ Sheet-GPC'!AJ40</f>
        <v>-0.38286999999999999</v>
      </c>
      <c r="I47" s="81">
        <f>'Capital IQ Sheet-GPC'!AK40</f>
        <v>-0.55620999999999998</v>
      </c>
      <c r="J47" s="81">
        <f>'Capital IQ Sheet-GPC'!AL40</f>
        <v>-0.82562000000000002</v>
      </c>
      <c r="L47" s="51" t="str">
        <f t="shared" si="20"/>
        <v>n/a</v>
      </c>
      <c r="M47" s="51" t="str">
        <f t="shared" si="20"/>
        <v>n/a</v>
      </c>
      <c r="N47" s="51" t="str">
        <f t="shared" si="20"/>
        <v>n/a</v>
      </c>
      <c r="O47" s="311"/>
      <c r="P47" s="81" t="str">
        <f t="shared" si="21"/>
        <v>n/a</v>
      </c>
      <c r="Q47" s="81" t="str">
        <f t="shared" si="21"/>
        <v>n/a</v>
      </c>
      <c r="S47" s="51" t="str">
        <f t="shared" si="22"/>
        <v>n/a</v>
      </c>
      <c r="T47" s="51" t="str">
        <f t="shared" si="22"/>
        <v>n/a</v>
      </c>
      <c r="V47" s="310">
        <v>1</v>
      </c>
      <c r="W47" s="82" t="str">
        <f>IF('MASTER PubCo Inputs'!B55="","",'MASTER PubCo Inputs'!B55)</f>
        <v>TSXV:COB.U</v>
      </c>
    </row>
    <row r="48" spans="2:23" ht="12.75" customHeight="1">
      <c r="B48" s="310" t="str">
        <f>Comp.1!B43</f>
        <v>vTv Therapeutics Inc.</v>
      </c>
      <c r="D48" s="81">
        <f>'Capital IQ Sheet-GPC'!O41</f>
        <v>0.84499999999999997</v>
      </c>
      <c r="E48" s="81">
        <f>'Capital IQ Sheet-GPC'!P41</f>
        <v>0.28799999999999998</v>
      </c>
      <c r="F48" s="81">
        <f>'Capital IQ Sheet-GPC'!Q41</f>
        <v>2.3250000000000002</v>
      </c>
      <c r="H48" s="81">
        <f>'Capital IQ Sheet-GPC'!AJ41</f>
        <v>-7.1219999999999999</v>
      </c>
      <c r="I48" s="81">
        <f>'Capital IQ Sheet-GPC'!AK41</f>
        <v>-10.327</v>
      </c>
      <c r="J48" s="81">
        <f>'Capital IQ Sheet-GPC'!AL41</f>
        <v>-17.113</v>
      </c>
      <c r="L48" s="51" t="str">
        <f t="shared" si="20"/>
        <v>NM</v>
      </c>
      <c r="M48" s="51" t="str">
        <f t="shared" si="20"/>
        <v>NM</v>
      </c>
      <c r="N48" s="51" t="str">
        <f t="shared" si="20"/>
        <v>NM</v>
      </c>
      <c r="O48" s="311"/>
      <c r="P48" s="81">
        <f t="shared" si="21"/>
        <v>-0.55699999999999994</v>
      </c>
      <c r="Q48" s="81">
        <f t="shared" si="21"/>
        <v>2.0370000000000004</v>
      </c>
      <c r="S48" s="51" t="str">
        <f t="shared" si="22"/>
        <v>NM</v>
      </c>
      <c r="T48" s="51" t="str">
        <f t="shared" si="22"/>
        <v>NM</v>
      </c>
      <c r="V48" s="310">
        <v>1</v>
      </c>
      <c r="W48" s="82" t="str">
        <f>IF('MASTER PubCo Inputs'!B56="","",'MASTER PubCo Inputs'!B56)</f>
        <v>NasdaqGM:VTVT</v>
      </c>
    </row>
    <row r="49" spans="2:23" ht="12.75" customHeight="1">
      <c r="B49" s="310" t="str">
        <f>Comp.1!B44</f>
        <v>Rezolute, Inc.</v>
      </c>
      <c r="D49" s="81" t="str">
        <f>'Capital IQ Sheet-GPC'!O42</f>
        <v>n/a</v>
      </c>
      <c r="E49" s="81" t="str">
        <f>'Capital IQ Sheet-GPC'!P42</f>
        <v>n/a</v>
      </c>
      <c r="F49" s="81" t="str">
        <f>'Capital IQ Sheet-GPC'!Q42</f>
        <v>n/a</v>
      </c>
      <c r="H49" s="81">
        <f>'Capital IQ Sheet-GPC'!AJ42</f>
        <v>-2.0179100000000001</v>
      </c>
      <c r="I49" s="81">
        <f>'Capital IQ Sheet-GPC'!AK42</f>
        <v>-1.5971599999999999</v>
      </c>
      <c r="J49" s="81">
        <f>'Capital IQ Sheet-GPC'!AL42</f>
        <v>-3.0784899999999999</v>
      </c>
      <c r="L49" s="51" t="str">
        <f t="shared" si="20"/>
        <v>n/a</v>
      </c>
      <c r="M49" s="51" t="str">
        <f t="shared" si="20"/>
        <v>n/a</v>
      </c>
      <c r="N49" s="51" t="str">
        <f t="shared" si="20"/>
        <v>n/a</v>
      </c>
      <c r="O49" s="311"/>
      <c r="P49" s="81" t="str">
        <f t="shared" si="21"/>
        <v>n/a</v>
      </c>
      <c r="Q49" s="81" t="str">
        <f t="shared" si="21"/>
        <v>n/a</v>
      </c>
      <c r="S49" s="51" t="str">
        <f t="shared" si="22"/>
        <v>n/a</v>
      </c>
      <c r="T49" s="51" t="str">
        <f t="shared" si="22"/>
        <v>n/a</v>
      </c>
      <c r="V49" s="310">
        <v>1</v>
      </c>
      <c r="W49" s="82" t="str">
        <f>IF('MASTER PubCo Inputs'!B57="","",'MASTER PubCo Inputs'!B57)</f>
        <v>OTCPK:RZLT</v>
      </c>
    </row>
    <row r="50" spans="2:23" ht="12.75" customHeight="1">
      <c r="B50" s="310" t="str">
        <f>Comp.1!B45</f>
        <v>Boston Therapeutics, Inc.</v>
      </c>
      <c r="D50" s="81">
        <f>'Capital IQ Sheet-GPC'!O44</f>
        <v>5.9920000000000001E-2</v>
      </c>
      <c r="E50" s="81">
        <f>'Capital IQ Sheet-GPC'!P44</f>
        <v>9.1050000000000006E-2</v>
      </c>
      <c r="F50" s="81">
        <f>'Capital IQ Sheet-GPC'!Q44</f>
        <v>3.4110000000000001E-2</v>
      </c>
      <c r="H50" s="81">
        <f>'Capital IQ Sheet-GPC'!AJ44</f>
        <v>-0.70745999999999998</v>
      </c>
      <c r="I50" s="81">
        <f>'Capital IQ Sheet-GPC'!AK44</f>
        <v>-0.66752999999999996</v>
      </c>
      <c r="J50" s="81">
        <f>'Capital IQ Sheet-GPC'!AL44</f>
        <v>-1.11391</v>
      </c>
      <c r="L50" s="51" t="str">
        <f t="shared" si="20"/>
        <v>NM</v>
      </c>
      <c r="M50" s="51" t="str">
        <f t="shared" si="20"/>
        <v>NM</v>
      </c>
      <c r="N50" s="51" t="str">
        <f t="shared" si="20"/>
        <v>NM</v>
      </c>
      <c r="O50" s="311"/>
      <c r="P50" s="81">
        <f t="shared" si="21"/>
        <v>3.1130000000000005E-2</v>
      </c>
      <c r="Q50" s="81">
        <f t="shared" si="21"/>
        <v>-5.6940000000000004E-2</v>
      </c>
      <c r="S50" s="51" t="str">
        <f t="shared" si="22"/>
        <v>NM</v>
      </c>
      <c r="T50" s="51" t="str">
        <f t="shared" si="22"/>
        <v>NM</v>
      </c>
      <c r="V50" s="310">
        <v>1</v>
      </c>
      <c r="W50" s="82" t="str">
        <f>IF('MASTER PubCo Inputs'!B58="","",'MASTER PubCo Inputs'!B58)</f>
        <v>OTCPK:BTHE</v>
      </c>
    </row>
    <row r="51" spans="2:23" ht="12.75" customHeight="1">
      <c r="B51" s="310" t="str">
        <f>Comp.1!B46</f>
        <v>Neuralstem, Inc.</v>
      </c>
      <c r="D51" s="81">
        <f>'Capital IQ Sheet-GPC'!O45</f>
        <v>0.01</v>
      </c>
      <c r="E51" s="81">
        <f>'Capital IQ Sheet-GPC'!P45</f>
        <v>1.6250000000000001E-2</v>
      </c>
      <c r="F51" s="81">
        <f>'Capital IQ Sheet-GPC'!Q45</f>
        <v>0.26</v>
      </c>
      <c r="H51" s="81">
        <f>'Capital IQ Sheet-GPC'!AJ45</f>
        <v>-2.0382600000000002</v>
      </c>
      <c r="I51" s="81">
        <f>'Capital IQ Sheet-GPC'!AK45</f>
        <v>-2.0249199999999998</v>
      </c>
      <c r="J51" s="81">
        <f>'Capital IQ Sheet-GPC'!AL45</f>
        <v>-0.79464000000000001</v>
      </c>
      <c r="L51" s="51" t="str">
        <f t="shared" si="20"/>
        <v>NM</v>
      </c>
      <c r="M51" s="51" t="str">
        <f t="shared" si="20"/>
        <v>NM</v>
      </c>
      <c r="N51" s="51" t="str">
        <f t="shared" si="20"/>
        <v>NM</v>
      </c>
      <c r="O51" s="311"/>
      <c r="P51" s="81">
        <f t="shared" si="21"/>
        <v>6.2500000000000003E-3</v>
      </c>
      <c r="Q51" s="81">
        <f t="shared" si="21"/>
        <v>0.24375000000000002</v>
      </c>
      <c r="S51" s="51" t="str">
        <f t="shared" si="22"/>
        <v>NM</v>
      </c>
      <c r="T51" s="51" t="str">
        <f t="shared" si="22"/>
        <v>NM</v>
      </c>
      <c r="V51" s="310">
        <v>1</v>
      </c>
      <c r="W51" s="82" t="str">
        <f>IF('MASTER PubCo Inputs'!B59="","",'MASTER PubCo Inputs'!B59)</f>
        <v>NasdaqCM:CUR</v>
      </c>
    </row>
    <row r="52" spans="2:23" ht="12.75" customHeight="1">
      <c r="B52" s="310" t="str">
        <f>Comp.1!B47</f>
        <v>Nexus BioPharma, Inc.</v>
      </c>
      <c r="D52" s="81" t="str">
        <f>'Capital IQ Sheet-GPC'!O46</f>
        <v>n/a</v>
      </c>
      <c r="E52" s="81" t="str">
        <f>'Capital IQ Sheet-GPC'!P46</f>
        <v>n/a</v>
      </c>
      <c r="F52" s="81" t="str">
        <f>'Capital IQ Sheet-GPC'!Q46</f>
        <v>n/a</v>
      </c>
      <c r="H52" s="81" t="str">
        <f>'Capital IQ Sheet-GPC'!AJ46</f>
        <v>n/a</v>
      </c>
      <c r="I52" s="81">
        <f>'Capital IQ Sheet-GPC'!AK46</f>
        <v>-0.73329</v>
      </c>
      <c r="J52" s="81">
        <f>'Capital IQ Sheet-GPC'!AL46</f>
        <v>-1.4980800000000001</v>
      </c>
      <c r="L52" s="51" t="str">
        <f t="shared" si="20"/>
        <v>n/a</v>
      </c>
      <c r="M52" s="51" t="str">
        <f t="shared" si="20"/>
        <v>n/a</v>
      </c>
      <c r="N52" s="51" t="str">
        <f t="shared" si="20"/>
        <v>n/a</v>
      </c>
      <c r="O52" s="311"/>
      <c r="P52" s="81" t="str">
        <f t="shared" si="21"/>
        <v>n/a</v>
      </c>
      <c r="Q52" s="81" t="str">
        <f t="shared" si="21"/>
        <v>n/a</v>
      </c>
      <c r="S52" s="51" t="str">
        <f t="shared" si="22"/>
        <v>n/a</v>
      </c>
      <c r="T52" s="51" t="str">
        <f t="shared" si="22"/>
        <v>n/a</v>
      </c>
      <c r="V52" s="310">
        <v>1</v>
      </c>
      <c r="W52" s="82" t="str">
        <f>IF('MASTER PubCo Inputs'!B60="","",'MASTER PubCo Inputs'!B60)</f>
        <v>OTCPK:NEXS</v>
      </c>
    </row>
    <row r="53" spans="2:23" ht="12.75" customHeight="1">
      <c r="B53" s="310" t="str">
        <f>Comp.1!B48</f>
        <v>ERYTECH Pharma S.A.</v>
      </c>
      <c r="D53" s="81">
        <f>'Capital IQ Sheet-GPC'!O47</f>
        <v>3.1810999999999998</v>
      </c>
      <c r="E53" s="81">
        <f>'Capital IQ Sheet-GPC'!P47</f>
        <v>4.3681999999999999</v>
      </c>
      <c r="F53" s="81">
        <f>'Capital IQ Sheet-GPC'!Q47</f>
        <v>4.03939</v>
      </c>
      <c r="H53" s="81">
        <f>'Capital IQ Sheet-GPC'!AJ47</f>
        <v>1.3369500000000001</v>
      </c>
      <c r="I53" s="81">
        <f>'Capital IQ Sheet-GPC'!AK47</f>
        <v>-1.48844</v>
      </c>
      <c r="J53" s="81">
        <f>'Capital IQ Sheet-GPC'!AL47</f>
        <v>-5.6904399999999997</v>
      </c>
      <c r="L53" s="51">
        <f>IFERROR(IF(H53/D53&gt;$X$7,"NM",IF((H53/D53)&lt;$Z$7,"NM",H53/D53)),"n/a")</f>
        <v>0.42027914872214017</v>
      </c>
      <c r="M53" s="51">
        <f>IFERROR(IF(I53/E53&gt;$X$7,"NM",IF((I53/E53)&lt;$Z$7,"NM",I53/E53)),"n/a")</f>
        <v>-0.34074447140698688</v>
      </c>
      <c r="N53" s="51" t="str">
        <f>IFERROR(IF(J53/F53&gt;$X$7,"NM",IF((J53/F53)&lt;$Z$7,"NM",J53/F53)),"n/a")</f>
        <v>NM</v>
      </c>
      <c r="O53" s="311"/>
      <c r="P53" s="81">
        <f>IFERROR(E53-D53, "n/a")</f>
        <v>1.1871</v>
      </c>
      <c r="Q53" s="81">
        <f>IFERROR(F53-E53, "n/a")</f>
        <v>-0.32880999999999982</v>
      </c>
      <c r="S53" s="51" t="str">
        <f>IFERROR(IF(I53/P53&gt;$X$7,"NM",IF((I53/P53)&lt;$Z$7,"NM",I53/P53)),"n/a")</f>
        <v>NM</v>
      </c>
      <c r="T53" s="51" t="str">
        <f>IFERROR(IF(J53/Q53&gt;$X$7,"NM",IF((J53/Q53)&lt;$Z$7,"NM",J53/Q53)),"n/a")</f>
        <v>NM</v>
      </c>
      <c r="V53" s="310">
        <v>1</v>
      </c>
      <c r="W53" s="82" t="str">
        <f>IF('MASTER PubCo Inputs'!B61="","",'MASTER PubCo Inputs'!B61)</f>
        <v>ENXTPA:ERYP</v>
      </c>
    </row>
    <row r="54" spans="2:23" ht="12.75" customHeight="1">
      <c r="D54" s="81"/>
      <c r="E54" s="81"/>
      <c r="F54" s="81"/>
      <c r="H54" s="81"/>
      <c r="I54" s="81"/>
      <c r="J54" s="81"/>
      <c r="L54" s="51"/>
      <c r="M54" s="51"/>
      <c r="N54" s="51"/>
      <c r="O54" s="311"/>
      <c r="P54" s="81"/>
      <c r="Q54" s="81"/>
      <c r="S54" s="51"/>
      <c r="T54" s="51"/>
      <c r="W54" s="82"/>
    </row>
    <row r="55" spans="2:23" ht="12.75" customHeight="1">
      <c r="B55" s="1574" t="s">
        <v>41</v>
      </c>
      <c r="C55" s="833"/>
      <c r="D55" s="1415">
        <f>IFERROR(MAX(D29:D53),"n/a")</f>
        <v>140.71600000000001</v>
      </c>
      <c r="E55" s="1415">
        <f>IFERROR(MAX(E29:E53),"n/a")</f>
        <v>102.139</v>
      </c>
      <c r="F55" s="1415">
        <f>IFERROR(MAX(F29:F53),"n/a")</f>
        <v>97.248999999999995</v>
      </c>
      <c r="G55" s="1415"/>
      <c r="H55" s="1415">
        <f>IFERROR(MAX(H29:H53),"n/a")</f>
        <v>1.3369500000000001</v>
      </c>
      <c r="I55" s="1415">
        <f>IFERROR(MAX(I29:I53),"n/a")</f>
        <v>-0.33476</v>
      </c>
      <c r="J55" s="1573">
        <f>IFERROR(MAX(J29:J53),"n/a")</f>
        <v>-0.56630999999999998</v>
      </c>
      <c r="K55" s="833"/>
      <c r="L55" s="1836">
        <f>IFERROR(MAX(L29:L53),"n/a")</f>
        <v>0.42027914872214017</v>
      </c>
      <c r="M55" s="1836">
        <f>IFERROR(MAX(M29:M53),"n/a")</f>
        <v>-0.2692800986890414</v>
      </c>
      <c r="N55" s="1836">
        <f>IFERROR(MAX(N29:N53),"n/a")</f>
        <v>-0.19129742637304323</v>
      </c>
      <c r="O55" s="1827"/>
      <c r="P55" s="1415">
        <f>IFERROR(MAX(P29:P53),"n/a")</f>
        <v>69.47399999999999</v>
      </c>
      <c r="Q55" s="1415">
        <f>IFERROR(MAX(Q29:Q53),"n/a")</f>
        <v>40.33</v>
      </c>
      <c r="R55" s="1828"/>
      <c r="S55" s="1836">
        <f>IFERROR(MAX(S29:S53),"n/a")</f>
        <v>0.85991678224687951</v>
      </c>
      <c r="T55" s="1826">
        <f>IFERROR(MAX(T29:T53),"n/a")</f>
        <v>0.20148078853700835</v>
      </c>
      <c r="U55" s="1834"/>
      <c r="V55" s="89"/>
      <c r="W55" s="1829"/>
    </row>
    <row r="56" spans="2:23" ht="12.75" customHeight="1">
      <c r="B56" s="278" t="s">
        <v>45</v>
      </c>
      <c r="C56" s="73"/>
      <c r="D56" s="89">
        <f>IFERROR(QUARTILE(D29:D53,3),"n/a")</f>
        <v>17.030999999999999</v>
      </c>
      <c r="E56" s="89">
        <f>IFERROR(QUARTILE(E29:E53,3),"n/a")</f>
        <v>5.8765000000000001</v>
      </c>
      <c r="F56" s="89">
        <f>IFERROR(QUARTILE(F29:F53,3),"n/a")</f>
        <v>6.2290000000000001</v>
      </c>
      <c r="G56" s="89"/>
      <c r="H56" s="89">
        <f>IFERROR(QUARTILE(H29:H53,3),"n/a")</f>
        <v>-0.77659499999999992</v>
      </c>
      <c r="I56" s="89">
        <f>IFERROR(QUARTILE(I29:I53,3),"n/a")</f>
        <v>-1.0215399999999999</v>
      </c>
      <c r="J56" s="1572">
        <f>IFERROR(QUARTILE(J29:J53,3),"n/a")</f>
        <v>-1.4980800000000001</v>
      </c>
      <c r="K56" s="73"/>
      <c r="L56" s="1837">
        <f>IFERROR(QUARTILE(L29:L53,3),"n/a")</f>
        <v>6.8340578003209612E-2</v>
      </c>
      <c r="M56" s="1837">
        <f>IFERROR(QUARTILE(M29:M53,3),"n/a")</f>
        <v>-0.30501228504801414</v>
      </c>
      <c r="N56" s="1837">
        <f>IFERROR(QUARTILE(N29:N53,3),"n/a")</f>
        <v>-0.32435433331070568</v>
      </c>
      <c r="O56" s="181"/>
      <c r="P56" s="89">
        <f>IFERROR(QUARTILE(P29:P53,3),"n/a")</f>
        <v>0.66348499999999999</v>
      </c>
      <c r="Q56" s="89">
        <f>IFERROR(QUARTILE(Q29:Q53,3),"n/a")</f>
        <v>2.0850000000000004</v>
      </c>
      <c r="R56" s="185"/>
      <c r="S56" s="1837">
        <f>IFERROR(QUARTILE(S29:S53,3),"n/a")</f>
        <v>0.68295857575018604</v>
      </c>
      <c r="T56" s="117">
        <f>IFERROR(QUARTILE(T29:T53,3),"n/a")</f>
        <v>0.20148078853700835</v>
      </c>
      <c r="U56" s="1834"/>
      <c r="V56" s="89"/>
      <c r="W56" s="1829"/>
    </row>
    <row r="57" spans="2:23" ht="12.75" customHeight="1">
      <c r="B57" s="278" t="s">
        <v>43</v>
      </c>
      <c r="C57" s="73"/>
      <c r="D57" s="89">
        <f>IFERROR(AVERAGE(D29:D53),"n/a")</f>
        <v>20.550906999999999</v>
      </c>
      <c r="E57" s="89">
        <f>IFERROR(AVERAGE(E29:E53),"n/a")</f>
        <v>18.270540833333332</v>
      </c>
      <c r="F57" s="89">
        <f>IFERROR(AVERAGE(F29:F53),"n/a")</f>
        <v>13.702646428571429</v>
      </c>
      <c r="G57" s="89"/>
      <c r="H57" s="89">
        <f>IFERROR(AVERAGE(H29:H53),"n/a")</f>
        <v>-13.247113333333331</v>
      </c>
      <c r="I57" s="89">
        <f>IFERROR(AVERAGE(I29:I53),"n/a")</f>
        <v>-14.640381904761906</v>
      </c>
      <c r="J57" s="1572">
        <f>IFERROR(AVERAGE(J29:J53),"n/a")</f>
        <v>-13.985127600000006</v>
      </c>
      <c r="K57" s="73"/>
      <c r="L57" s="1837">
        <f>IFERROR(AVERAGE(L29:L53),"n/a")</f>
        <v>-0.26183755602903935</v>
      </c>
      <c r="M57" s="1837">
        <f>IFERROR(AVERAGE(M29:M53),"n/a")</f>
        <v>-0.44705221518924215</v>
      </c>
      <c r="N57" s="1837">
        <f>IFERROR(AVERAGE(N29:N53),"n/a")</f>
        <v>-0.47665021103992716</v>
      </c>
      <c r="O57" s="181"/>
      <c r="P57" s="89">
        <f>IFERROR(AVERAGE(P29:P53),"n/a")</f>
        <v>-1.8258000000001863E-2</v>
      </c>
      <c r="Q57" s="89">
        <f>IFERROR(AVERAGE(Q29:Q53),"n/a")</f>
        <v>-2.9296199999999999</v>
      </c>
      <c r="R57" s="185"/>
      <c r="S57" s="1837">
        <f>IFERROR(AVERAGE(S29:S53),"n/a")</f>
        <v>0.32334268063513855</v>
      </c>
      <c r="T57" s="117">
        <f>IFERROR(AVERAGE(T29:T53),"n/a")</f>
        <v>0.20148078853700835</v>
      </c>
      <c r="U57" s="1834"/>
      <c r="V57" s="89"/>
      <c r="W57" s="1829"/>
    </row>
    <row r="58" spans="2:23" ht="12.75" customHeight="1">
      <c r="B58" s="278" t="s">
        <v>3</v>
      </c>
      <c r="C58" s="73"/>
      <c r="D58" s="89">
        <f>IFERROR(MEDIAN(D29:D53),"n/a")</f>
        <v>2.0130499999999998</v>
      </c>
      <c r="E58" s="89">
        <f>IFERROR(MEDIAN(E29:E53),"n/a")</f>
        <v>4.0419999999999998</v>
      </c>
      <c r="F58" s="89">
        <f>IFERROR(MEDIAN(F29:F53),"n/a")</f>
        <v>3.9041950000000001</v>
      </c>
      <c r="G58" s="89"/>
      <c r="H58" s="89">
        <f>IFERROR(MEDIAN(H29:H53),"n/a")</f>
        <v>-2.0974149999999998</v>
      </c>
      <c r="I58" s="89">
        <f>IFERROR(MEDIAN(I29:I53),"n/a")</f>
        <v>-3.21</v>
      </c>
      <c r="J58" s="1572">
        <f>IFERROR(MEDIAN(J29:J53),"n/a")</f>
        <v>-5.1050000000000004</v>
      </c>
      <c r="K58" s="73"/>
      <c r="L58" s="1837">
        <f>IFERROR(MEDIAN(L29:L53),"n/a")</f>
        <v>-0.36103902480284372</v>
      </c>
      <c r="M58" s="1837">
        <f>IFERROR(MEDIAN(M29:M53),"n/a")</f>
        <v>-0.34074447140698688</v>
      </c>
      <c r="N58" s="1837">
        <f>IFERROR(MEDIAN(N29:N53),"n/a")</f>
        <v>-0.45741124024836816</v>
      </c>
      <c r="O58" s="181"/>
      <c r="P58" s="89">
        <f>IFERROR(MEDIAN(P29:P53),"n/a")</f>
        <v>1.8690000000000005E-2</v>
      </c>
      <c r="Q58" s="89">
        <f>IFERROR(MEDIAN(Q29:Q53),"n/a")</f>
        <v>0.25487500000000002</v>
      </c>
      <c r="R58" s="185"/>
      <c r="S58" s="1837">
        <f>IFERROR(MEDIAN(S29:S53),"n/a")</f>
        <v>0.50600036925349257</v>
      </c>
      <c r="T58" s="117">
        <f>IFERROR(MEDIAN(T29:T53),"n/a")</f>
        <v>0.20148078853700835</v>
      </c>
      <c r="U58" s="1834"/>
      <c r="V58" s="89"/>
      <c r="W58" s="1829"/>
    </row>
    <row r="59" spans="2:23" ht="12.75" customHeight="1">
      <c r="B59" s="278" t="s">
        <v>44</v>
      </c>
      <c r="C59" s="73"/>
      <c r="D59" s="89">
        <f>IFERROR(QUARTILE(D29:D53,1),"n/a")</f>
        <v>6.6952499999999998E-2</v>
      </c>
      <c r="E59" s="89">
        <f>IFERROR(QUARTILE(E29:E53,1),"n/a")</f>
        <v>0.39149249999999997</v>
      </c>
      <c r="F59" s="89">
        <f>IFERROR(QUARTILE(F29:F53,1),"n/a")</f>
        <v>1.1492500000000001</v>
      </c>
      <c r="G59" s="89"/>
      <c r="H59" s="89">
        <f>IFERROR(QUARTILE(H29:H53,1),"n/a")</f>
        <v>-8.2607499999999998</v>
      </c>
      <c r="I59" s="89">
        <f>IFERROR(QUARTILE(I29:I53,1),"n/a")</f>
        <v>-12.302</v>
      </c>
      <c r="J59" s="1572">
        <f>IFERROR(QUARTILE(J29:J53,1),"n/a")</f>
        <v>-13.5047</v>
      </c>
      <c r="K59" s="73"/>
      <c r="L59" s="1837">
        <f>IFERROR(QUARTILE(L29:L53,1),"n/a")</f>
        <v>-0.69121715883509272</v>
      </c>
      <c r="M59" s="1837">
        <f>IFERROR(QUARTILE(M29:M53,1),"n/a")</f>
        <v>-0.53593827343934253</v>
      </c>
      <c r="N59" s="1837">
        <f>IFERROR(QUARTILE(N29:N53,1),"n/a")</f>
        <v>-0.6193266033733692</v>
      </c>
      <c r="O59" s="181"/>
      <c r="P59" s="89">
        <f>IFERROR(QUARTILE(P29:P53,1),"n/a")</f>
        <v>-2.8429999999999995</v>
      </c>
      <c r="Q59" s="89">
        <f>IFERROR(QUARTILE(Q29:Q53,1),"n/a")</f>
        <v>-0.28878249999999994</v>
      </c>
      <c r="R59" s="185"/>
      <c r="S59" s="1837">
        <f>IFERROR(QUARTILE(S29:S53,1),"n/a")</f>
        <v>5.5055629829268038E-2</v>
      </c>
      <c r="T59" s="117">
        <f>IFERROR(QUARTILE(T29:T53,1),"n/a")</f>
        <v>0.20148078853700835</v>
      </c>
      <c r="U59" s="1834"/>
      <c r="V59" s="89"/>
      <c r="W59" s="1829"/>
    </row>
    <row r="60" spans="2:23" ht="12.75" customHeight="1">
      <c r="B60" s="1204" t="s">
        <v>42</v>
      </c>
      <c r="C60" s="67"/>
      <c r="D60" s="70">
        <f>IFERROR(MIN(D29:D53),"n/a")</f>
        <v>6.0000000000000001E-3</v>
      </c>
      <c r="E60" s="70">
        <f>IFERROR(MIN(E29:E53),"n/a")</f>
        <v>1.6250000000000001E-2</v>
      </c>
      <c r="F60" s="70">
        <f>IFERROR(MIN(F29:F53),"n/a")</f>
        <v>3.4110000000000001E-2</v>
      </c>
      <c r="G60" s="70"/>
      <c r="H60" s="70">
        <f>IFERROR(MIN(H29:H53),"n/a")</f>
        <v>-104.911</v>
      </c>
      <c r="I60" s="70">
        <f>IFERROR(MIN(I29:I53),"n/a")</f>
        <v>-101.96299999999999</v>
      </c>
      <c r="J60" s="1571">
        <f>IFERROR(MIN(J29:J53),"n/a")</f>
        <v>-111.19199999999999</v>
      </c>
      <c r="K60" s="67"/>
      <c r="L60" s="1838">
        <f>IFERROR(MIN(L29:L53),"n/a")</f>
        <v>-0.74555132323261031</v>
      </c>
      <c r="M60" s="1838">
        <f>IFERROR(MIN(M29:M53),"n/a")</f>
        <v>-0.73113207547169812</v>
      </c>
      <c r="N60" s="1838">
        <f>IFERROR(MIN(N29:N53),"n/a")</f>
        <v>-0.78124196649837019</v>
      </c>
      <c r="O60" s="635"/>
      <c r="P60" s="70">
        <f>IFERROR(MIN(P29:P53),"n/a")</f>
        <v>-51.580000000000013</v>
      </c>
      <c r="Q60" s="70">
        <f>IFERROR(MIN(Q29:Q53),"n/a")</f>
        <v>-87.655999999999992</v>
      </c>
      <c r="R60" s="639"/>
      <c r="S60" s="1838">
        <f>IFERROR(MIN(S29:S53),"n/a")</f>
        <v>-0.39588910959495649</v>
      </c>
      <c r="T60" s="321">
        <f>IFERROR(MIN(T29:T53),"n/a")</f>
        <v>0.20148078853700835</v>
      </c>
      <c r="U60" s="1834"/>
      <c r="V60" s="89"/>
      <c r="W60" s="1829"/>
    </row>
    <row r="61" spans="2:23" ht="12.75" customHeight="1">
      <c r="D61" s="81"/>
      <c r="E61" s="81"/>
      <c r="F61" s="81"/>
      <c r="H61" s="81"/>
      <c r="I61" s="81"/>
      <c r="J61" s="81"/>
      <c r="L61" s="51"/>
      <c r="M61" s="51"/>
      <c r="N61" s="51"/>
      <c r="O61" s="311"/>
      <c r="P61" s="81"/>
      <c r="Q61" s="81"/>
      <c r="S61" s="51"/>
      <c r="T61" s="51"/>
      <c r="W61" s="82"/>
    </row>
    <row r="62" spans="2:23" ht="12.75" customHeight="1">
      <c r="B62" s="1574" t="s">
        <v>41</v>
      </c>
      <c r="C62" s="833"/>
      <c r="D62" s="1415">
        <f t="array" ref="D62">MAX(IF($V$11:$V$53=1,D$11:D$53,""))</f>
        <v>16804.59172</v>
      </c>
      <c r="E62" s="1415">
        <f t="array" ref="E62">MAX(IF($V$11:$V$53=1,E$11:E$53,""))</f>
        <v>16251.231239999999</v>
      </c>
      <c r="F62" s="1415">
        <f t="array" ref="F62">MAX(IF($V$11:$V$53=1,F$11:F$53,""))</f>
        <v>18209.76585</v>
      </c>
      <c r="G62" s="1415"/>
      <c r="H62" s="1415">
        <f t="array" ref="H62">MAX(IF($V$11:$V$53=1,H$11:H$53,""))</f>
        <v>208.21476999999999</v>
      </c>
      <c r="I62" s="1415">
        <f t="array" ref="I62">MAX(IF($V$11:$V$53=1,I$11:I$53,""))</f>
        <v>339.03059000000002</v>
      </c>
      <c r="J62" s="1573">
        <f t="array" ref="J62">MAX(IF($V$11:$V$53=1,J$11:J$53,""))</f>
        <v>426.18977000000001</v>
      </c>
      <c r="K62" s="833"/>
      <c r="L62" s="1202">
        <f t="array" ref="L62">MAX(IF($V$11:$V$53=1,L$11:L$53,""))</f>
        <v>0.78040526396609877</v>
      </c>
      <c r="M62" s="1202">
        <f t="array" ref="M62">MAX(IF($V$11:$V$53=1,M$11:M$53,""))</f>
        <v>0.8351413626982449</v>
      </c>
      <c r="N62" s="1202">
        <f t="array" ref="N62">MAX(IF($V$11:$V$53=1,N$11:N$53,""))</f>
        <v>0.7269210625112027</v>
      </c>
      <c r="O62" s="1415"/>
      <c r="P62" s="1415">
        <f t="array" ref="P62">MAX(IF($V$11:$V$53=1,P$11:P$53,""))</f>
        <v>145.16886</v>
      </c>
      <c r="Q62" s="1415">
        <f t="array" ref="Q62">MAX(IF($V$11:$V$53=1,Q$11:Q$53,""))</f>
        <v>1958.5346100000006</v>
      </c>
      <c r="R62" s="1415"/>
      <c r="S62" s="1202">
        <f t="array" ref="S62">MAX(IF($V$11:$V$53=1,S$11:S$53,""))</f>
        <v>0.85991678224687951</v>
      </c>
      <c r="T62" s="1826">
        <f t="array" ref="T62">MAX(IF($V$11:$V$53=1,T$11:T$53,""))</f>
        <v>0.95661156988556584</v>
      </c>
    </row>
    <row r="63" spans="2:23" ht="12.75" customHeight="1">
      <c r="B63" s="278" t="s">
        <v>45</v>
      </c>
      <c r="C63" s="73"/>
      <c r="D63" s="89">
        <f t="array" ref="D63">QUARTILE(IF($V$11:$V$53=1,D$11:D$53,""),3)</f>
        <v>228.45501250000001</v>
      </c>
      <c r="E63" s="89">
        <f t="array" ref="E63">QUARTILE(IF($V$11:$V$53=1,E$11:E$53,""),3)</f>
        <v>177.767</v>
      </c>
      <c r="F63" s="89">
        <f t="array" ref="F63">QUARTILE(IF($V$11:$V$53=1,F$11:F$53,""),3)</f>
        <v>167.566</v>
      </c>
      <c r="G63" s="89"/>
      <c r="H63" s="89">
        <f t="array" ref="H63">QUARTILE(IF($V$11:$V$53=1,H$11:H$53,""),3)</f>
        <v>0.75497499999999995</v>
      </c>
      <c r="I63" s="89">
        <f t="array" ref="I63">QUARTILE(IF($V$11:$V$53=1,I$11:I$53,""),3)</f>
        <v>-0.75721749999999999</v>
      </c>
      <c r="J63" s="1572">
        <f t="array" ref="J63">QUARTILE(IF($V$11:$V$53=1,J$11:J$53,""),3)</f>
        <v>-1.1741824999999999</v>
      </c>
      <c r="K63" s="73"/>
      <c r="L63" s="116">
        <f t="array" ref="L63">QUARTILE(IF($V$11:$V$53=1,L$11:L$53,""),3)</f>
        <v>0.46799939742440011</v>
      </c>
      <c r="M63" s="116">
        <f t="array" ref="M63">QUARTILE(IF($V$11:$V$53=1,M$11:M$53,""),3)</f>
        <v>0.17482692978201991</v>
      </c>
      <c r="N63" s="116">
        <f t="array" ref="N63">QUARTILE(IF($V$11:$V$53=1,N$11:N$53,""),3)</f>
        <v>0.20156461837455553</v>
      </c>
      <c r="O63" s="89"/>
      <c r="P63" s="89">
        <f t="array" ref="P63">QUARTILE(IF($V$11:$V$53=1,P$11:P$53,""),3)</f>
        <v>33.821120000000008</v>
      </c>
      <c r="Q63" s="89">
        <f t="array" ref="Q63">QUARTILE(IF($V$11:$V$53=1,Q$11:Q$53,""),3)</f>
        <v>100.31700000000001</v>
      </c>
      <c r="R63" s="89"/>
      <c r="S63" s="116">
        <f t="array" ref="S63">QUARTILE(IF($V$11:$V$53=1,S$11:S$53,""),3)</f>
        <v>0.55493960062114656</v>
      </c>
      <c r="T63" s="117">
        <f t="array" ref="T63">QUARTILE(IF($V$11:$V$53=1,T$11:T$53,""),3)</f>
        <v>0.32920790210534212</v>
      </c>
    </row>
    <row r="64" spans="2:23" ht="12.75" customHeight="1">
      <c r="B64" s="278" t="s">
        <v>43</v>
      </c>
      <c r="C64" s="73"/>
      <c r="D64" s="89">
        <f t="array" ref="D64">AVERAGE(IF($V$11:$V$53=1,D$11:D$53,""))</f>
        <v>1056.0580405555556</v>
      </c>
      <c r="E64" s="89">
        <f t="array" ref="E64">AVERAGE(IF($V$11:$V$53=1,E$11:E$53,""))</f>
        <v>897.23589476190477</v>
      </c>
      <c r="F64" s="89">
        <f t="array" ref="F64">AVERAGE(IF($V$11:$V$53=1,F$11:F$53,""))</f>
        <v>930.43783173913027</v>
      </c>
      <c r="G64" s="89">
        <f t="array" ref="G64">AVERAGE(IF($V$11:$V$53=1,G$11:G$53,""))</f>
        <v>0</v>
      </c>
      <c r="H64" s="89">
        <f t="array" ref="H64">AVERAGE(IF($V$11:$V$53=1,H$11:H$53,""))</f>
        <v>-11.428488518518522</v>
      </c>
      <c r="I64" s="89">
        <f t="array" ref="I64">AVERAGE(IF($V$11:$V$53=1,I$11:I$53,""))</f>
        <v>-35.244591666666651</v>
      </c>
      <c r="J64" s="1572">
        <f t="array" ref="J64">AVERAGE(IF($V$11:$V$53=1,J$11:J$53,""))</f>
        <v>-4.7514838235294112</v>
      </c>
      <c r="K64" s="73"/>
      <c r="L64" s="116">
        <f t="array" ref="L64">AVERAGE(IF($V$11:$V$53=1,L$11:L$53,""))</f>
        <v>0.11350422534597465</v>
      </c>
      <c r="M64" s="116">
        <f t="array" ref="M64">AVERAGE(IF($V$11:$V$53=1,M$11:M$53,""))</f>
        <v>3.8447241292584602E-2</v>
      </c>
      <c r="N64" s="116">
        <f t="array" ref="N64">AVERAGE(IF($V$11:$V$53=1,N$11:N$53,""))</f>
        <v>-2.3047219279540523E-2</v>
      </c>
      <c r="O64" s="89"/>
      <c r="P64" s="89">
        <f t="array" ref="P64">AVERAGE(IF($V$11:$V$53=1,P$11:P$53,""))</f>
        <v>-19.932107777777848</v>
      </c>
      <c r="Q64" s="89">
        <f t="array" ref="Q64">AVERAGE(IF($V$11:$V$53=1,Q$11:Q$53,""))</f>
        <v>121.44620666666668</v>
      </c>
      <c r="R64" s="89"/>
      <c r="S64" s="116">
        <f t="array" ref="S64">AVERAGE(IF($V$11:$V$53=1,S$11:S$53,""))</f>
        <v>0.22829773705792955</v>
      </c>
      <c r="T64" s="117">
        <f t="array" ref="T64">AVERAGE(IF($V$11:$V$53=1,T$11:T$53,""))</f>
        <v>0.16745082475256828</v>
      </c>
    </row>
    <row r="65" spans="2:21" ht="12.75" customHeight="1">
      <c r="B65" s="278" t="s">
        <v>3</v>
      </c>
      <c r="C65" s="73"/>
      <c r="D65" s="89">
        <f t="array" ref="D65">MEDIAN(IF($V$11:$V$53=1,D$11:D$53,""))</f>
        <v>24.443415000000002</v>
      </c>
      <c r="E65" s="89">
        <f t="array" ref="E65">MEDIAN(IF($V$11:$V$53=1,E$11:E$53,""))</f>
        <v>43.950650000000003</v>
      </c>
      <c r="F65" s="89">
        <f t="array" ref="F65">MEDIAN(IF($V$11:$V$53=1,F$11:F$53,""))</f>
        <v>11.601000000000001</v>
      </c>
      <c r="G65" s="89"/>
      <c r="H65" s="89">
        <f t="array" ref="H65">MEDIAN(IF($V$11:$V$53=1,H$11:H$53,""))</f>
        <v>-2.0179100000000001</v>
      </c>
      <c r="I65" s="89">
        <f t="array" ref="I65">MEDIAN(IF($V$11:$V$53=1,I$11:I$53,""))</f>
        <v>-2.5624599999999997</v>
      </c>
      <c r="J65" s="1572">
        <f t="array" ref="J65">MEDIAN(IF($V$11:$V$53=1,J$11:J$53,""))</f>
        <v>-4.0235000000000003</v>
      </c>
      <c r="K65" s="73"/>
      <c r="L65" s="116">
        <f t="array" ref="L65">MEDIAN(IF($V$11:$V$53=1,L$11:L$53,""))</f>
        <v>0.14327168722474223</v>
      </c>
      <c r="M65" s="116">
        <f t="array" ref="M65">MEDIAN(IF($V$11:$V$53=1,M$11:M$53,""))</f>
        <v>-4.2649198589781945E-2</v>
      </c>
      <c r="N65" s="116">
        <f t="array" ref="N65">MEDIAN(IF($V$11:$V$53=1,N$11:N$53,""))</f>
        <v>-4.1189391240854425E-2</v>
      </c>
      <c r="O65" s="89"/>
      <c r="P65" s="89">
        <f t="array" ref="P65">MEDIAN(IF($V$11:$V$53=1,P$11:P$53,""))</f>
        <v>0.55496999999999996</v>
      </c>
      <c r="Q65" s="89">
        <f t="array" ref="Q65">MEDIAN(IF($V$11:$V$53=1,Q$11:Q$53,""))</f>
        <v>2.0370000000000004</v>
      </c>
      <c r="R65" s="89"/>
      <c r="S65" s="116">
        <f t="array" ref="S65">MEDIAN(IF($V$11:$V$53=1,S$11:S$53,""))</f>
        <v>0.22908856612016409</v>
      </c>
      <c r="T65" s="117">
        <f t="array" ref="T65">MEDIAN(IF($V$11:$V$53=1,T$11:T$53,""))</f>
        <v>0.14571796156434044</v>
      </c>
    </row>
    <row r="66" spans="2:21" ht="12.75" customHeight="1">
      <c r="B66" s="278" t="s">
        <v>44</v>
      </c>
      <c r="C66" s="73"/>
      <c r="D66" s="89">
        <f t="array" ref="D66">QUARTILE(IF($V$11:$V$53=1,D$11:D$53,""),1)</f>
        <v>1.07925</v>
      </c>
      <c r="E66" s="89">
        <f t="array" ref="E66">QUARTILE(IF($V$11:$V$53=1,E$11:E$53,""),1)</f>
        <v>3.8439999999999999</v>
      </c>
      <c r="F66" s="89">
        <f t="array" ref="F66">QUARTILE(IF($V$11:$V$53=1,F$11:F$53,""),1)</f>
        <v>3.0470000000000002</v>
      </c>
      <c r="G66" s="89"/>
      <c r="H66" s="89">
        <f t="array" ref="H66">QUARTILE(IF($V$11:$V$53=1,H$11:H$53,""),1)</f>
        <v>-11.711500000000001</v>
      </c>
      <c r="I66" s="89">
        <f t="array" ref="I66">QUARTILE(IF($V$11:$V$53=1,I$11:I$53,""),1)</f>
        <v>-12.442377499999999</v>
      </c>
      <c r="J66" s="1572">
        <f t="array" ref="J66">QUARTILE(IF($V$11:$V$53=1,J$11:J$53,""),1)</f>
        <v>-14.802424999999999</v>
      </c>
      <c r="K66" s="73"/>
      <c r="L66" s="116">
        <f t="array" ref="L66">QUARTILE(IF($V$11:$V$53=1,L$11:L$53,""),1)</f>
        <v>-3.8753142125269521E-2</v>
      </c>
      <c r="M66" s="116">
        <f t="array" ref="M66">QUARTILE(IF($V$11:$V$53=1,M$11:M$53,""),1)</f>
        <v>-0.18068499719796099</v>
      </c>
      <c r="N66" s="116">
        <f t="array" ref="N66">QUARTILE(IF($V$11:$V$53=1,N$11:N$53,""),1)</f>
        <v>-0.29987431551838961</v>
      </c>
      <c r="O66" s="89"/>
      <c r="P66" s="89">
        <f t="array" ref="P66">QUARTILE(IF($V$11:$V$53=1,P$11:P$53,""),1)</f>
        <v>-2.8429999999999995</v>
      </c>
      <c r="Q66" s="89">
        <f t="array" ref="Q66">QUARTILE(IF($V$11:$V$53=1,Q$11:Q$53,""),1)</f>
        <v>-0.27544000000000002</v>
      </c>
      <c r="R66" s="89"/>
      <c r="S66" s="116">
        <f t="array" ref="S66">QUARTILE(IF($V$11:$V$53=1,S$11:S$53,""),1)</f>
        <v>-0.10470910446956995</v>
      </c>
      <c r="T66" s="117">
        <f t="array" ref="T66">QUARTILE(IF($V$11:$V$53=1,T$11:T$53,""),1)</f>
        <v>-0.11354157821236754</v>
      </c>
    </row>
    <row r="67" spans="2:21" ht="12.75" customHeight="1">
      <c r="B67" s="1204" t="s">
        <v>42</v>
      </c>
      <c r="C67" s="67"/>
      <c r="D67" s="70">
        <f t="array" ref="D67">MIN(IF($V$11:$V$53=1,D$11:D$53,""))</f>
        <v>6.0000000000000001E-3</v>
      </c>
      <c r="E67" s="70">
        <f t="array" ref="E67">MIN(IF($V$11:$V$53=1,E$11:E$53,""))</f>
        <v>1.6250000000000001E-2</v>
      </c>
      <c r="F67" s="70">
        <f t="array" ref="F67">MIN(IF($V$11:$V$53=1,F$11:F$53,""))</f>
        <v>3.4110000000000001E-2</v>
      </c>
      <c r="G67" s="70"/>
      <c r="H67" s="70">
        <f t="array" ref="H67">MIN(IF($V$11:$V$53=1,H$11:H$53,""))</f>
        <v>-479.50231000000002</v>
      </c>
      <c r="I67" s="70">
        <f t="array" ref="I67">MIN(IF($V$11:$V$53=1,I$11:I$53,""))</f>
        <v>-1496.57419</v>
      </c>
      <c r="J67" s="1571">
        <f t="array" ref="J67">MIN(IF($V$11:$V$53=1,J$11:J$53,""))</f>
        <v>-750.04917</v>
      </c>
      <c r="K67" s="67"/>
      <c r="L67" s="118">
        <f t="array" ref="L67">MIN(IF($V$11:$V$53=1,L$11:L$53,""))</f>
        <v>-0.74555132323261031</v>
      </c>
      <c r="M67" s="118">
        <f t="array" ref="M67">MIN(IF($V$11:$V$53=1,M$11:M$53,""))</f>
        <v>-0.73113207547169812</v>
      </c>
      <c r="N67" s="118">
        <f t="array" ref="N67">MIN(IF($V$11:$V$53=1,N$11:N$53,""))</f>
        <v>-0.78124196649837019</v>
      </c>
      <c r="O67" s="118"/>
      <c r="P67" s="70">
        <f t="array" ref="P67">MIN(IF($V$11:$V$53=1,P$11:P$53,""))</f>
        <v>-553.36048000000119</v>
      </c>
      <c r="Q67" s="70">
        <f t="array" ref="Q67">MIN(IF($V$11:$V$53=1,Q$11:Q$53,""))</f>
        <v>-166.166</v>
      </c>
      <c r="R67" s="70">
        <f t="array" ref="R67">MIN(IF($V$11:$V$53=1,R$11:R$53,""))</f>
        <v>0</v>
      </c>
      <c r="S67" s="118">
        <f t="array" ref="S67">MIN(IF($V$11:$V$53=1,S$11:S$53,""))</f>
        <v>-0.39588910959495649</v>
      </c>
      <c r="T67" s="321">
        <f t="array" ref="T67">MIN(IF($V$11:$V$53=1,T$11:T$53,""))</f>
        <v>-0.41561250834853508</v>
      </c>
    </row>
    <row r="68" spans="2:21" ht="12.75" customHeight="1"/>
    <row r="69" spans="2:21" ht="12.75" customHeight="1">
      <c r="B69" s="8" t="s">
        <v>46</v>
      </c>
    </row>
    <row r="70" spans="2:21" ht="12.75" customHeight="1">
      <c r="B70" s="8"/>
    </row>
    <row r="71" spans="2:21" ht="12.75" customHeight="1"/>
    <row r="75" spans="2:21" ht="3" customHeight="1"/>
    <row r="76" spans="2:21" s="6" customFormat="1" ht="25.5">
      <c r="B76" s="1823" t="s">
        <v>2741</v>
      </c>
      <c r="C76" s="1824"/>
      <c r="D76" s="1825" t="s">
        <v>2742</v>
      </c>
      <c r="E76" s="1825" t="s">
        <v>2743</v>
      </c>
      <c r="F76" s="1825" t="s">
        <v>2744</v>
      </c>
      <c r="U76" s="310"/>
    </row>
  </sheetData>
  <mergeCells count="1">
    <mergeCell ref="L7:N7"/>
  </mergeCells>
  <conditionalFormatting sqref="B11:B20 B61 B28:B54">
    <cfRule type="cellIs" dxfId="54" priority="7" operator="equal">
      <formula>"(Invalid Identifier)"</formula>
    </cfRule>
  </conditionalFormatting>
  <conditionalFormatting sqref="C4:H4 L4:T4">
    <cfRule type="cellIs" dxfId="53" priority="6" stopIfTrue="1" operator="equal">
      <formula>"input"</formula>
    </cfRule>
  </conditionalFormatting>
  <conditionalFormatting sqref="I4">
    <cfRule type="cellIs" dxfId="52" priority="4" stopIfTrue="1" operator="equal">
      <formula>"input"</formula>
    </cfRule>
  </conditionalFormatting>
  <conditionalFormatting sqref="I4">
    <cfRule type="cellIs" dxfId="51" priority="5" stopIfTrue="1" operator="equal">
      <formula>"input"</formula>
    </cfRule>
  </conditionalFormatting>
  <conditionalFormatting sqref="K4">
    <cfRule type="cellIs" dxfId="50" priority="3" stopIfTrue="1" operator="equal">
      <formula>"input"</formula>
    </cfRule>
  </conditionalFormatting>
  <conditionalFormatting sqref="B4">
    <cfRule type="cellIs" dxfId="49" priority="2" stopIfTrue="1" operator="equal">
      <formula>"input"</formula>
    </cfRule>
  </conditionalFormatting>
  <conditionalFormatting sqref="J4">
    <cfRule type="cellIs" dxfId="48" priority="1" stopIfTrue="1" operator="equal">
      <formula>"input"</formula>
    </cfRule>
  </conditionalFormatting>
  <pageMargins left="0.5" right="0.5" top="0.5" bottom="0.5" header="0.5" footer="0.5"/>
  <pageSetup scale="84" fitToWidth="0" fitToHeight="0" orientation="landscape" r:id="rId1"/>
  <rowBreaks count="1" manualBreakCount="1">
    <brk id="26" max="20" man="1"/>
  </rowBreaks>
  <colBreaks count="1" manualBreakCount="1">
    <brk id="10" max="47" man="1"/>
  </colBreaks>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ublished="0"/>
  <dimension ref="A1:G42"/>
  <sheetViews>
    <sheetView showGridLines="0" view="pageBreakPreview" zoomScale="85" zoomScaleNormal="100" zoomScaleSheetLayoutView="85" workbookViewId="0">
      <selection activeCell="B3" sqref="B3"/>
    </sheetView>
  </sheetViews>
  <sheetFormatPr defaultColWidth="10.6640625" defaultRowHeight="12.75" customHeight="1"/>
  <cols>
    <col min="1" max="1" width="4.5" style="1237" customWidth="1"/>
    <col min="2" max="2" width="35.83203125" style="1237" customWidth="1"/>
    <col min="3" max="6" width="26.83203125" style="1237" customWidth="1"/>
    <col min="7" max="7" width="4.5" style="1237" customWidth="1"/>
    <col min="8" max="16384" width="10.6640625" style="1237"/>
  </cols>
  <sheetData>
    <row r="1" spans="1:7" ht="8.1" customHeight="1" thickBot="1">
      <c r="A1" s="1282"/>
      <c r="B1" s="1283"/>
      <c r="C1" s="1283"/>
      <c r="D1" s="1283"/>
      <c r="E1" s="1283"/>
      <c r="F1" s="1283"/>
      <c r="G1" s="1284"/>
    </row>
    <row r="2" spans="1:7" ht="16.5" thickTop="1">
      <c r="A2" s="1285"/>
      <c r="B2" s="10" t="str">
        <f>'MASTER PubCo Inputs'!$C$5</f>
        <v>Hua Medicine</v>
      </c>
      <c r="C2" s="1286"/>
      <c r="D2" s="1286"/>
      <c r="E2" s="1286"/>
      <c r="F2" s="1286"/>
      <c r="G2" s="1287"/>
    </row>
    <row r="3" spans="1:7" ht="15.75">
      <c r="A3" s="1288"/>
      <c r="B3" s="11" t="str">
        <f>VLOOKUP(B4,Outline!$E$8:$G$81,COLUMNS(Outline!$E$8:$G$8),FALSE)</f>
        <v>Workpaper #3</v>
      </c>
      <c r="C3" s="1286"/>
      <c r="D3" s="1286"/>
      <c r="E3" s="1286"/>
      <c r="F3" s="1286"/>
      <c r="G3" s="1287"/>
    </row>
    <row r="4" spans="1:7" ht="16.5" thickBot="1">
      <c r="A4" s="1287"/>
      <c r="B4" s="1289" t="s">
        <v>1751</v>
      </c>
      <c r="C4" s="1289"/>
      <c r="D4" s="1289"/>
      <c r="E4" s="1289"/>
      <c r="F4" s="1289"/>
      <c r="G4" s="1287"/>
    </row>
    <row r="5" spans="1:7" ht="15.75" thickTop="1">
      <c r="A5" s="1287"/>
      <c r="B5" s="1290"/>
      <c r="C5" s="1291"/>
      <c r="D5" s="1291"/>
      <c r="E5" s="1291"/>
      <c r="F5" s="1291"/>
      <c r="G5" s="1291"/>
    </row>
    <row r="6" spans="1:7" ht="15">
      <c r="A6" s="1287"/>
      <c r="B6" s="1292" t="s">
        <v>1752</v>
      </c>
      <c r="C6" s="1293"/>
      <c r="D6" s="1293"/>
      <c r="E6" s="1293"/>
      <c r="F6" s="1294"/>
      <c r="G6" s="1295"/>
    </row>
    <row r="7" spans="1:7" ht="3" customHeight="1">
      <c r="A7" s="1296"/>
      <c r="B7" s="1295"/>
      <c r="C7" s="1295"/>
      <c r="D7" s="1295"/>
      <c r="E7" s="1297"/>
      <c r="F7" s="1297"/>
      <c r="G7" s="1295"/>
    </row>
    <row r="8" spans="1:7" ht="12.75" customHeight="1">
      <c r="A8" s="1296"/>
      <c r="B8" s="1298" t="s">
        <v>1753</v>
      </c>
      <c r="C8" s="1299" t="s">
        <v>1754</v>
      </c>
      <c r="D8" s="1299"/>
      <c r="E8" s="1299"/>
      <c r="F8" s="1300"/>
      <c r="G8" s="1296"/>
    </row>
    <row r="9" spans="1:7" ht="12.75" customHeight="1">
      <c r="A9" s="1296"/>
      <c r="B9" s="1301"/>
      <c r="C9" s="1302" t="s">
        <v>1755</v>
      </c>
      <c r="D9" s="1303" t="s">
        <v>1756</v>
      </c>
      <c r="E9" s="1303" t="s">
        <v>1757</v>
      </c>
      <c r="F9" s="1304" t="s">
        <v>81</v>
      </c>
      <c r="G9" s="1296"/>
    </row>
    <row r="10" spans="1:7" ht="14.25" customHeight="1">
      <c r="A10" s="1296"/>
      <c r="B10" s="1305" t="s">
        <v>1758</v>
      </c>
      <c r="C10" s="1306">
        <v>0.13500000000000001</v>
      </c>
      <c r="D10" s="1306">
        <v>0.13</v>
      </c>
      <c r="E10" s="1306">
        <v>0.13700000000000001</v>
      </c>
      <c r="F10" s="1307">
        <v>0.13600000000000001</v>
      </c>
      <c r="G10" s="1296"/>
    </row>
    <row r="11" spans="1:7" ht="12.75" customHeight="1">
      <c r="A11" s="1296"/>
      <c r="B11" s="1308" t="s">
        <v>1759</v>
      </c>
      <c r="C11" s="1309">
        <v>0.158</v>
      </c>
      <c r="D11" s="1309">
        <v>0.14000000000000001</v>
      </c>
      <c r="E11" s="1309">
        <v>0.16500000000000001</v>
      </c>
      <c r="F11" s="1310">
        <v>0.16</v>
      </c>
      <c r="G11" s="1296"/>
    </row>
    <row r="12" spans="1:7" ht="12.75" customHeight="1">
      <c r="A12" s="1296"/>
      <c r="B12" s="1311" t="s">
        <v>1760</v>
      </c>
      <c r="C12" s="1312">
        <v>0.182</v>
      </c>
      <c r="D12" s="1312">
        <v>0.151</v>
      </c>
      <c r="E12" s="1312">
        <v>0.19700000000000001</v>
      </c>
      <c r="F12" s="1313">
        <v>0.186</v>
      </c>
      <c r="G12" s="1296"/>
    </row>
    <row r="13" spans="1:7" ht="12.75" customHeight="1">
      <c r="A13" s="1296"/>
      <c r="B13" s="1296"/>
      <c r="C13" s="1296"/>
      <c r="D13" s="1296"/>
      <c r="E13" s="1314"/>
      <c r="F13" s="1314"/>
      <c r="G13" s="1296"/>
    </row>
    <row r="14" spans="1:7" ht="12.75" customHeight="1">
      <c r="A14" s="1296"/>
      <c r="B14" s="1296"/>
      <c r="C14" s="1296"/>
      <c r="D14" s="1296"/>
      <c r="E14" s="1314"/>
      <c r="F14" s="1314"/>
      <c r="G14" s="1296"/>
    </row>
    <row r="15" spans="1:7" ht="12.75" customHeight="1">
      <c r="A15" s="1296"/>
      <c r="B15" s="1296"/>
      <c r="C15" s="1296"/>
      <c r="D15" s="1296"/>
      <c r="E15" s="1314"/>
      <c r="F15" s="1314"/>
      <c r="G15" s="1296"/>
    </row>
    <row r="16" spans="1:7" ht="12.75" customHeight="1">
      <c r="A16" s="1296"/>
      <c r="B16" s="1296"/>
      <c r="C16" s="1296"/>
      <c r="D16" s="1296"/>
      <c r="E16" s="1314"/>
      <c r="F16" s="1314"/>
      <c r="G16" s="1296"/>
    </row>
    <row r="17" spans="1:7" ht="12.75" customHeight="1">
      <c r="A17" s="1296"/>
      <c r="B17" s="1296"/>
      <c r="C17" s="1296"/>
      <c r="D17" s="1296"/>
      <c r="E17" s="1314"/>
      <c r="F17" s="1314"/>
      <c r="G17" s="1296"/>
    </row>
    <row r="18" spans="1:7" ht="12.75" customHeight="1">
      <c r="A18" s="1296"/>
      <c r="B18" s="1296"/>
      <c r="C18" s="1296"/>
      <c r="D18" s="1296"/>
      <c r="E18" s="1314"/>
      <c r="F18" s="1314"/>
      <c r="G18" s="1296"/>
    </row>
    <row r="19" spans="1:7" ht="12.75" customHeight="1">
      <c r="A19" s="1296"/>
      <c r="B19" s="1296"/>
      <c r="C19" s="1296"/>
      <c r="D19" s="1296"/>
      <c r="E19" s="1314"/>
      <c r="F19" s="1314"/>
      <c r="G19" s="1296"/>
    </row>
    <row r="20" spans="1:7" ht="12.75" customHeight="1">
      <c r="A20" s="1296"/>
      <c r="B20" s="1296"/>
      <c r="C20" s="1296"/>
      <c r="D20" s="1296"/>
      <c r="E20" s="1314"/>
      <c r="F20" s="1314"/>
      <c r="G20" s="1296"/>
    </row>
    <row r="21" spans="1:7" ht="12.75" customHeight="1">
      <c r="A21" s="1296"/>
      <c r="B21" s="1296"/>
      <c r="C21" s="1296"/>
      <c r="D21" s="1296"/>
      <c r="E21" s="1314"/>
      <c r="F21" s="1314"/>
      <c r="G21" s="1296"/>
    </row>
    <row r="22" spans="1:7" ht="12.75" customHeight="1">
      <c r="A22" s="1296"/>
      <c r="B22" s="1296"/>
      <c r="C22" s="1296"/>
      <c r="D22" s="1296"/>
      <c r="E22" s="1314"/>
      <c r="F22" s="1314"/>
      <c r="G22" s="1296"/>
    </row>
    <row r="23" spans="1:7" ht="12.75" customHeight="1">
      <c r="A23" s="1296"/>
      <c r="B23" s="1296"/>
      <c r="C23" s="1296"/>
      <c r="D23" s="1296"/>
      <c r="E23" s="1314"/>
      <c r="F23" s="1314"/>
      <c r="G23" s="1296"/>
    </row>
    <row r="24" spans="1:7" ht="12.75" customHeight="1">
      <c r="A24" s="1296"/>
      <c r="B24" s="1296"/>
      <c r="C24" s="1296"/>
      <c r="D24" s="1296"/>
      <c r="E24" s="1314"/>
      <c r="F24" s="1314"/>
      <c r="G24" s="1296"/>
    </row>
    <row r="25" spans="1:7" ht="12.75" customHeight="1">
      <c r="A25" s="1296"/>
      <c r="B25" s="1296"/>
      <c r="C25" s="1296"/>
      <c r="D25" s="1296"/>
      <c r="E25" s="1314"/>
      <c r="F25" s="1314"/>
      <c r="G25" s="1296"/>
    </row>
    <row r="26" spans="1:7" ht="12.75" customHeight="1">
      <c r="A26" s="1296"/>
      <c r="B26" s="1296"/>
      <c r="C26" s="1296"/>
      <c r="D26" s="1296"/>
      <c r="E26" s="1314"/>
      <c r="F26" s="1314"/>
      <c r="G26" s="1296"/>
    </row>
    <row r="27" spans="1:7" ht="12.75" customHeight="1">
      <c r="A27" s="1296"/>
      <c r="B27" s="1296"/>
      <c r="C27" s="1296"/>
      <c r="D27" s="1296"/>
      <c r="E27" s="1314"/>
      <c r="F27" s="1314"/>
      <c r="G27" s="1296"/>
    </row>
    <row r="28" spans="1:7" ht="12.75" customHeight="1">
      <c r="A28" s="1296"/>
      <c r="B28" s="1296"/>
      <c r="C28" s="1296"/>
      <c r="D28" s="1296"/>
      <c r="E28" s="1314"/>
      <c r="F28" s="1314"/>
      <c r="G28" s="1296"/>
    </row>
    <row r="29" spans="1:7" ht="6" customHeight="1">
      <c r="A29" s="1296"/>
      <c r="B29" s="1296"/>
      <c r="C29" s="1296"/>
      <c r="D29" s="1296"/>
      <c r="E29" s="1314"/>
      <c r="F29" s="1314"/>
      <c r="G29" s="1296"/>
    </row>
    <row r="30" spans="1:7" ht="12.75" customHeight="1">
      <c r="A30" s="1296"/>
      <c r="B30" s="1315" t="s">
        <v>1761</v>
      </c>
      <c r="C30" s="1316"/>
      <c r="D30" s="1316"/>
      <c r="E30" s="1316"/>
      <c r="F30" s="1317"/>
      <c r="G30" s="1296"/>
    </row>
    <row r="31" spans="1:7" ht="3" customHeight="1">
      <c r="A31" s="1296"/>
      <c r="B31" s="1296"/>
      <c r="C31" s="1296"/>
      <c r="D31" s="1296"/>
      <c r="E31" s="1314"/>
      <c r="F31" s="1314"/>
      <c r="G31" s="1296"/>
    </row>
    <row r="32" spans="1:7" ht="12.75" customHeight="1">
      <c r="A32" s="1296"/>
      <c r="B32" s="1318" t="s">
        <v>1753</v>
      </c>
      <c r="C32" s="1319" t="s">
        <v>278</v>
      </c>
      <c r="D32" s="1296"/>
      <c r="E32" s="1314"/>
      <c r="F32" s="1314"/>
      <c r="G32" s="1296"/>
    </row>
    <row r="33" spans="1:7" ht="12.75" customHeight="1">
      <c r="A33" s="1296"/>
      <c r="B33" s="1305" t="s">
        <v>1760</v>
      </c>
      <c r="C33" s="1307" t="s">
        <v>1762</v>
      </c>
      <c r="D33" s="1296"/>
      <c r="E33" s="1314"/>
      <c r="F33" s="1314"/>
      <c r="G33" s="1296"/>
    </row>
    <row r="34" spans="1:7" ht="12.75" customHeight="1">
      <c r="A34" s="1296"/>
      <c r="B34" s="1308" t="s">
        <v>1759</v>
      </c>
      <c r="C34" s="1310" t="s">
        <v>1763</v>
      </c>
      <c r="D34" s="1296"/>
      <c r="E34" s="1314"/>
      <c r="F34" s="1314"/>
      <c r="G34" s="1296"/>
    </row>
    <row r="35" spans="1:7" ht="12.75" customHeight="1">
      <c r="A35" s="1296"/>
      <c r="B35" s="1311" t="s">
        <v>1758</v>
      </c>
      <c r="C35" s="1313" t="s">
        <v>1764</v>
      </c>
      <c r="D35" s="1296"/>
      <c r="E35" s="1314"/>
      <c r="F35" s="1314"/>
      <c r="G35" s="1296"/>
    </row>
    <row r="36" spans="1:7" ht="12.75" customHeight="1">
      <c r="A36" s="1296"/>
      <c r="B36" s="1297"/>
      <c r="C36" s="1309"/>
      <c r="D36" s="1296"/>
      <c r="E36" s="1314"/>
      <c r="F36" s="1314"/>
      <c r="G36" s="1296"/>
    </row>
    <row r="37" spans="1:7" ht="12.75" customHeight="1">
      <c r="A37" s="1296"/>
      <c r="B37" s="1297"/>
      <c r="C37" s="1309"/>
      <c r="D37" s="1296"/>
      <c r="E37" s="1314"/>
      <c r="F37" s="1314"/>
      <c r="G37" s="1296"/>
    </row>
    <row r="38" spans="1:7" ht="12.75" customHeight="1">
      <c r="A38" s="1238"/>
      <c r="B38" s="1320" t="s">
        <v>16</v>
      </c>
      <c r="C38" s="1238"/>
      <c r="D38" s="1238"/>
      <c r="E38" s="1238"/>
      <c r="F38" s="1238"/>
      <c r="G38" s="1238"/>
    </row>
    <row r="39" spans="1:7" ht="12.75" customHeight="1">
      <c r="A39" s="1321" t="s">
        <v>128</v>
      </c>
      <c r="B39" s="1322" t="s">
        <v>1765</v>
      </c>
      <c r="C39" s="1323"/>
      <c r="D39" s="1323"/>
      <c r="E39" s="1323"/>
      <c r="F39" s="1323"/>
      <c r="G39" s="1323"/>
    </row>
    <row r="40" spans="1:7" ht="12.75" customHeight="1">
      <c r="A40" s="1321" t="s">
        <v>127</v>
      </c>
      <c r="B40" s="1322" t="s">
        <v>1766</v>
      </c>
      <c r="C40" s="1323"/>
      <c r="D40" s="1323"/>
      <c r="E40" s="1323"/>
      <c r="F40" s="1323"/>
      <c r="G40" s="1323"/>
    </row>
    <row r="41" spans="1:7" ht="12.75" customHeight="1">
      <c r="A41" s="1324"/>
      <c r="B41" s="2627"/>
      <c r="C41" s="2627"/>
      <c r="D41" s="2627"/>
      <c r="E41" s="2627"/>
      <c r="F41" s="2627"/>
      <c r="G41" s="1325"/>
    </row>
    <row r="42" spans="1:7" ht="12.75" customHeight="1">
      <c r="A42" s="1296"/>
      <c r="B42" s="1296"/>
      <c r="C42" s="1296"/>
      <c r="D42" s="1296"/>
      <c r="E42" s="1314"/>
      <c r="F42" s="1314"/>
      <c r="G42" s="1296"/>
    </row>
  </sheetData>
  <mergeCells count="1">
    <mergeCell ref="B41:F41"/>
  </mergeCells>
  <conditionalFormatting sqref="F13:F28 F42 F31:F37">
    <cfRule type="expression" dxfId="47" priority="1">
      <formula>#REF!&lt;&gt;F13</formula>
    </cfRule>
  </conditionalFormatting>
  <pageMargins left="0.5" right="0.5" top="0.5" bottom="0.5" header="0.5" footer="0.5"/>
  <pageSetup orientation="landscape" r:id="rId1"/>
  <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D80"/>
  <sheetViews>
    <sheetView showGridLines="0" view="pageBreakPreview" topLeftCell="A16" zoomScale="85" zoomScaleNormal="100" zoomScaleSheetLayoutView="85" workbookViewId="0">
      <selection activeCell="H28" sqref="H28"/>
    </sheetView>
  </sheetViews>
  <sheetFormatPr defaultRowHeight="12.75"/>
  <cols>
    <col min="1" max="1" width="4.5" style="310" customWidth="1"/>
    <col min="2" max="2" width="46" style="310" customWidth="1"/>
    <col min="3" max="3" width="2.83203125" style="310" customWidth="1"/>
    <col min="4" max="4" width="25.83203125" style="310" customWidth="1"/>
    <col min="5" max="5" width="2.83203125" style="310" customWidth="1"/>
    <col min="6" max="6" width="25.83203125" style="310" customWidth="1"/>
    <col min="7" max="7" width="2.83203125" style="310" customWidth="1"/>
    <col min="8" max="8" width="25.83203125" style="310" customWidth="1"/>
    <col min="9" max="9" width="2.83203125" style="310" customWidth="1"/>
    <col min="10" max="10" width="15.83203125" style="310" customWidth="1"/>
    <col min="11" max="11" width="4.5" style="310" customWidth="1"/>
    <col min="12" max="12" width="17.83203125" style="310" bestFit="1" customWidth="1"/>
    <col min="13" max="13" width="46" style="310" customWidth="1"/>
    <col min="14" max="14" width="9.33203125" style="310"/>
    <col min="15" max="15" width="12" style="310" customWidth="1"/>
    <col min="16" max="16" width="9.33203125" style="310"/>
    <col min="17" max="17" width="13.83203125" style="310" customWidth="1"/>
    <col min="18" max="16384" width="9.33203125" style="310"/>
  </cols>
  <sheetData>
    <row r="1" spans="1:16" s="32" customFormat="1" ht="10.7" customHeight="1" thickBot="1">
      <c r="K1" s="310"/>
      <c r="L1" s="310"/>
      <c r="M1" s="310"/>
      <c r="N1" s="310"/>
      <c r="O1" s="310"/>
      <c r="P1" s="310"/>
    </row>
    <row r="2" spans="1:16" ht="16.5" customHeight="1" thickTop="1">
      <c r="A2" s="32"/>
      <c r="B2" s="10" t="str">
        <f>'MASTER PubCo Inputs'!$C$5</f>
        <v>Hua Medicine</v>
      </c>
      <c r="C2" s="10"/>
      <c r="D2" s="10"/>
      <c r="E2" s="10"/>
      <c r="F2" s="10"/>
      <c r="G2" s="10"/>
      <c r="H2" s="10"/>
      <c r="I2" s="10"/>
      <c r="J2" s="10"/>
    </row>
    <row r="3" spans="1:16" ht="15.75" customHeight="1">
      <c r="A3" s="32"/>
      <c r="B3" s="11" t="str">
        <f>VLOOKUP(B4,Outline!$E$8:$G$81,COLUMNS(Outline!$E$8:$G$8),FALSE)</f>
        <v>Workpaper #4</v>
      </c>
      <c r="C3" s="11"/>
      <c r="D3" s="11"/>
      <c r="E3" s="11"/>
      <c r="F3" s="11"/>
      <c r="G3" s="11"/>
      <c r="H3" s="11"/>
      <c r="I3" s="11"/>
      <c r="J3" s="11"/>
    </row>
    <row r="4" spans="1:16" ht="16.5" customHeight="1" thickBot="1">
      <c r="A4" s="32"/>
      <c r="B4" s="12" t="s">
        <v>2614</v>
      </c>
      <c r="C4" s="12"/>
      <c r="D4" s="12"/>
      <c r="E4" s="12"/>
      <c r="F4" s="12"/>
      <c r="G4" s="12"/>
      <c r="H4" s="12"/>
      <c r="I4" s="13"/>
      <c r="J4" s="13"/>
    </row>
    <row r="5" spans="1:16" s="16" customFormat="1" ht="12" customHeight="1" thickTop="1">
      <c r="B5" s="310"/>
      <c r="C5" s="310"/>
      <c r="D5" s="310"/>
      <c r="E5" s="310"/>
      <c r="F5" s="310"/>
      <c r="G5" s="310"/>
      <c r="H5" s="310"/>
      <c r="I5" s="310"/>
      <c r="J5" s="310"/>
      <c r="K5" s="310"/>
    </row>
    <row r="6" spans="1:16" ht="12.75" customHeight="1"/>
    <row r="7" spans="1:16" s="6" customFormat="1" ht="25.5" customHeight="1">
      <c r="B7" s="1569" t="s">
        <v>2613</v>
      </c>
      <c r="C7" s="310"/>
      <c r="D7" s="1568" t="s">
        <v>2612</v>
      </c>
      <c r="E7" s="1567"/>
      <c r="F7" s="1567" t="s">
        <v>2611</v>
      </c>
      <c r="G7" s="1567"/>
      <c r="H7" s="1566" t="s">
        <v>2610</v>
      </c>
      <c r="I7" s="310"/>
      <c r="J7" s="1565" t="s">
        <v>4</v>
      </c>
      <c r="L7" s="1564" t="s">
        <v>17</v>
      </c>
      <c r="M7" s="1563">
        <f>'MASTER PubCo Inputs'!$C$6</f>
        <v>43281</v>
      </c>
    </row>
    <row r="8" spans="1:16" ht="12.75" customHeight="1">
      <c r="F8" s="20"/>
    </row>
    <row r="9" spans="1:16" ht="12.75" customHeight="1">
      <c r="B9" s="17" t="s">
        <v>25</v>
      </c>
      <c r="D9" s="317">
        <f>H21</f>
        <v>3.6299999999999999E-2</v>
      </c>
      <c r="E9" s="18"/>
      <c r="F9" s="317">
        <f>1-F10</f>
        <v>2.8562538087667289E-2</v>
      </c>
      <c r="G9" s="18"/>
      <c r="H9" s="317">
        <f>F9*D9</f>
        <v>1.0368201325823224E-3</v>
      </c>
      <c r="J9" s="3"/>
    </row>
    <row r="10" spans="1:16" ht="12.75" customHeight="1">
      <c r="B10" s="17" t="s">
        <v>2609</v>
      </c>
      <c r="D10" s="317">
        <f>H34</f>
        <v>0.20034845269988466</v>
      </c>
      <c r="E10" s="18"/>
      <c r="F10" s="1562">
        <f>'Beta Calc'!W58</f>
        <v>0.97143746191233271</v>
      </c>
      <c r="G10" s="18"/>
      <c r="H10" s="317">
        <f>F10*D10</f>
        <v>0.19462599238883899</v>
      </c>
      <c r="J10" s="3" t="s">
        <v>128</v>
      </c>
    </row>
    <row r="11" spans="1:16" ht="12.75" customHeight="1">
      <c r="B11" s="5"/>
      <c r="C11" s="5"/>
      <c r="D11" s="1557"/>
      <c r="E11" s="1557"/>
      <c r="F11" s="1557"/>
      <c r="G11" s="1557"/>
      <c r="H11" s="1557"/>
    </row>
    <row r="12" spans="1:16" ht="12.75" customHeight="1">
      <c r="B12" s="1548" t="s">
        <v>2608</v>
      </c>
      <c r="C12" s="1548"/>
      <c r="D12" s="1561"/>
      <c r="E12" s="1561"/>
      <c r="F12" s="1561"/>
      <c r="G12" s="1561"/>
      <c r="H12" s="1546">
        <f>SUM(H9:H10)</f>
        <v>0.19566281252142131</v>
      </c>
    </row>
    <row r="13" spans="1:16" ht="12.75" customHeight="1"/>
    <row r="14" spans="1:16" ht="12.75" customHeight="1">
      <c r="B14" s="1560" t="s">
        <v>143</v>
      </c>
      <c r="C14" s="1559"/>
      <c r="D14" s="1559"/>
      <c r="E14" s="1559"/>
      <c r="F14" s="1559"/>
      <c r="G14" s="1559"/>
      <c r="H14" s="1876">
        <f>MROUND(H12,0.5%)</f>
        <v>0.19500000000000001</v>
      </c>
      <c r="J14" s="316"/>
    </row>
    <row r="15" spans="1:16" ht="12.75" customHeight="1"/>
    <row r="16" spans="1:16" s="20" customFormat="1" ht="12.75" customHeight="1">
      <c r="B16" s="1556" t="s">
        <v>2607</v>
      </c>
      <c r="C16" s="1555"/>
      <c r="D16" s="1555"/>
      <c r="E16" s="1555"/>
      <c r="F16" s="1555"/>
      <c r="G16" s="1555"/>
      <c r="H16" s="1554"/>
    </row>
    <row r="17" spans="2:13" ht="12.75" customHeight="1"/>
    <row r="18" spans="2:13" ht="12.75" customHeight="1">
      <c r="B18" s="310" t="s">
        <v>2606</v>
      </c>
      <c r="H18" s="41">
        <f>M18</f>
        <v>4.8399999999999999E-2</v>
      </c>
      <c r="J18" s="1549" t="s">
        <v>127</v>
      </c>
      <c r="L18" s="310" t="s">
        <v>2605</v>
      </c>
      <c r="M18" s="18">
        <f>'Capital IQ Sheet-GPC'!C71</f>
        <v>4.8399999999999999E-2</v>
      </c>
    </row>
    <row r="19" spans="2:13" ht="12.75" customHeight="1">
      <c r="B19" s="310" t="s">
        <v>2604</v>
      </c>
      <c r="H19" s="1558">
        <f>'rNPV Analysis'!C30</f>
        <v>0.25</v>
      </c>
      <c r="J19" s="242" t="str">
        <f>'rNPV Analysis'!B3</f>
        <v>Workpaper #1</v>
      </c>
    </row>
    <row r="20" spans="2:13" ht="12.75" customHeight="1">
      <c r="B20" s="5"/>
      <c r="C20" s="5"/>
      <c r="D20" s="5"/>
      <c r="E20" s="5"/>
      <c r="F20" s="5"/>
      <c r="G20" s="5"/>
      <c r="H20" s="1557"/>
    </row>
    <row r="21" spans="2:13" ht="12.75" customHeight="1">
      <c r="B21" s="1548" t="s">
        <v>2603</v>
      </c>
      <c r="C21" s="1547"/>
      <c r="D21" s="1547"/>
      <c r="E21" s="1547"/>
      <c r="F21" s="1547"/>
      <c r="G21" s="1547"/>
      <c r="H21" s="1546">
        <f>H18*(1-H19)</f>
        <v>3.6299999999999999E-2</v>
      </c>
    </row>
    <row r="22" spans="2:13" ht="12.75" customHeight="1"/>
    <row r="23" spans="2:13" ht="12.75" customHeight="1">
      <c r="B23" s="1556" t="s">
        <v>2602</v>
      </c>
      <c r="C23" s="1555"/>
      <c r="D23" s="1555"/>
      <c r="E23" s="1555"/>
      <c r="F23" s="1555"/>
      <c r="G23" s="1555"/>
      <c r="H23" s="1554"/>
    </row>
    <row r="24" spans="2:13" ht="12.75" customHeight="1"/>
    <row r="25" spans="2:13" ht="12.75" customHeight="1">
      <c r="B25" s="310" t="s">
        <v>2601</v>
      </c>
      <c r="D25" s="20"/>
      <c r="E25" s="20"/>
      <c r="F25" s="20"/>
      <c r="H25" s="1553">
        <f>AVERAGE('Beta Calc'!I58:I59)</f>
        <v>1.0828829885976456</v>
      </c>
      <c r="J25" s="316" t="str">
        <f>'Beta Calc'!$B$3</f>
        <v>Workpaper #5</v>
      </c>
      <c r="L25" s="310" t="s">
        <v>2600</v>
      </c>
    </row>
    <row r="26" spans="2:13" ht="12.75" customHeight="1">
      <c r="B26" s="310" t="s">
        <v>2599</v>
      </c>
      <c r="F26" s="21" t="s">
        <v>2598</v>
      </c>
      <c r="H26" s="1552">
        <f>H25*(1+(1-H19)*(F9)/F10)</f>
        <v>1.1067624619186198</v>
      </c>
      <c r="J26" s="1549" t="s">
        <v>144</v>
      </c>
    </row>
    <row r="27" spans="2:13" ht="12.75" customHeight="1">
      <c r="B27" s="310" t="s">
        <v>2597</v>
      </c>
      <c r="F27" s="21" t="s">
        <v>2596</v>
      </c>
      <c r="H27" s="1613">
        <f>H67</f>
        <v>6.0400000000000002E-2</v>
      </c>
      <c r="J27" s="1549" t="s">
        <v>145</v>
      </c>
    </row>
    <row r="28" spans="2:13" ht="12.75" customHeight="1">
      <c r="F28" s="21"/>
      <c r="H28" s="1551"/>
      <c r="J28" s="20"/>
    </row>
    <row r="29" spans="2:13" ht="12.75" customHeight="1">
      <c r="B29" s="310" t="s">
        <v>2595</v>
      </c>
      <c r="F29" s="21" t="s">
        <v>2594</v>
      </c>
      <c r="H29" s="149">
        <f>H26*H27</f>
        <v>6.6848452699884639E-2</v>
      </c>
    </row>
    <row r="30" spans="2:13" ht="12.75" customHeight="1">
      <c r="B30" s="310" t="s">
        <v>6</v>
      </c>
      <c r="H30" s="1550">
        <f>'Risk-Free Rates'!$E$18</f>
        <v>2.98E-2</v>
      </c>
      <c r="J30" s="242" t="str">
        <f>'Risk-Free Rates'!$B$3</f>
        <v>Exhibit H.6</v>
      </c>
    </row>
    <row r="31" spans="2:13" ht="12.75" customHeight="1">
      <c r="B31" s="310" t="s">
        <v>2593</v>
      </c>
      <c r="H31" s="1613">
        <f>H61</f>
        <v>5.3699999999999998E-2</v>
      </c>
      <c r="J31" s="1549" t="s">
        <v>146</v>
      </c>
    </row>
    <row r="32" spans="2:13" ht="12.75" customHeight="1">
      <c r="B32" s="310" t="s">
        <v>2592</v>
      </c>
      <c r="H32" s="1613">
        <v>0.05</v>
      </c>
      <c r="J32" s="1549"/>
    </row>
    <row r="33" spans="1:30" ht="12.75" customHeight="1">
      <c r="B33" s="5"/>
      <c r="C33" s="5"/>
      <c r="D33" s="5"/>
      <c r="E33" s="5"/>
      <c r="F33" s="5"/>
      <c r="G33" s="5"/>
      <c r="H33" s="5"/>
    </row>
    <row r="34" spans="1:30" ht="12.75" customHeight="1">
      <c r="B34" s="1548" t="s">
        <v>2591</v>
      </c>
      <c r="C34" s="1547"/>
      <c r="D34" s="1547"/>
      <c r="E34" s="1547"/>
      <c r="F34" s="1547"/>
      <c r="G34" s="1547"/>
      <c r="H34" s="1546">
        <f>SUM(H29:H32)</f>
        <v>0.20034845269988466</v>
      </c>
    </row>
    <row r="35" spans="1:30" ht="12.75" customHeight="1"/>
    <row r="36" spans="1:30" ht="12.75" customHeight="1">
      <c r="B36" s="8" t="s">
        <v>16</v>
      </c>
    </row>
    <row r="37" spans="1:30" ht="12.75" customHeight="1">
      <c r="A37" s="592" t="s">
        <v>128</v>
      </c>
      <c r="B37" s="593" t="s">
        <v>2631</v>
      </c>
    </row>
    <row r="38" spans="1:30" ht="12.75" customHeight="1">
      <c r="A38" s="592" t="s">
        <v>127</v>
      </c>
      <c r="B38" s="593" t="s">
        <v>2590</v>
      </c>
    </row>
    <row r="39" spans="1:30" ht="12.75" customHeight="1">
      <c r="A39" s="592" t="s">
        <v>144</v>
      </c>
      <c r="B39" s="593" t="s">
        <v>2589</v>
      </c>
    </row>
    <row r="40" spans="1:30" ht="12.75" customHeight="1">
      <c r="A40" s="592" t="s">
        <v>145</v>
      </c>
      <c r="B40" s="593" t="s">
        <v>3243</v>
      </c>
    </row>
    <row r="41" spans="1:30" ht="12.75" customHeight="1">
      <c r="A41" s="592" t="s">
        <v>146</v>
      </c>
      <c r="B41" s="593" t="s">
        <v>3244</v>
      </c>
    </row>
    <row r="42" spans="1:30" ht="12.75" customHeight="1">
      <c r="A42" s="592" t="s">
        <v>161</v>
      </c>
      <c r="B42" s="1545" t="s">
        <v>2588</v>
      </c>
    </row>
    <row r="43" spans="1:30" ht="12.75" customHeight="1">
      <c r="A43" s="592" t="s">
        <v>162</v>
      </c>
      <c r="B43" s="593" t="s">
        <v>2587</v>
      </c>
    </row>
    <row r="44" spans="1:30" ht="12.75" customHeight="1">
      <c r="A44" s="592"/>
      <c r="B44" s="22"/>
    </row>
    <row r="45" spans="1:30" ht="12.75" customHeight="1">
      <c r="A45" s="587"/>
    </row>
    <row r="46" spans="1:30">
      <c r="A46" s="1544" t="s">
        <v>3242</v>
      </c>
      <c r="B46" s="1543"/>
      <c r="C46" s="1541"/>
      <c r="D46" s="1542" t="s">
        <v>2584</v>
      </c>
      <c r="E46" s="1541"/>
      <c r="F46" s="1542" t="s">
        <v>2583</v>
      </c>
      <c r="G46" s="1541"/>
      <c r="H46" s="1540" t="s">
        <v>2582</v>
      </c>
      <c r="L46" s="1544" t="s">
        <v>2586</v>
      </c>
      <c r="M46" s="1543"/>
      <c r="N46" s="1541"/>
      <c r="O46" s="1542" t="s">
        <v>2584</v>
      </c>
      <c r="P46" s="1541"/>
      <c r="Q46" s="1542" t="s">
        <v>2583</v>
      </c>
      <c r="R46" s="1541"/>
      <c r="S46" s="1540" t="s">
        <v>2582</v>
      </c>
      <c r="W46" s="1544" t="s">
        <v>2585</v>
      </c>
      <c r="X46" s="1543"/>
      <c r="Y46" s="1541"/>
      <c r="Z46" s="1542" t="s">
        <v>2584</v>
      </c>
      <c r="AA46" s="1541"/>
      <c r="AB46" s="1542" t="s">
        <v>2583</v>
      </c>
      <c r="AC46" s="1541"/>
      <c r="AD46" s="1540" t="s">
        <v>2582</v>
      </c>
    </row>
    <row r="47" spans="1:30">
      <c r="A47" s="1538" t="s">
        <v>2581</v>
      </c>
      <c r="B47" s="1537"/>
      <c r="C47" s="16"/>
      <c r="D47" s="1536">
        <v>2763.7190000000001</v>
      </c>
      <c r="E47" s="16"/>
      <c r="F47" s="1536">
        <v>11978.971</v>
      </c>
      <c r="G47" s="16"/>
      <c r="H47" s="1535">
        <v>9.5999999999999992E-3</v>
      </c>
      <c r="L47" s="1538" t="s">
        <v>2581</v>
      </c>
      <c r="M47" s="1537"/>
      <c r="N47" s="16"/>
      <c r="O47" s="1536">
        <v>2392.6889999999999</v>
      </c>
      <c r="P47" s="16"/>
      <c r="Q47" s="1536">
        <v>10711.194</v>
      </c>
      <c r="R47" s="16"/>
      <c r="S47" s="1535">
        <v>1.0200000000000001E-2</v>
      </c>
      <c r="W47" s="1538" t="s">
        <v>2581</v>
      </c>
      <c r="X47" s="1537"/>
      <c r="Y47" s="16"/>
      <c r="Z47" s="1536">
        <v>2090.5659999999998</v>
      </c>
      <c r="AA47" s="16"/>
      <c r="AB47" s="1536">
        <v>9611.1869999999999</v>
      </c>
      <c r="AC47" s="16"/>
      <c r="AD47" s="1535">
        <v>0.01</v>
      </c>
    </row>
    <row r="48" spans="1:30">
      <c r="A48" s="1538" t="s">
        <v>2580</v>
      </c>
      <c r="B48" s="1537"/>
      <c r="C48" s="16"/>
      <c r="D48" s="1536">
        <v>657.70500000000004</v>
      </c>
      <c r="E48" s="16"/>
      <c r="F48" s="1536">
        <v>2759.9389999999999</v>
      </c>
      <c r="G48" s="16"/>
      <c r="H48" s="1535">
        <v>1.6400000000000001E-2</v>
      </c>
      <c r="L48" s="1538" t="s">
        <v>2580</v>
      </c>
      <c r="M48" s="1537"/>
      <c r="N48" s="16"/>
      <c r="O48" s="1536">
        <v>569.279</v>
      </c>
      <c r="P48" s="16"/>
      <c r="Q48" s="1536">
        <v>2390.8989999999999</v>
      </c>
      <c r="R48" s="16"/>
      <c r="S48" s="1535">
        <v>1.7500000000000002E-2</v>
      </c>
      <c r="W48" s="1538" t="s">
        <v>2580</v>
      </c>
      <c r="X48" s="1537"/>
      <c r="Y48" s="16"/>
      <c r="Z48" s="1536">
        <v>448.50200000000001</v>
      </c>
      <c r="AA48" s="16"/>
      <c r="AB48" s="1536">
        <v>2083.6019999999999</v>
      </c>
      <c r="AC48" s="16"/>
      <c r="AD48" s="1535">
        <v>1.7000000000000001E-2</v>
      </c>
    </row>
    <row r="49" spans="1:30">
      <c r="A49" s="1538" t="s">
        <v>2579</v>
      </c>
      <c r="B49" s="1537"/>
      <c r="C49" s="16"/>
      <c r="D49" s="1536">
        <v>2.5310000000000001</v>
      </c>
      <c r="E49" s="16"/>
      <c r="F49" s="1536">
        <v>656.84500000000003</v>
      </c>
      <c r="G49" s="16"/>
      <c r="H49" s="1535">
        <v>3.4799999999999998E-2</v>
      </c>
      <c r="L49" s="1538" t="s">
        <v>2579</v>
      </c>
      <c r="M49" s="1537"/>
      <c r="N49" s="16"/>
      <c r="O49" s="1536">
        <v>2.516</v>
      </c>
      <c r="P49" s="16"/>
      <c r="Q49" s="1536">
        <v>567.84299999999996</v>
      </c>
      <c r="R49" s="16"/>
      <c r="S49" s="1535">
        <v>3.6700000000000003E-2</v>
      </c>
      <c r="W49" s="1538" t="s">
        <v>2579</v>
      </c>
      <c r="X49" s="1537"/>
      <c r="Y49" s="16"/>
      <c r="Z49" s="1536">
        <v>1.9630000000000001</v>
      </c>
      <c r="AA49" s="16"/>
      <c r="AB49" s="1536">
        <v>448.07900000000001</v>
      </c>
      <c r="AC49" s="16"/>
      <c r="AD49" s="1535">
        <v>3.5799999999999998E-2</v>
      </c>
    </row>
    <row r="50" spans="1:30">
      <c r="A50" s="1538"/>
      <c r="B50" s="1537"/>
      <c r="C50" s="16"/>
      <c r="D50" s="1537"/>
      <c r="E50" s="16"/>
      <c r="F50" s="1537"/>
      <c r="G50" s="16"/>
      <c r="H50" s="1539"/>
      <c r="L50" s="1538"/>
      <c r="M50" s="1537"/>
      <c r="N50" s="16"/>
      <c r="O50" s="1537"/>
      <c r="P50" s="16"/>
      <c r="Q50" s="1537"/>
      <c r="R50" s="16"/>
      <c r="S50" s="1539"/>
      <c r="W50" s="1538"/>
      <c r="X50" s="1537"/>
      <c r="Y50" s="16"/>
      <c r="Z50" s="1537"/>
      <c r="AA50" s="16"/>
      <c r="AB50" s="1537"/>
      <c r="AC50" s="16"/>
      <c r="AD50" s="1539"/>
    </row>
    <row r="51" spans="1:30">
      <c r="A51" s="1538" t="s">
        <v>2578</v>
      </c>
      <c r="B51" s="1537"/>
      <c r="C51" s="16"/>
      <c r="D51" s="1537"/>
      <c r="E51" s="16"/>
      <c r="F51" s="1537"/>
      <c r="G51" s="16"/>
      <c r="H51" s="1539"/>
      <c r="L51" s="1538" t="s">
        <v>2578</v>
      </c>
      <c r="M51" s="1537"/>
      <c r="N51" s="16"/>
      <c r="O51" s="1537"/>
      <c r="P51" s="16"/>
      <c r="Q51" s="1537"/>
      <c r="R51" s="16"/>
      <c r="S51" s="1539"/>
      <c r="W51" s="1538" t="s">
        <v>2578</v>
      </c>
      <c r="X51" s="1537"/>
      <c r="Y51" s="16"/>
      <c r="Z51" s="1537"/>
      <c r="AA51" s="16"/>
      <c r="AB51" s="1537"/>
      <c r="AC51" s="16"/>
      <c r="AD51" s="1539"/>
    </row>
    <row r="52" spans="1:30">
      <c r="A52" s="1538" t="s">
        <v>2577</v>
      </c>
      <c r="B52" s="1537"/>
      <c r="C52" s="16"/>
      <c r="D52" s="1536">
        <v>25142.833999999999</v>
      </c>
      <c r="E52" s="16"/>
      <c r="F52" s="1536">
        <v>790050.07299999997</v>
      </c>
      <c r="G52" s="16"/>
      <c r="H52" s="1535">
        <v>0</v>
      </c>
      <c r="L52" s="1538" t="s">
        <v>2577</v>
      </c>
      <c r="M52" s="1537"/>
      <c r="N52" s="16"/>
      <c r="O52" s="1536">
        <v>24361.659</v>
      </c>
      <c r="P52" s="16"/>
      <c r="Q52" s="1536">
        <v>609163.49800000002</v>
      </c>
      <c r="R52" s="16"/>
      <c r="S52" s="1535">
        <v>-3.5000000000000001E-3</v>
      </c>
      <c r="W52" s="1538" t="s">
        <v>2577</v>
      </c>
      <c r="X52" s="1537"/>
      <c r="Y52" s="16"/>
      <c r="Z52" s="1536">
        <v>22035.312999999998</v>
      </c>
      <c r="AA52" s="16"/>
      <c r="AB52" s="1536">
        <v>629010.25399999996</v>
      </c>
      <c r="AC52" s="16"/>
      <c r="AD52" s="1535">
        <v>-3.5999999999999999E-3</v>
      </c>
    </row>
    <row r="53" spans="1:30">
      <c r="A53" s="1538">
        <v>2</v>
      </c>
      <c r="B53" s="1537"/>
      <c r="C53" s="16"/>
      <c r="D53" s="1536">
        <v>12067.589</v>
      </c>
      <c r="E53" s="16"/>
      <c r="F53" s="1536">
        <v>25096.258000000002</v>
      </c>
      <c r="G53" s="16"/>
      <c r="H53" s="1535">
        <v>5.5999999999999999E-3</v>
      </c>
      <c r="L53" s="1538">
        <v>2</v>
      </c>
      <c r="M53" s="1537"/>
      <c r="N53" s="16"/>
      <c r="O53" s="1536">
        <v>10784.101000000001</v>
      </c>
      <c r="P53" s="16"/>
      <c r="Q53" s="1536">
        <v>24233.746999999999</v>
      </c>
      <c r="R53" s="16"/>
      <c r="S53" s="1535">
        <v>6.1000000000000004E-3</v>
      </c>
      <c r="W53" s="1538">
        <v>2</v>
      </c>
      <c r="X53" s="1537"/>
      <c r="Y53" s="16"/>
      <c r="Z53" s="1536">
        <v>9618.0529999999999</v>
      </c>
      <c r="AA53" s="16"/>
      <c r="AB53" s="1536">
        <v>21809.433000000001</v>
      </c>
      <c r="AC53" s="16"/>
      <c r="AD53" s="1535">
        <v>5.7000000000000002E-3</v>
      </c>
    </row>
    <row r="54" spans="1:30">
      <c r="A54" s="1538">
        <v>3</v>
      </c>
      <c r="B54" s="1537"/>
      <c r="C54" s="16"/>
      <c r="D54" s="1536">
        <v>6557.5190000000002</v>
      </c>
      <c r="F54" s="16">
        <v>11978.971</v>
      </c>
      <c r="G54" s="16"/>
      <c r="H54" s="1535">
        <v>8.6999999999999994E-3</v>
      </c>
      <c r="L54" s="1538">
        <v>3</v>
      </c>
      <c r="M54" s="1537"/>
      <c r="N54" s="16"/>
      <c r="O54" s="1536">
        <v>5683.991</v>
      </c>
      <c r="Q54" s="16">
        <v>10711.194</v>
      </c>
      <c r="R54" s="16"/>
      <c r="S54" s="1535">
        <v>8.8999999999999999E-3</v>
      </c>
      <c r="W54" s="1538">
        <v>3</v>
      </c>
      <c r="X54" s="1537"/>
      <c r="Y54" s="16"/>
      <c r="Z54" s="1536">
        <v>5205.8410000000003</v>
      </c>
      <c r="AB54" s="16">
        <v>9611.1869999999999</v>
      </c>
      <c r="AC54" s="16"/>
      <c r="AD54" s="1535">
        <v>8.6E-3</v>
      </c>
    </row>
    <row r="55" spans="1:30">
      <c r="A55" s="1538">
        <v>4</v>
      </c>
      <c r="B55" s="1537"/>
      <c r="C55" s="16"/>
      <c r="D55" s="1536">
        <v>4097.96</v>
      </c>
      <c r="F55" s="16">
        <v>6545.5479999999998</v>
      </c>
      <c r="G55" s="16"/>
      <c r="H55" s="1535">
        <v>8.9999999999999993E-3</v>
      </c>
      <c r="L55" s="1538">
        <v>4</v>
      </c>
      <c r="M55" s="1537"/>
      <c r="N55" s="16"/>
      <c r="O55" s="1536">
        <v>3520.5659999999998</v>
      </c>
      <c r="Q55" s="16">
        <v>5676.7160000000003</v>
      </c>
      <c r="R55" s="16"/>
      <c r="S55" s="1535">
        <v>9.7999999999999997E-3</v>
      </c>
      <c r="W55" s="1538">
        <v>4</v>
      </c>
      <c r="X55" s="1537"/>
      <c r="Y55" s="16"/>
      <c r="Z55" s="1536">
        <v>3195.8180000000002</v>
      </c>
      <c r="AB55" s="16">
        <v>5199.9520000000002</v>
      </c>
      <c r="AC55" s="16"/>
      <c r="AD55" s="1535">
        <v>9.9000000000000008E-3</v>
      </c>
    </row>
    <row r="56" spans="1:30">
      <c r="A56" s="1538">
        <v>5</v>
      </c>
      <c r="B56" s="1537"/>
      <c r="C56" s="16"/>
      <c r="D56" s="1536">
        <v>2763.7190000000001</v>
      </c>
      <c r="E56" s="16"/>
      <c r="F56" s="1536">
        <v>4091.971</v>
      </c>
      <c r="G56" s="16"/>
      <c r="H56" s="1535">
        <v>1.38E-2</v>
      </c>
      <c r="L56" s="1538">
        <v>5</v>
      </c>
      <c r="M56" s="1537"/>
      <c r="N56" s="16"/>
      <c r="O56" s="1536">
        <v>2392.6889999999999</v>
      </c>
      <c r="P56" s="16"/>
      <c r="Q56" s="1536">
        <v>3512.913</v>
      </c>
      <c r="R56" s="16"/>
      <c r="S56" s="1535">
        <v>1.5100000000000001E-2</v>
      </c>
      <c r="W56" s="1538">
        <v>5</v>
      </c>
      <c r="X56" s="1537"/>
      <c r="Y56" s="16"/>
      <c r="Z56" s="1536">
        <v>2090.5659999999998</v>
      </c>
      <c r="AA56" s="16"/>
      <c r="AB56" s="1536">
        <v>3187.48</v>
      </c>
      <c r="AC56" s="16"/>
      <c r="AD56" s="1535">
        <v>1.49E-2</v>
      </c>
    </row>
    <row r="57" spans="1:30">
      <c r="A57" s="1538">
        <v>6</v>
      </c>
      <c r="B57" s="1537"/>
      <c r="C57" s="16"/>
      <c r="D57" s="1536">
        <v>1815.68</v>
      </c>
      <c r="E57" s="16"/>
      <c r="F57" s="1536">
        <v>2759.9389999999999</v>
      </c>
      <c r="G57" s="16"/>
      <c r="H57" s="1535">
        <v>1.6E-2</v>
      </c>
      <c r="L57" s="1538">
        <v>6</v>
      </c>
      <c r="M57" s="1537"/>
      <c r="N57" s="16"/>
      <c r="O57" s="1536">
        <v>1571.193</v>
      </c>
      <c r="P57" s="16"/>
      <c r="Q57" s="1536">
        <v>2390.8989999999999</v>
      </c>
      <c r="R57" s="16"/>
      <c r="S57" s="1535">
        <v>1.66E-2</v>
      </c>
      <c r="W57" s="1538">
        <v>6</v>
      </c>
      <c r="X57" s="1537"/>
      <c r="Y57" s="16"/>
      <c r="Z57" s="1536">
        <v>1400.931</v>
      </c>
      <c r="AA57" s="16"/>
      <c r="AB57" s="1536">
        <v>2083.6419999999998</v>
      </c>
      <c r="AC57" s="16"/>
      <c r="AD57" s="1535">
        <v>1.6299999999999999E-2</v>
      </c>
    </row>
    <row r="58" spans="1:30">
      <c r="A58" s="1538">
        <v>7</v>
      </c>
      <c r="B58" s="1537"/>
      <c r="C58" s="16"/>
      <c r="D58" s="1536">
        <v>1175.3689999999999</v>
      </c>
      <c r="E58" s="16"/>
      <c r="F58" s="1536">
        <v>1814.568</v>
      </c>
      <c r="G58" s="16"/>
      <c r="H58" s="1535">
        <v>1.5800000000000002E-2</v>
      </c>
      <c r="L58" s="1538">
        <v>7</v>
      </c>
      <c r="M58" s="1537"/>
      <c r="N58" s="16"/>
      <c r="O58" s="1536">
        <v>1033.3409999999999</v>
      </c>
      <c r="P58" s="16"/>
      <c r="Q58" s="1536">
        <v>1569.9839999999999</v>
      </c>
      <c r="R58" s="16"/>
      <c r="S58" s="1535">
        <v>1.72E-2</v>
      </c>
      <c r="W58" s="1538">
        <v>7</v>
      </c>
      <c r="X58" s="1537"/>
      <c r="Y58" s="16"/>
      <c r="Z58" s="1536">
        <v>845.50900000000001</v>
      </c>
      <c r="AA58" s="16"/>
      <c r="AB58" s="1536">
        <v>1400.2080000000001</v>
      </c>
      <c r="AC58" s="16"/>
      <c r="AD58" s="1535">
        <v>1.6199999999999999E-2</v>
      </c>
    </row>
    <row r="59" spans="1:30">
      <c r="A59" s="1538">
        <v>8</v>
      </c>
      <c r="B59" s="1537"/>
      <c r="C59" s="16"/>
      <c r="D59" s="1536">
        <v>657.70500000000004</v>
      </c>
      <c r="E59" s="16"/>
      <c r="F59" s="1536">
        <v>1170.0630000000001</v>
      </c>
      <c r="G59" s="16"/>
      <c r="H59" s="1535">
        <v>1.8800000000000001E-2</v>
      </c>
      <c r="L59" s="1538">
        <v>8</v>
      </c>
      <c r="M59" s="1537"/>
      <c r="N59" s="16"/>
      <c r="O59" s="1536">
        <v>569.279</v>
      </c>
      <c r="P59" s="16"/>
      <c r="Q59" s="1536">
        <v>1030.4259999999999</v>
      </c>
      <c r="R59" s="16"/>
      <c r="S59" s="1535">
        <v>2.0799999999999999E-2</v>
      </c>
      <c r="W59" s="1538">
        <v>8</v>
      </c>
      <c r="X59" s="1537"/>
      <c r="Y59" s="16"/>
      <c r="Z59" s="1536">
        <v>448.50200000000001</v>
      </c>
      <c r="AA59" s="16"/>
      <c r="AB59" s="1536">
        <v>844.47500000000002</v>
      </c>
      <c r="AC59" s="16"/>
      <c r="AD59" s="1535">
        <v>2.0400000000000001E-2</v>
      </c>
    </row>
    <row r="60" spans="1:30">
      <c r="A60" s="1538">
        <v>9</v>
      </c>
      <c r="B60" s="1537"/>
      <c r="C60" s="16"/>
      <c r="D60" s="1536">
        <v>299.39999999999998</v>
      </c>
      <c r="E60" s="16"/>
      <c r="F60" s="1536">
        <v>656.84500000000003</v>
      </c>
      <c r="G60" s="16"/>
      <c r="H60" s="1535">
        <v>2.5000000000000001E-2</v>
      </c>
      <c r="L60" s="1538">
        <v>9</v>
      </c>
      <c r="M60" s="1537"/>
      <c r="N60" s="16"/>
      <c r="O60" s="1536">
        <v>263.71499999999997</v>
      </c>
      <c r="P60" s="16"/>
      <c r="Q60" s="1536">
        <v>567.84299999999996</v>
      </c>
      <c r="R60" s="16"/>
      <c r="S60" s="1535">
        <v>2.6800000000000001E-2</v>
      </c>
      <c r="W60" s="1538">
        <v>9</v>
      </c>
      <c r="X60" s="1537"/>
      <c r="Y60" s="16"/>
      <c r="Z60" s="1536">
        <v>209.88</v>
      </c>
      <c r="AA60" s="16"/>
      <c r="AB60" s="1536">
        <v>448.07900000000001</v>
      </c>
      <c r="AC60" s="16"/>
      <c r="AD60" s="1535">
        <v>2.5399999999999999E-2</v>
      </c>
    </row>
    <row r="61" spans="1:30">
      <c r="A61" s="1538" t="s">
        <v>2576</v>
      </c>
      <c r="B61" s="1537"/>
      <c r="C61" s="16"/>
      <c r="D61" s="1536">
        <v>2.5310000000000001</v>
      </c>
      <c r="E61" s="16"/>
      <c r="F61" s="1536">
        <v>299.29000000000002</v>
      </c>
      <c r="G61" s="16"/>
      <c r="H61" s="1535">
        <v>5.3699999999999998E-2</v>
      </c>
      <c r="L61" s="1538" t="s">
        <v>2576</v>
      </c>
      <c r="M61" s="1537"/>
      <c r="N61" s="16"/>
      <c r="O61" s="1536">
        <v>2.516</v>
      </c>
      <c r="P61" s="16"/>
      <c r="Q61" s="1536">
        <v>262.89100000000002</v>
      </c>
      <c r="R61" s="16"/>
      <c r="S61" s="1535">
        <v>5.5899999999999998E-2</v>
      </c>
      <c r="W61" s="1538" t="s">
        <v>2576</v>
      </c>
      <c r="X61" s="1537"/>
      <c r="Y61" s="16"/>
      <c r="Z61" s="1536">
        <v>1.9630000000000001</v>
      </c>
      <c r="AA61" s="16"/>
      <c r="AB61" s="1536">
        <v>209.40600000000001</v>
      </c>
      <c r="AC61" s="16"/>
      <c r="AD61" s="1535">
        <v>5.6000000000000001E-2</v>
      </c>
    </row>
    <row r="62" spans="1:30">
      <c r="A62" s="1538"/>
      <c r="B62" s="1537"/>
      <c r="C62" s="16"/>
      <c r="D62" s="1536"/>
      <c r="E62" s="16"/>
      <c r="F62" s="1536"/>
      <c r="G62" s="16"/>
      <c r="H62" s="1535"/>
      <c r="L62" s="1538"/>
      <c r="M62" s="1537"/>
      <c r="N62" s="16"/>
      <c r="O62" s="1536"/>
      <c r="P62" s="16"/>
      <c r="Q62" s="1536"/>
      <c r="R62" s="16"/>
      <c r="S62" s="1535"/>
      <c r="W62" s="1538"/>
      <c r="X62" s="1537"/>
      <c r="Y62" s="16"/>
      <c r="Z62" s="1536"/>
      <c r="AA62" s="16"/>
      <c r="AB62" s="1536"/>
      <c r="AC62" s="16"/>
      <c r="AD62" s="1535"/>
    </row>
    <row r="63" spans="1:30">
      <c r="A63" s="1538" t="s">
        <v>2575</v>
      </c>
      <c r="B63" s="1537"/>
      <c r="C63" s="16"/>
      <c r="D63" s="1536"/>
      <c r="E63" s="16"/>
      <c r="F63" s="1536"/>
      <c r="G63" s="16"/>
      <c r="H63" s="1535"/>
      <c r="L63" s="1538" t="s">
        <v>2575</v>
      </c>
      <c r="M63" s="1537"/>
      <c r="N63" s="16"/>
      <c r="O63" s="1536"/>
      <c r="P63" s="16"/>
      <c r="Q63" s="1536"/>
      <c r="R63" s="16"/>
      <c r="S63" s="1535"/>
      <c r="W63" s="1538" t="s">
        <v>2575</v>
      </c>
      <c r="X63" s="1537"/>
      <c r="Y63" s="16"/>
      <c r="Z63" s="1536"/>
      <c r="AA63" s="16"/>
      <c r="AB63" s="1536"/>
      <c r="AC63" s="16"/>
      <c r="AD63" s="1535"/>
    </row>
    <row r="64" spans="1:30">
      <c r="A64" s="1538" t="s">
        <v>2574</v>
      </c>
      <c r="B64" s="1537"/>
      <c r="C64" s="16"/>
      <c r="D64" s="1536">
        <v>166.505</v>
      </c>
      <c r="E64" s="16"/>
      <c r="F64" s="1536">
        <v>299.29000000000002</v>
      </c>
      <c r="G64" s="16"/>
      <c r="H64" s="1535">
        <v>3.8600000000000002E-2</v>
      </c>
      <c r="L64" s="1538" t="s">
        <v>2574</v>
      </c>
      <c r="M64" s="1537"/>
      <c r="N64" s="16"/>
      <c r="O64" s="1536">
        <v>127.29600000000001</v>
      </c>
      <c r="P64" s="16"/>
      <c r="Q64" s="1536">
        <v>262.89100000000002</v>
      </c>
      <c r="R64" s="16"/>
      <c r="S64" s="1535">
        <v>4.0899999999999999E-2</v>
      </c>
      <c r="W64" s="1538" t="s">
        <v>2574</v>
      </c>
      <c r="X64" s="1537"/>
      <c r="Y64" s="16"/>
      <c r="Z64" s="1536">
        <v>108.962</v>
      </c>
      <c r="AA64" s="16"/>
      <c r="AB64" s="1536">
        <v>209.40600000000001</v>
      </c>
      <c r="AC64" s="16"/>
      <c r="AD64" s="1535">
        <v>4.0399999999999998E-2</v>
      </c>
    </row>
    <row r="65" spans="1:30">
      <c r="A65" s="2427" t="s">
        <v>2573</v>
      </c>
      <c r="B65" s="1533"/>
      <c r="C65" s="5"/>
      <c r="D65" s="1532">
        <v>2.5310000000000001</v>
      </c>
      <c r="E65" s="5"/>
      <c r="F65" s="1532">
        <v>166.34899999999999</v>
      </c>
      <c r="G65" s="5"/>
      <c r="H65" s="1531">
        <v>8.4099999999999994E-2</v>
      </c>
      <c r="L65" s="1534" t="s">
        <v>2573</v>
      </c>
      <c r="M65" s="1533"/>
      <c r="N65" s="5"/>
      <c r="O65" s="1532">
        <v>2.516</v>
      </c>
      <c r="P65" s="5"/>
      <c r="Q65" s="1532">
        <v>127.279</v>
      </c>
      <c r="R65" s="5"/>
      <c r="S65" s="1531">
        <v>8.6400000000000005E-2</v>
      </c>
      <c r="W65" s="1534" t="s">
        <v>2573</v>
      </c>
      <c r="X65" s="1533"/>
      <c r="Y65" s="5"/>
      <c r="Z65" s="1532">
        <v>1.9630000000000001</v>
      </c>
      <c r="AA65" s="5"/>
      <c r="AB65" s="1532">
        <v>108.598</v>
      </c>
      <c r="AC65" s="5"/>
      <c r="AD65" s="1531">
        <v>8.7599999999999997E-2</v>
      </c>
    </row>
    <row r="66" spans="1:30">
      <c r="A66" s="1530"/>
      <c r="B66" s="2426"/>
      <c r="C66" s="2426"/>
      <c r="D66" s="2426"/>
      <c r="E66" s="2426"/>
      <c r="F66" s="2426"/>
      <c r="G66" s="2426"/>
      <c r="H66" s="1529"/>
      <c r="L66" s="1530"/>
      <c r="M66" s="1153"/>
      <c r="N66" s="1153"/>
      <c r="O66" s="1153"/>
      <c r="P66" s="1153"/>
      <c r="Q66" s="1153"/>
      <c r="R66" s="1153"/>
      <c r="S66" s="1529"/>
      <c r="W66" s="1530"/>
      <c r="X66" s="1153"/>
      <c r="Y66" s="1153"/>
      <c r="Z66" s="1153"/>
      <c r="AA66" s="1153"/>
      <c r="AB66" s="1153"/>
      <c r="AC66" s="1153"/>
      <c r="AD66" s="1529"/>
    </row>
    <row r="67" spans="1:30" ht="280.5">
      <c r="A67" s="1819"/>
      <c r="B67" s="1528" t="s">
        <v>2572</v>
      </c>
      <c r="C67" s="5"/>
      <c r="D67" s="5"/>
      <c r="E67" s="5"/>
      <c r="F67" s="5"/>
      <c r="G67" s="5"/>
      <c r="H67" s="1527">
        <v>6.0400000000000002E-2</v>
      </c>
      <c r="L67" s="76"/>
      <c r="M67" s="1528" t="s">
        <v>2572</v>
      </c>
      <c r="N67" s="5"/>
      <c r="O67" s="5"/>
      <c r="P67" s="5"/>
      <c r="Q67" s="5"/>
      <c r="R67" s="5"/>
      <c r="S67" s="1527">
        <v>5.9700000000000003E-2</v>
      </c>
      <c r="W67" s="76"/>
      <c r="X67" s="1528" t="s">
        <v>2572</v>
      </c>
      <c r="Y67" s="5"/>
      <c r="Z67" s="5"/>
      <c r="AA67" s="5"/>
      <c r="AB67" s="5"/>
      <c r="AC67" s="5"/>
      <c r="AD67" s="1527">
        <v>6.0299999999999999E-2</v>
      </c>
    </row>
    <row r="80" spans="1:30">
      <c r="B80" s="18"/>
    </row>
  </sheetData>
  <conditionalFormatting sqref="I4">
    <cfRule type="cellIs" dxfId="46" priority="4" stopIfTrue="1" operator="equal">
      <formula>"input"</formula>
    </cfRule>
  </conditionalFormatting>
  <conditionalFormatting sqref="I4">
    <cfRule type="cellIs" dxfId="45" priority="3" stopIfTrue="1" operator="equal">
      <formula>"input"</formula>
    </cfRule>
  </conditionalFormatting>
  <conditionalFormatting sqref="B4:H4">
    <cfRule type="cellIs" dxfId="44" priority="5" stopIfTrue="1" operator="equal">
      <formula>"input"</formula>
    </cfRule>
  </conditionalFormatting>
  <conditionalFormatting sqref="J4">
    <cfRule type="cellIs" dxfId="43" priority="2" stopIfTrue="1" operator="equal">
      <formula>"input"</formula>
    </cfRule>
  </conditionalFormatting>
  <conditionalFormatting sqref="J4">
    <cfRule type="cellIs" dxfId="42" priority="1" stopIfTrue="1" operator="equal">
      <formula>"input"</formula>
    </cfRule>
  </conditionalFormatting>
  <pageMargins left="0.5" right="0.5" top="0.5" bottom="0.5" header="0.5" footer="0.5"/>
  <pageSetup scale="95" orientation="landscape" r:id="rId1"/>
  <legacyDrawing r:id="rId2"/>
  <legacyDrawingHF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AH82"/>
  <sheetViews>
    <sheetView showGridLines="0" view="pageBreakPreview" topLeftCell="A52" zoomScale="85" zoomScaleNormal="100" zoomScaleSheetLayoutView="85" workbookViewId="0">
      <selection activeCell="L63" sqref="L63"/>
    </sheetView>
  </sheetViews>
  <sheetFormatPr defaultRowHeight="12.75" outlineLevelCol="1"/>
  <cols>
    <col min="1" max="1" width="4.5" style="310" customWidth="1"/>
    <col min="2" max="2" width="31.33203125" style="310" bestFit="1" customWidth="1"/>
    <col min="3" max="3" width="2.83203125" style="310" customWidth="1"/>
    <col min="4" max="4" width="13.83203125" style="310" customWidth="1"/>
    <col min="5" max="6" width="9.33203125" style="310" hidden="1" customWidth="1" outlineLevel="1"/>
    <col min="7" max="7" width="2.83203125" style="310" customWidth="1" collapsed="1"/>
    <col min="8" max="9" width="13.83203125" style="310" customWidth="1"/>
    <col min="10" max="10" width="2.83203125" style="310" customWidth="1"/>
    <col min="11" max="18" width="13.83203125" style="310" customWidth="1"/>
    <col min="19" max="19" width="4.5" style="310" customWidth="1"/>
    <col min="20" max="20" width="0" style="310" hidden="1" customWidth="1"/>
    <col min="21" max="21" width="9.33203125" style="310"/>
    <col min="22" max="24" width="10.83203125" style="310" customWidth="1"/>
    <col min="25" max="25" width="1.83203125" style="310" customWidth="1"/>
    <col min="26" max="26" width="17.6640625" style="310" bestFit="1" customWidth="1"/>
    <col min="27" max="27" width="12.5" style="310" bestFit="1" customWidth="1"/>
    <col min="28" max="28" width="9.83203125" style="310" bestFit="1" customWidth="1"/>
    <col min="29" max="29" width="12.1640625" style="310" customWidth="1"/>
    <col min="30" max="16384" width="9.33203125" style="310"/>
  </cols>
  <sheetData>
    <row r="1" spans="1:34" ht="10.7" customHeight="1" thickBot="1">
      <c r="AE1" s="1596" t="s">
        <v>2630</v>
      </c>
    </row>
    <row r="2" spans="1:34" ht="16.5" customHeight="1" thickTop="1">
      <c r="B2" s="10" t="str">
        <f>'MASTER PubCo Inputs'!$C$5</f>
        <v>Hua Medicine</v>
      </c>
      <c r="C2" s="10"/>
      <c r="D2" s="10"/>
      <c r="E2" s="10"/>
      <c r="F2" s="10"/>
      <c r="G2" s="10"/>
      <c r="H2" s="10"/>
      <c r="I2" s="10"/>
      <c r="J2" s="10"/>
      <c r="K2" s="10"/>
      <c r="L2" s="10"/>
      <c r="M2" s="10"/>
      <c r="N2" s="10"/>
      <c r="O2" s="10"/>
      <c r="P2" s="10"/>
      <c r="Q2" s="10"/>
      <c r="R2" s="10"/>
      <c r="Z2" s="1530" t="s">
        <v>17</v>
      </c>
      <c r="AA2" s="235">
        <f>+Comp.1!$AL$2</f>
        <v>43281</v>
      </c>
      <c r="AE2" s="1597">
        <v>1</v>
      </c>
    </row>
    <row r="3" spans="1:34" ht="15.75" customHeight="1">
      <c r="B3" s="11" t="str">
        <f>VLOOKUP(B4,Outline!$E$8:$G$81,COLUMNS(Outline!$E$8:$G$8),FALSE)</f>
        <v>Workpaper #5</v>
      </c>
      <c r="C3" s="11"/>
      <c r="D3" s="11"/>
      <c r="E3" s="11"/>
      <c r="F3" s="11"/>
      <c r="G3" s="11"/>
      <c r="H3" s="11"/>
      <c r="I3" s="11"/>
      <c r="J3" s="11"/>
      <c r="K3" s="11"/>
      <c r="L3" s="11"/>
      <c r="M3" s="11"/>
      <c r="N3" s="11"/>
      <c r="O3" s="11"/>
      <c r="P3" s="11"/>
      <c r="Q3" s="11"/>
      <c r="R3" s="11"/>
      <c r="Z3" s="275" t="s">
        <v>273</v>
      </c>
      <c r="AA3" s="239" t="str">
        <f>+Comp.1!$AL$3</f>
        <v>F</v>
      </c>
      <c r="AE3" s="1597">
        <v>2</v>
      </c>
    </row>
    <row r="4" spans="1:34" ht="16.5" customHeight="1" thickBot="1">
      <c r="B4" s="12" t="s">
        <v>2624</v>
      </c>
      <c r="C4" s="12"/>
      <c r="D4" s="12"/>
      <c r="E4" s="12"/>
      <c r="F4" s="12"/>
      <c r="G4" s="12"/>
      <c r="H4" s="12"/>
      <c r="I4" s="12"/>
      <c r="J4" s="13"/>
      <c r="K4" s="13"/>
      <c r="L4" s="13"/>
      <c r="M4" s="13"/>
      <c r="N4" s="13"/>
      <c r="O4" s="13"/>
      <c r="P4" s="13"/>
      <c r="Q4" s="13"/>
      <c r="R4" s="13" t="str">
        <f>+'MASTER PubCo Inputs'!$C$24</f>
        <v>(in millions of USD)</v>
      </c>
      <c r="Z4" s="275" t="s">
        <v>274</v>
      </c>
      <c r="AA4" s="239" t="str">
        <f>+Comp.1!$AL$4</f>
        <v>USD</v>
      </c>
      <c r="AE4" s="1598">
        <v>5</v>
      </c>
    </row>
    <row r="5" spans="1:34" s="16" customFormat="1" ht="12.75" customHeight="1" thickTop="1">
      <c r="A5" s="310"/>
      <c r="B5" s="310"/>
      <c r="C5" s="310"/>
      <c r="D5" s="310"/>
      <c r="E5" s="310"/>
      <c r="F5" s="310"/>
      <c r="G5" s="310"/>
      <c r="H5" s="310"/>
      <c r="I5" s="310"/>
      <c r="J5" s="310"/>
      <c r="K5" s="310"/>
      <c r="L5" s="310"/>
      <c r="M5" s="310"/>
      <c r="N5" s="310"/>
      <c r="O5" s="310"/>
      <c r="P5" s="310"/>
      <c r="Q5" s="310"/>
      <c r="R5" s="310"/>
      <c r="S5" s="310"/>
      <c r="Z5" s="76" t="s">
        <v>19</v>
      </c>
      <c r="AA5" s="522" t="str">
        <f>+Comp.1!$AL$5</f>
        <v>H</v>
      </c>
    </row>
    <row r="6" spans="1:34" s="16" customFormat="1" ht="12.75" customHeight="1">
      <c r="A6" s="310"/>
      <c r="B6" s="310"/>
      <c r="C6" s="310"/>
      <c r="D6" s="310"/>
      <c r="E6" s="310"/>
      <c r="F6" s="310"/>
      <c r="G6" s="310"/>
      <c r="H6" s="310"/>
      <c r="I6" s="310"/>
      <c r="J6" s="310"/>
      <c r="K6" s="310"/>
      <c r="L6" s="310"/>
      <c r="M6" s="310"/>
      <c r="N6" s="310"/>
      <c r="O6" s="310"/>
      <c r="P6" s="310"/>
      <c r="Q6" s="310"/>
      <c r="R6" s="310"/>
      <c r="S6" s="310"/>
    </row>
    <row r="7" spans="1:34" ht="12.75" customHeight="1">
      <c r="D7" s="1587" t="s">
        <v>2623</v>
      </c>
      <c r="E7" s="1589"/>
      <c r="F7" s="1589"/>
      <c r="G7" s="1589"/>
      <c r="H7" s="1589"/>
      <c r="I7" s="1588"/>
      <c r="K7" s="1587" t="s">
        <v>21</v>
      </c>
      <c r="L7" s="1586"/>
      <c r="M7" s="1586"/>
      <c r="N7" s="1586"/>
      <c r="O7" s="1586"/>
      <c r="P7" s="1586"/>
      <c r="Q7" s="1586"/>
      <c r="R7" s="1585"/>
      <c r="X7" s="1584">
        <f>'rNPV Analysis'!C30</f>
        <v>0.25</v>
      </c>
    </row>
    <row r="8" spans="1:34" s="6" customFormat="1" ht="38.25">
      <c r="B8" s="1583" t="s">
        <v>2635</v>
      </c>
      <c r="D8" s="483" t="s">
        <v>2622</v>
      </c>
      <c r="E8" s="1581" t="s">
        <v>147</v>
      </c>
      <c r="F8" s="1581" t="s">
        <v>148</v>
      </c>
      <c r="G8" s="1582"/>
      <c r="H8" s="1581" t="s">
        <v>2621</v>
      </c>
      <c r="I8" s="475" t="s">
        <v>2601</v>
      </c>
      <c r="J8" s="260"/>
      <c r="K8" s="483" t="s">
        <v>24</v>
      </c>
      <c r="L8" s="1581" t="s">
        <v>25</v>
      </c>
      <c r="M8" s="1581" t="s">
        <v>26</v>
      </c>
      <c r="N8" s="1581" t="s">
        <v>27</v>
      </c>
      <c r="O8" s="1581" t="s">
        <v>28</v>
      </c>
      <c r="P8" s="1581" t="s">
        <v>29</v>
      </c>
      <c r="Q8" s="1581" t="s">
        <v>30</v>
      </c>
      <c r="R8" s="475" t="s">
        <v>31</v>
      </c>
      <c r="T8" s="1580" t="s">
        <v>2620</v>
      </c>
      <c r="U8" s="1579"/>
      <c r="V8" s="1579" t="s">
        <v>2619</v>
      </c>
      <c r="W8" s="1579" t="s">
        <v>2618</v>
      </c>
      <c r="X8" s="1578" t="s">
        <v>2604</v>
      </c>
      <c r="Z8" s="77" t="s">
        <v>38</v>
      </c>
      <c r="AA8" s="78" t="s">
        <v>39</v>
      </c>
      <c r="AB8" s="1577" t="str">
        <f t="array" ref="AB8">IF(SUM(ABS($AB$11:$AB$52))&lt;0.01,"","Check")</f>
        <v>Check</v>
      </c>
      <c r="AD8" s="6">
        <v>0</v>
      </c>
    </row>
    <row r="9" spans="1:34" s="6" customFormat="1">
      <c r="B9" s="102"/>
      <c r="D9" s="469"/>
      <c r="E9" s="469"/>
      <c r="F9" s="469"/>
      <c r="G9" s="1592"/>
      <c r="H9" s="469"/>
      <c r="I9" s="469"/>
      <c r="J9" s="260"/>
      <c r="K9" s="469"/>
      <c r="L9" s="469"/>
      <c r="M9" s="469"/>
      <c r="N9" s="469"/>
      <c r="O9" s="469"/>
      <c r="P9" s="469"/>
      <c r="Q9" s="469"/>
      <c r="R9" s="469"/>
      <c r="T9" s="1593"/>
      <c r="U9" s="1593"/>
      <c r="V9" s="1593"/>
      <c r="W9" s="1593"/>
      <c r="X9" s="1593"/>
      <c r="Z9" s="77"/>
      <c r="AA9" s="78"/>
      <c r="AB9" s="1594"/>
    </row>
    <row r="10" spans="1:34" ht="12.75" customHeight="1">
      <c r="B10" s="262" t="str">
        <f>Comp.1!B12</f>
        <v>Tier 1</v>
      </c>
    </row>
    <row r="11" spans="1:34" ht="12.75" customHeight="1">
      <c r="B11" s="310" t="str">
        <f>Comp.1!B13</f>
        <v>Novo Nordisk A/S</v>
      </c>
      <c r="D11" s="1595">
        <v>5</v>
      </c>
      <c r="E11" s="50" t="s">
        <v>150</v>
      </c>
      <c r="F11" s="50" t="s">
        <v>149</v>
      </c>
      <c r="H11" s="80">
        <f>HLOOKUP(D11,'Capital IQ Sheet-GPC'!$AQ$10:$AS$75,ROWS('Capital IQ Sheet-GPC'!AQ$10:AQ13),FALSE)</f>
        <v>0.51153000000000004</v>
      </c>
      <c r="I11" s="1576">
        <f t="shared" ref="I11:I19" si="0">IF(ISERROR(H11/(1+(1-$X11)*(($V11)/$W11))), "n/a", H11/(1+(1-$X11)*(($V11)/$W11)))</f>
        <v>0.51140117163863097</v>
      </c>
      <c r="K11" s="81">
        <f>'Capital IQ Sheet-GPC'!J13</f>
        <v>112194.50996</v>
      </c>
      <c r="L11" s="81">
        <f>'Capital IQ Sheet-GPC'!K13</f>
        <v>37.684269999999998</v>
      </c>
      <c r="M11" s="81" t="str">
        <f>'Capital IQ Sheet-GPC'!L13</f>
        <v>n/a</v>
      </c>
      <c r="N11" s="81" t="str">
        <f>'Capital IQ Sheet-GPC'!M13</f>
        <v>n/a</v>
      </c>
      <c r="O11" s="81">
        <f t="shared" ref="O11:O19" si="1">SUM(L11:N11)</f>
        <v>37.684269999999998</v>
      </c>
      <c r="P11" s="81">
        <f t="shared" ref="P11:P19" si="2">SUM(K11:N11)</f>
        <v>112232.19422999999</v>
      </c>
      <c r="Q11" s="81">
        <f>'Capital IQ Sheet-GPC'!N13</f>
        <v>1737.6084000000001</v>
      </c>
      <c r="R11" s="81">
        <f t="shared" ref="R11:R19" si="3">IF(ISERROR(P11-Q11), "n/a", P11-Q11)</f>
        <v>110494.58583</v>
      </c>
      <c r="T11" s="1575">
        <f t="shared" ref="T11:T19" si="4">$AA$2-365*D11</f>
        <v>41456</v>
      </c>
      <c r="U11" s="310">
        <v>1</v>
      </c>
      <c r="V11" s="51">
        <f t="shared" ref="V11:V19" si="5">IFERROR(SUM(L11:M11)/P11,"n/a")</f>
        <v>3.3577058934420158E-4</v>
      </c>
      <c r="W11" s="51">
        <f t="shared" ref="W11:W19" si="6">IFERROR(1-V11,"n/a")</f>
        <v>0.9996642294106558</v>
      </c>
      <c r="X11" s="51">
        <f t="shared" ref="X11:X53" si="7">X$7</f>
        <v>0.25</v>
      </c>
      <c r="Z11" s="82" t="str">
        <f>'MASTER PubCo Inputs'!B28</f>
        <v>CPSE:NOVO B</v>
      </c>
      <c r="AA11" s="311">
        <f>'Capital IQ Sheet-GPC'!H13</f>
        <v>110584.08422999999</v>
      </c>
      <c r="AB11" s="83">
        <f t="shared" ref="AB11:AB19" si="8">R11-AA11</f>
        <v>-89.498399999996764</v>
      </c>
      <c r="AC11" s="1609">
        <f>'Capital IQ Sheet-GPC'!G13</f>
        <v>33605</v>
      </c>
      <c r="AD11" s="42">
        <f>YEARFRAC(AC11,$AA$2,3)</f>
        <v>26.509589041095889</v>
      </c>
      <c r="AH11" s="84"/>
    </row>
    <row r="12" spans="1:34" ht="12.75" customHeight="1">
      <c r="B12" s="310" t="str">
        <f>Comp.1!B14</f>
        <v>Tonghua Dongbao Pharmaceutical Co., Ltd.</v>
      </c>
      <c r="D12" s="1595">
        <v>5</v>
      </c>
      <c r="E12" s="50" t="s">
        <v>150</v>
      </c>
      <c r="F12" s="50" t="s">
        <v>149</v>
      </c>
      <c r="H12" s="80">
        <f>HLOOKUP(D12,'Capital IQ Sheet-GPC'!$AQ$10:$AS$75,ROWS('Capital IQ Sheet-GPC'!AQ$10:AQ14),FALSE)</f>
        <v>0.76253000000000004</v>
      </c>
      <c r="I12" s="1576">
        <f t="shared" si="0"/>
        <v>0.76253000000000004</v>
      </c>
      <c r="K12" s="81">
        <f>'Capital IQ Sheet-GPC'!J14</f>
        <v>7436.2830000000004</v>
      </c>
      <c r="L12" s="81">
        <f>'Capital IQ Sheet-GPC'!K14</f>
        <v>0</v>
      </c>
      <c r="M12" s="81" t="str">
        <f>'Capital IQ Sheet-GPC'!L14</f>
        <v>n/a</v>
      </c>
      <c r="N12" s="81">
        <f>'Capital IQ Sheet-GPC'!M14</f>
        <v>1.49579</v>
      </c>
      <c r="O12" s="81">
        <f t="shared" si="1"/>
        <v>1.49579</v>
      </c>
      <c r="P12" s="81">
        <f t="shared" si="2"/>
        <v>7437.7787900000003</v>
      </c>
      <c r="Q12" s="81">
        <f>'Capital IQ Sheet-GPC'!N14</f>
        <v>75.958299999999994</v>
      </c>
      <c r="R12" s="81">
        <f t="shared" si="3"/>
        <v>7361.8204900000001</v>
      </c>
      <c r="T12" s="1575">
        <f t="shared" si="4"/>
        <v>41456</v>
      </c>
      <c r="U12" s="310">
        <v>1</v>
      </c>
      <c r="V12" s="51">
        <f t="shared" si="5"/>
        <v>0</v>
      </c>
      <c r="W12" s="51">
        <f t="shared" si="6"/>
        <v>1</v>
      </c>
      <c r="X12" s="51">
        <f t="shared" si="7"/>
        <v>0.25</v>
      </c>
      <c r="Z12" s="82" t="str">
        <f>'MASTER PubCo Inputs'!B29</f>
        <v>SHSE:600867</v>
      </c>
      <c r="AA12" s="311">
        <f>'Capital IQ Sheet-GPC'!H14</f>
        <v>6000.97145</v>
      </c>
      <c r="AB12" s="83">
        <f t="shared" si="8"/>
        <v>1360.8490400000001</v>
      </c>
      <c r="AC12" s="1609">
        <f>'Capital IQ Sheet-GPC'!G14</f>
        <v>35244</v>
      </c>
      <c r="AD12" s="42">
        <f t="shared" ref="AD12:AD19" si="9">YEARFRAC(AC12,$AA$2,3)</f>
        <v>22.019178082191782</v>
      </c>
      <c r="AH12" s="84"/>
    </row>
    <row r="13" spans="1:34" ht="12.75" customHeight="1">
      <c r="B13" s="310" t="str">
        <f>Comp.1!B15</f>
        <v>3SBio Inc.</v>
      </c>
      <c r="D13" s="1595">
        <v>2</v>
      </c>
      <c r="E13" s="50" t="s">
        <v>150</v>
      </c>
      <c r="F13" s="50" t="s">
        <v>149</v>
      </c>
      <c r="H13" s="80">
        <f>HLOOKUP(D13,'Capital IQ Sheet-GPC'!$AQ$10:$AS$75,ROWS('Capital IQ Sheet-GPC'!AQ$10:AQ15),FALSE)</f>
        <v>0.80166999999999999</v>
      </c>
      <c r="I13" s="1576">
        <f t="shared" si="0"/>
        <v>0.73714137988371065</v>
      </c>
      <c r="K13" s="81">
        <f>'Capital IQ Sheet-GPC'!J15</f>
        <v>5765.9263099999998</v>
      </c>
      <c r="L13" s="81">
        <f>'Capital IQ Sheet-GPC'!K15</f>
        <v>677.16830000000004</v>
      </c>
      <c r="M13" s="81" t="str">
        <f>'Capital IQ Sheet-GPC'!L15</f>
        <v>n/a</v>
      </c>
      <c r="N13" s="81">
        <f>'Capital IQ Sheet-GPC'!M15</f>
        <v>35.787419999999997</v>
      </c>
      <c r="O13" s="81">
        <f t="shared" si="1"/>
        <v>712.95572000000004</v>
      </c>
      <c r="P13" s="81">
        <f t="shared" si="2"/>
        <v>6478.8820299999998</v>
      </c>
      <c r="Q13" s="81">
        <f>'Capital IQ Sheet-GPC'!N15</f>
        <v>476.92147999999997</v>
      </c>
      <c r="R13" s="81">
        <f t="shared" si="3"/>
        <v>6001.9605499999998</v>
      </c>
      <c r="T13" s="1575">
        <f t="shared" si="4"/>
        <v>42551</v>
      </c>
      <c r="U13" s="310">
        <v>1</v>
      </c>
      <c r="V13" s="51">
        <f t="shared" si="5"/>
        <v>0.10451931318774145</v>
      </c>
      <c r="W13" s="51">
        <f t="shared" si="6"/>
        <v>0.89548068681225856</v>
      </c>
      <c r="X13" s="51">
        <f t="shared" si="7"/>
        <v>0.25</v>
      </c>
      <c r="Z13" s="82" t="str">
        <f>'MASTER PubCo Inputs'!B30</f>
        <v>SEHK:1530</v>
      </c>
      <c r="AA13" s="311">
        <f>'Capital IQ Sheet-GPC'!H15</f>
        <v>3399.7200899999998</v>
      </c>
      <c r="AB13" s="83">
        <f t="shared" si="8"/>
        <v>2602.24046</v>
      </c>
      <c r="AC13" s="1609">
        <f>'Capital IQ Sheet-GPC'!G15</f>
        <v>42166</v>
      </c>
      <c r="AD13" s="42">
        <f t="shared" si="9"/>
        <v>3.0547945205479454</v>
      </c>
      <c r="AH13" s="84"/>
    </row>
    <row r="14" spans="1:34" ht="12.75" customHeight="1">
      <c r="B14" s="310" t="str">
        <f>Comp.1!B16</f>
        <v>Luye Pharma Group Ltd.</v>
      </c>
      <c r="D14" s="1595">
        <v>5</v>
      </c>
      <c r="E14" s="50" t="s">
        <v>150</v>
      </c>
      <c r="F14" s="50" t="s">
        <v>149</v>
      </c>
      <c r="H14" s="80">
        <f>HLOOKUP(D14,'Capital IQ Sheet-GPC'!$AQ$10:$AS$75,ROWS('Capital IQ Sheet-GPC'!AQ$10:AQ16),FALSE)</f>
        <v>0.80442000000000002</v>
      </c>
      <c r="I14" s="1576">
        <f t="shared" si="0"/>
        <v>0.7328957927905736</v>
      </c>
      <c r="K14" s="81">
        <f>'Capital IQ Sheet-GPC'!J16</f>
        <v>3359.9747900000002</v>
      </c>
      <c r="L14" s="81">
        <f>'Capital IQ Sheet-GPC'!K16</f>
        <v>439.75547999999998</v>
      </c>
      <c r="M14" s="81" t="str">
        <f>'Capital IQ Sheet-GPC'!L16</f>
        <v>n/a</v>
      </c>
      <c r="N14" s="81">
        <f>'Capital IQ Sheet-GPC'!M16</f>
        <v>19.597180000000002</v>
      </c>
      <c r="O14" s="81">
        <f t="shared" si="1"/>
        <v>459.35265999999996</v>
      </c>
      <c r="P14" s="81">
        <f t="shared" si="2"/>
        <v>3819.3274500000002</v>
      </c>
      <c r="Q14" s="81">
        <f>'Capital IQ Sheet-GPC'!N16</f>
        <v>419.44011999999998</v>
      </c>
      <c r="R14" s="81">
        <f t="shared" si="3"/>
        <v>3399.8873300000005</v>
      </c>
      <c r="T14" s="1575">
        <f t="shared" si="4"/>
        <v>41456</v>
      </c>
      <c r="U14" s="310">
        <v>1</v>
      </c>
      <c r="V14" s="51">
        <f t="shared" si="5"/>
        <v>0.1151395070878251</v>
      </c>
      <c r="W14" s="51">
        <f t="shared" si="6"/>
        <v>0.88486049291217495</v>
      </c>
      <c r="X14" s="51">
        <f t="shared" si="7"/>
        <v>0.25</v>
      </c>
      <c r="Z14" s="82" t="str">
        <f>'MASTER PubCo Inputs'!B31</f>
        <v>SEHK:2186</v>
      </c>
      <c r="AA14" s="311">
        <f>'Capital IQ Sheet-GPC'!H16</f>
        <v>2515.66275</v>
      </c>
      <c r="AB14" s="83">
        <f t="shared" si="8"/>
        <v>884.22458000000051</v>
      </c>
      <c r="AC14" s="1609">
        <f>'Capital IQ Sheet-GPC'!G16</f>
        <v>41829</v>
      </c>
      <c r="AD14" s="42">
        <f t="shared" si="9"/>
        <v>3.978082191780822</v>
      </c>
      <c r="AH14" s="84"/>
    </row>
    <row r="15" spans="1:34" ht="12.75" customHeight="1">
      <c r="B15" s="310" t="str">
        <f>Comp.1!B17</f>
        <v>Intercept Pharmaceuticals, Inc.</v>
      </c>
      <c r="D15" s="1595">
        <v>2</v>
      </c>
      <c r="E15" s="50" t="s">
        <v>150</v>
      </c>
      <c r="F15" s="50" t="s">
        <v>149</v>
      </c>
      <c r="H15" s="80">
        <f>HLOOKUP(D15,'Capital IQ Sheet-GPC'!$AQ$10:$AS$75,ROWS('Capital IQ Sheet-GPC'!AQ$10:AQ17),FALSE)</f>
        <v>1.8649199999999999</v>
      </c>
      <c r="I15" s="1576">
        <f t="shared" si="0"/>
        <v>1.682224737808617</v>
      </c>
      <c r="K15" s="81">
        <f>'Capital IQ Sheet-GPC'!J17</f>
        <v>2482.30575</v>
      </c>
      <c r="L15" s="81">
        <f>'Capital IQ Sheet-GPC'!K17</f>
        <v>359.44900000000001</v>
      </c>
      <c r="M15" s="81" t="str">
        <f>'Capital IQ Sheet-GPC'!L17</f>
        <v>n/a</v>
      </c>
      <c r="N15" s="81" t="str">
        <f>'Capital IQ Sheet-GPC'!M17</f>
        <v>n/a</v>
      </c>
      <c r="O15" s="81">
        <f t="shared" si="1"/>
        <v>359.44900000000001</v>
      </c>
      <c r="P15" s="81">
        <f t="shared" si="2"/>
        <v>2841.7547500000001</v>
      </c>
      <c r="Q15" s="81">
        <f>'Capital IQ Sheet-GPC'!N17</f>
        <v>326.09199999999998</v>
      </c>
      <c r="R15" s="81">
        <f t="shared" si="3"/>
        <v>2515.66275</v>
      </c>
      <c r="T15" s="1575">
        <f t="shared" si="4"/>
        <v>42551</v>
      </c>
      <c r="U15" s="310">
        <v>1</v>
      </c>
      <c r="V15" s="51">
        <f t="shared" si="5"/>
        <v>0.1264883959462019</v>
      </c>
      <c r="W15" s="51">
        <f t="shared" si="6"/>
        <v>0.87351160405379813</v>
      </c>
      <c r="X15" s="51">
        <f t="shared" si="7"/>
        <v>0.25</v>
      </c>
      <c r="Z15" s="82" t="str">
        <f>'MASTER PubCo Inputs'!B32</f>
        <v>NasdaqGS:ICPT</v>
      </c>
      <c r="AA15" s="311">
        <f>'Capital IQ Sheet-GPC'!H17</f>
        <v>2204.7008599999999</v>
      </c>
      <c r="AB15" s="83">
        <f t="shared" si="8"/>
        <v>310.96189000000004</v>
      </c>
      <c r="AC15" s="1609">
        <f>'Capital IQ Sheet-GPC'!G17</f>
        <v>41193</v>
      </c>
      <c r="AD15" s="42">
        <f t="shared" si="9"/>
        <v>5.720547945205479</v>
      </c>
      <c r="AH15" s="84"/>
    </row>
    <row r="16" spans="1:34" ht="12.75" customHeight="1">
      <c r="B16" s="310" t="str">
        <f>Comp.1!B18</f>
        <v>The United Laboratories International Holdings Limited</v>
      </c>
      <c r="D16" s="1595">
        <v>5</v>
      </c>
      <c r="E16" s="50" t="s">
        <v>150</v>
      </c>
      <c r="F16" s="50" t="s">
        <v>149</v>
      </c>
      <c r="H16" s="80">
        <f>HLOOKUP(D16,'Capital IQ Sheet-GPC'!$AQ$10:$AS$75,ROWS('Capital IQ Sheet-GPC'!AQ$10:AQ18),FALSE)</f>
        <v>0.89766999999999997</v>
      </c>
      <c r="I16" s="1576">
        <f t="shared" si="0"/>
        <v>0.67580330237330799</v>
      </c>
      <c r="K16" s="81">
        <f>'Capital IQ Sheet-GPC'!J18</f>
        <v>1705.28388</v>
      </c>
      <c r="L16" s="81">
        <f>'Capital IQ Sheet-GPC'!K18</f>
        <v>746.46118999999999</v>
      </c>
      <c r="M16" s="81" t="str">
        <f>'Capital IQ Sheet-GPC'!L18</f>
        <v>n/a</v>
      </c>
      <c r="N16" s="81" t="str">
        <f>'Capital IQ Sheet-GPC'!M18</f>
        <v>n/a</v>
      </c>
      <c r="O16" s="81">
        <f t="shared" si="1"/>
        <v>746.46118999999999</v>
      </c>
      <c r="P16" s="81">
        <f t="shared" si="2"/>
        <v>2451.7450699999999</v>
      </c>
      <c r="Q16" s="81">
        <f>'Capital IQ Sheet-GPC'!N18</f>
        <v>244.9426</v>
      </c>
      <c r="R16" s="81">
        <f t="shared" si="3"/>
        <v>2206.8024700000001</v>
      </c>
      <c r="T16" s="1575">
        <f t="shared" si="4"/>
        <v>41456</v>
      </c>
      <c r="U16" s="310">
        <v>1</v>
      </c>
      <c r="V16" s="51">
        <f t="shared" si="5"/>
        <v>0.30446117711577575</v>
      </c>
      <c r="W16" s="51">
        <f t="shared" si="6"/>
        <v>0.69553882288422431</v>
      </c>
      <c r="X16" s="51">
        <f t="shared" si="7"/>
        <v>0.25</v>
      </c>
      <c r="Z16" s="82" t="str">
        <f>'MASTER PubCo Inputs'!B33</f>
        <v>SEHK:3933</v>
      </c>
      <c r="AA16" s="311">
        <f>'Capital IQ Sheet-GPC'!H18</f>
        <v>379.61124999999998</v>
      </c>
      <c r="AB16" s="83">
        <f t="shared" si="8"/>
        <v>1827.1912200000002</v>
      </c>
      <c r="AC16" s="1609">
        <f>'Capital IQ Sheet-GPC'!G18</f>
        <v>39248</v>
      </c>
      <c r="AD16" s="42">
        <f t="shared" si="9"/>
        <v>11.049315068493151</v>
      </c>
      <c r="AH16" s="84"/>
    </row>
    <row r="17" spans="2:34" ht="12.75" customHeight="1">
      <c r="B17" s="310" t="str">
        <f>Comp.1!B19</f>
        <v>Corcept Therapeutics Incorporated</v>
      </c>
      <c r="D17" s="1595">
        <v>5</v>
      </c>
      <c r="E17" s="50" t="s">
        <v>150</v>
      </c>
      <c r="F17" s="50" t="s">
        <v>149</v>
      </c>
      <c r="H17" s="80">
        <f>HLOOKUP(D17,'Capital IQ Sheet-GPC'!$AQ$10:$AS$75,ROWS('Capital IQ Sheet-GPC'!AQ$10:AQ19),FALSE)</f>
        <v>1.8480399999999999</v>
      </c>
      <c r="I17" s="1576">
        <f>IF(ISERROR(H17/(1+(1-$X17)*(($V17)/$W17))), "n/a", H17/(1+(1-$X17)*(($V17)/$W17)))</f>
        <v>1.8480399999999999</v>
      </c>
      <c r="K17" s="81">
        <f>'Capital IQ Sheet-GPC'!J19</f>
        <v>1811.4944</v>
      </c>
      <c r="L17" s="81">
        <f>'Capital IQ Sheet-GPC'!K19</f>
        <v>0</v>
      </c>
      <c r="M17" s="81" t="str">
        <f>'Capital IQ Sheet-GPC'!L19</f>
        <v>n/a</v>
      </c>
      <c r="N17" s="81" t="str">
        <f>'Capital IQ Sheet-GPC'!M19</f>
        <v>n/a</v>
      </c>
      <c r="O17" s="81">
        <f t="shared" si="1"/>
        <v>0</v>
      </c>
      <c r="P17" s="81">
        <f t="shared" si="2"/>
        <v>1811.4944</v>
      </c>
      <c r="Q17" s="81">
        <f>'Capital IQ Sheet-GPC'!N19</f>
        <v>125.36199999999999</v>
      </c>
      <c r="R17" s="81">
        <f t="shared" si="3"/>
        <v>1686.1324</v>
      </c>
      <c r="T17" s="1575">
        <f t="shared" si="4"/>
        <v>41456</v>
      </c>
      <c r="U17" s="310">
        <v>1</v>
      </c>
      <c r="V17" s="51">
        <f t="shared" si="5"/>
        <v>0</v>
      </c>
      <c r="W17" s="51">
        <f t="shared" si="6"/>
        <v>1</v>
      </c>
      <c r="X17" s="51">
        <f t="shared" si="7"/>
        <v>0.25</v>
      </c>
      <c r="Z17" s="82" t="str">
        <f>'MASTER PubCo Inputs'!B34</f>
        <v>NasdaqCM:CORT</v>
      </c>
      <c r="AA17" s="311">
        <f>'Capital IQ Sheet-GPC'!H19</f>
        <v>336.76713999999998</v>
      </c>
      <c r="AB17" s="83">
        <f t="shared" si="8"/>
        <v>1349.36526</v>
      </c>
      <c r="AC17" s="1609">
        <f>'Capital IQ Sheet-GPC'!G19</f>
        <v>38091</v>
      </c>
      <c r="AD17" s="42">
        <f t="shared" si="9"/>
        <v>14.219178082191782</v>
      </c>
      <c r="AH17" s="84"/>
    </row>
    <row r="18" spans="2:34" ht="12.75" customHeight="1">
      <c r="B18" s="310" t="str">
        <f>Comp.1!B20</f>
        <v>MannKind Corporation</v>
      </c>
      <c r="D18" s="1595">
        <v>5</v>
      </c>
      <c r="E18" s="50" t="s">
        <v>150</v>
      </c>
      <c r="F18" s="50" t="s">
        <v>149</v>
      </c>
      <c r="H18" s="80">
        <f>HLOOKUP(D18,'Capital IQ Sheet-GPC'!$AQ$10:$AS$75,ROWS('Capital IQ Sheet-GPC'!AQ$10:AQ20),FALSE)</f>
        <v>2.7257899999999999</v>
      </c>
      <c r="I18" s="1576">
        <f t="shared" si="0"/>
        <v>1.9533782070505046</v>
      </c>
      <c r="K18" s="81">
        <f>'Capital IQ Sheet-GPC'!J20</f>
        <v>266.04825</v>
      </c>
      <c r="L18" s="81">
        <f>'Capital IQ Sheet-GPC'!K20</f>
        <v>140.26900000000001</v>
      </c>
      <c r="M18" s="81" t="str">
        <f>'Capital IQ Sheet-GPC'!L20</f>
        <v>n/a</v>
      </c>
      <c r="N18" s="81" t="str">
        <f>'Capital IQ Sheet-GPC'!M20</f>
        <v>n/a</v>
      </c>
      <c r="O18" s="81">
        <f t="shared" si="1"/>
        <v>140.26900000000001</v>
      </c>
      <c r="P18" s="81">
        <f t="shared" si="2"/>
        <v>406.31725</v>
      </c>
      <c r="Q18" s="81">
        <f>'Capital IQ Sheet-GPC'!N20</f>
        <v>26.706</v>
      </c>
      <c r="R18" s="81">
        <f t="shared" si="3"/>
        <v>379.61124999999998</v>
      </c>
      <c r="T18" s="1575">
        <f t="shared" si="4"/>
        <v>41456</v>
      </c>
      <c r="U18" s="310">
        <v>1</v>
      </c>
      <c r="V18" s="51">
        <f t="shared" si="5"/>
        <v>0.34522039120908604</v>
      </c>
      <c r="W18" s="51">
        <f t="shared" si="6"/>
        <v>0.6547796087909139</v>
      </c>
      <c r="X18" s="51">
        <f t="shared" si="7"/>
        <v>0.25</v>
      </c>
      <c r="Z18" s="82" t="str">
        <f>'MASTER PubCo Inputs'!B35</f>
        <v>NasdaqGM:MNKD</v>
      </c>
      <c r="AA18" s="311">
        <f>'Capital IQ Sheet-GPC'!H20</f>
        <v>7365.7138199999999</v>
      </c>
      <c r="AB18" s="83">
        <f t="shared" si="8"/>
        <v>-6986.10257</v>
      </c>
      <c r="AC18" s="1609">
        <f>'Capital IQ Sheet-GPC'!G20</f>
        <v>38196</v>
      </c>
      <c r="AD18" s="42">
        <f t="shared" si="9"/>
        <v>13.931506849315069</v>
      </c>
      <c r="AH18" s="84"/>
    </row>
    <row r="19" spans="2:34" ht="12.75" customHeight="1">
      <c r="B19" s="310" t="str">
        <f>Comp.1!B21</f>
        <v>Zealand Pharma A/S</v>
      </c>
      <c r="D19" s="1595">
        <v>5</v>
      </c>
      <c r="E19" s="50" t="s">
        <v>150</v>
      </c>
      <c r="F19" s="50" t="s">
        <v>149</v>
      </c>
      <c r="H19" s="80">
        <f>HLOOKUP(D19,'Capital IQ Sheet-GPC'!$AQ$10:$AS$75,ROWS('Capital IQ Sheet-GPC'!AQ$10:AQ21),FALSE)</f>
        <v>0.18926999999999999</v>
      </c>
      <c r="I19" s="1576">
        <f t="shared" si="0"/>
        <v>0.18178071445589444</v>
      </c>
      <c r="K19" s="81">
        <f>'Capital IQ Sheet-GPC'!J21</f>
        <v>403.61899</v>
      </c>
      <c r="L19" s="81">
        <f>'Capital IQ Sheet-GPC'!K21</f>
        <v>22.171900000000001</v>
      </c>
      <c r="M19" s="81" t="str">
        <f>'Capital IQ Sheet-GPC'!L21</f>
        <v>n/a</v>
      </c>
      <c r="N19" s="81" t="str">
        <f>'Capital IQ Sheet-GPC'!M21</f>
        <v>n/a</v>
      </c>
      <c r="O19" s="81">
        <f t="shared" si="1"/>
        <v>22.171900000000001</v>
      </c>
      <c r="P19" s="81">
        <f t="shared" si="2"/>
        <v>425.79088999999999</v>
      </c>
      <c r="Q19" s="81">
        <f>'Capital IQ Sheet-GPC'!N21</f>
        <v>92.739000000000004</v>
      </c>
      <c r="R19" s="81">
        <f t="shared" si="3"/>
        <v>333.05188999999996</v>
      </c>
      <c r="T19" s="1575">
        <f t="shared" si="4"/>
        <v>41456</v>
      </c>
      <c r="U19" s="310">
        <v>1</v>
      </c>
      <c r="V19" s="51">
        <f t="shared" si="5"/>
        <v>5.2072274256501828E-2</v>
      </c>
      <c r="W19" s="51">
        <f t="shared" si="6"/>
        <v>0.94792772574349815</v>
      </c>
      <c r="X19" s="51">
        <f t="shared" si="7"/>
        <v>0.25</v>
      </c>
      <c r="Z19" s="82" t="str">
        <f>'MASTER PubCo Inputs'!B36</f>
        <v>CPSE:ZEAL</v>
      </c>
      <c r="AA19" s="311">
        <f>'Capital IQ Sheet-GPC'!H21</f>
        <v>1686.1324</v>
      </c>
      <c r="AB19" s="83">
        <f t="shared" si="8"/>
        <v>-1353.08051</v>
      </c>
      <c r="AC19" s="1609">
        <f>'Capital IQ Sheet-GPC'!G21</f>
        <v>40505</v>
      </c>
      <c r="AD19" s="42">
        <f t="shared" si="9"/>
        <v>7.6054794520547944</v>
      </c>
      <c r="AH19" s="84"/>
    </row>
    <row r="20" spans="2:34" ht="12.75" customHeight="1">
      <c r="D20" s="1595"/>
      <c r="E20" s="50"/>
      <c r="F20" s="50"/>
      <c r="H20" s="80"/>
      <c r="I20" s="1576"/>
      <c r="K20" s="81"/>
      <c r="L20" s="81"/>
      <c r="M20" s="81"/>
      <c r="N20" s="81"/>
      <c r="O20" s="81"/>
      <c r="P20" s="81"/>
      <c r="Q20" s="81"/>
      <c r="R20" s="81"/>
      <c r="T20" s="1575"/>
      <c r="V20" s="51"/>
      <c r="W20" s="51"/>
      <c r="X20" s="51"/>
      <c r="Z20" s="82"/>
      <c r="AA20" s="311"/>
      <c r="AB20" s="83"/>
      <c r="AC20" s="1609"/>
      <c r="AD20" s="42"/>
      <c r="AH20" s="84"/>
    </row>
    <row r="21" spans="2:34" ht="12.75" customHeight="1">
      <c r="B21" s="1574" t="s">
        <v>41</v>
      </c>
      <c r="C21" s="833"/>
      <c r="D21" s="833"/>
      <c r="E21" s="833"/>
      <c r="F21" s="833"/>
      <c r="G21" s="833"/>
      <c r="H21" s="1601">
        <f>MAX(H11:H19)</f>
        <v>2.7257899999999999</v>
      </c>
      <c r="I21" s="1601">
        <f>MAX(I11:I19)</f>
        <v>1.9533782070505046</v>
      </c>
      <c r="J21" s="833"/>
      <c r="K21" s="1415">
        <f t="shared" ref="K21:Q21" si="10">MAX(K11:K19)</f>
        <v>112194.50996</v>
      </c>
      <c r="L21" s="1415">
        <f t="shared" si="10"/>
        <v>746.46118999999999</v>
      </c>
      <c r="M21" s="1415">
        <f>IFERROR(MAX(M11:M19),0)</f>
        <v>0</v>
      </c>
      <c r="N21" s="1415">
        <f t="shared" si="10"/>
        <v>35.787419999999997</v>
      </c>
      <c r="O21" s="1415">
        <f t="shared" si="10"/>
        <v>746.46118999999999</v>
      </c>
      <c r="P21" s="1415">
        <f t="shared" si="10"/>
        <v>112232.19422999999</v>
      </c>
      <c r="Q21" s="1415">
        <f t="shared" si="10"/>
        <v>1737.6084000000001</v>
      </c>
      <c r="R21" s="1573">
        <f>MAX(R11:R19)</f>
        <v>110494.58583</v>
      </c>
      <c r="T21" s="1575"/>
      <c r="V21" s="1570">
        <f>MAX(V11:V19)</f>
        <v>0.34522039120908604</v>
      </c>
      <c r="W21" s="1570">
        <f>MAX(W11:W19)</f>
        <v>1</v>
      </c>
      <c r="X21" s="51"/>
      <c r="Z21" s="82"/>
      <c r="AA21" s="311"/>
      <c r="AB21" s="83"/>
      <c r="AD21" s="42"/>
      <c r="AH21" s="84"/>
    </row>
    <row r="22" spans="2:34" ht="12.75" customHeight="1">
      <c r="B22" s="278" t="s">
        <v>45</v>
      </c>
      <c r="C22" s="73"/>
      <c r="D22" s="73"/>
      <c r="E22" s="73"/>
      <c r="F22" s="73"/>
      <c r="G22" s="73"/>
      <c r="H22" s="1599">
        <f>QUARTILE(H11:H19,3)</f>
        <v>1.8480399999999999</v>
      </c>
      <c r="I22" s="1599">
        <f>QUARTILE(I11:I19,3)</f>
        <v>1.682224737808617</v>
      </c>
      <c r="J22" s="73"/>
      <c r="K22" s="89">
        <f t="shared" ref="K22:Q22" si="11">QUARTILE(K11:K19,3)</f>
        <v>5765.9263099999998</v>
      </c>
      <c r="L22" s="89">
        <f t="shared" si="11"/>
        <v>439.75547999999998</v>
      </c>
      <c r="M22" s="89">
        <f>IFERROR(QUARTILE(M11:M19,3),0)</f>
        <v>0</v>
      </c>
      <c r="N22" s="89">
        <f t="shared" si="11"/>
        <v>27.692299999999999</v>
      </c>
      <c r="O22" s="89">
        <f t="shared" si="11"/>
        <v>459.35265999999996</v>
      </c>
      <c r="P22" s="89">
        <f t="shared" si="11"/>
        <v>6478.8820299999998</v>
      </c>
      <c r="Q22" s="89">
        <f t="shared" si="11"/>
        <v>419.44011999999998</v>
      </c>
      <c r="R22" s="1572">
        <f>QUARTILE(R11:R19,3)</f>
        <v>6001.9605499999998</v>
      </c>
      <c r="T22" s="1575"/>
      <c r="V22" s="1570">
        <f>QUARTILE(V11:V19,3)</f>
        <v>0.1264883959462019</v>
      </c>
      <c r="W22" s="1570">
        <f>QUARTILE(W11:W19,3)</f>
        <v>0.9996642294106558</v>
      </c>
      <c r="X22" s="51"/>
      <c r="Z22" s="82"/>
      <c r="AA22" s="311"/>
      <c r="AB22" s="83"/>
      <c r="AD22" s="42"/>
      <c r="AH22" s="84"/>
    </row>
    <row r="23" spans="2:34" ht="12.75" customHeight="1">
      <c r="B23" s="278" t="s">
        <v>43</v>
      </c>
      <c r="C23" s="73"/>
      <c r="D23" s="73"/>
      <c r="E23" s="73"/>
      <c r="F23" s="73"/>
      <c r="G23" s="73"/>
      <c r="H23" s="1599">
        <f>AVERAGE(H11:H19)</f>
        <v>1.1562044444444446</v>
      </c>
      <c r="I23" s="1599">
        <f>AVERAGE(I11:I19)</f>
        <v>1.009466145111249</v>
      </c>
      <c r="J23" s="73"/>
      <c r="K23" s="89">
        <f t="shared" ref="K23:Q23" si="12">AVERAGE(K11:K19)</f>
        <v>15047.271703333328</v>
      </c>
      <c r="L23" s="89">
        <f t="shared" si="12"/>
        <v>269.21768222222227</v>
      </c>
      <c r="M23" s="89">
        <f>IFERROR(AVERAGE(M11:M19),0)</f>
        <v>0</v>
      </c>
      <c r="N23" s="89">
        <f t="shared" si="12"/>
        <v>18.960129999999999</v>
      </c>
      <c r="O23" s="89">
        <f t="shared" si="12"/>
        <v>275.53772555555554</v>
      </c>
      <c r="P23" s="89">
        <f t="shared" si="12"/>
        <v>15322.809428888888</v>
      </c>
      <c r="Q23" s="89">
        <f t="shared" si="12"/>
        <v>391.75221111111119</v>
      </c>
      <c r="R23" s="1572">
        <f>AVERAGE(R11:R19)</f>
        <v>14931.057217777778</v>
      </c>
      <c r="T23" s="1575"/>
      <c r="V23" s="1570">
        <f>AVERAGE(V11:V19)</f>
        <v>0.11647075882138627</v>
      </c>
      <c r="W23" s="1570">
        <f>AVERAGE(W11:W19)</f>
        <v>0.88352924117861376</v>
      </c>
      <c r="X23" s="51"/>
      <c r="Z23" s="82"/>
      <c r="AA23" s="311"/>
      <c r="AB23" s="83"/>
      <c r="AD23" s="42"/>
      <c r="AH23" s="84"/>
    </row>
    <row r="24" spans="2:34" ht="12.75" customHeight="1">
      <c r="B24" s="278" t="s">
        <v>3</v>
      </c>
      <c r="C24" s="73"/>
      <c r="D24" s="73"/>
      <c r="E24" s="73"/>
      <c r="F24" s="73"/>
      <c r="G24" s="73"/>
      <c r="H24" s="1599">
        <f>MEDIAN(H11:H19)</f>
        <v>0.80442000000000002</v>
      </c>
      <c r="I24" s="1599">
        <f>MEDIAN(I11:I19)</f>
        <v>0.73714137988371065</v>
      </c>
      <c r="J24" s="73"/>
      <c r="K24" s="89">
        <f t="shared" ref="K24:Q24" si="13">MEDIAN(K11:K19)</f>
        <v>2482.30575</v>
      </c>
      <c r="L24" s="89">
        <f t="shared" si="13"/>
        <v>140.26900000000001</v>
      </c>
      <c r="M24" s="89">
        <f>IFERROR(MEDIAN(M11:M19),0)</f>
        <v>0</v>
      </c>
      <c r="N24" s="89">
        <f t="shared" si="13"/>
        <v>19.597180000000002</v>
      </c>
      <c r="O24" s="89">
        <f t="shared" si="13"/>
        <v>140.26900000000001</v>
      </c>
      <c r="P24" s="89">
        <f t="shared" si="13"/>
        <v>2841.7547500000001</v>
      </c>
      <c r="Q24" s="89">
        <f t="shared" si="13"/>
        <v>244.9426</v>
      </c>
      <c r="R24" s="1572">
        <f>MEDIAN(R11:R19)</f>
        <v>2515.66275</v>
      </c>
      <c r="T24" s="1575"/>
      <c r="V24" s="1570">
        <f>MEDIAN(V11:V19)</f>
        <v>0.10451931318774145</v>
      </c>
      <c r="W24" s="1570">
        <f>MEDIAN(W11:W19)</f>
        <v>0.89548068681225856</v>
      </c>
      <c r="X24" s="51"/>
      <c r="Z24" s="82"/>
      <c r="AA24" s="311"/>
      <c r="AB24" s="83"/>
      <c r="AD24" s="42"/>
      <c r="AH24" s="84"/>
    </row>
    <row r="25" spans="2:34" ht="12.75" customHeight="1">
      <c r="B25" s="278" t="s">
        <v>44</v>
      </c>
      <c r="C25" s="73"/>
      <c r="D25" s="73"/>
      <c r="E25" s="73"/>
      <c r="F25" s="73"/>
      <c r="G25" s="73"/>
      <c r="H25" s="1599">
        <f>QUARTILE(H11:H19,1)</f>
        <v>0.76253000000000004</v>
      </c>
      <c r="I25" s="1599">
        <f>QUARTILE(I11:I19,1)</f>
        <v>0.67580330237330799</v>
      </c>
      <c r="J25" s="73"/>
      <c r="K25" s="89">
        <f t="shared" ref="K25:Q25" si="14">QUARTILE(K11:K19,1)</f>
        <v>1705.28388</v>
      </c>
      <c r="L25" s="89">
        <f t="shared" si="14"/>
        <v>22.171900000000001</v>
      </c>
      <c r="M25" s="89">
        <f>IFERROR(QUARTILE(M11:M19,1),0)</f>
        <v>0</v>
      </c>
      <c r="N25" s="89">
        <f t="shared" si="14"/>
        <v>10.546485000000001</v>
      </c>
      <c r="O25" s="89">
        <f t="shared" si="14"/>
        <v>22.171900000000001</v>
      </c>
      <c r="P25" s="89">
        <f t="shared" si="14"/>
        <v>1811.4944</v>
      </c>
      <c r="Q25" s="89">
        <f t="shared" si="14"/>
        <v>92.739000000000004</v>
      </c>
      <c r="R25" s="1572">
        <f>QUARTILE(R11:R19,1)</f>
        <v>1686.1324</v>
      </c>
      <c r="T25" s="1575"/>
      <c r="V25" s="1570">
        <f>QUARTILE(V11:V19,1)</f>
        <v>3.3577058934420158E-4</v>
      </c>
      <c r="W25" s="1570">
        <f>QUARTILE(W11:W19,1)</f>
        <v>0.87351160405379813</v>
      </c>
      <c r="X25" s="51"/>
      <c r="Z25" s="82"/>
      <c r="AA25" s="311"/>
      <c r="AB25" s="83"/>
      <c r="AD25" s="42"/>
      <c r="AH25" s="84"/>
    </row>
    <row r="26" spans="2:34" ht="12.75" customHeight="1">
      <c r="B26" s="1204" t="s">
        <v>42</v>
      </c>
      <c r="C26" s="67"/>
      <c r="D26" s="67"/>
      <c r="E26" s="67"/>
      <c r="F26" s="67"/>
      <c r="G26" s="67"/>
      <c r="H26" s="1600">
        <f>MIN(H11:H19)</f>
        <v>0.18926999999999999</v>
      </c>
      <c r="I26" s="1600">
        <f>MIN(I11:I19)</f>
        <v>0.18178071445589444</v>
      </c>
      <c r="J26" s="67"/>
      <c r="K26" s="70">
        <f t="shared" ref="K26:Q26" si="15">MIN(K11:K19)</f>
        <v>266.04825</v>
      </c>
      <c r="L26" s="70">
        <f t="shared" si="15"/>
        <v>0</v>
      </c>
      <c r="M26" s="70">
        <f>IFERROR(MIN(M11:M19),0)</f>
        <v>0</v>
      </c>
      <c r="N26" s="70">
        <f t="shared" si="15"/>
        <v>1.49579</v>
      </c>
      <c r="O26" s="70">
        <f t="shared" si="15"/>
        <v>0</v>
      </c>
      <c r="P26" s="70">
        <f t="shared" si="15"/>
        <v>406.31725</v>
      </c>
      <c r="Q26" s="70">
        <f t="shared" si="15"/>
        <v>26.706</v>
      </c>
      <c r="R26" s="1571">
        <f>MIN(R11:R19)</f>
        <v>333.05188999999996</v>
      </c>
      <c r="V26" s="1570">
        <f>MIN(V11:V19)</f>
        <v>0</v>
      </c>
      <c r="W26" s="1570">
        <f>MIN(W11:W19)</f>
        <v>0.6547796087909139</v>
      </c>
      <c r="AD26" s="42"/>
      <c r="AH26" s="84"/>
    </row>
    <row r="27" spans="2:34" s="72" customFormat="1" ht="12.75" customHeight="1">
      <c r="B27" s="1602"/>
      <c r="C27" s="1602"/>
      <c r="D27" s="1602"/>
      <c r="E27" s="1602"/>
      <c r="F27" s="1602"/>
      <c r="G27" s="1602"/>
      <c r="H27" s="1606"/>
      <c r="I27" s="1606"/>
      <c r="J27" s="1602"/>
      <c r="K27" s="1604"/>
      <c r="L27" s="1604"/>
      <c r="M27" s="1604"/>
      <c r="N27" s="1604"/>
      <c r="O27" s="1604"/>
      <c r="P27" s="1604"/>
      <c r="Q27" s="1604"/>
      <c r="R27" s="1604"/>
      <c r="V27" s="1605"/>
      <c r="W27" s="1605"/>
      <c r="AD27" s="1607"/>
      <c r="AH27" s="1608"/>
    </row>
    <row r="28" spans="2:34" ht="12.75" customHeight="1">
      <c r="B28" s="262" t="str">
        <f>Comp.1!B23</f>
        <v>Tier 2</v>
      </c>
      <c r="AD28" s="42"/>
      <c r="AH28" s="84"/>
    </row>
    <row r="29" spans="2:34" ht="12.75" customHeight="1">
      <c r="B29" s="310" t="str">
        <f>Comp.1!B24</f>
        <v>Amicus Therapeutics, Inc.</v>
      </c>
      <c r="D29" s="1595">
        <v>5</v>
      </c>
      <c r="E29" s="50" t="s">
        <v>150</v>
      </c>
      <c r="F29" s="50" t="s">
        <v>149</v>
      </c>
      <c r="H29" s="80">
        <f>HLOOKUP(D29,'Capital IQ Sheet-GPC'!$AQ$10:$AS$75,ROWS('Capital IQ Sheet-GPC'!AQ$10:AQ22),FALSE)</f>
        <v>1.41713</v>
      </c>
      <c r="I29" s="1576">
        <f>IF(ISERROR(H29/(1+(1-$X29)*(($V29)/$W29))), "n/a", H29/(1+(1-$X29)*(($V29)/$W29)))</f>
        <v>1.3593753608055146</v>
      </c>
      <c r="K29" s="81">
        <f>'Capital IQ Sheet-GPC'!J22</f>
        <v>2943.9233800000002</v>
      </c>
      <c r="L29" s="81">
        <f>'Capital IQ Sheet-GPC'!K22</f>
        <v>166.768</v>
      </c>
      <c r="M29" s="81" t="str">
        <f>'Capital IQ Sheet-GPC'!L22</f>
        <v>n/a</v>
      </c>
      <c r="N29" s="81" t="str">
        <f>'Capital IQ Sheet-GPC'!M22</f>
        <v>n/a</v>
      </c>
      <c r="O29" s="81">
        <f t="shared" ref="O29:O46" si="16">SUM(L29:N29)</f>
        <v>166.768</v>
      </c>
      <c r="P29" s="81">
        <f t="shared" ref="P29:P46" si="17">SUM(K29:N29)</f>
        <v>3110.6913800000002</v>
      </c>
      <c r="Q29" s="81">
        <f>'Capital IQ Sheet-GPC'!N22</f>
        <v>562.52</v>
      </c>
      <c r="R29" s="81">
        <f t="shared" ref="R29:R46" si="18">IF(ISERROR(P29-Q29), "n/a", P29-Q29)</f>
        <v>2548.1713800000002</v>
      </c>
      <c r="T29" s="1575">
        <f t="shared" ref="T29:T46" si="19">$AA$2-365*D29</f>
        <v>41456</v>
      </c>
      <c r="U29" s="310">
        <v>1</v>
      </c>
      <c r="V29" s="51">
        <f t="shared" ref="V29:V46" si="20">IFERROR(SUM(L29:M29)/P29,"n/a")</f>
        <v>5.3611232882896917E-2</v>
      </c>
      <c r="W29" s="51">
        <f t="shared" ref="W29:W46" si="21">IFERROR(1-V29,"n/a")</f>
        <v>0.94638876711710307</v>
      </c>
      <c r="X29" s="51">
        <f t="shared" si="7"/>
        <v>0.25</v>
      </c>
      <c r="Z29" s="82" t="str">
        <f>'MASTER PubCo Inputs'!B37</f>
        <v>NasdaqGM:FOLD</v>
      </c>
      <c r="AA29" s="311">
        <f>'Capital IQ Sheet-GPC'!H22</f>
        <v>2548.1713800000002</v>
      </c>
      <c r="AB29" s="83">
        <f t="shared" ref="AB29:AB46" si="22">R29-AA29</f>
        <v>0</v>
      </c>
      <c r="AC29" s="1609">
        <f>'Capital IQ Sheet-GPC'!G22</f>
        <v>39233</v>
      </c>
      <c r="AD29" s="42">
        <f t="shared" ref="AD29:AD46" si="23">YEARFRAC(AC29,$AA$2,3)</f>
        <v>11.09041095890411</v>
      </c>
      <c r="AH29" s="84"/>
    </row>
    <row r="30" spans="2:34" ht="12.75" customHeight="1">
      <c r="B30" s="310" t="str">
        <f>Comp.1!B25</f>
        <v>Myovant Sciences Ltd.</v>
      </c>
      <c r="D30" s="1595">
        <v>2</v>
      </c>
      <c r="E30" s="50" t="s">
        <v>150</v>
      </c>
      <c r="F30" s="50" t="s">
        <v>149</v>
      </c>
      <c r="H30" s="80">
        <f>HLOOKUP(D30,'Capital IQ Sheet-GPC'!$AQ$10:$AS$75,ROWS('Capital IQ Sheet-GPC'!AQ$10:AQ23),FALSE)</f>
        <v>0.68572</v>
      </c>
      <c r="I30" s="1576">
        <f>IF(ISERROR(H30/(1+(1-$X30)*(($V30)/$W30))), "n/a", H30/(1+(1-$X30)*(($V30)/$W30)))</f>
        <v>0.67092492607124365</v>
      </c>
      <c r="K30" s="81">
        <f>'Capital IQ Sheet-GPC'!J23</f>
        <v>1483.6912500000001</v>
      </c>
      <c r="L30" s="81">
        <f>'Capital IQ Sheet-GPC'!K23</f>
        <v>43.624000000000002</v>
      </c>
      <c r="M30" s="81" t="str">
        <f>'Capital IQ Sheet-GPC'!L23</f>
        <v>n/a</v>
      </c>
      <c r="N30" s="81" t="str">
        <f>'Capital IQ Sheet-GPC'!M23</f>
        <v>n/a</v>
      </c>
      <c r="O30" s="81">
        <f t="shared" si="16"/>
        <v>43.624000000000002</v>
      </c>
      <c r="P30" s="81">
        <f t="shared" si="17"/>
        <v>1527.3152500000001</v>
      </c>
      <c r="Q30" s="81">
        <f>'Capital IQ Sheet-GPC'!N23</f>
        <v>108.624</v>
      </c>
      <c r="R30" s="81">
        <f t="shared" si="18"/>
        <v>1418.6912500000001</v>
      </c>
      <c r="T30" s="1575">
        <f t="shared" si="19"/>
        <v>42551</v>
      </c>
      <c r="U30" s="310">
        <v>1</v>
      </c>
      <c r="V30" s="51">
        <f t="shared" si="20"/>
        <v>2.8562538087667233E-2</v>
      </c>
      <c r="W30" s="51">
        <f t="shared" si="21"/>
        <v>0.97143746191233271</v>
      </c>
      <c r="X30" s="51">
        <f t="shared" si="7"/>
        <v>0.25</v>
      </c>
      <c r="Z30" s="82" t="str">
        <f>'MASTER PubCo Inputs'!B38</f>
        <v>NYSE:MYOV</v>
      </c>
      <c r="AA30" s="311">
        <f>'Capital IQ Sheet-GPC'!H23</f>
        <v>1418.6912500000001</v>
      </c>
      <c r="AB30" s="83">
        <f t="shared" si="22"/>
        <v>0</v>
      </c>
      <c r="AC30" s="1609">
        <f>'Capital IQ Sheet-GPC'!G23</f>
        <v>42670</v>
      </c>
      <c r="AD30" s="42">
        <f t="shared" si="23"/>
        <v>1.6739726027397259</v>
      </c>
      <c r="AH30" s="84"/>
    </row>
    <row r="31" spans="2:34" ht="12.75" customHeight="1">
      <c r="B31" s="310" t="str">
        <f>Comp.1!B26</f>
        <v>Lexicon Pharmaceuticals, Inc.</v>
      </c>
      <c r="D31" s="1595">
        <v>5</v>
      </c>
      <c r="E31" s="50" t="s">
        <v>150</v>
      </c>
      <c r="F31" s="50" t="s">
        <v>149</v>
      </c>
      <c r="H31" s="80">
        <f>HLOOKUP(D31,'Capital IQ Sheet-GPC'!$AQ$10:$AS$75,ROWS('Capital IQ Sheet-GPC'!AQ$10:AQ24),FALSE)</f>
        <v>0.32644000000000001</v>
      </c>
      <c r="I31" s="1576">
        <f>IF(ISERROR(H31/(1+(1-$X31)*(($V31)/$W31))), "n/a", H31/(1+(1-$X31)*(($V31)/$W31)))</f>
        <v>0.28512013270322967</v>
      </c>
      <c r="K31" s="81">
        <f>'Capital IQ Sheet-GPC'!J24</f>
        <v>1269.98242</v>
      </c>
      <c r="L31" s="81">
        <f>'Capital IQ Sheet-GPC'!K24</f>
        <v>245.39599999999999</v>
      </c>
      <c r="M31" s="81" t="str">
        <f>'Capital IQ Sheet-GPC'!L24</f>
        <v>n/a</v>
      </c>
      <c r="N31" s="81" t="str">
        <f>'Capital IQ Sheet-GPC'!M24</f>
        <v>n/a</v>
      </c>
      <c r="O31" s="81">
        <f t="shared" si="16"/>
        <v>245.39599999999999</v>
      </c>
      <c r="P31" s="81">
        <f t="shared" si="17"/>
        <v>1515.37842</v>
      </c>
      <c r="Q31" s="81">
        <f>'Capital IQ Sheet-GPC'!N24</f>
        <v>262.27199999999999</v>
      </c>
      <c r="R31" s="81">
        <f t="shared" si="18"/>
        <v>1253.1064200000001</v>
      </c>
      <c r="T31" s="1575">
        <f t="shared" si="19"/>
        <v>41456</v>
      </c>
      <c r="U31" s="310">
        <v>1</v>
      </c>
      <c r="V31" s="51">
        <f t="shared" si="20"/>
        <v>0.16193710875201719</v>
      </c>
      <c r="W31" s="51">
        <f t="shared" si="21"/>
        <v>0.83806289124798283</v>
      </c>
      <c r="X31" s="51">
        <f t="shared" si="7"/>
        <v>0.25</v>
      </c>
      <c r="Z31" s="82" t="str">
        <f>'MASTER PubCo Inputs'!B39</f>
        <v>NasdaqGS:LXRX</v>
      </c>
      <c r="AA31" s="311">
        <f>'Capital IQ Sheet-GPC'!H24</f>
        <v>1253.1064200000001</v>
      </c>
      <c r="AB31" s="83">
        <f t="shared" si="22"/>
        <v>0</v>
      </c>
      <c r="AC31" s="1609">
        <f>'Capital IQ Sheet-GPC'!G24</f>
        <v>36623</v>
      </c>
      <c r="AD31" s="42">
        <f t="shared" si="23"/>
        <v>18.241095890410961</v>
      </c>
      <c r="AH31" s="84"/>
    </row>
    <row r="32" spans="2:34" ht="12.75" customHeight="1">
      <c r="B32" s="310" t="str">
        <f>Comp.1!B27</f>
        <v>Rhythm Pharmaceuticals, Inc.</v>
      </c>
      <c r="D32" s="1612"/>
      <c r="E32" s="50" t="s">
        <v>150</v>
      </c>
      <c r="F32" s="50" t="s">
        <v>149</v>
      </c>
      <c r="H32" s="1610"/>
      <c r="I32" s="1611"/>
      <c r="K32" s="81">
        <f>'Capital IQ Sheet-GPC'!J25</f>
        <v>1066.6532199999999</v>
      </c>
      <c r="L32" s="81">
        <f>'Capital IQ Sheet-GPC'!K25</f>
        <v>0</v>
      </c>
      <c r="M32" s="81" t="str">
        <f>'Capital IQ Sheet-GPC'!L25</f>
        <v>n/a</v>
      </c>
      <c r="N32" s="81" t="str">
        <f>'Capital IQ Sheet-GPC'!M25</f>
        <v>n/a</v>
      </c>
      <c r="O32" s="81">
        <f t="shared" si="16"/>
        <v>0</v>
      </c>
      <c r="P32" s="81">
        <f t="shared" si="17"/>
        <v>1066.6532199999999</v>
      </c>
      <c r="Q32" s="81">
        <f>'Capital IQ Sheet-GPC'!N25</f>
        <v>136.453</v>
      </c>
      <c r="R32" s="81">
        <f t="shared" si="18"/>
        <v>930.20021999999994</v>
      </c>
      <c r="T32" s="1575">
        <f t="shared" si="19"/>
        <v>43281</v>
      </c>
      <c r="U32" s="310">
        <v>1</v>
      </c>
      <c r="V32" s="51">
        <f t="shared" si="20"/>
        <v>0</v>
      </c>
      <c r="W32" s="51">
        <f t="shared" si="21"/>
        <v>1</v>
      </c>
      <c r="X32" s="51">
        <f t="shared" si="7"/>
        <v>0.25</v>
      </c>
      <c r="Z32" s="82" t="str">
        <f>'MASTER PubCo Inputs'!B40</f>
        <v>NasdaqGM:RYTM</v>
      </c>
      <c r="AA32" s="311">
        <f>'Capital IQ Sheet-GPC'!H25</f>
        <v>930.20021999999994</v>
      </c>
      <c r="AB32" s="83">
        <f t="shared" si="22"/>
        <v>0</v>
      </c>
      <c r="AC32" s="1609">
        <f>'Capital IQ Sheet-GPC'!G25</f>
        <v>43013</v>
      </c>
      <c r="AD32" s="42">
        <f t="shared" si="23"/>
        <v>0.73424657534246573</v>
      </c>
      <c r="AH32" s="84"/>
    </row>
    <row r="33" spans="2:34" ht="12.75" customHeight="1">
      <c r="B33" s="310" t="str">
        <f>Comp.1!B28</f>
        <v>Aptinyx Inc.</v>
      </c>
      <c r="D33" s="1612"/>
      <c r="E33" s="50" t="s">
        <v>150</v>
      </c>
      <c r="F33" s="50" t="s">
        <v>149</v>
      </c>
      <c r="H33" s="1610"/>
      <c r="I33" s="1611"/>
      <c r="K33" s="81">
        <f>'Capital IQ Sheet-GPC'!J26</f>
        <v>809.60373000000004</v>
      </c>
      <c r="L33" s="81">
        <f>'Capital IQ Sheet-GPC'!K26</f>
        <v>0</v>
      </c>
      <c r="M33" s="81">
        <f>'Capital IQ Sheet-GPC'!L26</f>
        <v>132.386</v>
      </c>
      <c r="N33" s="81" t="str">
        <f>'Capital IQ Sheet-GPC'!M26</f>
        <v>n/a</v>
      </c>
      <c r="O33" s="81">
        <f t="shared" si="16"/>
        <v>132.386</v>
      </c>
      <c r="P33" s="81">
        <f t="shared" si="17"/>
        <v>941.98973000000001</v>
      </c>
      <c r="Q33" s="81">
        <f>'Capital IQ Sheet-GPC'!N26</f>
        <v>82.35</v>
      </c>
      <c r="R33" s="81">
        <f t="shared" si="18"/>
        <v>859.63972999999999</v>
      </c>
      <c r="T33" s="1575">
        <f t="shared" si="19"/>
        <v>43281</v>
      </c>
      <c r="U33" s="310">
        <v>1</v>
      </c>
      <c r="V33" s="51">
        <f t="shared" si="20"/>
        <v>0.14053868718929663</v>
      </c>
      <c r="W33" s="51">
        <f t="shared" si="21"/>
        <v>0.85946131281070337</v>
      </c>
      <c r="X33" s="51">
        <f t="shared" si="7"/>
        <v>0.25</v>
      </c>
      <c r="Z33" s="82" t="str">
        <f>'MASTER PubCo Inputs'!B41</f>
        <v>NasdaqGS:APTX</v>
      </c>
      <c r="AA33" s="311">
        <f>'Capital IQ Sheet-GPC'!H26</f>
        <v>859.63972999999999</v>
      </c>
      <c r="AB33" s="83">
        <f t="shared" si="22"/>
        <v>0</v>
      </c>
      <c r="AC33" s="1609">
        <f>'Capital IQ Sheet-GPC'!G26</f>
        <v>43272</v>
      </c>
      <c r="AD33" s="42">
        <f t="shared" si="23"/>
        <v>2.4657534246575342E-2</v>
      </c>
      <c r="AH33" s="84"/>
    </row>
    <row r="34" spans="2:34" ht="12.75" customHeight="1">
      <c r="B34" s="310" t="str">
        <f>Comp.1!B29</f>
        <v>BeyondSpring Inc.</v>
      </c>
      <c r="D34" s="1595">
        <v>1</v>
      </c>
      <c r="E34" s="50" t="s">
        <v>150</v>
      </c>
      <c r="F34" s="50" t="s">
        <v>149</v>
      </c>
      <c r="H34" s="80">
        <f>HLOOKUP(D34,'Capital IQ Sheet-GPC'!$AQ$10:$AS$75,ROWS('Capital IQ Sheet-GPC'!AQ$10:AQ27),FALSE)</f>
        <v>1.18415</v>
      </c>
      <c r="I34" s="1576">
        <f>IF(ISERROR(H34/(1+(1-$X34)*(($V34)/$W34))), "n/a", H34/(1+(1-$X34)*(($V34)/$W34)))</f>
        <v>1.18415</v>
      </c>
      <c r="K34" s="81">
        <f>'Capital IQ Sheet-GPC'!J27</f>
        <v>614.36387000000002</v>
      </c>
      <c r="L34" s="81">
        <f>'Capital IQ Sheet-GPC'!K27</f>
        <v>0</v>
      </c>
      <c r="M34" s="81" t="str">
        <f>'Capital IQ Sheet-GPC'!L27</f>
        <v>n/a</v>
      </c>
      <c r="N34" s="81">
        <f>'Capital IQ Sheet-GPC'!M27</f>
        <v>0.56799999999999995</v>
      </c>
      <c r="O34" s="81">
        <f t="shared" si="16"/>
        <v>0.56799999999999995</v>
      </c>
      <c r="P34" s="81">
        <f t="shared" si="17"/>
        <v>614.93187</v>
      </c>
      <c r="Q34" s="81">
        <f>'Capital IQ Sheet-GPC'!N27</f>
        <v>21.538</v>
      </c>
      <c r="R34" s="81">
        <f t="shared" si="18"/>
        <v>593.39386999999999</v>
      </c>
      <c r="T34" s="1575">
        <f t="shared" si="19"/>
        <v>42916</v>
      </c>
      <c r="U34" s="310">
        <v>1</v>
      </c>
      <c r="V34" s="51">
        <f t="shared" si="20"/>
        <v>0</v>
      </c>
      <c r="W34" s="51">
        <f t="shared" si="21"/>
        <v>1</v>
      </c>
      <c r="X34" s="51">
        <f t="shared" si="7"/>
        <v>0.25</v>
      </c>
      <c r="Z34" s="82" t="str">
        <f>'MASTER PubCo Inputs'!B42</f>
        <v>NasdaqCM:BYSI</v>
      </c>
      <c r="AA34" s="311">
        <f>'Capital IQ Sheet-GPC'!H27</f>
        <v>593.39386999999999</v>
      </c>
      <c r="AB34" s="83">
        <f t="shared" si="22"/>
        <v>0</v>
      </c>
      <c r="AC34" s="1609">
        <f>'Capital IQ Sheet-GPC'!G27</f>
        <v>42803</v>
      </c>
      <c r="AD34" s="42">
        <f t="shared" si="23"/>
        <v>1.3095890410958904</v>
      </c>
      <c r="AH34" s="84"/>
    </row>
    <row r="35" spans="2:34" ht="12.75" customHeight="1">
      <c r="B35" s="310" t="str">
        <f>Comp.1!B30</f>
        <v>CymaBay Therapeutics, Inc.</v>
      </c>
      <c r="D35" s="1595">
        <v>5</v>
      </c>
      <c r="E35" s="50" t="s">
        <v>150</v>
      </c>
      <c r="F35" s="50" t="s">
        <v>149</v>
      </c>
      <c r="H35" s="80">
        <f>HLOOKUP(D35,'Capital IQ Sheet-GPC'!$AQ$10:$AS$75,ROWS('Capital IQ Sheet-GPC'!AQ$10:AQ28),FALSE)</f>
        <v>1.8963300000000001</v>
      </c>
      <c r="I35" s="1576">
        <f>IF(ISERROR(H35/(1+(1-$X35)*(($V35)/$W35))), "n/a", H35/(1+(1-$X35)*(($V35)/$W35)))</f>
        <v>1.8867113702583569</v>
      </c>
      <c r="K35" s="81">
        <f>'Capital IQ Sheet-GPC'!J28</f>
        <v>788.67728</v>
      </c>
      <c r="L35" s="81">
        <f>'Capital IQ Sheet-GPC'!K28</f>
        <v>5.3609999999999998</v>
      </c>
      <c r="M35" s="81" t="str">
        <f>'Capital IQ Sheet-GPC'!L28</f>
        <v>n/a</v>
      </c>
      <c r="N35" s="81" t="str">
        <f>'Capital IQ Sheet-GPC'!M28</f>
        <v>n/a</v>
      </c>
      <c r="O35" s="81">
        <f t="shared" si="16"/>
        <v>5.3609999999999998</v>
      </c>
      <c r="P35" s="81">
        <f t="shared" si="17"/>
        <v>794.03827999999999</v>
      </c>
      <c r="Q35" s="81">
        <f>'Capital IQ Sheet-GPC'!N28</f>
        <v>229.536</v>
      </c>
      <c r="R35" s="81">
        <f t="shared" si="18"/>
        <v>564.50227999999993</v>
      </c>
      <c r="T35" s="1575">
        <f t="shared" si="19"/>
        <v>41456</v>
      </c>
      <c r="U35" s="310">
        <v>1</v>
      </c>
      <c r="V35" s="51">
        <f t="shared" si="20"/>
        <v>6.7515636651673773E-3</v>
      </c>
      <c r="W35" s="51">
        <f t="shared" si="21"/>
        <v>0.99324843633483262</v>
      </c>
      <c r="X35" s="51">
        <f t="shared" si="7"/>
        <v>0.25</v>
      </c>
      <c r="Z35" s="82" t="str">
        <f>'MASTER PubCo Inputs'!B43</f>
        <v>NasdaqGS:CBAY</v>
      </c>
      <c r="AA35" s="311">
        <f>'Capital IQ Sheet-GPC'!H28</f>
        <v>564.50228000000004</v>
      </c>
      <c r="AB35" s="83">
        <f t="shared" si="22"/>
        <v>0</v>
      </c>
      <c r="AC35" s="1609">
        <f>'Capital IQ Sheet-GPC'!G28</f>
        <v>41663</v>
      </c>
      <c r="AD35" s="42">
        <f t="shared" si="23"/>
        <v>4.4328767123287669</v>
      </c>
      <c r="AH35" s="84"/>
    </row>
    <row r="36" spans="2:34" ht="12.75" customHeight="1">
      <c r="B36" s="310" t="str">
        <f>Comp.1!B31</f>
        <v>Intra-Cellular Therapies, Inc.</v>
      </c>
      <c r="D36" s="1595">
        <v>5</v>
      </c>
      <c r="E36" s="50" t="s">
        <v>150</v>
      </c>
      <c r="F36" s="50" t="s">
        <v>149</v>
      </c>
      <c r="H36" s="80">
        <f>HLOOKUP(D36,'Capital IQ Sheet-GPC'!$AQ$10:$AS$75,ROWS('Capital IQ Sheet-GPC'!AQ$10:AQ29),FALSE)</f>
        <v>0.74321999999999999</v>
      </c>
      <c r="I36" s="1576">
        <f>IF(ISERROR(H36/(1+(1-$X36)*(($V36)/$W36))), "n/a", H36/(1+(1-$X36)*(($V36)/$W36)))</f>
        <v>0.74321999999999999</v>
      </c>
      <c r="K36" s="81">
        <f>'Capital IQ Sheet-GPC'!J29</f>
        <v>966.48504000000003</v>
      </c>
      <c r="L36" s="81">
        <f>'Capital IQ Sheet-GPC'!K29</f>
        <v>0</v>
      </c>
      <c r="M36" s="81" t="str">
        <f>'Capital IQ Sheet-GPC'!L29</f>
        <v>n/a</v>
      </c>
      <c r="N36" s="81" t="str">
        <f>'Capital IQ Sheet-GPC'!M29</f>
        <v>n/a</v>
      </c>
      <c r="O36" s="81">
        <f t="shared" si="16"/>
        <v>0</v>
      </c>
      <c r="P36" s="81">
        <f t="shared" si="17"/>
        <v>966.48504000000003</v>
      </c>
      <c r="Q36" s="81">
        <f>'Capital IQ Sheet-GPC'!N29</f>
        <v>437.00551000000002</v>
      </c>
      <c r="R36" s="81">
        <f t="shared" si="18"/>
        <v>529.47953000000007</v>
      </c>
      <c r="T36" s="1575">
        <f t="shared" si="19"/>
        <v>41456</v>
      </c>
      <c r="U36" s="310">
        <v>1</v>
      </c>
      <c r="V36" s="51">
        <f t="shared" si="20"/>
        <v>0</v>
      </c>
      <c r="W36" s="51">
        <f t="shared" si="21"/>
        <v>1</v>
      </c>
      <c r="X36" s="51">
        <f t="shared" si="7"/>
        <v>0.25</v>
      </c>
      <c r="Z36" s="82" t="str">
        <f>'MASTER PubCo Inputs'!B44</f>
        <v>NasdaqGS:ITCI</v>
      </c>
      <c r="AA36" s="311">
        <f>'Capital IQ Sheet-GPC'!H29</f>
        <v>529.47951999999998</v>
      </c>
      <c r="AB36" s="83">
        <f t="shared" si="22"/>
        <v>1.0000000088439265E-5</v>
      </c>
      <c r="AC36" s="1609">
        <f>'Capital IQ Sheet-GPC'!G29</f>
        <v>41631</v>
      </c>
      <c r="AD36" s="42">
        <f t="shared" si="23"/>
        <v>4.5205479452054798</v>
      </c>
      <c r="AH36" s="84"/>
    </row>
    <row r="37" spans="2:34" ht="12.75" customHeight="1">
      <c r="B37" s="310" t="str">
        <f>Comp.1!B32</f>
        <v>Viking Therapeutics, Inc.</v>
      </c>
      <c r="D37" s="1595">
        <v>2</v>
      </c>
      <c r="E37" s="50" t="s">
        <v>150</v>
      </c>
      <c r="F37" s="50" t="s">
        <v>149</v>
      </c>
      <c r="H37" s="80">
        <f>HLOOKUP(D37,'Capital IQ Sheet-GPC'!$AQ$10:$AS$75,ROWS('Capital IQ Sheet-GPC'!AQ$10:AQ30),FALSE)</f>
        <v>1.5939399999999999</v>
      </c>
      <c r="I37" s="1576">
        <f>IF(ISERROR(H37/(1+(1-$X37)*(($V37)/$W37))), "n/a", H37/(1+(1-$X37)*(($V37)/$W37)))</f>
        <v>1.5861084796454044</v>
      </c>
      <c r="K37" s="81">
        <f>'Capital IQ Sheet-GPC'!J30</f>
        <v>565.20726999999999</v>
      </c>
      <c r="L37" s="81">
        <f>'Capital IQ Sheet-GPC'!K30</f>
        <v>3.7210000000000001</v>
      </c>
      <c r="M37" s="81" t="str">
        <f>'Capital IQ Sheet-GPC'!L30</f>
        <v>n/a</v>
      </c>
      <c r="N37" s="81" t="str">
        <f>'Capital IQ Sheet-GPC'!M30</f>
        <v>n/a</v>
      </c>
      <c r="O37" s="81">
        <f t="shared" si="16"/>
        <v>3.7210000000000001</v>
      </c>
      <c r="P37" s="81">
        <f t="shared" si="17"/>
        <v>568.92827</v>
      </c>
      <c r="Q37" s="81">
        <f>'Capital IQ Sheet-GPC'!N30</f>
        <v>77.468000000000004</v>
      </c>
      <c r="R37" s="81">
        <f t="shared" si="18"/>
        <v>491.46026999999998</v>
      </c>
      <c r="T37" s="1575">
        <f t="shared" si="19"/>
        <v>42551</v>
      </c>
      <c r="U37" s="310">
        <v>1</v>
      </c>
      <c r="V37" s="51">
        <f t="shared" si="20"/>
        <v>6.5403675581106211E-3</v>
      </c>
      <c r="W37" s="51">
        <f t="shared" si="21"/>
        <v>0.9934596324418894</v>
      </c>
      <c r="X37" s="51">
        <f t="shared" si="7"/>
        <v>0.25</v>
      </c>
      <c r="Z37" s="82" t="str">
        <f>'MASTER PubCo Inputs'!B45</f>
        <v>NasdaqCM:VKTX</v>
      </c>
      <c r="AA37" s="311">
        <f>'Capital IQ Sheet-GPC'!H30</f>
        <v>491.46026999999998</v>
      </c>
      <c r="AB37" s="83">
        <f t="shared" si="22"/>
        <v>0</v>
      </c>
      <c r="AC37" s="1609">
        <f>'Capital IQ Sheet-GPC'!G30</f>
        <v>42123</v>
      </c>
      <c r="AD37" s="42">
        <f t="shared" si="23"/>
        <v>3.1726027397260275</v>
      </c>
      <c r="AH37" s="84"/>
    </row>
    <row r="38" spans="2:34" ht="12.75" customHeight="1">
      <c r="B38" s="310" t="str">
        <f>Comp.1!B33</f>
        <v>Xeris Pharmaceuticals, Inc.</v>
      </c>
      <c r="D38" s="1612"/>
      <c r="E38" s="50" t="s">
        <v>150</v>
      </c>
      <c r="F38" s="50" t="s">
        <v>149</v>
      </c>
      <c r="H38" s="1610"/>
      <c r="I38" s="1611"/>
      <c r="K38" s="81">
        <f>'Capital IQ Sheet-GPC'!J31</f>
        <v>374.58265999999998</v>
      </c>
      <c r="L38" s="81">
        <f>'Capital IQ Sheet-GPC'!K31</f>
        <v>18.050999999999998</v>
      </c>
      <c r="M38" s="81">
        <f>'Capital IQ Sheet-GPC'!L31</f>
        <v>102.292</v>
      </c>
      <c r="N38" s="81" t="str">
        <f>'Capital IQ Sheet-GPC'!M31</f>
        <v>n/a</v>
      </c>
      <c r="O38" s="81">
        <f t="shared" si="16"/>
        <v>120.343</v>
      </c>
      <c r="P38" s="81">
        <f t="shared" si="17"/>
        <v>494.92565999999999</v>
      </c>
      <c r="Q38" s="81">
        <f>'Capital IQ Sheet-GPC'!N31</f>
        <v>58.11</v>
      </c>
      <c r="R38" s="81">
        <f t="shared" si="18"/>
        <v>436.81565999999998</v>
      </c>
      <c r="T38" s="1575">
        <f t="shared" si="19"/>
        <v>43281</v>
      </c>
      <c r="U38" s="310">
        <v>1</v>
      </c>
      <c r="V38" s="51">
        <f t="shared" si="20"/>
        <v>0.24315368898028039</v>
      </c>
      <c r="W38" s="51">
        <f t="shared" si="21"/>
        <v>0.75684631101971966</v>
      </c>
      <c r="X38" s="51">
        <f t="shared" si="7"/>
        <v>0.25</v>
      </c>
      <c r="Z38" s="82" t="str">
        <f>'MASTER PubCo Inputs'!B46</f>
        <v>NasdaqGS:XERS</v>
      </c>
      <c r="AA38" s="311">
        <f>'Capital IQ Sheet-GPC'!H31</f>
        <v>436.81565999999998</v>
      </c>
      <c r="AB38" s="83">
        <f t="shared" si="22"/>
        <v>0</v>
      </c>
      <c r="AC38" s="1609">
        <f>'Capital IQ Sheet-GPC'!G31</f>
        <v>43272</v>
      </c>
      <c r="AD38" s="42">
        <f t="shared" si="23"/>
        <v>2.4657534246575342E-2</v>
      </c>
      <c r="AH38" s="84"/>
    </row>
    <row r="39" spans="2:34" ht="12.75" customHeight="1">
      <c r="B39" s="310" t="str">
        <f>Comp.1!B34</f>
        <v>Odonate Therapeutics, Inc.</v>
      </c>
      <c r="D39" s="1612"/>
      <c r="E39" s="50" t="s">
        <v>150</v>
      </c>
      <c r="F39" s="50" t="s">
        <v>149</v>
      </c>
      <c r="H39" s="1610"/>
      <c r="I39" s="1611"/>
      <c r="K39" s="81">
        <f>'Capital IQ Sheet-GPC'!J32</f>
        <v>593.68480999999997</v>
      </c>
      <c r="L39" s="81">
        <f>'Capital IQ Sheet-GPC'!K32</f>
        <v>0</v>
      </c>
      <c r="M39" s="81" t="str">
        <f>'Capital IQ Sheet-GPC'!L32</f>
        <v>n/a</v>
      </c>
      <c r="N39" s="81" t="str">
        <f>'Capital IQ Sheet-GPC'!M32</f>
        <v>n/a</v>
      </c>
      <c r="O39" s="81">
        <f t="shared" si="16"/>
        <v>0</v>
      </c>
      <c r="P39" s="81">
        <f t="shared" si="17"/>
        <v>593.68480999999997</v>
      </c>
      <c r="Q39" s="81">
        <f>'Capital IQ Sheet-GPC'!N32</f>
        <v>195.24600000000001</v>
      </c>
      <c r="R39" s="81">
        <f t="shared" si="18"/>
        <v>398.43880999999999</v>
      </c>
      <c r="T39" s="1575">
        <f t="shared" si="19"/>
        <v>43281</v>
      </c>
      <c r="U39" s="310">
        <v>1</v>
      </c>
      <c r="V39" s="51">
        <f t="shared" si="20"/>
        <v>0</v>
      </c>
      <c r="W39" s="51">
        <f t="shared" si="21"/>
        <v>1</v>
      </c>
      <c r="X39" s="51">
        <f t="shared" si="7"/>
        <v>0.25</v>
      </c>
      <c r="Z39" s="82" t="str">
        <f>'MASTER PubCo Inputs'!B47</f>
        <v>NasdaqGS:ODT</v>
      </c>
      <c r="AA39" s="311">
        <f>'Capital IQ Sheet-GPC'!H32</f>
        <v>398.43880999999999</v>
      </c>
      <c r="AB39" s="83">
        <f t="shared" si="22"/>
        <v>0</v>
      </c>
      <c r="AC39" s="1609">
        <f>'Capital IQ Sheet-GPC'!G32</f>
        <v>43076</v>
      </c>
      <c r="AD39" s="42">
        <f t="shared" si="23"/>
        <v>0.56164383561643838</v>
      </c>
      <c r="AH39" s="84"/>
    </row>
    <row r="40" spans="2:34" ht="12.75" customHeight="1">
      <c r="B40" s="310" t="str">
        <f>Comp.1!B35</f>
        <v>Nightstar Therapeutics plc</v>
      </c>
      <c r="D40" s="1612"/>
      <c r="E40" s="50" t="s">
        <v>150</v>
      </c>
      <c r="F40" s="50" t="s">
        <v>149</v>
      </c>
      <c r="H40" s="1610"/>
      <c r="I40" s="1611"/>
      <c r="K40" s="81">
        <f>'Capital IQ Sheet-GPC'!J33</f>
        <v>462.47541999999999</v>
      </c>
      <c r="L40" s="81">
        <f>'Capital IQ Sheet-GPC'!K33</f>
        <v>0</v>
      </c>
      <c r="M40" s="81" t="str">
        <f>'Capital IQ Sheet-GPC'!L33</f>
        <v>n/a</v>
      </c>
      <c r="N40" s="81" t="str">
        <f>'Capital IQ Sheet-GPC'!M33</f>
        <v>n/a</v>
      </c>
      <c r="O40" s="81">
        <f t="shared" si="16"/>
        <v>0</v>
      </c>
      <c r="P40" s="81">
        <f t="shared" si="17"/>
        <v>462.47541999999999</v>
      </c>
      <c r="Q40" s="81">
        <f>'Capital IQ Sheet-GPC'!N33</f>
        <v>122.277</v>
      </c>
      <c r="R40" s="81">
        <f t="shared" si="18"/>
        <v>340.19842</v>
      </c>
      <c r="T40" s="1575">
        <f t="shared" si="19"/>
        <v>43281</v>
      </c>
      <c r="U40" s="310">
        <v>1</v>
      </c>
      <c r="V40" s="51">
        <f t="shared" si="20"/>
        <v>0</v>
      </c>
      <c r="W40" s="51">
        <f t="shared" si="21"/>
        <v>1</v>
      </c>
      <c r="X40" s="51">
        <f t="shared" si="7"/>
        <v>0.25</v>
      </c>
      <c r="Z40" s="82" t="str">
        <f>'MASTER PubCo Inputs'!B48</f>
        <v>NasdaqGS:NITE</v>
      </c>
      <c r="AA40" s="311">
        <f>'Capital IQ Sheet-GPC'!H33</f>
        <v>340.19842</v>
      </c>
      <c r="AB40" s="83">
        <f t="shared" si="22"/>
        <v>0</v>
      </c>
      <c r="AC40" s="1609">
        <f>'Capital IQ Sheet-GPC'!G33</f>
        <v>43006</v>
      </c>
      <c r="AD40" s="42">
        <f t="shared" si="23"/>
        <v>0.75342465753424659</v>
      </c>
      <c r="AH40" s="84"/>
    </row>
    <row r="41" spans="2:34" ht="12.75" customHeight="1">
      <c r="B41" s="310" t="str">
        <f>Comp.1!B36</f>
        <v>Zafgen, Inc.</v>
      </c>
      <c r="D41" s="1612"/>
      <c r="E41" s="50" t="s">
        <v>150</v>
      </c>
      <c r="F41" s="50" t="s">
        <v>149</v>
      </c>
      <c r="H41" s="1610"/>
      <c r="I41" s="1611"/>
      <c r="K41" s="81">
        <f>'Capital IQ Sheet-GPC'!J34</f>
        <v>363.76737000000003</v>
      </c>
      <c r="L41" s="81">
        <f>'Capital IQ Sheet-GPC'!K34</f>
        <v>20.16</v>
      </c>
      <c r="M41" s="81" t="str">
        <f>'Capital IQ Sheet-GPC'!L34</f>
        <v>n/a</v>
      </c>
      <c r="N41" s="81" t="str">
        <f>'Capital IQ Sheet-GPC'!M34</f>
        <v>n/a</v>
      </c>
      <c r="O41" s="81">
        <f t="shared" si="16"/>
        <v>20.16</v>
      </c>
      <c r="P41" s="81">
        <f t="shared" si="17"/>
        <v>383.92737000000005</v>
      </c>
      <c r="Q41" s="81">
        <f>'Capital IQ Sheet-GPC'!N34</f>
        <v>89.07</v>
      </c>
      <c r="R41" s="81">
        <f t="shared" si="18"/>
        <v>294.85737000000006</v>
      </c>
      <c r="T41" s="1575">
        <f t="shared" si="19"/>
        <v>43281</v>
      </c>
      <c r="U41" s="310">
        <v>1</v>
      </c>
      <c r="V41" s="51">
        <f t="shared" si="20"/>
        <v>5.2509931761312037E-2</v>
      </c>
      <c r="W41" s="51">
        <f t="shared" si="21"/>
        <v>0.94749006823868798</v>
      </c>
      <c r="X41" s="51">
        <f t="shared" si="7"/>
        <v>0.25</v>
      </c>
      <c r="Z41" s="82" t="str">
        <f>'MASTER PubCo Inputs'!B49</f>
        <v>NasdaqGS:ZFGN</v>
      </c>
      <c r="AA41" s="311">
        <f>'Capital IQ Sheet-GPC'!H34</f>
        <v>294.85737</v>
      </c>
      <c r="AB41" s="83">
        <f t="shared" si="22"/>
        <v>0</v>
      </c>
      <c r="AC41" s="1609">
        <f>'Capital IQ Sheet-GPC'!G34</f>
        <v>41810</v>
      </c>
      <c r="AD41" s="42">
        <f t="shared" si="23"/>
        <v>4.0301369863013701</v>
      </c>
      <c r="AH41" s="84"/>
    </row>
    <row r="42" spans="2:34" ht="12.75" customHeight="1">
      <c r="B42" s="310" t="str">
        <f>Comp.1!B37</f>
        <v>MediciNova, Inc.</v>
      </c>
      <c r="D42" s="1595">
        <v>5</v>
      </c>
      <c r="E42" s="50" t="s">
        <v>150</v>
      </c>
      <c r="F42" s="50" t="s">
        <v>149</v>
      </c>
      <c r="H42" s="80">
        <f>HLOOKUP(D42,'Capital IQ Sheet-GPC'!$AQ$10:$AS$75,ROWS('Capital IQ Sheet-GPC'!AQ$10:AQ35),FALSE)</f>
        <v>0.24084</v>
      </c>
      <c r="I42" s="1576">
        <f t="shared" ref="I42:I48" si="24">IF(ISERROR(H42/(1+(1-$X42)*(($V42)/$W42))), "n/a", H42/(1+(1-$X42)*(($V42)/$W42)))</f>
        <v>0.24084</v>
      </c>
      <c r="K42" s="81">
        <f>'Capital IQ Sheet-GPC'!J35</f>
        <v>327.38742000000002</v>
      </c>
      <c r="L42" s="81">
        <f>'Capital IQ Sheet-GPC'!K35</f>
        <v>0</v>
      </c>
      <c r="M42" s="81" t="str">
        <f>'Capital IQ Sheet-GPC'!L35</f>
        <v>n/a</v>
      </c>
      <c r="N42" s="81" t="str">
        <f>'Capital IQ Sheet-GPC'!M35</f>
        <v>n/a</v>
      </c>
      <c r="O42" s="81">
        <f t="shared" si="16"/>
        <v>0</v>
      </c>
      <c r="P42" s="81">
        <f t="shared" si="17"/>
        <v>327.38742000000002</v>
      </c>
      <c r="Q42" s="81">
        <f>'Capital IQ Sheet-GPC'!N35</f>
        <v>62.9392</v>
      </c>
      <c r="R42" s="81">
        <f t="shared" si="18"/>
        <v>264.44821999999999</v>
      </c>
      <c r="T42" s="1575">
        <f t="shared" si="19"/>
        <v>41456</v>
      </c>
      <c r="U42" s="310">
        <v>1</v>
      </c>
      <c r="V42" s="51">
        <f t="shared" si="20"/>
        <v>0</v>
      </c>
      <c r="W42" s="51">
        <f t="shared" si="21"/>
        <v>1</v>
      </c>
      <c r="X42" s="51">
        <f t="shared" si="7"/>
        <v>0.25</v>
      </c>
      <c r="Z42" s="82" t="str">
        <f>'MASTER PubCo Inputs'!B50</f>
        <v>NasdaqGM:MNOV</v>
      </c>
      <c r="AA42" s="311">
        <f>'Capital IQ Sheet-GPC'!H35</f>
        <v>264.44821999999999</v>
      </c>
      <c r="AB42" s="83">
        <f t="shared" si="22"/>
        <v>0</v>
      </c>
      <c r="AC42" s="1609">
        <f>'Capital IQ Sheet-GPC'!G35</f>
        <v>39058</v>
      </c>
      <c r="AD42" s="42">
        <f t="shared" si="23"/>
        <v>11.56986301369863</v>
      </c>
      <c r="AH42" s="84"/>
    </row>
    <row r="43" spans="2:34" ht="12.75" customHeight="1">
      <c r="B43" s="310" t="str">
        <f>Comp.1!B38</f>
        <v>AVEO Pharmaceuticals, Inc.</v>
      </c>
      <c r="D43" s="1595">
        <v>5</v>
      </c>
      <c r="E43" s="50" t="s">
        <v>150</v>
      </c>
      <c r="F43" s="50" t="s">
        <v>149</v>
      </c>
      <c r="H43" s="80">
        <f>HLOOKUP(D43,'Capital IQ Sheet-GPC'!$AQ$10:$AS$75,ROWS('Capital IQ Sheet-GPC'!AQ$10:AQ36),FALSE)</f>
        <v>1.61704</v>
      </c>
      <c r="I43" s="1576">
        <f t="shared" si="24"/>
        <v>1.5372642318215617</v>
      </c>
      <c r="K43" s="81">
        <f>'Capital IQ Sheet-GPC'!J36</f>
        <v>268.64048000000003</v>
      </c>
      <c r="L43" s="81">
        <f>'Capital IQ Sheet-GPC'!K36</f>
        <v>18.588000000000001</v>
      </c>
      <c r="M43" s="81" t="str">
        <f>'Capital IQ Sheet-GPC'!L36</f>
        <v>n/a</v>
      </c>
      <c r="N43" s="81" t="str">
        <f>'Capital IQ Sheet-GPC'!M36</f>
        <v>n/a</v>
      </c>
      <c r="O43" s="81">
        <f t="shared" si="16"/>
        <v>18.588000000000001</v>
      </c>
      <c r="P43" s="81">
        <f t="shared" si="17"/>
        <v>287.22848000000005</v>
      </c>
      <c r="Q43" s="81">
        <f>'Capital IQ Sheet-GPC'!N36</f>
        <v>26.995000000000001</v>
      </c>
      <c r="R43" s="81">
        <f t="shared" si="18"/>
        <v>260.23348000000004</v>
      </c>
      <c r="T43" s="1575">
        <f t="shared" si="19"/>
        <v>41456</v>
      </c>
      <c r="U43" s="310">
        <v>1</v>
      </c>
      <c r="V43" s="51">
        <f t="shared" si="20"/>
        <v>6.471503104427527E-2</v>
      </c>
      <c r="W43" s="51">
        <f t="shared" si="21"/>
        <v>0.93528496895572477</v>
      </c>
      <c r="X43" s="51">
        <f t="shared" si="7"/>
        <v>0.25</v>
      </c>
      <c r="Z43" s="82" t="str">
        <f>'MASTER PubCo Inputs'!B51</f>
        <v>NasdaqCM:AVEO</v>
      </c>
      <c r="AA43" s="311">
        <f>'Capital IQ Sheet-GPC'!H36</f>
        <v>260.23347999999999</v>
      </c>
      <c r="AB43" s="83">
        <f t="shared" si="22"/>
        <v>0</v>
      </c>
      <c r="AC43" s="1609">
        <f>'Capital IQ Sheet-GPC'!G36</f>
        <v>40249</v>
      </c>
      <c r="AD43" s="42">
        <f t="shared" si="23"/>
        <v>8.3068493150684937</v>
      </c>
      <c r="AH43" s="84"/>
    </row>
    <row r="44" spans="2:34" ht="12.75" customHeight="1">
      <c r="B44" s="310" t="str">
        <f>Comp.1!B39</f>
        <v>BioTime, Inc.</v>
      </c>
      <c r="D44" s="1595">
        <v>5</v>
      </c>
      <c r="E44" s="50" t="s">
        <v>150</v>
      </c>
      <c r="F44" s="50" t="s">
        <v>149</v>
      </c>
      <c r="H44" s="80">
        <f>HLOOKUP(D44,'Capital IQ Sheet-GPC'!$AQ$10:$AS$75,ROWS('Capital IQ Sheet-GPC'!AQ$10:AQ37),FALSE)</f>
        <v>2.0350600000000001</v>
      </c>
      <c r="I44" s="1576">
        <f t="shared" si="24"/>
        <v>2.0268097527082434</v>
      </c>
      <c r="K44" s="81">
        <f>'Capital IQ Sheet-GPC'!J37</f>
        <v>261.35887000000002</v>
      </c>
      <c r="L44" s="81">
        <f>'Capital IQ Sheet-GPC'!K37</f>
        <v>1.4319999999999999</v>
      </c>
      <c r="M44" s="81" t="str">
        <f>'Capital IQ Sheet-GPC'!L37</f>
        <v>n/a</v>
      </c>
      <c r="N44" s="81">
        <f>'Capital IQ Sheet-GPC'!M37</f>
        <v>2.4870000000000001</v>
      </c>
      <c r="O44" s="81">
        <f t="shared" si="16"/>
        <v>3.919</v>
      </c>
      <c r="P44" s="81">
        <f t="shared" si="17"/>
        <v>265.27787000000006</v>
      </c>
      <c r="Q44" s="81">
        <f>'Capital IQ Sheet-GPC'!N37</f>
        <v>31.379000000000001</v>
      </c>
      <c r="R44" s="81">
        <f t="shared" si="18"/>
        <v>233.89887000000007</v>
      </c>
      <c r="T44" s="1575">
        <f t="shared" si="19"/>
        <v>41456</v>
      </c>
      <c r="U44" s="310">
        <v>1</v>
      </c>
      <c r="V44" s="51">
        <f t="shared" si="20"/>
        <v>5.3981133066244823E-3</v>
      </c>
      <c r="W44" s="51">
        <f t="shared" si="21"/>
        <v>0.99460188669337557</v>
      </c>
      <c r="X44" s="51">
        <f t="shared" si="7"/>
        <v>0.25</v>
      </c>
      <c r="Z44" s="82" t="str">
        <f>'MASTER PubCo Inputs'!B52</f>
        <v>AMEX:BTX</v>
      </c>
      <c r="AA44" s="311">
        <f>'Capital IQ Sheet-GPC'!H37</f>
        <v>233.89886999999999</v>
      </c>
      <c r="AB44" s="83">
        <f t="shared" si="22"/>
        <v>0</v>
      </c>
      <c r="AC44" s="1609">
        <f>'Capital IQ Sheet-GPC'!G37</f>
        <v>33668</v>
      </c>
      <c r="AD44" s="42">
        <f t="shared" si="23"/>
        <v>26.336986301369862</v>
      </c>
      <c r="AH44" s="84"/>
    </row>
    <row r="45" spans="2:34" ht="12.75" customHeight="1">
      <c r="B45" s="310" t="str">
        <f>Comp.1!B40</f>
        <v>Cytokinetics, Incorporated</v>
      </c>
      <c r="D45" s="1595">
        <v>5</v>
      </c>
      <c r="E45" s="50" t="s">
        <v>150</v>
      </c>
      <c r="F45" s="50" t="s">
        <v>149</v>
      </c>
      <c r="H45" s="80">
        <f>HLOOKUP(D45,'Capital IQ Sheet-GPC'!$AQ$10:$AS$75,ROWS('Capital IQ Sheet-GPC'!AQ$10:AQ38),FALSE)</f>
        <v>1.47993</v>
      </c>
      <c r="I45" s="1576">
        <f t="shared" si="24"/>
        <v>1.40507377711571</v>
      </c>
      <c r="K45" s="81">
        <f>'Capital IQ Sheet-GPC'!J38</f>
        <v>449.83963</v>
      </c>
      <c r="L45" s="81">
        <f>'Capital IQ Sheet-GPC'!K38</f>
        <v>31.954000000000001</v>
      </c>
      <c r="M45" s="81" t="str">
        <f>'Capital IQ Sheet-GPC'!L38</f>
        <v>n/a</v>
      </c>
      <c r="N45" s="81" t="str">
        <f>'Capital IQ Sheet-GPC'!M38</f>
        <v>n/a</v>
      </c>
      <c r="O45" s="81">
        <f t="shared" si="16"/>
        <v>31.954000000000001</v>
      </c>
      <c r="P45" s="81">
        <f t="shared" si="17"/>
        <v>481.79363000000001</v>
      </c>
      <c r="Q45" s="81">
        <f>'Capital IQ Sheet-GPC'!N38</f>
        <v>251.45400000000001</v>
      </c>
      <c r="R45" s="81">
        <f t="shared" si="18"/>
        <v>230.33963</v>
      </c>
      <c r="T45" s="1575">
        <f t="shared" si="19"/>
        <v>41456</v>
      </c>
      <c r="U45" s="310">
        <v>1</v>
      </c>
      <c r="V45" s="51">
        <f t="shared" si="20"/>
        <v>6.6323002236455472E-2</v>
      </c>
      <c r="W45" s="51">
        <f t="shared" si="21"/>
        <v>0.93367699776354451</v>
      </c>
      <c r="X45" s="51">
        <f t="shared" si="7"/>
        <v>0.25</v>
      </c>
      <c r="Z45" s="82" t="str">
        <f>'MASTER PubCo Inputs'!B53</f>
        <v>NasdaqGS:CYTK</v>
      </c>
      <c r="AA45" s="311">
        <f>'Capital IQ Sheet-GPC'!H38</f>
        <v>230.33963</v>
      </c>
      <c r="AB45" s="83">
        <f t="shared" si="22"/>
        <v>0</v>
      </c>
      <c r="AC45" s="1609">
        <f>'Capital IQ Sheet-GPC'!G38</f>
        <v>38106</v>
      </c>
      <c r="AD45" s="42">
        <f t="shared" si="23"/>
        <v>14.178082191780822</v>
      </c>
      <c r="AH45" s="84"/>
    </row>
    <row r="46" spans="2:34" ht="12.75" customHeight="1">
      <c r="B46" s="310" t="str">
        <f>Comp.1!B41</f>
        <v>Emisphere Technologies, Inc.</v>
      </c>
      <c r="D46" s="1595">
        <v>5</v>
      </c>
      <c r="E46" s="50" t="s">
        <v>150</v>
      </c>
      <c r="F46" s="50" t="s">
        <v>149</v>
      </c>
      <c r="H46" s="80">
        <f>HLOOKUP(D46,'Capital IQ Sheet-GPC'!$AQ$10:$AS$75,ROWS('Capital IQ Sheet-GPC'!AQ$10:AQ39),FALSE)</f>
        <v>2.19746</v>
      </c>
      <c r="I46" s="1576">
        <f t="shared" si="24"/>
        <v>1.6281555337986848</v>
      </c>
      <c r="K46" s="81">
        <f>'Capital IQ Sheet-GPC'!J39</f>
        <v>146.04595</v>
      </c>
      <c r="L46" s="81">
        <f>'Capital IQ Sheet-GPC'!K39</f>
        <v>68.088999999999999</v>
      </c>
      <c r="M46" s="81" t="str">
        <f>'Capital IQ Sheet-GPC'!L39</f>
        <v>n/a</v>
      </c>
      <c r="N46" s="81" t="str">
        <f>'Capital IQ Sheet-GPC'!M39</f>
        <v>n/a</v>
      </c>
      <c r="O46" s="81">
        <f t="shared" si="16"/>
        <v>68.088999999999999</v>
      </c>
      <c r="P46" s="81">
        <f t="shared" si="17"/>
        <v>214.13495</v>
      </c>
      <c r="Q46" s="81">
        <f>'Capital IQ Sheet-GPC'!N39</f>
        <v>4.6390000000000002</v>
      </c>
      <c r="R46" s="81">
        <f t="shared" si="18"/>
        <v>209.49594999999999</v>
      </c>
      <c r="T46" s="1575">
        <f t="shared" si="19"/>
        <v>41456</v>
      </c>
      <c r="U46" s="310">
        <v>1</v>
      </c>
      <c r="V46" s="51">
        <f t="shared" si="20"/>
        <v>0.31797238143516504</v>
      </c>
      <c r="W46" s="51">
        <f t="shared" si="21"/>
        <v>0.68202761856483496</v>
      </c>
      <c r="X46" s="51">
        <f t="shared" si="7"/>
        <v>0.25</v>
      </c>
      <c r="Z46" s="82" t="str">
        <f>'MASTER PubCo Inputs'!B54</f>
        <v>OTCPK:EMIS</v>
      </c>
      <c r="AA46" s="311">
        <f>'Capital IQ Sheet-GPC'!H39</f>
        <v>209.49594999999999</v>
      </c>
      <c r="AB46" s="83">
        <f t="shared" si="22"/>
        <v>0</v>
      </c>
      <c r="AC46" s="1609">
        <f>'Capital IQ Sheet-GPC'!G39</f>
        <v>32548</v>
      </c>
      <c r="AD46" s="42">
        <f t="shared" si="23"/>
        <v>29.405479452054795</v>
      </c>
      <c r="AH46" s="84"/>
    </row>
    <row r="47" spans="2:34" ht="12.75" customHeight="1">
      <c r="B47" s="310" t="str">
        <f>Comp.1!B42</f>
        <v>CohBar, Inc.</v>
      </c>
      <c r="D47" s="1595">
        <v>2</v>
      </c>
      <c r="E47" s="50" t="s">
        <v>150</v>
      </c>
      <c r="F47" s="50" t="s">
        <v>149</v>
      </c>
      <c r="H47" s="80">
        <f>HLOOKUP(D47,'Capital IQ Sheet-GPC'!$AQ$10:$AS$75,ROWS('Capital IQ Sheet-GPC'!AQ$10:AQ40),FALSE)</f>
        <v>2.1240199999999998</v>
      </c>
      <c r="I47" s="1576">
        <f t="shared" si="24"/>
        <v>2.1129070113076787</v>
      </c>
      <c r="K47" s="81">
        <f>'Capital IQ Sheet-GPC'!J40</f>
        <v>199.81565000000001</v>
      </c>
      <c r="L47" s="81">
        <f>'Capital IQ Sheet-GPC'!K40</f>
        <v>1.40126</v>
      </c>
      <c r="M47" s="81" t="str">
        <f>'Capital IQ Sheet-GPC'!L40</f>
        <v>n/a</v>
      </c>
      <c r="N47" s="81" t="str">
        <f>'Capital IQ Sheet-GPC'!M40</f>
        <v>n/a</v>
      </c>
      <c r="O47" s="81">
        <f t="shared" ref="O47:O52" si="25">SUM(L47:N47)</f>
        <v>1.40126</v>
      </c>
      <c r="P47" s="81">
        <f t="shared" ref="P47:P52" si="26">SUM(K47:N47)</f>
        <v>201.21691000000001</v>
      </c>
      <c r="Q47" s="81">
        <f>'Capital IQ Sheet-GPC'!N40</f>
        <v>8.4566599999999994</v>
      </c>
      <c r="R47" s="81">
        <f t="shared" ref="R47:R52" si="27">IF(ISERROR(P47-Q47), "n/a", P47-Q47)</f>
        <v>192.76025000000001</v>
      </c>
      <c r="T47" s="1575">
        <f>$AA$2-365*D47</f>
        <v>42551</v>
      </c>
      <c r="U47" s="310">
        <v>1</v>
      </c>
      <c r="V47" s="51">
        <f t="shared" ref="V47:V52" si="28">IFERROR(SUM(L47:M47)/P47,"n/a")</f>
        <v>6.9639276341138517E-3</v>
      </c>
      <c r="W47" s="51">
        <f t="shared" ref="W47:W52" si="29">IFERROR(1-V47,"n/a")</f>
        <v>0.9930360723658862</v>
      </c>
      <c r="X47" s="51">
        <f t="shared" si="7"/>
        <v>0.25</v>
      </c>
      <c r="Z47" s="82" t="str">
        <f>'MASTER PubCo Inputs'!B55</f>
        <v>TSXV:COB.U</v>
      </c>
      <c r="AA47" s="311">
        <f>'Capital IQ Sheet-GPC'!H40</f>
        <v>204.76295999999999</v>
      </c>
      <c r="AB47" s="83">
        <f t="shared" ref="AB47:AB52" si="30">R47-AA47</f>
        <v>-12.002709999999979</v>
      </c>
      <c r="AC47" s="1609">
        <f>'Capital IQ Sheet-GPC'!G40</f>
        <v>42012</v>
      </c>
      <c r="AD47" s="42">
        <f t="shared" ref="AD47:AD52" si="31">YEARFRAC(AC47,$AA$2,3)</f>
        <v>3.4767123287671233</v>
      </c>
      <c r="AH47" s="84"/>
    </row>
    <row r="48" spans="2:34" ht="12.75" customHeight="1">
      <c r="B48" s="310" t="str">
        <f>Comp.1!B43</f>
        <v>vTv Therapeutics Inc.</v>
      </c>
      <c r="D48" s="1595">
        <v>2</v>
      </c>
      <c r="E48" s="50" t="s">
        <v>150</v>
      </c>
      <c r="F48" s="50" t="s">
        <v>149</v>
      </c>
      <c r="H48" s="80">
        <f>HLOOKUP(D48,'Capital IQ Sheet-GPC'!$AQ$10:$AS$75,ROWS('Capital IQ Sheet-GPC'!AQ$10:AQ41),FALSE)</f>
        <v>1.8547800000000001</v>
      </c>
      <c r="I48" s="1576">
        <f t="shared" si="24"/>
        <v>1.6730480342453982</v>
      </c>
      <c r="K48" s="81">
        <f>'Capital IQ Sheet-GPC'!J41</f>
        <v>16.74211</v>
      </c>
      <c r="L48" s="81">
        <f>'Capital IQ Sheet-GPC'!K41</f>
        <v>19.861999999999998</v>
      </c>
      <c r="M48" s="81" t="str">
        <f>'Capital IQ Sheet-GPC'!L41</f>
        <v>n/a</v>
      </c>
      <c r="N48" s="81">
        <f>'Capital IQ Sheet-GPC'!M41</f>
        <v>120.39700000000001</v>
      </c>
      <c r="O48" s="81">
        <f t="shared" si="25"/>
        <v>140.25900000000001</v>
      </c>
      <c r="P48" s="81">
        <f t="shared" si="26"/>
        <v>157.00111000000001</v>
      </c>
      <c r="Q48" s="81">
        <f>'Capital IQ Sheet-GPC'!N41</f>
        <v>6.5350000000000001</v>
      </c>
      <c r="R48" s="81">
        <f t="shared" si="27"/>
        <v>150.46611000000001</v>
      </c>
      <c r="T48" s="1575">
        <f>$AA$2-365*D48</f>
        <v>42551</v>
      </c>
      <c r="U48" s="310">
        <v>1</v>
      </c>
      <c r="V48" s="51">
        <f t="shared" si="28"/>
        <v>0.1265086597158453</v>
      </c>
      <c r="W48" s="51">
        <f t="shared" si="29"/>
        <v>0.87349134028415465</v>
      </c>
      <c r="X48" s="51">
        <f t="shared" si="7"/>
        <v>0.25</v>
      </c>
      <c r="Z48" s="82" t="str">
        <f>'MASTER PubCo Inputs'!B56</f>
        <v>NasdaqGM:VTVT</v>
      </c>
      <c r="AA48" s="311">
        <f>'Capital IQ Sheet-GPC'!H41</f>
        <v>148.21010999999999</v>
      </c>
      <c r="AB48" s="83">
        <f t="shared" si="30"/>
        <v>2.2560000000000286</v>
      </c>
      <c r="AC48" s="1609">
        <f>'Capital IQ Sheet-GPC'!G41</f>
        <v>42215</v>
      </c>
      <c r="AD48" s="42">
        <f t="shared" si="31"/>
        <v>2.9205479452054797</v>
      </c>
      <c r="AH48" s="84"/>
    </row>
    <row r="49" spans="2:34" ht="12.75" customHeight="1">
      <c r="B49" s="310" t="str">
        <f>Comp.1!B44</f>
        <v>Rezolute, Inc.</v>
      </c>
      <c r="D49" s="1612"/>
      <c r="E49" s="50" t="s">
        <v>150</v>
      </c>
      <c r="F49" s="50" t="s">
        <v>149</v>
      </c>
      <c r="H49" s="1610"/>
      <c r="I49" s="1611"/>
      <c r="K49" s="81">
        <f>'Capital IQ Sheet-GPC'!J42</f>
        <v>29.46659</v>
      </c>
      <c r="L49" s="81">
        <f>'Capital IQ Sheet-GPC'!K42</f>
        <v>0.92469999999999997</v>
      </c>
      <c r="M49" s="81" t="str">
        <f>'Capital IQ Sheet-GPC'!L42</f>
        <v>n/a</v>
      </c>
      <c r="N49" s="81" t="str">
        <f>'Capital IQ Sheet-GPC'!M42</f>
        <v>n/a</v>
      </c>
      <c r="O49" s="81">
        <f t="shared" si="25"/>
        <v>0.92469999999999997</v>
      </c>
      <c r="P49" s="81">
        <f t="shared" si="26"/>
        <v>30.391290000000001</v>
      </c>
      <c r="Q49" s="81">
        <f>'Capital IQ Sheet-GPC'!N42</f>
        <v>7.8119999999999995E-2</v>
      </c>
      <c r="R49" s="81">
        <f t="shared" si="27"/>
        <v>30.313170000000003</v>
      </c>
      <c r="T49" s="1575">
        <f>$AA$2-365*D49</f>
        <v>43281</v>
      </c>
      <c r="U49" s="310">
        <v>1</v>
      </c>
      <c r="V49" s="51">
        <f t="shared" si="28"/>
        <v>3.04264807449766E-2</v>
      </c>
      <c r="W49" s="51">
        <f t="shared" si="29"/>
        <v>0.96957351925502344</v>
      </c>
      <c r="X49" s="51">
        <f t="shared" si="7"/>
        <v>0.25</v>
      </c>
      <c r="Z49" s="82" t="str">
        <f>'MASTER PubCo Inputs'!B57</f>
        <v>OTCPK:RZLT</v>
      </c>
      <c r="AA49" s="311">
        <f>'Capital IQ Sheet-GPC'!H42</f>
        <v>28.82142</v>
      </c>
      <c r="AB49" s="83">
        <f t="shared" si="30"/>
        <v>1.4917500000000032</v>
      </c>
      <c r="AC49" s="1609">
        <f>'Capital IQ Sheet-GPC'!G42</f>
        <v>41306</v>
      </c>
      <c r="AD49" s="42">
        <f t="shared" si="31"/>
        <v>5.4109589041095889</v>
      </c>
      <c r="AH49" s="84"/>
    </row>
    <row r="50" spans="2:34" ht="12.75" customHeight="1">
      <c r="B50" s="310" t="str">
        <f>Comp.1!B45</f>
        <v>Boston Therapeutics, Inc.</v>
      </c>
      <c r="D50" s="1612"/>
      <c r="E50" s="50" t="s">
        <v>150</v>
      </c>
      <c r="F50" s="50" t="s">
        <v>149</v>
      </c>
      <c r="H50" s="1610"/>
      <c r="I50" s="1611"/>
      <c r="K50" s="81">
        <f>'Capital IQ Sheet-GPC'!J44</f>
        <v>8.1007300000000004</v>
      </c>
      <c r="L50" s="81">
        <f>'Capital IQ Sheet-GPC'!K44</f>
        <v>1.99634</v>
      </c>
      <c r="M50" s="81">
        <f>'Capital IQ Sheet-GPC'!L44</f>
        <v>8.0000000000000007E-5</v>
      </c>
      <c r="N50" s="81" t="str">
        <f>'Capital IQ Sheet-GPC'!M44</f>
        <v>n/a</v>
      </c>
      <c r="O50" s="81">
        <f t="shared" si="25"/>
        <v>1.9964200000000001</v>
      </c>
      <c r="P50" s="81">
        <f t="shared" si="26"/>
        <v>10.097150000000001</v>
      </c>
      <c r="Q50" s="81">
        <f>'Capital IQ Sheet-GPC'!N44</f>
        <v>0.20532</v>
      </c>
      <c r="R50" s="81">
        <f t="shared" si="27"/>
        <v>9.8918300000000006</v>
      </c>
      <c r="T50" s="1575">
        <f>$AA$2-365*D51</f>
        <v>41456</v>
      </c>
      <c r="U50" s="310">
        <v>1</v>
      </c>
      <c r="V50" s="51">
        <f t="shared" si="28"/>
        <v>0.19772113913331979</v>
      </c>
      <c r="W50" s="51">
        <f t="shared" si="29"/>
        <v>0.80227886086668021</v>
      </c>
      <c r="X50" s="51">
        <f t="shared" si="7"/>
        <v>0.25</v>
      </c>
      <c r="Z50" s="82" t="str">
        <f>'MASTER PubCo Inputs'!B58</f>
        <v>OTCPK:BTHE</v>
      </c>
      <c r="AA50" s="311">
        <f>'Capital IQ Sheet-GPC'!H44</f>
        <v>9.8918400000000002</v>
      </c>
      <c r="AB50" s="83">
        <f t="shared" si="30"/>
        <v>-9.9999999996214228E-6</v>
      </c>
      <c r="AC50" s="1609">
        <f>'Capital IQ Sheet-GPC'!G44</f>
        <v>40969</v>
      </c>
      <c r="AD50" s="42">
        <f t="shared" si="31"/>
        <v>6.3342465753424655</v>
      </c>
      <c r="AH50" s="84"/>
    </row>
    <row r="51" spans="2:34" ht="12.75" customHeight="1">
      <c r="B51" s="310" t="str">
        <f>Comp.1!B46</f>
        <v>Neuralstem, Inc.</v>
      </c>
      <c r="D51" s="1595">
        <v>5</v>
      </c>
      <c r="E51" s="50" t="s">
        <v>150</v>
      </c>
      <c r="F51" s="50" t="s">
        <v>149</v>
      </c>
      <c r="H51" s="80">
        <f>HLOOKUP(D51,'Capital IQ Sheet-GPC'!$AQ$10:$AS$75,ROWS('Capital IQ Sheet-GPC'!AQ$10:AQ45),FALSE)</f>
        <v>1.4231799999999999</v>
      </c>
      <c r="I51" s="1576">
        <f>IF(ISERROR(H51/(1+(1-$X51)*(($V51)/$W51))), "n/a", H51/(1+(1-$X51)*(($V51)/$W51)))</f>
        <v>1.4225459771952915</v>
      </c>
      <c r="K51" s="81">
        <f>'Capital IQ Sheet-GPC'!J45</f>
        <v>16.82762</v>
      </c>
      <c r="L51" s="81">
        <f>'Capital IQ Sheet-GPC'!K45</f>
        <v>0</v>
      </c>
      <c r="M51" s="81">
        <f>'Capital IQ Sheet-GPC'!L45</f>
        <v>0.01</v>
      </c>
      <c r="N51" s="81" t="str">
        <f>'Capital IQ Sheet-GPC'!M45</f>
        <v>n/a</v>
      </c>
      <c r="O51" s="81">
        <f t="shared" si="25"/>
        <v>0.01</v>
      </c>
      <c r="P51" s="81">
        <f t="shared" si="26"/>
        <v>16.837620000000001</v>
      </c>
      <c r="Q51" s="81">
        <f>'Capital IQ Sheet-GPC'!N45</f>
        <v>9.7242499999999996</v>
      </c>
      <c r="R51" s="81">
        <f t="shared" si="27"/>
        <v>7.1133700000000015</v>
      </c>
      <c r="T51" s="1575">
        <f>$AA$2-365*D52</f>
        <v>42551</v>
      </c>
      <c r="U51" s="310">
        <v>1</v>
      </c>
      <c r="V51" s="51">
        <f t="shared" si="28"/>
        <v>5.9390816516823638E-4</v>
      </c>
      <c r="W51" s="51">
        <f t="shared" si="29"/>
        <v>0.99940609183483176</v>
      </c>
      <c r="X51" s="51">
        <f t="shared" si="7"/>
        <v>0.25</v>
      </c>
      <c r="Z51" s="82" t="str">
        <f>'MASTER PubCo Inputs'!B59</f>
        <v>NasdaqCM:CUR</v>
      </c>
      <c r="AA51" s="311">
        <f>'Capital IQ Sheet-GPC'!H45</f>
        <v>7.1133699999999997</v>
      </c>
      <c r="AB51" s="83">
        <f t="shared" si="30"/>
        <v>0</v>
      </c>
      <c r="AC51" s="1609">
        <f>'Capital IQ Sheet-GPC'!G45</f>
        <v>39071</v>
      </c>
      <c r="AD51" s="42">
        <f t="shared" si="31"/>
        <v>11.534246575342467</v>
      </c>
      <c r="AH51" s="84"/>
    </row>
    <row r="52" spans="2:34" ht="12.75" customHeight="1">
      <c r="B52" s="310" t="str">
        <f>Comp.1!B47</f>
        <v>Nexus BioPharma, Inc.</v>
      </c>
      <c r="D52" s="1595">
        <v>2</v>
      </c>
      <c r="E52" s="50" t="s">
        <v>150</v>
      </c>
      <c r="F52" s="50" t="s">
        <v>149</v>
      </c>
      <c r="H52" s="80">
        <f>HLOOKUP(D52,'Capital IQ Sheet-GPC'!$AQ$10:$AS$75,ROWS('Capital IQ Sheet-GPC'!AQ$10:AQ46),FALSE)</f>
        <v>3.7693300000000001</v>
      </c>
      <c r="I52" s="1576">
        <f>IF(ISERROR(H52/(1+(1-$X52)*(($V52)/$W52))), "n/a", H52/(1+(1-$X52)*(($V52)/$W52)))</f>
        <v>3.5175913869417839</v>
      </c>
      <c r="K52" s="81">
        <f>'Capital IQ Sheet-GPC'!J46</f>
        <v>3.8515700000000002</v>
      </c>
      <c r="L52" s="81">
        <f>'Capital IQ Sheet-GPC'!K46</f>
        <v>0.36752000000000001</v>
      </c>
      <c r="M52" s="81" t="str">
        <f>'Capital IQ Sheet-GPC'!L46</f>
        <v>n/a</v>
      </c>
      <c r="N52" s="81" t="str">
        <f>'Capital IQ Sheet-GPC'!M46</f>
        <v>n/a</v>
      </c>
      <c r="O52" s="81">
        <f t="shared" si="25"/>
        <v>0.36752000000000001</v>
      </c>
      <c r="P52" s="81">
        <f t="shared" si="26"/>
        <v>4.2190900000000005</v>
      </c>
      <c r="Q52" s="81">
        <f>'Capital IQ Sheet-GPC'!N46</f>
        <v>8.43E-3</v>
      </c>
      <c r="R52" s="81">
        <f t="shared" si="27"/>
        <v>4.2106600000000007</v>
      </c>
      <c r="T52" s="1575">
        <f>$AA$2-365*D54</f>
        <v>43281</v>
      </c>
      <c r="U52" s="310">
        <v>1</v>
      </c>
      <c r="V52" s="51">
        <f t="shared" si="28"/>
        <v>8.710883152528151E-2</v>
      </c>
      <c r="W52" s="51">
        <f t="shared" si="29"/>
        <v>0.91289116847471852</v>
      </c>
      <c r="X52" s="51">
        <f t="shared" si="7"/>
        <v>0.25</v>
      </c>
      <c r="Z52" s="82" t="str">
        <f>'MASTER PubCo Inputs'!B60</f>
        <v>OTCPK:NEXS</v>
      </c>
      <c r="AA52" s="311">
        <f>'Capital IQ Sheet-GPC'!H46</f>
        <v>4.2106599999999998</v>
      </c>
      <c r="AB52" s="83">
        <f t="shared" si="30"/>
        <v>0</v>
      </c>
      <c r="AC52" s="1609">
        <f>'Capital IQ Sheet-GPC'!G46</f>
        <v>42531</v>
      </c>
      <c r="AD52" s="42">
        <f t="shared" si="31"/>
        <v>2.0547945205479454</v>
      </c>
      <c r="AH52" s="84"/>
    </row>
    <row r="53" spans="2:34" ht="12.75" customHeight="1">
      <c r="B53" s="310" t="str">
        <f>Comp.1!B48</f>
        <v>ERYTECH Pharma S.A.</v>
      </c>
      <c r="D53" s="1595">
        <v>5</v>
      </c>
      <c r="E53" s="50" t="s">
        <v>150</v>
      </c>
      <c r="F53" s="50" t="s">
        <v>149</v>
      </c>
      <c r="H53" s="80">
        <f>HLOOKUP(D53,'Capital IQ Sheet-GPC'!$AQ$10:$AS$75,ROWS('Capital IQ Sheet-GPC'!AQ$10:AQ47),FALSE)</f>
        <v>0.56396999999999997</v>
      </c>
      <c r="I53" s="1576">
        <f>IF(ISERROR(H53/(1+(1-$X53)*(($V53)/$W53))), "n/a", H53/(1+(1-$X53)*(($V53)/$W53)))</f>
        <v>0.55690244978752113</v>
      </c>
      <c r="K53" s="81">
        <f>'Capital IQ Sheet-GPC'!J47</f>
        <v>201.74755999999999</v>
      </c>
      <c r="L53" s="81">
        <f>'Capital IQ Sheet-GPC'!K47</f>
        <v>3.4137900000000001</v>
      </c>
      <c r="M53" s="81" t="str">
        <f>'Capital IQ Sheet-GPC'!L47</f>
        <v>n/a</v>
      </c>
      <c r="N53" s="81" t="str">
        <f>'Capital IQ Sheet-GPC'!M47</f>
        <v>n/a</v>
      </c>
      <c r="O53" s="81">
        <f>SUM(L53:N53)</f>
        <v>3.4137900000000001</v>
      </c>
      <c r="P53" s="81">
        <f>SUM(K53:N53)</f>
        <v>205.16135</v>
      </c>
      <c r="Q53" s="81">
        <f>'Capital IQ Sheet-GPC'!N47</f>
        <v>222.77257</v>
      </c>
      <c r="R53" s="81">
        <f>IF(ISERROR(P53-Q53), "n/a", P53-Q53)</f>
        <v>-17.611220000000003</v>
      </c>
      <c r="T53" s="1575">
        <f>$AA$2-365*D55</f>
        <v>43281</v>
      </c>
      <c r="U53" s="310">
        <v>1</v>
      </c>
      <c r="V53" s="51">
        <f>IFERROR(SUM(L53:M53)/P53,"n/a")</f>
        <v>1.6639537612713116E-2</v>
      </c>
      <c r="W53" s="51">
        <f>IFERROR(1-V53,"n/a")</f>
        <v>0.98336046238728692</v>
      </c>
      <c r="X53" s="51">
        <f t="shared" si="7"/>
        <v>0.25</v>
      </c>
      <c r="Z53" s="82" t="str">
        <f>'MASTER PubCo Inputs'!B61</f>
        <v>ENXTPA:ERYP</v>
      </c>
      <c r="AA53" s="311">
        <f>'Capital IQ Sheet-GPC'!H47</f>
        <v>-11.39209</v>
      </c>
      <c r="AB53" s="83">
        <f>R53-AA53</f>
        <v>-6.2191300000000034</v>
      </c>
      <c r="AC53" s="1609">
        <f>'Capital IQ Sheet-GPC'!G47</f>
        <v>41394</v>
      </c>
      <c r="AD53" s="42">
        <f>YEARFRAC(AC53,$AA$2,3)</f>
        <v>5.1698630136986301</v>
      </c>
      <c r="AH53" s="84"/>
    </row>
    <row r="54" spans="2:34" ht="12.75" customHeight="1">
      <c r="K54" s="311"/>
      <c r="L54" s="311"/>
      <c r="M54" s="311"/>
      <c r="N54" s="311"/>
      <c r="O54" s="311"/>
      <c r="P54" s="311"/>
      <c r="Q54" s="311"/>
      <c r="R54" s="311"/>
      <c r="S54" s="53"/>
      <c r="T54" s="20"/>
      <c r="U54" s="20"/>
      <c r="V54" s="20"/>
      <c r="W54" s="20"/>
      <c r="X54" s="20"/>
    </row>
    <row r="55" spans="2:34" ht="12.75" customHeight="1">
      <c r="B55" s="1574" t="s">
        <v>41</v>
      </c>
      <c r="C55" s="833"/>
      <c r="D55" s="833"/>
      <c r="E55" s="833"/>
      <c r="F55" s="833"/>
      <c r="G55" s="833"/>
      <c r="H55" s="1416">
        <f>MAX(H29:H53)</f>
        <v>3.7693300000000001</v>
      </c>
      <c r="I55" s="1416">
        <f>MAX(I29:I53)</f>
        <v>3.5175913869417839</v>
      </c>
      <c r="J55" s="833"/>
      <c r="K55" s="1415">
        <f t="shared" ref="K55:R55" si="32">MAX(K29:K53)</f>
        <v>2943.9233800000002</v>
      </c>
      <c r="L55" s="1415">
        <f t="shared" si="32"/>
        <v>245.39599999999999</v>
      </c>
      <c r="M55" s="1415">
        <f t="shared" si="32"/>
        <v>132.386</v>
      </c>
      <c r="N55" s="1415">
        <f t="shared" si="32"/>
        <v>120.39700000000001</v>
      </c>
      <c r="O55" s="1415">
        <f t="shared" si="32"/>
        <v>245.39599999999999</v>
      </c>
      <c r="P55" s="1415">
        <f t="shared" si="32"/>
        <v>3110.6913800000002</v>
      </c>
      <c r="Q55" s="1415">
        <f t="shared" si="32"/>
        <v>562.52</v>
      </c>
      <c r="R55" s="1573">
        <f t="shared" si="32"/>
        <v>2548.1713800000002</v>
      </c>
      <c r="S55" s="46"/>
      <c r="T55" s="46"/>
      <c r="U55" s="46"/>
      <c r="V55" s="1570">
        <f>MAX(V29:V53)</f>
        <v>0.31797238143516504</v>
      </c>
      <c r="W55" s="1570">
        <f>MAX(W29:W53)</f>
        <v>1</v>
      </c>
      <c r="X55" s="46"/>
    </row>
    <row r="56" spans="2:34" ht="12.75" customHeight="1">
      <c r="B56" s="278" t="s">
        <v>45</v>
      </c>
      <c r="C56" s="73"/>
      <c r="D56" s="73"/>
      <c r="E56" s="73"/>
      <c r="F56" s="73"/>
      <c r="G56" s="73"/>
      <c r="H56" s="88">
        <f>QUARTILE(H29:H53,3)</f>
        <v>1.8963300000000001</v>
      </c>
      <c r="I56" s="88">
        <f>QUARTILE(I29:I53,3)</f>
        <v>1.6730480342453982</v>
      </c>
      <c r="J56" s="73"/>
      <c r="K56" s="89">
        <f t="shared" ref="K56:R56" si="33">QUARTILE(K29:K53,3)</f>
        <v>788.67728</v>
      </c>
      <c r="L56" s="89">
        <f t="shared" si="33"/>
        <v>19.861999999999998</v>
      </c>
      <c r="M56" s="89">
        <f t="shared" si="33"/>
        <v>109.8155</v>
      </c>
      <c r="N56" s="89">
        <f t="shared" si="33"/>
        <v>61.442000000000007</v>
      </c>
      <c r="O56" s="89">
        <f t="shared" si="33"/>
        <v>43.624000000000002</v>
      </c>
      <c r="P56" s="89">
        <f t="shared" si="33"/>
        <v>794.03827999999999</v>
      </c>
      <c r="Q56" s="89">
        <f t="shared" si="33"/>
        <v>195.24600000000001</v>
      </c>
      <c r="R56" s="1572">
        <f t="shared" si="33"/>
        <v>564.50227999999993</v>
      </c>
      <c r="S56" s="46"/>
      <c r="T56" s="46"/>
      <c r="U56" s="46"/>
      <c r="V56" s="1570">
        <f>QUARTILE(V29:V53,3)</f>
        <v>8.710883152528151E-2</v>
      </c>
      <c r="W56" s="1570">
        <f>QUARTILE(W29:W53,3)</f>
        <v>0.99940609183483176</v>
      </c>
      <c r="X56" s="46"/>
    </row>
    <row r="57" spans="2:34" ht="12.75" customHeight="1">
      <c r="B57" s="278" t="s">
        <v>43</v>
      </c>
      <c r="C57" s="73"/>
      <c r="D57" s="73"/>
      <c r="E57" s="73"/>
      <c r="F57" s="73"/>
      <c r="G57" s="73"/>
      <c r="H57" s="88">
        <f>AVERAGE(H29:H53)</f>
        <v>1.479561176470588</v>
      </c>
      <c r="I57" s="88">
        <f>AVERAGE(I29:I53)</f>
        <v>1.4021616720238601</v>
      </c>
      <c r="J57" s="73"/>
      <c r="K57" s="89">
        <f t="shared" ref="K57:R57" si="34">AVERAGE(K29:K53)</f>
        <v>569.31687600000009</v>
      </c>
      <c r="L57" s="89">
        <f t="shared" si="34"/>
        <v>26.044384399999998</v>
      </c>
      <c r="M57" s="89">
        <f t="shared" si="34"/>
        <v>58.672019999999996</v>
      </c>
      <c r="N57" s="89">
        <f t="shared" si="34"/>
        <v>41.150666666666673</v>
      </c>
      <c r="O57" s="89">
        <f t="shared" si="34"/>
        <v>40.369987599999988</v>
      </c>
      <c r="P57" s="89">
        <f t="shared" si="34"/>
        <v>609.68686360000004</v>
      </c>
      <c r="Q57" s="89">
        <f t="shared" si="34"/>
        <v>120.30624239999999</v>
      </c>
      <c r="R57" s="1572">
        <f t="shared" si="34"/>
        <v>489.38062120000001</v>
      </c>
      <c r="S57" s="46"/>
      <c r="T57" s="46"/>
      <c r="U57" s="46"/>
      <c r="V57" s="1570">
        <f>AVERAGE(V29:V53)</f>
        <v>6.4559045257227471E-2</v>
      </c>
      <c r="W57" s="1570">
        <f>AVERAGE(W29:W53)</f>
        <v>0.93544095474277245</v>
      </c>
      <c r="X57" s="46"/>
    </row>
    <row r="58" spans="2:34" ht="12.75" customHeight="1">
      <c r="B58" s="278" t="s">
        <v>3</v>
      </c>
      <c r="C58" s="73"/>
      <c r="D58" s="73"/>
      <c r="E58" s="73"/>
      <c r="F58" s="73"/>
      <c r="G58" s="73"/>
      <c r="H58" s="88">
        <f>MEDIAN(H29:H53)</f>
        <v>1.47993</v>
      </c>
      <c r="I58" s="88">
        <f>MEDIAN(I29:I53)</f>
        <v>1.4225459771952915</v>
      </c>
      <c r="J58" s="73"/>
      <c r="K58" s="89">
        <f t="shared" ref="K58:R58" si="35">MEDIAN(K29:K53)</f>
        <v>374.58265999999998</v>
      </c>
      <c r="L58" s="89">
        <f t="shared" si="35"/>
        <v>1.99634</v>
      </c>
      <c r="M58" s="89">
        <f t="shared" si="35"/>
        <v>51.150999999999996</v>
      </c>
      <c r="N58" s="89">
        <f t="shared" si="35"/>
        <v>2.4870000000000001</v>
      </c>
      <c r="O58" s="89">
        <f t="shared" si="35"/>
        <v>3.7210000000000001</v>
      </c>
      <c r="P58" s="89">
        <f t="shared" si="35"/>
        <v>462.47541999999999</v>
      </c>
      <c r="Q58" s="89">
        <f t="shared" si="35"/>
        <v>77.468000000000004</v>
      </c>
      <c r="R58" s="1572">
        <f t="shared" si="35"/>
        <v>294.85737000000006</v>
      </c>
      <c r="S58" s="46"/>
      <c r="T58" s="46"/>
      <c r="U58" s="46"/>
      <c r="V58" s="1570">
        <f>MEDIAN(V29:V53)</f>
        <v>2.8562538087667233E-2</v>
      </c>
      <c r="W58" s="1570">
        <f>MEDIAN(W29:W53)</f>
        <v>0.97143746191233271</v>
      </c>
      <c r="X58" s="46"/>
    </row>
    <row r="59" spans="2:34" ht="12.75" customHeight="1">
      <c r="B59" s="278" t="s">
        <v>44</v>
      </c>
      <c r="C59" s="73"/>
      <c r="D59" s="73"/>
      <c r="E59" s="73"/>
      <c r="F59" s="73"/>
      <c r="G59" s="73"/>
      <c r="H59" s="88">
        <f>QUARTILE(H29:H53,1)</f>
        <v>0.74321999999999999</v>
      </c>
      <c r="I59" s="88">
        <f>QUARTILE(I29:I53,1)</f>
        <v>0.74321999999999999</v>
      </c>
      <c r="J59" s="73"/>
      <c r="K59" s="89">
        <f t="shared" ref="K59:R59" si="36">QUARTILE(K29:K53,1)</f>
        <v>199.81565000000001</v>
      </c>
      <c r="L59" s="89">
        <f t="shared" si="36"/>
        <v>0</v>
      </c>
      <c r="M59" s="89">
        <f t="shared" si="36"/>
        <v>7.5200000000000006E-3</v>
      </c>
      <c r="N59" s="89">
        <f t="shared" si="36"/>
        <v>1.5274999999999999</v>
      </c>
      <c r="O59" s="89">
        <f t="shared" si="36"/>
        <v>0.36752000000000001</v>
      </c>
      <c r="P59" s="89">
        <f t="shared" si="36"/>
        <v>205.16135</v>
      </c>
      <c r="Q59" s="89">
        <f t="shared" si="36"/>
        <v>9.7242499999999996</v>
      </c>
      <c r="R59" s="1572">
        <f t="shared" si="36"/>
        <v>192.76025000000001</v>
      </c>
      <c r="S59" s="46"/>
      <c r="T59" s="46"/>
      <c r="U59" s="46"/>
      <c r="V59" s="1570">
        <f>QUARTILE(V29:V53,1)</f>
        <v>5.9390816516823638E-4</v>
      </c>
      <c r="W59" s="1570">
        <f>QUARTILE(W29:W53,1)</f>
        <v>0.91289116847471852</v>
      </c>
      <c r="X59" s="46"/>
    </row>
    <row r="60" spans="2:34" ht="12.75" customHeight="1">
      <c r="B60" s="90" t="s">
        <v>42</v>
      </c>
      <c r="C60" s="67"/>
      <c r="D60" s="67"/>
      <c r="E60" s="67"/>
      <c r="F60" s="67"/>
      <c r="G60" s="67"/>
      <c r="H60" s="92">
        <f>MIN(H29:H53)</f>
        <v>0.24084</v>
      </c>
      <c r="I60" s="92">
        <f>MIN(I29:I53)</f>
        <v>0.24084</v>
      </c>
      <c r="J60" s="67"/>
      <c r="K60" s="70">
        <f t="shared" ref="K60:R60" si="37">MIN(K29:K53)</f>
        <v>3.8515700000000002</v>
      </c>
      <c r="L60" s="70">
        <f t="shared" si="37"/>
        <v>0</v>
      </c>
      <c r="M60" s="70">
        <f t="shared" si="37"/>
        <v>8.0000000000000007E-5</v>
      </c>
      <c r="N60" s="70">
        <f t="shared" si="37"/>
        <v>0.56799999999999995</v>
      </c>
      <c r="O60" s="70">
        <f t="shared" si="37"/>
        <v>0</v>
      </c>
      <c r="P60" s="70">
        <f t="shared" si="37"/>
        <v>4.2190900000000005</v>
      </c>
      <c r="Q60" s="70">
        <f t="shared" si="37"/>
        <v>8.43E-3</v>
      </c>
      <c r="R60" s="1571">
        <f t="shared" si="37"/>
        <v>-17.611220000000003</v>
      </c>
      <c r="S60" s="46"/>
      <c r="T60" s="46"/>
      <c r="U60" s="46"/>
      <c r="V60" s="1570">
        <f>MIN(V29:V53)</f>
        <v>0</v>
      </c>
      <c r="W60" s="1570">
        <f>MIN(W29:W53)</f>
        <v>0.68202761856483496</v>
      </c>
      <c r="X60" s="46"/>
    </row>
    <row r="61" spans="2:34" s="72" customFormat="1" ht="12.75" customHeight="1">
      <c r="B61" s="1602"/>
      <c r="C61" s="1602"/>
      <c r="D61" s="1602"/>
      <c r="E61" s="1602"/>
      <c r="F61" s="1602"/>
      <c r="G61" s="1602"/>
      <c r="H61" s="1603"/>
      <c r="I61" s="1603"/>
      <c r="J61" s="1602"/>
      <c r="K61" s="1604"/>
      <c r="L61" s="1604"/>
      <c r="M61" s="1604"/>
      <c r="N61" s="1604"/>
      <c r="O61" s="1604"/>
      <c r="P61" s="1604"/>
      <c r="Q61" s="1604"/>
      <c r="R61" s="1604"/>
      <c r="S61" s="46"/>
      <c r="T61" s="46"/>
      <c r="U61" s="46"/>
      <c r="V61" s="1605"/>
      <c r="W61" s="1605"/>
      <c r="X61" s="46"/>
    </row>
    <row r="62" spans="2:34" ht="12.75" customHeight="1">
      <c r="B62" s="1" t="s">
        <v>1696</v>
      </c>
      <c r="K62" s="311"/>
      <c r="L62" s="311"/>
      <c r="M62" s="311"/>
      <c r="N62" s="311"/>
      <c r="O62" s="311"/>
      <c r="P62" s="311"/>
      <c r="Q62" s="311"/>
      <c r="R62" s="311"/>
      <c r="S62" s="53"/>
      <c r="T62" s="20"/>
      <c r="U62" s="20"/>
      <c r="V62" s="20"/>
      <c r="W62" s="20"/>
      <c r="X62" s="20"/>
    </row>
    <row r="63" spans="2:34" ht="12.75" customHeight="1">
      <c r="B63" s="1574" t="s">
        <v>41</v>
      </c>
      <c r="C63" s="833"/>
      <c r="D63" s="833"/>
      <c r="E63" s="833"/>
      <c r="F63" s="833"/>
      <c r="G63" s="833"/>
      <c r="H63" s="1416">
        <f t="array" ref="H63">MAX(IF($U$11:$U$53=1,H$11:H$53,""))</f>
        <v>3.7693300000000001</v>
      </c>
      <c r="I63" s="1416">
        <f t="array" ref="I63">MAX(IF($U$11:$U$53=1,I$11:I$53,""))</f>
        <v>3.5175913869417839</v>
      </c>
      <c r="J63" s="833"/>
      <c r="K63" s="1415">
        <f t="array" ref="K63">MAX(IF($U$11:$U$53=1,K$11:K$53,""))</f>
        <v>112194.50996</v>
      </c>
      <c r="L63" s="1415">
        <f t="array" ref="L63">MAX(IF($U$11:$U$53=1,L$11:L$53,""))</f>
        <v>746.46118999999999</v>
      </c>
      <c r="M63" s="1415">
        <f t="array" ref="M63">MAX(IF($U$11:$U$53=1,M$11:M$53,""))</f>
        <v>132.386</v>
      </c>
      <c r="N63" s="1415">
        <f t="array" ref="N63">MAX(IF($U$11:$U$53=1,N$11:N$53,""))</f>
        <v>120.39700000000001</v>
      </c>
      <c r="O63" s="1415">
        <f t="array" ref="O63">MAX(IF($U$11:$U$53=1,O$11:O$53,""))</f>
        <v>746.46118999999999</v>
      </c>
      <c r="P63" s="1415">
        <f t="array" ref="P63">MAX(IF($U$11:$U$53=1,P$11:P$53,""))</f>
        <v>112232.19422999999</v>
      </c>
      <c r="Q63" s="1415">
        <f t="array" ref="Q63">MAX(IF($U$11:$U$53=1,Q$11:Q$53,""))</f>
        <v>1737.6084000000001</v>
      </c>
      <c r="R63" s="1573">
        <f t="array" ref="R63">MAX(IF($U$11:$U$53=1,R$11:R$53,""))</f>
        <v>110494.58583</v>
      </c>
      <c r="S63" s="46"/>
      <c r="T63" s="46"/>
      <c r="U63" s="46"/>
      <c r="V63" s="1570">
        <f t="array" ref="V63">MAX(IF($U$11:$U$52=1,V$11:V$52,""))</f>
        <v>0.34522039120908604</v>
      </c>
      <c r="W63" s="1570">
        <f t="array" ref="W63">MAX(IF($U$11:$U$52=1,W$11:W$52,""))</f>
        <v>1</v>
      </c>
      <c r="X63" s="46"/>
    </row>
    <row r="64" spans="2:34" ht="12.75" customHeight="1">
      <c r="B64" s="278" t="s">
        <v>45</v>
      </c>
      <c r="C64" s="73"/>
      <c r="D64" s="73"/>
      <c r="E64" s="73"/>
      <c r="F64" s="73"/>
      <c r="G64" s="73"/>
      <c r="H64" s="88">
        <f t="array" ref="H64">QUARTILE(IF($U$11:$U$53=1,H$11:H$53,""),3)</f>
        <v>1.7902899999999999</v>
      </c>
      <c r="I64" s="88">
        <f t="array" ref="I64">QUARTILE(IF($U$11:$U$53=1,I$11:I$53,""),3)</f>
        <v>1.6176437702603648</v>
      </c>
      <c r="J64" s="73"/>
      <c r="K64" s="89">
        <f t="array" ref="K64">QUARTILE(IF($U$11:$U$53=1,K$11:K$53,""),3)</f>
        <v>1430.2640425</v>
      </c>
      <c r="L64" s="89">
        <f t="array" ref="L64">QUARTILE(IF($U$11:$U$53=1,L$11:L$53,""),3)</f>
        <v>42.139067500000003</v>
      </c>
      <c r="M64" s="89">
        <f t="array" ref="M64">QUARTILE(IF($U$11:$U$53=1,M$11:M$53,""),3)</f>
        <v>109.8155</v>
      </c>
      <c r="N64" s="89">
        <f t="array" ref="N64">QUARTILE(IF($U$11:$U$53=1,N$11:N$53,""),3)</f>
        <v>31.73986</v>
      </c>
      <c r="O64" s="89">
        <f t="array" ref="O64">QUARTILE(IF($U$11:$U$53=1,O$11:O$53,""),3)</f>
        <v>129.37524999999999</v>
      </c>
      <c r="P64" s="89">
        <f t="array" ref="P64">QUARTILE(IF($U$11:$U$53=1,P$11:P$53,""),3)</f>
        <v>1524.3310425</v>
      </c>
      <c r="Q64" s="89">
        <f t="array" ref="Q64">QUARTILE(IF($U$11:$U$53=1,Q$11:Q$53,""),3)</f>
        <v>241.09094999999999</v>
      </c>
      <c r="R64" s="1572">
        <f t="array" ref="R64">QUARTILE(IF($U$11:$U$53=1,R$11:R$53,""),3)</f>
        <v>1377.2950425000001</v>
      </c>
      <c r="S64" s="46"/>
      <c r="T64" s="46"/>
      <c r="U64" s="46"/>
      <c r="V64" s="1570">
        <f t="array" ref="V64">QUARTILE(IF($U$11:$U$52=1,V$11:V$52,""),3)</f>
        <v>0.1264883959462019</v>
      </c>
      <c r="W64" s="1570">
        <f t="array" ref="W64">QUARTILE(IF($U$11:$U$52=1,W$11:W$52,""),3)</f>
        <v>0.9996642294106558</v>
      </c>
      <c r="X64" s="46"/>
    </row>
    <row r="65" spans="1:24" ht="12.75" customHeight="1">
      <c r="B65" s="278" t="s">
        <v>43</v>
      </c>
      <c r="C65" s="73"/>
      <c r="D65" s="73"/>
      <c r="E65" s="73"/>
      <c r="F65" s="73"/>
      <c r="G65" s="73"/>
      <c r="H65" s="88">
        <f t="array" ref="H65">AVERAGE(IF($U$11:$U$53=1,H$11:H$53,""))</f>
        <v>1.0458347058823529</v>
      </c>
      <c r="I65" s="88">
        <f t="array" ref="I65">AVERAGE(IF($U$11:$U$53=1,I$11:I$53,""))</f>
        <v>0.96829246265902547</v>
      </c>
      <c r="J65" s="73"/>
      <c r="K65" s="89">
        <f t="array" ref="K65">AVERAGE(IF($U$11:$U$53=1,K$11:K$53,""))</f>
        <v>4401.7166832352923</v>
      </c>
      <c r="L65" s="89">
        <f t="array" ref="L65">AVERAGE(IF($U$11:$U$53=1,L$11:L$53,""))</f>
        <v>90.41378676470589</v>
      </c>
      <c r="M65" s="89">
        <f t="array" ref="M65">AVERAGE(IF($U$11:$U$53=1,M$11:M$53,""))</f>
        <v>58.672019999999996</v>
      </c>
      <c r="N65" s="89">
        <f t="array" ref="N65">AVERAGE(IF($U$11:$U$53=1,N$11:N$53,""))</f>
        <v>30.055398333333333</v>
      </c>
      <c r="O65" s="89">
        <f t="array" ref="O65">AVERAGE(IF($U$11:$U$53=1,O$11:O$53,""))</f>
        <v>102.62027117647058</v>
      </c>
      <c r="P65" s="89">
        <f t="array" ref="P65">AVERAGE(IF($U$11:$U$53=1,P$11:P$53,""))</f>
        <v>4504.3369544117659</v>
      </c>
      <c r="Q65" s="89">
        <f t="array" ref="Q65">AVERAGE(IF($U$11:$U$53=1,Q$11:Q$53,""))</f>
        <v>192.15958705882352</v>
      </c>
      <c r="R65" s="1572">
        <f t="array" ref="R65">AVERAGE(IF($U$11:$U$53=1,R$11:R$53,""))</f>
        <v>4312.1773673529433</v>
      </c>
      <c r="S65" s="46"/>
      <c r="T65" s="46"/>
      <c r="U65" s="46"/>
      <c r="V65" s="1570">
        <f t="array" ref="V65">AVERAGE(IF($U$11:$U$52=1,V$11:V$52,""))</f>
        <v>8.0168891612437884E-2</v>
      </c>
      <c r="W65" s="1570">
        <f t="array" ref="W65">AVERAGE(IF($U$11:$U$52=1,W$11:W$52,""))</f>
        <v>0.9198311083875621</v>
      </c>
      <c r="X65" s="46"/>
    </row>
    <row r="66" spans="1:24" ht="12.75" customHeight="1">
      <c r="B66" s="278" t="s">
        <v>3</v>
      </c>
      <c r="C66" s="73"/>
      <c r="D66" s="73"/>
      <c r="E66" s="73"/>
      <c r="F66" s="73"/>
      <c r="G66" s="73"/>
      <c r="H66" s="88">
        <f t="array" ref="H66">MEDIAN(IF($U$11:$U$53=1,H$11:H$53,""))</f>
        <v>0.80304500000000001</v>
      </c>
      <c r="I66" s="88">
        <f t="array" ref="I66">MEDIAN(IF($U$11:$U$53=1,I$11:I$53,""))</f>
        <v>0.74018068994185526</v>
      </c>
      <c r="J66" s="73"/>
      <c r="K66" s="89">
        <f t="array" ref="K66">MEDIAN(IF($U$11:$U$53=1,K$11:K$53,""))</f>
        <v>513.84134500000005</v>
      </c>
      <c r="L66" s="89">
        <f t="array" ref="L66">MEDIAN(IF($U$11:$U$53=1,L$11:L$53,""))</f>
        <v>4.5410000000000004</v>
      </c>
      <c r="M66" s="89">
        <f t="array" ref="M66">MEDIAN(IF($U$11:$U$53=1,M$11:M$53,""))</f>
        <v>51.150999999999996</v>
      </c>
      <c r="N66" s="89">
        <f t="array" ref="N66">MEDIAN(IF($U$11:$U$53=1,N$11:N$53,""))</f>
        <v>11.04209</v>
      </c>
      <c r="O66" s="89">
        <f t="array" ref="O66">MEDIAN(IF($U$11:$U$53=1,O$11:O$53,""))</f>
        <v>11.974499999999999</v>
      </c>
      <c r="P66" s="89">
        <f t="array" ref="P66">MEDIAN(IF($U$11:$U$53=1,P$11:P$53,""))</f>
        <v>531.926965</v>
      </c>
      <c r="Q66" s="89">
        <f t="array" ref="Q66">MEDIAN(IF($U$11:$U$53=1,Q$11:Q$53,""))</f>
        <v>90.904499999999999</v>
      </c>
      <c r="R66" s="1572">
        <f t="array" ref="R66">MEDIAN(IF($U$11:$U$53=1,R$11:R$53,""))</f>
        <v>417.62723499999998</v>
      </c>
      <c r="S66" s="46"/>
      <c r="T66" s="46"/>
      <c r="U66" s="46"/>
      <c r="V66" s="1570">
        <f t="array" ref="V66">MEDIAN(IF($U$11:$U$52=1,V$11:V$52,""))</f>
        <v>5.2072274256501828E-2</v>
      </c>
      <c r="W66" s="1570">
        <f t="array" ref="W66">MEDIAN(IF($U$11:$U$52=1,W$11:W$52,""))</f>
        <v>0.94792772574349815</v>
      </c>
      <c r="X66" s="46"/>
    </row>
    <row r="67" spans="1:24" ht="12.75" customHeight="1">
      <c r="B67" s="278" t="s">
        <v>44</v>
      </c>
      <c r="C67" s="73"/>
      <c r="D67" s="73"/>
      <c r="E67" s="73"/>
      <c r="F67" s="73"/>
      <c r="G67" s="73"/>
      <c r="H67" s="88">
        <f t="array" ref="H67">QUARTILE(IF($U$11:$U$53=1,H$11:H$53,""),1)</f>
        <v>0.20216249999999999</v>
      </c>
      <c r="I67" s="88">
        <f t="array" ref="I67">QUARTILE(IF($U$11:$U$53=1,I$11:I$53,""),1)</f>
        <v>0.19654553584192083</v>
      </c>
      <c r="J67" s="73"/>
      <c r="K67" s="89">
        <f t="array" ref="K67">QUARTILE(IF($U$11:$U$53=1,K$11:K$53,""),1)</f>
        <v>262.53121500000003</v>
      </c>
      <c r="L67" s="89">
        <f t="array" ref="L67">QUARTILE(IF($U$11:$U$53=1,L$11:L$53,""),1)</f>
        <v>0</v>
      </c>
      <c r="M67" s="89">
        <f t="array" ref="M67">QUARTILE(IF($U$11:$U$53=1,M$11:M$53,""),1)</f>
        <v>7.5200000000000006E-3</v>
      </c>
      <c r="N67" s="89">
        <f t="array" ref="N67">QUARTILE(IF($U$11:$U$53=1,N$11:N$53,""),1)</f>
        <v>1.7435925000000001</v>
      </c>
      <c r="O67" s="89">
        <f t="array" ref="O67">QUARTILE(IF($U$11:$U$53=1,O$11:O$53,""),1)</f>
        <v>0.65717499999999995</v>
      </c>
      <c r="P67" s="89">
        <f t="array" ref="P67">QUARTILE(IF($U$11:$U$53=1,P$11:P$53,""),1)</f>
        <v>270.76552250000009</v>
      </c>
      <c r="Q67" s="89">
        <f t="array" ref="Q67">QUARTILE(IF($U$11:$U$53=1,Q$11:Q$53,""),1)</f>
        <v>26.77825</v>
      </c>
      <c r="R67" s="1572">
        <f t="array" ref="R67">QUARTILE(IF($U$11:$U$53=1,R$11:R$53,""),1)</f>
        <v>231.22944000000001</v>
      </c>
      <c r="S67" s="46"/>
      <c r="T67" s="46"/>
      <c r="U67" s="46"/>
      <c r="V67" s="1570">
        <f t="array" ref="V67">QUARTILE(IF($U$11:$U$52=1,V$11:V$52,""),1)</f>
        <v>3.3577058934420158E-4</v>
      </c>
      <c r="W67" s="1570">
        <f t="array" ref="W67">QUARTILE(IF($U$11:$U$52=1,W$11:W$52,""),1)</f>
        <v>0.87351160405379813</v>
      </c>
      <c r="X67" s="46"/>
    </row>
    <row r="68" spans="1:24" ht="12.75" customHeight="1">
      <c r="B68" s="90" t="s">
        <v>42</v>
      </c>
      <c r="C68" s="67"/>
      <c r="D68" s="67"/>
      <c r="E68" s="67"/>
      <c r="F68" s="67"/>
      <c r="G68" s="67"/>
      <c r="H68" s="92">
        <f t="array" ref="H68">MIN(IF($U$11:$U$53=1,H$11:H$53,""))</f>
        <v>0</v>
      </c>
      <c r="I68" s="92">
        <f t="array" ref="I68">MIN(IF($U$11:$U$53=1,I$11:I$53,""))</f>
        <v>0</v>
      </c>
      <c r="J68" s="67"/>
      <c r="K68" s="70">
        <f t="array" ref="K68">MIN(IF($U$11:$U$53=1,K$11:K$53,""))</f>
        <v>3.8515700000000002</v>
      </c>
      <c r="L68" s="70">
        <f t="array" ref="L68">MIN(IF($U$11:$U$53=1,L$11:L$53,""))</f>
        <v>0</v>
      </c>
      <c r="M68" s="70">
        <f t="array" ref="M68">MIN(IF($U$11:$U$53=1,M$11:M$53,""))</f>
        <v>8.0000000000000007E-5</v>
      </c>
      <c r="N68" s="70">
        <f t="array" ref="N68">MIN(IF($U$11:$U$53=1,N$11:N$53,""))</f>
        <v>0.56799999999999995</v>
      </c>
      <c r="O68" s="70">
        <f t="array" ref="O68">MIN(IF($U$11:$U$53=1,O$11:O$53,""))</f>
        <v>0</v>
      </c>
      <c r="P68" s="70">
        <f t="array" ref="P68">MIN(IF($U$11:$U$53=1,P$11:P$53,""))</f>
        <v>4.2190900000000005</v>
      </c>
      <c r="Q68" s="70">
        <f t="array" ref="Q68">MIN(IF($U$11:$U$53=1,Q$11:Q$53,""))</f>
        <v>8.43E-3</v>
      </c>
      <c r="R68" s="1571">
        <f t="array" ref="R68">MIN(IF($U$11:$U$53=1,R$11:R$53,""))</f>
        <v>-17.611220000000003</v>
      </c>
      <c r="S68" s="46"/>
      <c r="T68" s="46"/>
      <c r="U68" s="46"/>
      <c r="V68" s="1570">
        <f t="array" ref="V68">MIN(IF($U$11:$U$52=1,V$11:V$52,""))</f>
        <v>0</v>
      </c>
      <c r="W68" s="1570">
        <f t="array" ref="W68">MIN(IF($U$11:$U$52=1,W$11:W$52,""))</f>
        <v>0.6547796087909139</v>
      </c>
      <c r="X68" s="46"/>
    </row>
    <row r="69" spans="1:24" ht="12.75" customHeight="1">
      <c r="S69" s="53"/>
      <c r="T69" s="20"/>
      <c r="U69" s="20"/>
      <c r="V69" s="20"/>
      <c r="W69" s="20"/>
      <c r="X69" s="20"/>
    </row>
    <row r="70" spans="1:24" ht="12.75" customHeight="1">
      <c r="B70" s="8" t="s">
        <v>16</v>
      </c>
      <c r="S70" s="53"/>
    </row>
    <row r="71" spans="1:24" ht="27" customHeight="1">
      <c r="A71" s="1620" t="s">
        <v>128</v>
      </c>
      <c r="B71" s="2605" t="s">
        <v>3350</v>
      </c>
      <c r="C71" s="2605"/>
      <c r="D71" s="2605"/>
      <c r="E71" s="2605"/>
      <c r="F71" s="2605"/>
      <c r="G71" s="2605"/>
      <c r="H71" s="2605"/>
      <c r="I71" s="2605"/>
      <c r="J71" s="2605"/>
      <c r="K71" s="2605"/>
      <c r="L71" s="2605"/>
      <c r="M71" s="2605"/>
      <c r="N71" s="2605"/>
      <c r="O71" s="2605"/>
      <c r="P71" s="2605"/>
      <c r="Q71" s="2605"/>
      <c r="R71" s="2605"/>
      <c r="S71" s="53"/>
    </row>
    <row r="72" spans="1:24" ht="12.75" customHeight="1"/>
    <row r="73" spans="1:24">
      <c r="B73" s="8" t="s">
        <v>46</v>
      </c>
    </row>
    <row r="77" spans="1:24">
      <c r="E77" s="84" t="s">
        <v>150</v>
      </c>
      <c r="F77" s="50" t="s">
        <v>2617</v>
      </c>
    </row>
    <row r="78" spans="1:24">
      <c r="E78" s="84" t="s">
        <v>2616</v>
      </c>
      <c r="F78" s="50" t="s">
        <v>149</v>
      </c>
    </row>
    <row r="79" spans="1:24">
      <c r="E79" s="84" t="s">
        <v>2615</v>
      </c>
    </row>
    <row r="80" spans="1:24">
      <c r="E80" s="84" t="str">
        <f>"IQ20246097"</f>
        <v>IQ20246097</v>
      </c>
    </row>
    <row r="82" ht="3" customHeight="1"/>
  </sheetData>
  <mergeCells count="1">
    <mergeCell ref="B71:R71"/>
  </mergeCells>
  <conditionalFormatting sqref="B10:B20 B28:B53">
    <cfRule type="cellIs" dxfId="41" priority="31" operator="equal">
      <formula>"(Invalid Identifier)"</formula>
    </cfRule>
  </conditionalFormatting>
  <conditionalFormatting sqref="B4:I4">
    <cfRule type="cellIs" dxfId="40" priority="30" stopIfTrue="1" operator="equal">
      <formula>"input"</formula>
    </cfRule>
  </conditionalFormatting>
  <conditionalFormatting sqref="J4">
    <cfRule type="cellIs" dxfId="39" priority="28" stopIfTrue="1" operator="equal">
      <formula>"input"</formula>
    </cfRule>
  </conditionalFormatting>
  <conditionalFormatting sqref="J4">
    <cfRule type="cellIs" dxfId="38" priority="29" stopIfTrue="1" operator="equal">
      <formula>"input"</formula>
    </cfRule>
  </conditionalFormatting>
  <conditionalFormatting sqref="K4:Q4">
    <cfRule type="cellIs" dxfId="37" priority="26" stopIfTrue="1" operator="equal">
      <formula>"input"</formula>
    </cfRule>
  </conditionalFormatting>
  <conditionalFormatting sqref="K4:Q4">
    <cfRule type="cellIs" dxfId="36" priority="27" stopIfTrue="1" operator="equal">
      <formula>"input"</formula>
    </cfRule>
  </conditionalFormatting>
  <conditionalFormatting sqref="R4">
    <cfRule type="cellIs" dxfId="35" priority="24" stopIfTrue="1" operator="equal">
      <formula>"input"</formula>
    </cfRule>
  </conditionalFormatting>
  <conditionalFormatting sqref="R4">
    <cfRule type="cellIs" dxfId="34" priority="25" stopIfTrue="1" operator="equal">
      <formula>"input"</formula>
    </cfRule>
  </conditionalFormatting>
  <conditionalFormatting sqref="H11:H20 H34:H36 H42:H48 H51:H53">
    <cfRule type="cellIs" dxfId="33" priority="23" operator="equal">
      <formula>"n/a"</formula>
    </cfRule>
  </conditionalFormatting>
  <conditionalFormatting sqref="H21:I27">
    <cfRule type="cellIs" dxfId="32" priority="22" operator="equal">
      <formula>"n/a"</formula>
    </cfRule>
  </conditionalFormatting>
  <conditionalFormatting sqref="H31">
    <cfRule type="cellIs" dxfId="31" priority="15" operator="equal">
      <formula>"n/a"</formula>
    </cfRule>
  </conditionalFormatting>
  <conditionalFormatting sqref="H29:H30">
    <cfRule type="cellIs" dxfId="30" priority="16" operator="equal">
      <formula>"n/a"</formula>
    </cfRule>
  </conditionalFormatting>
  <conditionalFormatting sqref="H37">
    <cfRule type="cellIs" dxfId="29" priority="8" operator="equal">
      <formula>"n/a"</formula>
    </cfRule>
  </conditionalFormatting>
  <conditionalFormatting sqref="H38">
    <cfRule type="cellIs" dxfId="28" priority="7" operator="equal">
      <formula>"n/a"</formula>
    </cfRule>
  </conditionalFormatting>
  <conditionalFormatting sqref="H39:H41">
    <cfRule type="cellIs" dxfId="27" priority="6" operator="equal">
      <formula>"n/a"</formula>
    </cfRule>
  </conditionalFormatting>
  <conditionalFormatting sqref="H32:H33">
    <cfRule type="cellIs" dxfId="26" priority="5" operator="equal">
      <formula>"n/a"</formula>
    </cfRule>
  </conditionalFormatting>
  <conditionalFormatting sqref="H49">
    <cfRule type="cellIs" dxfId="25" priority="3" operator="equal">
      <formula>"n/a"</formula>
    </cfRule>
  </conditionalFormatting>
  <conditionalFormatting sqref="H50">
    <cfRule type="cellIs" dxfId="24" priority="2" operator="equal">
      <formula>"n/a"</formula>
    </cfRule>
  </conditionalFormatting>
  <dataValidations count="3">
    <dataValidation type="list" allowBlank="1" showInputMessage="1" showErrorMessage="1" sqref="F11:F25 F29:F53">
      <formula1>$F$77:$F$78</formula1>
    </dataValidation>
    <dataValidation type="list" allowBlank="1" showInputMessage="1" showErrorMessage="1" sqref="E11:E25 E29:E53">
      <formula1>$E$77:$E$81</formula1>
    </dataValidation>
    <dataValidation type="list" allowBlank="1" showInputMessage="1" showErrorMessage="1" sqref="D11:D19 D29:D53">
      <formula1>$AE$2:$AE$4</formula1>
    </dataValidation>
  </dataValidations>
  <pageMargins left="0.5" right="0.5" top="0.5" bottom="0.5" header="0.5" footer="0.5"/>
  <pageSetup scale="74" orientation="landscape" r:id="rId1"/>
  <rowBreaks count="1" manualBreakCount="1">
    <brk id="49" max="18" man="1"/>
  </rowBreaks>
  <legacyDrawing r:id="rId2"/>
  <legacyDrawingHF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10"/>
  <sheetViews>
    <sheetView showGridLines="0" view="pageBreakPreview" zoomScale="85" zoomScaleNormal="100" zoomScaleSheetLayoutView="85" workbookViewId="0">
      <selection activeCell="B10" sqref="B10"/>
    </sheetView>
  </sheetViews>
  <sheetFormatPr defaultColWidth="9.33203125" defaultRowHeight="15"/>
  <cols>
    <col min="1" max="1" width="3.5" style="1733" customWidth="1"/>
    <col min="2" max="2" width="40.6640625" style="1734" customWidth="1"/>
    <col min="3" max="14" width="11.83203125" style="1734" customWidth="1"/>
    <col min="15" max="15" width="2.83203125" style="1733" customWidth="1"/>
    <col min="16" max="16384" width="9.33203125" style="1734"/>
  </cols>
  <sheetData>
    <row r="1" spans="1:15" ht="15.75" thickBot="1"/>
    <row r="2" spans="1:15" ht="16.5" thickTop="1">
      <c r="B2" s="10" t="s">
        <v>1251</v>
      </c>
      <c r="C2" s="10"/>
      <c r="D2" s="10"/>
      <c r="E2" s="10"/>
      <c r="F2" s="10"/>
      <c r="G2" s="10"/>
      <c r="H2" s="10"/>
      <c r="I2" s="10"/>
      <c r="J2" s="10"/>
      <c r="K2" s="10"/>
      <c r="L2" s="10"/>
      <c r="M2" s="10"/>
      <c r="N2" s="10"/>
    </row>
    <row r="3" spans="1:15" ht="15.75">
      <c r="B3" s="11" t="str">
        <f>VLOOKUP(B4,Outline!$E$8:$G$81,COLUMNS(Outline!$E$8:$G$8),FALSE)</f>
        <v>Workpaper #6</v>
      </c>
      <c r="C3" s="11"/>
      <c r="D3" s="11"/>
      <c r="E3" s="11"/>
      <c r="F3" s="11"/>
      <c r="G3" s="11"/>
      <c r="H3" s="11"/>
      <c r="I3" s="11"/>
      <c r="J3" s="11"/>
      <c r="K3" s="11"/>
      <c r="L3" s="11"/>
      <c r="M3" s="11"/>
      <c r="N3" s="11"/>
    </row>
    <row r="4" spans="1:15" ht="16.5" thickBot="1">
      <c r="B4" s="12" t="s">
        <v>2716</v>
      </c>
      <c r="C4" s="12"/>
      <c r="D4" s="12"/>
      <c r="E4" s="12"/>
      <c r="F4" s="13"/>
      <c r="G4" s="13"/>
      <c r="H4" s="13"/>
      <c r="I4" s="13"/>
      <c r="J4" s="13"/>
      <c r="K4" s="13"/>
      <c r="L4" s="13"/>
      <c r="M4" s="13"/>
      <c r="N4" s="13" t="str">
        <f>+'MASTER PubCo Inputs'!$C$24</f>
        <v>(in millions of USD)</v>
      </c>
    </row>
    <row r="5" spans="1:15" s="1736" customFormat="1" ht="13.5" thickTop="1">
      <c r="A5" s="1735"/>
      <c r="O5" s="1735"/>
    </row>
    <row r="6" spans="1:15" s="1742" customFormat="1">
      <c r="A6" s="1737"/>
      <c r="B6" s="1738" t="s">
        <v>1768</v>
      </c>
      <c r="C6" s="1739">
        <v>2012</v>
      </c>
      <c r="D6" s="1739">
        <f>C6+1</f>
        <v>2013</v>
      </c>
      <c r="E6" s="1739">
        <f t="shared" ref="E6:M6" si="0">D6+1</f>
        <v>2014</v>
      </c>
      <c r="F6" s="1739">
        <f t="shared" si="0"/>
        <v>2015</v>
      </c>
      <c r="G6" s="1739">
        <f t="shared" si="0"/>
        <v>2016</v>
      </c>
      <c r="H6" s="1739">
        <f t="shared" si="0"/>
        <v>2017</v>
      </c>
      <c r="I6" s="1739">
        <f t="shared" si="0"/>
        <v>2018</v>
      </c>
      <c r="J6" s="1739">
        <f t="shared" si="0"/>
        <v>2019</v>
      </c>
      <c r="K6" s="1739">
        <f t="shared" si="0"/>
        <v>2020</v>
      </c>
      <c r="L6" s="1739">
        <f t="shared" si="0"/>
        <v>2021</v>
      </c>
      <c r="M6" s="1739">
        <f t="shared" si="0"/>
        <v>2022</v>
      </c>
      <c r="N6" s="1740" t="s">
        <v>2717</v>
      </c>
      <c r="O6" s="1741"/>
    </row>
    <row r="7" spans="1:15" s="1742" customFormat="1" ht="6" customHeight="1">
      <c r="A7" s="1737"/>
      <c r="B7" s="1743"/>
      <c r="C7" s="1744"/>
      <c r="D7" s="1744"/>
      <c r="E7" s="1744"/>
      <c r="F7" s="1744"/>
      <c r="G7" s="1744"/>
      <c r="H7" s="1744"/>
      <c r="I7" s="1744"/>
      <c r="J7" s="1744"/>
      <c r="K7" s="1744"/>
      <c r="L7" s="1744"/>
      <c r="M7" s="1744"/>
      <c r="N7" s="1744"/>
      <c r="O7" s="1741"/>
    </row>
    <row r="8" spans="1:15" s="1742" customFormat="1">
      <c r="A8" s="1737"/>
      <c r="B8" s="1745" t="s">
        <v>2718</v>
      </c>
      <c r="C8" s="1744"/>
      <c r="D8" s="1744"/>
      <c r="E8" s="1744"/>
      <c r="F8" s="1744"/>
      <c r="G8" s="1744"/>
      <c r="H8" s="1744"/>
      <c r="I8" s="1744"/>
      <c r="J8" s="1744"/>
      <c r="K8" s="1744"/>
      <c r="L8" s="1744"/>
      <c r="M8" s="1744"/>
      <c r="N8" s="1744"/>
      <c r="O8" s="1741"/>
    </row>
    <row r="9" spans="1:15" s="1742" customFormat="1" ht="6" customHeight="1">
      <c r="A9" s="1737"/>
      <c r="B9" s="1743"/>
      <c r="C9" s="1744"/>
      <c r="D9" s="1744"/>
      <c r="E9" s="1744"/>
      <c r="F9" s="1744"/>
      <c r="G9" s="1744"/>
      <c r="H9" s="1744"/>
      <c r="I9" s="1744"/>
      <c r="J9" s="1744"/>
      <c r="K9" s="1744"/>
      <c r="L9" s="1744"/>
      <c r="M9" s="1744"/>
      <c r="N9" s="1744"/>
      <c r="O9" s="1741"/>
    </row>
    <row r="10" spans="1:15" s="1749" customFormat="1" ht="15" customHeight="1">
      <c r="A10" s="1735"/>
      <c r="B10" s="1746" t="s">
        <v>1696</v>
      </c>
      <c r="C10" s="1747"/>
      <c r="D10" s="1747"/>
      <c r="E10" s="1747"/>
      <c r="F10" s="1747"/>
      <c r="G10" s="1747"/>
      <c r="H10" s="1747"/>
      <c r="I10" s="1747"/>
      <c r="J10" s="1747"/>
      <c r="K10" s="1747"/>
      <c r="L10" s="1747"/>
      <c r="M10" s="1747"/>
      <c r="N10" s="1748"/>
      <c r="O10" s="1735"/>
    </row>
    <row r="11" spans="1:15" s="1749" customFormat="1" ht="6" customHeight="1">
      <c r="A11" s="1735"/>
      <c r="B11" s="1750"/>
      <c r="C11" s="1752"/>
      <c r="D11" s="1752"/>
      <c r="E11" s="1752"/>
      <c r="F11" s="1752"/>
      <c r="G11" s="1752"/>
      <c r="H11" s="1752"/>
      <c r="I11" s="1752"/>
      <c r="J11" s="1752"/>
      <c r="K11" s="1752"/>
      <c r="L11" s="1752"/>
      <c r="M11" s="1752"/>
      <c r="N11" s="1753"/>
      <c r="O11" s="1735"/>
    </row>
    <row r="12" spans="1:15" s="1758" customFormat="1" ht="15" customHeight="1">
      <c r="A12" s="1754"/>
      <c r="B12" s="1755" t="str">
        <f>China!A299</f>
        <v>Biguanides</v>
      </c>
      <c r="C12" s="1756">
        <f>China!B299/1000000</f>
        <v>663.45388269073965</v>
      </c>
      <c r="D12" s="1756">
        <f>China!C299/1000000</f>
        <v>726.16290326583692</v>
      </c>
      <c r="E12" s="1756">
        <f>China!D299/1000000</f>
        <v>791.07146777017022</v>
      </c>
      <c r="F12" s="1756">
        <f>China!E299/1000000</f>
        <v>858.1076675092462</v>
      </c>
      <c r="G12" s="1756">
        <f>China!F299/1000000</f>
        <v>927.34562488070821</v>
      </c>
      <c r="H12" s="1756">
        <f>China!G299/1000000</f>
        <v>998.81786942988526</v>
      </c>
      <c r="I12" s="1756">
        <f>China!H299/1000000</f>
        <v>1073.3857599311002</v>
      </c>
      <c r="J12" s="1756">
        <f>China!I299/1000000</f>
        <v>1150.0985520534584</v>
      </c>
      <c r="K12" s="1756">
        <f>China!J299/1000000</f>
        <v>1229.4888907897648</v>
      </c>
      <c r="L12" s="1756">
        <f>China!K299/1000000</f>
        <v>1308.2177531228706</v>
      </c>
      <c r="M12" s="1756">
        <f>China!L299/1000000</f>
        <v>1394.4625226303203</v>
      </c>
      <c r="N12" s="1757">
        <f>China!M299</f>
        <v>7.7108890699195021E-2</v>
      </c>
      <c r="O12" s="1754"/>
    </row>
    <row r="13" spans="1:15" s="1758" customFormat="1" ht="15" customHeight="1">
      <c r="A13" s="1754"/>
      <c r="B13" s="1755"/>
      <c r="C13" s="1756"/>
      <c r="D13" s="1756"/>
      <c r="E13" s="1756"/>
      <c r="F13" s="1756"/>
      <c r="G13" s="1756"/>
      <c r="H13" s="1756"/>
      <c r="I13" s="1756"/>
      <c r="J13" s="1756"/>
      <c r="K13" s="1756"/>
      <c r="L13" s="1756"/>
      <c r="M13" s="1756"/>
      <c r="N13" s="1757"/>
      <c r="O13" s="1754"/>
    </row>
    <row r="14" spans="1:15" s="1758" customFormat="1" ht="15" customHeight="1">
      <c r="A14" s="1754"/>
      <c r="B14" s="1755" t="str">
        <f>China!A300</f>
        <v>SUs and non-SUs</v>
      </c>
      <c r="C14" s="1756">
        <f>China!B300/1000000</f>
        <v>341.20485395523752</v>
      </c>
      <c r="D14" s="1756">
        <f>China!C300/1000000</f>
        <v>361.00670048073033</v>
      </c>
      <c r="E14" s="1756">
        <f>China!D300/1000000</f>
        <v>379.71430452968173</v>
      </c>
      <c r="F14" s="1756">
        <f>China!E300/1000000</f>
        <v>397.18126324713683</v>
      </c>
      <c r="G14" s="1756">
        <f>China!F300/1000000</f>
        <v>413.33119280397284</v>
      </c>
      <c r="H14" s="1756">
        <f>China!G300/1000000</f>
        <v>428.0648011842365</v>
      </c>
      <c r="I14" s="1756">
        <f>China!H300/1000000</f>
        <v>441.62156980022405</v>
      </c>
      <c r="J14" s="1756">
        <f>China!I300/1000000</f>
        <v>453.46742909536363</v>
      </c>
      <c r="K14" s="1756">
        <f>China!J300/1000000</f>
        <v>463.69295309785417</v>
      </c>
      <c r="L14" s="1756">
        <f>China!K300/1000000</f>
        <v>470.95839112423334</v>
      </c>
      <c r="M14" s="1756">
        <f>China!L300/1000000</f>
        <v>478.10143633039559</v>
      </c>
      <c r="N14" s="1757">
        <f>China!M300</f>
        <v>3.4309431226122289E-2</v>
      </c>
      <c r="O14" s="1754"/>
    </row>
    <row r="15" spans="1:15" s="1758" customFormat="1" ht="15" customHeight="1">
      <c r="A15" s="1754"/>
      <c r="B15" s="1755"/>
      <c r="C15" s="1756"/>
      <c r="D15" s="1756"/>
      <c r="E15" s="1756"/>
      <c r="F15" s="1756"/>
      <c r="G15" s="1756"/>
      <c r="H15" s="1756"/>
      <c r="I15" s="1756"/>
      <c r="J15" s="1756"/>
      <c r="K15" s="1756"/>
      <c r="L15" s="1756"/>
      <c r="M15" s="1756"/>
      <c r="N15" s="1757"/>
      <c r="O15" s="1754"/>
    </row>
    <row r="16" spans="1:15" s="1758" customFormat="1" ht="15" customHeight="1">
      <c r="A16" s="1754"/>
      <c r="B16" s="1755" t="str">
        <f>China!A301</f>
        <v>AGIs</v>
      </c>
      <c r="C16" s="1756">
        <f>China!B301/1000000</f>
        <v>22.510042448435808</v>
      </c>
      <c r="D16" s="1756">
        <f>China!C301/1000000</f>
        <v>23.34095046211619</v>
      </c>
      <c r="E16" s="1756">
        <f>China!D301/1000000</f>
        <v>24.014669557308739</v>
      </c>
      <c r="F16" s="1756">
        <f>China!E301/1000000</f>
        <v>24.517361928835609</v>
      </c>
      <c r="G16" s="1756">
        <f>China!F301/1000000</f>
        <v>24.839614952161831</v>
      </c>
      <c r="H16" s="1756">
        <f>China!G301/1000000</f>
        <v>24.970446735747132</v>
      </c>
      <c r="I16" s="1756">
        <f>China!H301/1000000</f>
        <v>24.917883712686251</v>
      </c>
      <c r="J16" s="1756">
        <f>China!I301/1000000</f>
        <v>24.644968972574112</v>
      </c>
      <c r="K16" s="1756">
        <f>China!J301/1000000</f>
        <v>24.150674640513241</v>
      </c>
      <c r="L16" s="1756">
        <f>China!K301/1000000</f>
        <v>23.361031305765547</v>
      </c>
      <c r="M16" s="1756">
        <f>China!L301/1000000</f>
        <v>22.411004827987291</v>
      </c>
      <c r="N16" s="1757">
        <f>China!M301</f>
        <v>-4.4084434887325941E-4</v>
      </c>
      <c r="O16" s="1754"/>
    </row>
    <row r="17" spans="1:15" s="1758" customFormat="1" ht="15" customHeight="1">
      <c r="A17" s="1754"/>
      <c r="B17" s="1755"/>
      <c r="C17" s="1756"/>
      <c r="D17" s="1756"/>
      <c r="E17" s="1756"/>
      <c r="F17" s="1756"/>
      <c r="G17" s="1756"/>
      <c r="H17" s="1756"/>
      <c r="I17" s="1756"/>
      <c r="J17" s="1756"/>
      <c r="K17" s="1756"/>
      <c r="L17" s="1756"/>
      <c r="M17" s="1756"/>
      <c r="N17" s="1757"/>
      <c r="O17" s="1754"/>
    </row>
    <row r="18" spans="1:15" s="1758" customFormat="1" ht="15" customHeight="1">
      <c r="A18" s="1754"/>
      <c r="B18" s="1755" t="str">
        <f>China!A302</f>
        <v>TZDs</v>
      </c>
      <c r="C18" s="1756">
        <f>SUM(C19:C20)</f>
        <v>75.108508302947499</v>
      </c>
      <c r="D18" s="1756">
        <f t="shared" ref="D18:M18" si="1">SUM(D19:D20)</f>
        <v>81.209218015229453</v>
      </c>
      <c r="E18" s="1756">
        <f t="shared" si="1"/>
        <v>93.544201063822655</v>
      </c>
      <c r="F18" s="1756">
        <f t="shared" si="1"/>
        <v>106.03350411522587</v>
      </c>
      <c r="G18" s="1756">
        <f t="shared" si="1"/>
        <v>119.51939528670864</v>
      </c>
      <c r="H18" s="1756">
        <f t="shared" si="1"/>
        <v>130.74525910837204</v>
      </c>
      <c r="I18" s="1756">
        <f t="shared" si="1"/>
        <v>144.04836898275366</v>
      </c>
      <c r="J18" s="1756">
        <f t="shared" si="1"/>
        <v>159.61451071581919</v>
      </c>
      <c r="K18" s="1756">
        <f t="shared" si="1"/>
        <v>176.26772397622602</v>
      </c>
      <c r="L18" s="1756">
        <f t="shared" si="1"/>
        <v>187.55481853938227</v>
      </c>
      <c r="M18" s="1756">
        <f t="shared" si="1"/>
        <v>212.70201678521161</v>
      </c>
      <c r="N18" s="1757">
        <f>China!M302</f>
        <v>0.10970679953140294</v>
      </c>
      <c r="O18" s="1754"/>
    </row>
    <row r="19" spans="1:15" s="1749" customFormat="1" ht="15" customHeight="1">
      <c r="A19" s="1735"/>
      <c r="B19" s="1759" t="str">
        <f>China!A303</f>
        <v>Actos; ACTOplusmet/Competact</v>
      </c>
      <c r="C19" s="1760">
        <f>China!B303/1000000</f>
        <v>25.542974483593479</v>
      </c>
      <c r="D19" s="1760">
        <f>China!C303/1000000</f>
        <v>18.638181183823146</v>
      </c>
      <c r="E19" s="1760">
        <f>China!D303/1000000</f>
        <v>10.15208383638385</v>
      </c>
      <c r="F19" s="1760">
        <f>China!E303/1000000</f>
        <v>7.7086672131247269</v>
      </c>
      <c r="G19" s="1760">
        <f>China!F303/1000000</f>
        <v>4.760374207720969</v>
      </c>
      <c r="H19" s="1760">
        <f>China!G303/1000000</f>
        <v>2.5636325315367055</v>
      </c>
      <c r="I19" s="1760">
        <f>China!H303/1000000</f>
        <v>1.3775117252449118</v>
      </c>
      <c r="J19" s="1760">
        <f>China!I303/1000000</f>
        <v>1.475959808468605</v>
      </c>
      <c r="K19" s="1760">
        <f>China!J303/1000000</f>
        <v>1.5778440765135315</v>
      </c>
      <c r="L19" s="1760">
        <f>China!K303/1000000</f>
        <v>1.6788794498410171</v>
      </c>
      <c r="M19" s="1760">
        <f>China!L303/1000000</f>
        <v>1.7895602373755779</v>
      </c>
      <c r="N19" s="1761">
        <f>China!M303</f>
        <v>-0.23343764948210743</v>
      </c>
      <c r="O19" s="1735"/>
    </row>
    <row r="20" spans="1:15" s="1749" customFormat="1" ht="15" customHeight="1">
      <c r="A20" s="1735"/>
      <c r="B20" s="1792" t="str">
        <f>China!A304</f>
        <v>pioglitazone generics</v>
      </c>
      <c r="C20" s="1760">
        <f>China!B304/1000000</f>
        <v>49.565533819354023</v>
      </c>
      <c r="D20" s="1760">
        <f>China!C304/1000000</f>
        <v>62.57103683140631</v>
      </c>
      <c r="E20" s="1760">
        <f>China!D304/1000000</f>
        <v>83.392117227438803</v>
      </c>
      <c r="F20" s="1760">
        <f>China!E304/1000000</f>
        <v>98.32483690210114</v>
      </c>
      <c r="G20" s="1760">
        <f>China!F304/1000000</f>
        <v>114.75902107898767</v>
      </c>
      <c r="H20" s="1760">
        <f>China!G304/1000000</f>
        <v>128.18162657683533</v>
      </c>
      <c r="I20" s="1760">
        <f>China!H304/1000000</f>
        <v>142.67085725750874</v>
      </c>
      <c r="J20" s="1760">
        <f>China!I304/1000000</f>
        <v>158.13855090735058</v>
      </c>
      <c r="K20" s="1760">
        <f>China!J304/1000000</f>
        <v>174.68987989971248</v>
      </c>
      <c r="L20" s="1760">
        <f>China!K304/1000000</f>
        <v>185.87593908954125</v>
      </c>
      <c r="M20" s="1760">
        <f>China!L304/1000000</f>
        <v>210.91245654783603</v>
      </c>
      <c r="N20" s="1761">
        <f>China!M304</f>
        <v>0.15582542683662726</v>
      </c>
      <c r="O20" s="1735"/>
    </row>
    <row r="21" spans="1:15" s="1749" customFormat="1" ht="15" customHeight="1">
      <c r="A21" s="1735"/>
      <c r="B21" s="1759"/>
      <c r="C21" s="1760"/>
      <c r="D21" s="1760"/>
      <c r="E21" s="1760"/>
      <c r="F21" s="1760"/>
      <c r="G21" s="1760"/>
      <c r="H21" s="1760"/>
      <c r="I21" s="1760"/>
      <c r="J21" s="1760"/>
      <c r="K21" s="1760"/>
      <c r="L21" s="1760"/>
      <c r="M21" s="1760"/>
      <c r="N21" s="1761"/>
      <c r="O21" s="1735"/>
    </row>
    <row r="22" spans="1:15" s="1758" customFormat="1" ht="15" customHeight="1">
      <c r="A22" s="1754"/>
      <c r="B22" s="1755" t="str">
        <f>China!A305</f>
        <v>GLP-1 receptor agonists</v>
      </c>
      <c r="C22" s="1756">
        <f>SUM(C23:C30)</f>
        <v>161.01314889458513</v>
      </c>
      <c r="D22" s="1756">
        <f t="shared" ref="D22:M22" si="2">SUM(D23:D30)</f>
        <v>224.11461945935918</v>
      </c>
      <c r="E22" s="1756">
        <f t="shared" si="2"/>
        <v>296.30994452952746</v>
      </c>
      <c r="F22" s="1756">
        <f t="shared" si="2"/>
        <v>449.55604105705692</v>
      </c>
      <c r="G22" s="1756">
        <f t="shared" si="2"/>
        <v>631.28100304927921</v>
      </c>
      <c r="H22" s="1756">
        <f t="shared" si="2"/>
        <v>714.26314230787489</v>
      </c>
      <c r="I22" s="1756">
        <f t="shared" si="2"/>
        <v>793.74218739479022</v>
      </c>
      <c r="J22" s="1756">
        <f t="shared" si="2"/>
        <v>883.67655787946023</v>
      </c>
      <c r="K22" s="1756">
        <f t="shared" si="2"/>
        <v>985.16213924739293</v>
      </c>
      <c r="L22" s="1756">
        <f t="shared" si="2"/>
        <v>1092.6815577826876</v>
      </c>
      <c r="M22" s="1756">
        <f t="shared" si="2"/>
        <v>1216.6634108967</v>
      </c>
      <c r="N22" s="1757">
        <f>China!M305</f>
        <v>0.22413949611764594</v>
      </c>
      <c r="O22" s="1754"/>
    </row>
    <row r="23" spans="1:15" s="1749" customFormat="1" ht="15" customHeight="1">
      <c r="A23" s="1735"/>
      <c r="B23" s="1759" t="str">
        <f>China!A306</f>
        <v>Byetta</v>
      </c>
      <c r="C23" s="1760">
        <f>China!B306/1000000</f>
        <v>22.327592630695857</v>
      </c>
      <c r="D23" s="1760">
        <f>China!C306/1000000</f>
        <v>21.722644563409467</v>
      </c>
      <c r="E23" s="1760">
        <f>China!D306/1000000</f>
        <v>20.706295668884206</v>
      </c>
      <c r="F23" s="1760">
        <f>China!E306/1000000</f>
        <v>19.252258454618158</v>
      </c>
      <c r="G23" s="1760">
        <f>China!F306/1000000</f>
        <v>18.725095335537677</v>
      </c>
      <c r="H23" s="1760">
        <f>China!G306/1000000</f>
        <v>18.151445797015775</v>
      </c>
      <c r="I23" s="1760">
        <f>China!H306/1000000</f>
        <v>17.555906470334811</v>
      </c>
      <c r="J23" s="1760">
        <f>China!I306/1000000</f>
        <v>16.92953365762245</v>
      </c>
      <c r="K23" s="1760">
        <f>China!J306/1000000</f>
        <v>16.288348654140073</v>
      </c>
      <c r="L23" s="1760">
        <f>China!K306/1000000</f>
        <v>15.598218360673457</v>
      </c>
      <c r="M23" s="1760">
        <f>China!L306/1000000</f>
        <v>14.963883332615453</v>
      </c>
      <c r="N23" s="1761">
        <f>China!M306</f>
        <v>-3.9228213402064505E-2</v>
      </c>
      <c r="O23" s="1735"/>
    </row>
    <row r="24" spans="1:15" s="1749" customFormat="1" ht="15" customHeight="1">
      <c r="A24" s="1735"/>
      <c r="B24" s="1759" t="str">
        <f>China!A307</f>
        <v xml:space="preserve">   exenatide generics</v>
      </c>
      <c r="C24" s="1760">
        <f>China!B307/1000000</f>
        <v>0</v>
      </c>
      <c r="D24" s="1760">
        <f>China!C307/1000000</f>
        <v>0</v>
      </c>
      <c r="E24" s="1760">
        <f>China!D307/1000000</f>
        <v>0</v>
      </c>
      <c r="F24" s="1760">
        <f>China!E307/1000000</f>
        <v>0</v>
      </c>
      <c r="G24" s="1760">
        <f>China!F307/1000000</f>
        <v>0.74305933871181173</v>
      </c>
      <c r="H24" s="1760">
        <f>China!G307/1000000</f>
        <v>1.5206237660639312</v>
      </c>
      <c r="I24" s="1760">
        <f>China!H307/1000000</f>
        <v>2.3308106277977334</v>
      </c>
      <c r="J24" s="1760">
        <f>China!I307/1000000</f>
        <v>3.169196020236658</v>
      </c>
      <c r="K24" s="1760">
        <f>China!J307/1000000</f>
        <v>4.0343260060995956</v>
      </c>
      <c r="L24" s="1760">
        <f>China!K307/1000000</f>
        <v>4.9116362042465633</v>
      </c>
      <c r="M24" s="1760">
        <f>China!L307/1000000</f>
        <v>5.8292426454481463</v>
      </c>
      <c r="N24" s="1761">
        <f>China!M307</f>
        <v>0.22873679524357016</v>
      </c>
      <c r="O24" s="1735"/>
    </row>
    <row r="25" spans="1:15" s="1749" customFormat="1" ht="15" customHeight="1">
      <c r="A25" s="1735"/>
      <c r="B25" s="1759" t="str">
        <f>China!A308</f>
        <v>Victoza</v>
      </c>
      <c r="C25" s="1760">
        <f>China!B308/1000000</f>
        <v>138.68555626388928</v>
      </c>
      <c r="D25" s="1760">
        <f>China!C308/1000000</f>
        <v>202.39197489594972</v>
      </c>
      <c r="E25" s="1760">
        <f>China!D308/1000000</f>
        <v>275.60364886064326</v>
      </c>
      <c r="F25" s="1760">
        <f>China!E308/1000000</f>
        <v>358.75029842368696</v>
      </c>
      <c r="G25" s="1760">
        <f>China!F308/1000000</f>
        <v>452.31282853556553</v>
      </c>
      <c r="H25" s="1760">
        <f>China!G308/1000000</f>
        <v>438.45607423298389</v>
      </c>
      <c r="I25" s="1760">
        <f>China!H308/1000000</f>
        <v>424.07056256917929</v>
      </c>
      <c r="J25" s="1760">
        <f>China!I308/1000000</f>
        <v>408.94025462901027</v>
      </c>
      <c r="K25" s="1760">
        <f>China!J308/1000000</f>
        <v>393.45215177330471</v>
      </c>
      <c r="L25" s="1760">
        <f>China!K308/1000000</f>
        <v>376.78175413300335</v>
      </c>
      <c r="M25" s="1760">
        <f>China!L308/1000000</f>
        <v>361.45911541534764</v>
      </c>
      <c r="N25" s="1761">
        <f>China!M308</f>
        <v>0.10053230377344735</v>
      </c>
      <c r="O25" s="1735"/>
    </row>
    <row r="26" spans="1:15" s="1749" customFormat="1" ht="15" customHeight="1">
      <c r="A26" s="1735"/>
      <c r="B26" s="1759" t="str">
        <f>China!A309</f>
        <v>Bydureon</v>
      </c>
      <c r="C26" s="1760">
        <f>China!B309/1000000</f>
        <v>0</v>
      </c>
      <c r="D26" s="1760">
        <f>China!C309/1000000</f>
        <v>0</v>
      </c>
      <c r="E26" s="1760">
        <f>China!D309/1000000</f>
        <v>0</v>
      </c>
      <c r="F26" s="1760">
        <f>China!E309/1000000</f>
        <v>71.553484178751845</v>
      </c>
      <c r="G26" s="1760">
        <f>China!F309/1000000</f>
        <v>154.65381096229746</v>
      </c>
      <c r="H26" s="1760">
        <f>China!G309/1000000</f>
        <v>208.21658319739879</v>
      </c>
      <c r="I26" s="1760">
        <f>China!H309/1000000</f>
        <v>268.51347645171779</v>
      </c>
      <c r="J26" s="1760">
        <f>China!I309/1000000</f>
        <v>335.65421429609279</v>
      </c>
      <c r="K26" s="1760">
        <f>China!J309/1000000</f>
        <v>410.08473517283267</v>
      </c>
      <c r="L26" s="1760">
        <f>China!K309/1000000</f>
        <v>490.88702770207948</v>
      </c>
      <c r="M26" s="1760">
        <f>China!L309/1000000</f>
        <v>581.3877199146217</v>
      </c>
      <c r="N26" s="1761">
        <f>China!M309</f>
        <v>0.23305800463922433</v>
      </c>
      <c r="O26" s="1735"/>
    </row>
    <row r="27" spans="1:15" s="1749" customFormat="1" ht="15" customHeight="1">
      <c r="A27" s="1735"/>
      <c r="B27" s="1759" t="str">
        <f>China!A310</f>
        <v>Lyxumia</v>
      </c>
      <c r="C27" s="1760">
        <f>China!B310/1000000</f>
        <v>0</v>
      </c>
      <c r="D27" s="1760">
        <f>China!C310/1000000</f>
        <v>0</v>
      </c>
      <c r="E27" s="1760">
        <f>China!D310/1000000</f>
        <v>0</v>
      </c>
      <c r="F27" s="1760">
        <f>China!E310/1000000</f>
        <v>0</v>
      </c>
      <c r="G27" s="1760">
        <f>China!F310/1000000</f>
        <v>4.8462088771667728</v>
      </c>
      <c r="H27" s="1760">
        <f>China!G310/1000000</f>
        <v>10.43943033888057</v>
      </c>
      <c r="I27" s="1760">
        <f>China!H310/1000000</f>
        <v>16.82819692734838</v>
      </c>
      <c r="J27" s="1760">
        <f>China!I310/1000000</f>
        <v>24.041167232746044</v>
      </c>
      <c r="K27" s="1760">
        <f>China!J310/1000000</f>
        <v>32.125886061573638</v>
      </c>
      <c r="L27" s="1760">
        <f>China!K310/1000000</f>
        <v>37.601331963977586</v>
      </c>
      <c r="M27" s="1760">
        <f>China!L310/1000000</f>
        <v>43.723870419403212</v>
      </c>
      <c r="N27" s="1761">
        <f>China!M310</f>
        <v>0.2460390326453552</v>
      </c>
      <c r="O27" s="1735"/>
    </row>
    <row r="28" spans="1:15" s="1749" customFormat="1" ht="15" customHeight="1">
      <c r="A28" s="1735"/>
      <c r="B28" s="1759" t="str">
        <f>China!A311</f>
        <v>Albiglutide</v>
      </c>
      <c r="C28" s="1760">
        <f>China!B311/1000000</f>
        <v>0</v>
      </c>
      <c r="D28" s="1760">
        <f>China!C311/1000000</f>
        <v>0</v>
      </c>
      <c r="E28" s="1760">
        <f>China!D311/1000000</f>
        <v>0</v>
      </c>
      <c r="F28" s="1760">
        <f>China!E311/1000000</f>
        <v>0</v>
      </c>
      <c r="G28" s="1760">
        <f>China!F311/1000000</f>
        <v>0</v>
      </c>
      <c r="H28" s="1760">
        <f>China!G311/1000000</f>
        <v>37.47898497553178</v>
      </c>
      <c r="I28" s="1760">
        <f>China!H311/1000000</f>
        <v>64.443234348412275</v>
      </c>
      <c r="J28" s="1760">
        <f>China!I311/1000000</f>
        <v>94.942192043751959</v>
      </c>
      <c r="K28" s="1760">
        <f>China!J311/1000000</f>
        <v>129.17669157944226</v>
      </c>
      <c r="L28" s="1760">
        <f>China!K311/1000000</f>
        <v>166.901589418707</v>
      </c>
      <c r="M28" s="1760">
        <f>China!L311/1000000</f>
        <v>209.29957916926381</v>
      </c>
      <c r="N28" s="1761">
        <f>China!M311</f>
        <v>0.18767619939208835</v>
      </c>
      <c r="O28" s="1735"/>
    </row>
    <row r="29" spans="1:15" s="1749" customFormat="1" ht="15" customHeight="1">
      <c r="A29" s="1735"/>
      <c r="B29" s="1759" t="str">
        <f>China!A312</f>
        <v>Dulaglutide</v>
      </c>
      <c r="C29" s="1760">
        <f>China!B312/1000000</f>
        <v>0</v>
      </c>
      <c r="D29" s="1760">
        <f>China!C312/1000000</f>
        <v>0</v>
      </c>
      <c r="E29" s="1760">
        <f>China!D312/1000000</f>
        <v>0</v>
      </c>
      <c r="F29" s="1760">
        <f>China!E312/1000000</f>
        <v>0</v>
      </c>
      <c r="G29" s="1760">
        <f>China!F312/1000000</f>
        <v>0</v>
      </c>
      <c r="H29" s="1760">
        <f>China!G312/1000000</f>
        <v>0</v>
      </c>
      <c r="I29" s="1760">
        <f>China!H312/1000000</f>
        <v>0</v>
      </c>
      <c r="J29" s="1760">
        <f>China!I312/1000000</f>
        <v>0</v>
      </c>
      <c r="K29" s="1760">
        <f>China!J312/1000000</f>
        <v>0</v>
      </c>
      <c r="L29" s="1760">
        <f>China!K312/1000000</f>
        <v>0</v>
      </c>
      <c r="M29" s="1760">
        <f>China!L312/1000000</f>
        <v>0</v>
      </c>
      <c r="N29" s="1761">
        <f>China!M312</f>
        <v>0</v>
      </c>
      <c r="O29" s="1735"/>
    </row>
    <row r="30" spans="1:15" s="1749" customFormat="1" ht="15" customHeight="1">
      <c r="A30" s="1735"/>
      <c r="B30" s="1759" t="str">
        <f>China!A313</f>
        <v>Semaglutide</v>
      </c>
      <c r="C30" s="1760">
        <f>China!B313/1000000</f>
        <v>0</v>
      </c>
      <c r="D30" s="1760">
        <f>China!C313/1000000</f>
        <v>0</v>
      </c>
      <c r="E30" s="1760">
        <f>China!D313/1000000</f>
        <v>0</v>
      </c>
      <c r="F30" s="1760">
        <f>China!E313/1000000</f>
        <v>0</v>
      </c>
      <c r="G30" s="1760">
        <f>China!F313/1000000</f>
        <v>0</v>
      </c>
      <c r="H30" s="1760">
        <f>China!G313/1000000</f>
        <v>0</v>
      </c>
      <c r="I30" s="1760">
        <f>China!H313/1000000</f>
        <v>0</v>
      </c>
      <c r="J30" s="1760">
        <f>China!I313/1000000</f>
        <v>0</v>
      </c>
      <c r="K30" s="1760">
        <f>China!J313/1000000</f>
        <v>0</v>
      </c>
      <c r="L30" s="1760">
        <f>China!K313/1000000</f>
        <v>0</v>
      </c>
      <c r="M30" s="1760">
        <f>China!L313/1000000</f>
        <v>0</v>
      </c>
      <c r="N30" s="1761">
        <f>China!M313</f>
        <v>0</v>
      </c>
      <c r="O30" s="1735"/>
    </row>
    <row r="31" spans="1:15" s="1749" customFormat="1" ht="15" customHeight="1">
      <c r="A31" s="1735"/>
      <c r="B31" s="1759"/>
      <c r="C31" s="1760"/>
      <c r="D31" s="1760"/>
      <c r="E31" s="1760"/>
      <c r="F31" s="1760"/>
      <c r="G31" s="1760"/>
      <c r="H31" s="1760"/>
      <c r="I31" s="1760"/>
      <c r="J31" s="1760"/>
      <c r="K31" s="1760"/>
      <c r="L31" s="1760"/>
      <c r="M31" s="1760"/>
      <c r="N31" s="1761"/>
      <c r="O31" s="1735"/>
    </row>
    <row r="32" spans="1:15" s="1758" customFormat="1" ht="15" customHeight="1">
      <c r="A32" s="1754"/>
      <c r="B32" s="1755" t="str">
        <f>China!A314</f>
        <v>DPP-4 inhibitors</v>
      </c>
      <c r="C32" s="1756">
        <f>SUM(C33:C39)</f>
        <v>581.12873376142875</v>
      </c>
      <c r="D32" s="1756">
        <f t="shared" ref="D32:M32" si="3">SUM(D33:D39)</f>
        <v>804.7166472813808</v>
      </c>
      <c r="E32" s="1756">
        <f t="shared" si="3"/>
        <v>990.9219621968623</v>
      </c>
      <c r="F32" s="1756">
        <f t="shared" si="3"/>
        <v>1197.2655699438221</v>
      </c>
      <c r="G32" s="1756">
        <f t="shared" si="3"/>
        <v>1435.8723788239236</v>
      </c>
      <c r="H32" s="1756">
        <f t="shared" si="3"/>
        <v>1699.7440929333986</v>
      </c>
      <c r="I32" s="1756">
        <f t="shared" si="3"/>
        <v>2014.2767194486357</v>
      </c>
      <c r="J32" s="1756">
        <f t="shared" si="3"/>
        <v>2303.9281846045092</v>
      </c>
      <c r="K32" s="1756">
        <f t="shared" si="3"/>
        <v>2571.9783984393844</v>
      </c>
      <c r="L32" s="1756">
        <f t="shared" si="3"/>
        <v>2843.2083480845399</v>
      </c>
      <c r="M32" s="1756">
        <f t="shared" si="3"/>
        <v>3115.8212396612953</v>
      </c>
      <c r="N32" s="1757">
        <f>China!M314</f>
        <v>0.18285093740959257</v>
      </c>
      <c r="O32" s="1754"/>
    </row>
    <row r="33" spans="1:15" s="1749" customFormat="1" ht="15" customHeight="1">
      <c r="A33" s="1735"/>
      <c r="B33" s="1759" t="str">
        <f>China!A315</f>
        <v>Januvia; Janumet</v>
      </c>
      <c r="C33" s="1760">
        <f>China!B315/1000000</f>
        <v>469.59897677691208</v>
      </c>
      <c r="D33" s="1760">
        <f>China!C315/1000000</f>
        <v>642.48127346091667</v>
      </c>
      <c r="E33" s="1760">
        <f>China!D315/1000000</f>
        <v>769.90088848984465</v>
      </c>
      <c r="F33" s="1760">
        <f>China!E315/1000000</f>
        <v>911.06516927553093</v>
      </c>
      <c r="G33" s="1760">
        <f>China!F315/1000000</f>
        <v>1066.6241058746966</v>
      </c>
      <c r="H33" s="1760">
        <f>China!G315/1000000</f>
        <v>1237.2024009338179</v>
      </c>
      <c r="I33" s="1760">
        <f>China!H315/1000000</f>
        <v>1424.5362442514172</v>
      </c>
      <c r="J33" s="1760">
        <f>China!I315/1000000</f>
        <v>1587.3988815028133</v>
      </c>
      <c r="K33" s="1760">
        <f>China!J315/1000000</f>
        <v>1740.4878926380065</v>
      </c>
      <c r="L33" s="1760">
        <f>China!K315/1000000</f>
        <v>1898.2364189979819</v>
      </c>
      <c r="M33" s="1760">
        <f>China!L315/1000000</f>
        <v>2072.729093637708</v>
      </c>
      <c r="N33" s="1761">
        <f>China!M315</f>
        <v>0.1600629061721377</v>
      </c>
      <c r="O33" s="1735"/>
    </row>
    <row r="34" spans="1:15" s="1749" customFormat="1" ht="15" customHeight="1">
      <c r="A34" s="1735"/>
      <c r="B34" s="1759" t="str">
        <f>China!A316</f>
        <v>Onglyza; Kombiglyze XR</v>
      </c>
      <c r="C34" s="1760">
        <f>China!B316/1000000</f>
        <v>0</v>
      </c>
      <c r="D34" s="1760">
        <f>China!C316/1000000</f>
        <v>12.087500212647905</v>
      </c>
      <c r="E34" s="1760">
        <f>China!D316/1000000</f>
        <v>17.55726617611052</v>
      </c>
      <c r="F34" s="1760">
        <f>China!E316/1000000</f>
        <v>22.219267870706084</v>
      </c>
      <c r="G34" s="1760">
        <f>China!F316/1000000</f>
        <v>21.610862442220032</v>
      </c>
      <c r="H34" s="1760">
        <f>China!G316/1000000</f>
        <v>20.948806466274647</v>
      </c>
      <c r="I34" s="1760">
        <f>China!H316/1000000</f>
        <v>20.261487217041836</v>
      </c>
      <c r="J34" s="1760">
        <f>China!I316/1000000</f>
        <v>19.538582662992219</v>
      </c>
      <c r="K34" s="1760">
        <f>China!J316/1000000</f>
        <v>18.798583177703932</v>
      </c>
      <c r="L34" s="1760">
        <f>China!K316/1000000</f>
        <v>18.002095332271679</v>
      </c>
      <c r="M34" s="1760">
        <f>China!L316/1000000</f>
        <v>17.27000148772786</v>
      </c>
      <c r="N34" s="1761">
        <f>China!M316</f>
        <v>-1.6483313123877297E-3</v>
      </c>
      <c r="O34" s="1735"/>
    </row>
    <row r="35" spans="1:15" s="1749" customFormat="1" ht="15" customHeight="1">
      <c r="A35" s="1735"/>
      <c r="B35" s="1759" t="str">
        <f>China!A317</f>
        <v>Tradjenta; Jentadueto</v>
      </c>
      <c r="C35" s="1760">
        <f>China!B317/1000000</f>
        <v>0</v>
      </c>
      <c r="D35" s="1760">
        <f>China!C317/1000000</f>
        <v>3.6621432587272245</v>
      </c>
      <c r="E35" s="1760">
        <f>China!D317/1000000</f>
        <v>3.9894864221746489</v>
      </c>
      <c r="F35" s="1760">
        <f>China!E317/1000000</f>
        <v>4.3275595540587704</v>
      </c>
      <c r="G35" s="1760">
        <f>China!F317/1000000</f>
        <v>4.6767364642198226</v>
      </c>
      <c r="H35" s="1760">
        <f>China!G317/1000000</f>
        <v>5.0371812038019721</v>
      </c>
      <c r="I35" s="1760">
        <f>China!H317/1000000</f>
        <v>5.4132377281553836</v>
      </c>
      <c r="J35" s="1760">
        <f>China!I317/1000000</f>
        <v>5.8001112977987397</v>
      </c>
      <c r="K35" s="1760">
        <f>China!J317/1000000</f>
        <v>6.2004881175228954</v>
      </c>
      <c r="L35" s="1760">
        <f>China!K317/1000000</f>
        <v>6.597529017249081</v>
      </c>
      <c r="M35" s="1760">
        <f>China!L317/1000000</f>
        <v>7.0324737105565092</v>
      </c>
      <c r="N35" s="1761">
        <f>China!M317</f>
        <v>5.832513974423259E-2</v>
      </c>
      <c r="O35" s="1735"/>
    </row>
    <row r="36" spans="1:15" s="1749" customFormat="1" ht="15" customHeight="1">
      <c r="A36" s="1735"/>
      <c r="B36" s="1759" t="str">
        <f>China!A318</f>
        <v>Galvus; Eucreas</v>
      </c>
      <c r="C36" s="1760">
        <f>China!B318/1000000</f>
        <v>111.52975698451661</v>
      </c>
      <c r="D36" s="1760">
        <f>China!C318/1000000</f>
        <v>146.48573034908901</v>
      </c>
      <c r="E36" s="1760">
        <f>China!D318/1000000</f>
        <v>186.17603303481698</v>
      </c>
      <c r="F36" s="1760">
        <f>China!E318/1000000</f>
        <v>230.80317621646785</v>
      </c>
      <c r="G36" s="1760">
        <f>China!F318/1000000</f>
        <v>280.60418785318933</v>
      </c>
      <c r="H36" s="1760">
        <f>China!G318/1000000</f>
        <v>335.81208025346479</v>
      </c>
      <c r="I36" s="1760">
        <f>China!H318/1000000</f>
        <v>387.94870385113586</v>
      </c>
      <c r="J36" s="1760">
        <f>China!I318/1000000</f>
        <v>444.67519949790341</v>
      </c>
      <c r="K36" s="1760">
        <f>China!J318/1000000</f>
        <v>496.03904940183173</v>
      </c>
      <c r="L36" s="1760">
        <f>China!K318/1000000</f>
        <v>549.79408477075685</v>
      </c>
      <c r="M36" s="1760">
        <f>China!L318/1000000</f>
        <v>597.76026539730321</v>
      </c>
      <c r="N36" s="1761">
        <f>China!M318</f>
        <v>0.18280629908270596</v>
      </c>
      <c r="O36" s="1735"/>
    </row>
    <row r="37" spans="1:15" s="1749" customFormat="1" ht="15" customHeight="1">
      <c r="A37" s="1735"/>
      <c r="B37" s="1759" t="str">
        <f>China!A319</f>
        <v>Nesina; Oseni; Kazano</v>
      </c>
      <c r="C37" s="1760">
        <f>China!B319/1000000</f>
        <v>0</v>
      </c>
      <c r="D37" s="1760">
        <f>China!C319/1000000</f>
        <v>0</v>
      </c>
      <c r="E37" s="1760">
        <f>China!D319/1000000</f>
        <v>13.298288073915499</v>
      </c>
      <c r="F37" s="1760">
        <f>China!E319/1000000</f>
        <v>28.850397027058481</v>
      </c>
      <c r="G37" s="1760">
        <f>China!F319/1000000</f>
        <v>62.356486189597639</v>
      </c>
      <c r="H37" s="1760">
        <f>China!G319/1000000</f>
        <v>100.74362407603944</v>
      </c>
      <c r="I37" s="1760">
        <f>China!H319/1000000</f>
        <v>144.3530060841436</v>
      </c>
      <c r="J37" s="1760">
        <f>China!I319/1000000</f>
        <v>193.33704325995799</v>
      </c>
      <c r="K37" s="1760">
        <f>China!J319/1000000</f>
        <v>237.68537783837769</v>
      </c>
      <c r="L37" s="1760">
        <f>China!K319/1000000</f>
        <v>285.89292408079348</v>
      </c>
      <c r="M37" s="1760">
        <f>China!L319/1000000</f>
        <v>328.1821064926371</v>
      </c>
      <c r="N37" s="1761">
        <f>China!M319</f>
        <v>0.3779451043882871</v>
      </c>
      <c r="O37" s="1735"/>
    </row>
    <row r="38" spans="1:15" s="1749" customFormat="1" ht="15" customHeight="1">
      <c r="A38" s="1735"/>
      <c r="B38" s="1759" t="str">
        <f>China!A320</f>
        <v>Trelagliptin</v>
      </c>
      <c r="C38" s="1760">
        <f>China!B320/1000000</f>
        <v>0</v>
      </c>
      <c r="D38" s="1760">
        <f>China!C320/1000000</f>
        <v>0</v>
      </c>
      <c r="E38" s="1760">
        <f>China!D320/1000000</f>
        <v>0</v>
      </c>
      <c r="F38" s="1760">
        <f>China!E320/1000000</f>
        <v>0</v>
      </c>
      <c r="G38" s="1760">
        <f>China!F320/1000000</f>
        <v>0</v>
      </c>
      <c r="H38" s="1760">
        <f>China!G320/1000000</f>
        <v>0</v>
      </c>
      <c r="I38" s="1760">
        <f>China!H320/1000000</f>
        <v>0</v>
      </c>
      <c r="J38" s="1760">
        <f>China!I320/1000000</f>
        <v>0</v>
      </c>
      <c r="K38" s="1760">
        <f>China!J320/1000000</f>
        <v>0</v>
      </c>
      <c r="L38" s="1760">
        <f>China!K320/1000000</f>
        <v>0</v>
      </c>
      <c r="M38" s="1760">
        <f>China!L320/1000000</f>
        <v>0</v>
      </c>
      <c r="N38" s="1761">
        <f>China!M320</f>
        <v>0</v>
      </c>
      <c r="O38" s="1735"/>
    </row>
    <row r="39" spans="1:15" s="1749" customFormat="1" ht="15" customHeight="1">
      <c r="A39" s="1735"/>
      <c r="B39" s="1759" t="str">
        <f>China!A321</f>
        <v>MK-3102</v>
      </c>
      <c r="C39" s="1760">
        <f>China!B321/1000000</f>
        <v>0</v>
      </c>
      <c r="D39" s="1760">
        <f>China!C321/1000000</f>
        <v>0</v>
      </c>
      <c r="E39" s="1760">
        <f>China!D321/1000000</f>
        <v>0</v>
      </c>
      <c r="F39" s="1760">
        <f>China!E321/1000000</f>
        <v>0</v>
      </c>
      <c r="G39" s="1760">
        <f>China!F321/1000000</f>
        <v>0</v>
      </c>
      <c r="H39" s="1760">
        <f>China!G321/1000000</f>
        <v>0</v>
      </c>
      <c r="I39" s="1760">
        <f>China!H321/1000000</f>
        <v>31.764040316742051</v>
      </c>
      <c r="J39" s="1760">
        <f>China!I321/1000000</f>
        <v>53.178366383043254</v>
      </c>
      <c r="K39" s="1760">
        <f>China!J321/1000000</f>
        <v>72.76700726594207</v>
      </c>
      <c r="L39" s="1760">
        <f>China!K321/1000000</f>
        <v>84.685295885487179</v>
      </c>
      <c r="M39" s="1760">
        <f>China!L321/1000000</f>
        <v>92.847298935362829</v>
      </c>
      <c r="N39" s="1761">
        <f>China!M321</f>
        <v>0.11322603223727867</v>
      </c>
      <c r="O39" s="1735"/>
    </row>
    <row r="40" spans="1:15" s="1749" customFormat="1" ht="15" customHeight="1">
      <c r="A40" s="1735"/>
      <c r="B40" s="1759"/>
      <c r="C40" s="1760"/>
      <c r="D40" s="1760"/>
      <c r="E40" s="1760"/>
      <c r="F40" s="1760"/>
      <c r="G40" s="1760"/>
      <c r="H40" s="1760"/>
      <c r="I40" s="1760"/>
      <c r="J40" s="1760"/>
      <c r="K40" s="1760"/>
      <c r="L40" s="1760"/>
      <c r="M40" s="1760"/>
      <c r="N40" s="1761"/>
      <c r="O40" s="1735"/>
    </row>
    <row r="41" spans="1:15" s="1758" customFormat="1" ht="15" customHeight="1">
      <c r="A41" s="1754"/>
      <c r="B41" s="1755" t="str">
        <f>China!A322</f>
        <v>SGLT-2 inhibitors</v>
      </c>
      <c r="C41" s="1756">
        <f>SUM(C42:C46)</f>
        <v>0</v>
      </c>
      <c r="D41" s="1756">
        <f t="shared" ref="D41:M41" si="4">SUM(D42:D46)</f>
        <v>0</v>
      </c>
      <c r="E41" s="1756">
        <f t="shared" si="4"/>
        <v>12.125938993715053</v>
      </c>
      <c r="F41" s="1756">
        <f t="shared" si="4"/>
        <v>40.191260332102843</v>
      </c>
      <c r="G41" s="1756">
        <f t="shared" si="4"/>
        <v>173.7366572453592</v>
      </c>
      <c r="H41" s="1756">
        <f t="shared" si="4"/>
        <v>280.69029471185985</v>
      </c>
      <c r="I41" s="1756">
        <f t="shared" si="4"/>
        <v>400.36591144686076</v>
      </c>
      <c r="J41" s="1756">
        <f t="shared" si="4"/>
        <v>532.79618868902116</v>
      </c>
      <c r="K41" s="1756">
        <f t="shared" si="4"/>
        <v>633.44240998860562</v>
      </c>
      <c r="L41" s="1756">
        <f t="shared" si="4"/>
        <v>757.55837575254816</v>
      </c>
      <c r="M41" s="1756">
        <f t="shared" si="4"/>
        <v>852.62574903909456</v>
      </c>
      <c r="N41" s="1757">
        <f>China!M322</f>
        <v>0.5300453611691478</v>
      </c>
      <c r="O41" s="1754"/>
    </row>
    <row r="42" spans="1:15" s="1749" customFormat="1" ht="15" customHeight="1">
      <c r="A42" s="1735"/>
      <c r="B42" s="1759" t="str">
        <f>China!A323</f>
        <v>Forxiga</v>
      </c>
      <c r="C42" s="1760">
        <f>China!B323/1000000</f>
        <v>0</v>
      </c>
      <c r="D42" s="1760">
        <f>China!C323/1000000</f>
        <v>0</v>
      </c>
      <c r="E42" s="1760">
        <f>China!D323/1000000</f>
        <v>12.125938993715053</v>
      </c>
      <c r="F42" s="1760">
        <f>China!E323/1000000</f>
        <v>32.88375845353869</v>
      </c>
      <c r="G42" s="1760">
        <f>China!F323/1000000</f>
        <v>142.14817410983935</v>
      </c>
      <c r="H42" s="1760">
        <f>China!G323/1000000</f>
        <v>229.65569567333986</v>
      </c>
      <c r="I42" s="1760">
        <f>China!H323/1000000</f>
        <v>329.0678724220773</v>
      </c>
      <c r="J42" s="1760">
        <f>China!I323/1000000</f>
        <v>440.73214137878585</v>
      </c>
      <c r="K42" s="1760">
        <f>China!J323/1000000</f>
        <v>518.27106271795003</v>
      </c>
      <c r="L42" s="1760">
        <f>China!K323/1000000</f>
        <v>601.59047486231759</v>
      </c>
      <c r="M42" s="1760">
        <f>China!L323/1000000</f>
        <v>662.62558212230465</v>
      </c>
      <c r="N42" s="1761">
        <f>China!M323</f>
        <v>0.35029504793445176</v>
      </c>
      <c r="O42" s="1735"/>
    </row>
    <row r="43" spans="1:15" s="1749" customFormat="1" ht="15" customHeight="1">
      <c r="A43" s="1735"/>
      <c r="B43" s="1759" t="str">
        <f>China!A324</f>
        <v>Invokana</v>
      </c>
      <c r="C43" s="1760">
        <f>China!B324/1000000</f>
        <v>0</v>
      </c>
      <c r="D43" s="1760">
        <f>China!C324/1000000</f>
        <v>0</v>
      </c>
      <c r="E43" s="1760">
        <f>China!D324/1000000</f>
        <v>0</v>
      </c>
      <c r="F43" s="1760">
        <f>China!E324/1000000</f>
        <v>7.3075018785641559</v>
      </c>
      <c r="G43" s="1760">
        <f>China!F324/1000000</f>
        <v>31.588483135519859</v>
      </c>
      <c r="H43" s="1760">
        <f>China!G324/1000000</f>
        <v>51.034599038519985</v>
      </c>
      <c r="I43" s="1760">
        <f>China!H324/1000000</f>
        <v>71.298039024783435</v>
      </c>
      <c r="J43" s="1760">
        <f>China!I324/1000000</f>
        <v>92.064047310235296</v>
      </c>
      <c r="K43" s="1760">
        <f>China!J324/1000000</f>
        <v>115.17134727065557</v>
      </c>
      <c r="L43" s="1760">
        <f>China!K324/1000000</f>
        <v>155.96790089023054</v>
      </c>
      <c r="M43" s="1760">
        <f>China!L324/1000000</f>
        <v>190.00016691678991</v>
      </c>
      <c r="N43" s="1761">
        <f>China!M324</f>
        <v>0.38515541668850539</v>
      </c>
      <c r="O43" s="1735"/>
    </row>
    <row r="44" spans="1:15" s="1749" customFormat="1" ht="15" customHeight="1">
      <c r="A44" s="1735"/>
      <c r="B44" s="1759" t="str">
        <f>China!A325</f>
        <v>Empagliflozin</v>
      </c>
      <c r="C44" s="1760">
        <f>China!B325/1000000</f>
        <v>0</v>
      </c>
      <c r="D44" s="1760">
        <f>China!C325/1000000</f>
        <v>0</v>
      </c>
      <c r="E44" s="1760">
        <f>China!D325/1000000</f>
        <v>0</v>
      </c>
      <c r="F44" s="1760">
        <f>China!E325/1000000</f>
        <v>0</v>
      </c>
      <c r="G44" s="1760">
        <f>China!F325/1000000</f>
        <v>0</v>
      </c>
      <c r="H44" s="1760">
        <f>China!G325/1000000</f>
        <v>0</v>
      </c>
      <c r="I44" s="1760">
        <f>China!H325/1000000</f>
        <v>0</v>
      </c>
      <c r="J44" s="1760">
        <f>China!I325/1000000</f>
        <v>0</v>
      </c>
      <c r="K44" s="1760">
        <f>China!J325/1000000</f>
        <v>0</v>
      </c>
      <c r="L44" s="1760">
        <f>China!K325/1000000</f>
        <v>0</v>
      </c>
      <c r="M44" s="1760">
        <f>China!L325/1000000</f>
        <v>0</v>
      </c>
      <c r="N44" s="1761">
        <f>China!M325</f>
        <v>0</v>
      </c>
      <c r="O44" s="1735"/>
    </row>
    <row r="45" spans="1:15" s="1749" customFormat="1" ht="15" customHeight="1">
      <c r="A45" s="1735"/>
      <c r="B45" s="1759" t="str">
        <f>China!A326</f>
        <v>Tofogliflozin</v>
      </c>
      <c r="C45" s="1760">
        <f>China!B326/1000000</f>
        <v>0</v>
      </c>
      <c r="D45" s="1760">
        <f>China!C326/1000000</f>
        <v>0</v>
      </c>
      <c r="E45" s="1760">
        <f>China!D326/1000000</f>
        <v>0</v>
      </c>
      <c r="F45" s="1760">
        <f>China!E326/1000000</f>
        <v>0</v>
      </c>
      <c r="G45" s="1760">
        <f>China!F326/1000000</f>
        <v>0</v>
      </c>
      <c r="H45" s="1760">
        <f>China!G326/1000000</f>
        <v>0</v>
      </c>
      <c r="I45" s="1760">
        <f>China!H326/1000000</f>
        <v>0</v>
      </c>
      <c r="J45" s="1760">
        <f>China!I326/1000000</f>
        <v>0</v>
      </c>
      <c r="K45" s="1760">
        <f>China!J326/1000000</f>
        <v>0</v>
      </c>
      <c r="L45" s="1760">
        <f>China!K326/1000000</f>
        <v>0</v>
      </c>
      <c r="M45" s="1760">
        <f>China!L326/1000000</f>
        <v>0</v>
      </c>
      <c r="N45" s="1761">
        <f>China!M326</f>
        <v>0</v>
      </c>
      <c r="O45" s="1735"/>
    </row>
    <row r="46" spans="1:15" s="1749" customFormat="1" ht="15" customHeight="1">
      <c r="A46" s="1735"/>
      <c r="B46" s="1759" t="str">
        <f>China!A327</f>
        <v>Ipragliflozin</v>
      </c>
      <c r="C46" s="1760">
        <f>China!B327/1000000</f>
        <v>0</v>
      </c>
      <c r="D46" s="1760">
        <f>China!C327/1000000</f>
        <v>0</v>
      </c>
      <c r="E46" s="1760">
        <f>China!D327/1000000</f>
        <v>0</v>
      </c>
      <c r="F46" s="1760">
        <f>China!E327/1000000</f>
        <v>0</v>
      </c>
      <c r="G46" s="1760">
        <f>China!F327/1000000</f>
        <v>0</v>
      </c>
      <c r="H46" s="1760">
        <f>China!G327/1000000</f>
        <v>0</v>
      </c>
      <c r="I46" s="1760">
        <f>China!H327/1000000</f>
        <v>0</v>
      </c>
      <c r="J46" s="1760">
        <f>China!I327/1000000</f>
        <v>0</v>
      </c>
      <c r="K46" s="1760">
        <f>China!J327/1000000</f>
        <v>0</v>
      </c>
      <c r="L46" s="1760">
        <f>China!K327/1000000</f>
        <v>0</v>
      </c>
      <c r="M46" s="1760">
        <f>China!L327/1000000</f>
        <v>0</v>
      </c>
      <c r="N46" s="1761">
        <f>China!M327</f>
        <v>0</v>
      </c>
      <c r="O46" s="1735"/>
    </row>
    <row r="47" spans="1:15" s="1749" customFormat="1" ht="15" customHeight="1">
      <c r="A47" s="1735"/>
      <c r="B47" s="1798"/>
      <c r="C47" s="1799"/>
      <c r="D47" s="1799"/>
      <c r="E47" s="1799"/>
      <c r="F47" s="1799"/>
      <c r="G47" s="1799"/>
      <c r="H47" s="1799"/>
      <c r="I47" s="1799"/>
      <c r="J47" s="1799"/>
      <c r="K47" s="1799"/>
      <c r="L47" s="1799"/>
      <c r="M47" s="1799"/>
      <c r="N47" s="1800"/>
      <c r="O47" s="1735"/>
    </row>
    <row r="48" spans="1:15" s="1749" customFormat="1" ht="15" customHeight="1">
      <c r="A48" s="1735"/>
      <c r="B48" s="1801" t="str">
        <f>China!A328</f>
        <v>Novel MOA</v>
      </c>
      <c r="C48" s="1802">
        <f>SUM(C49)</f>
        <v>0</v>
      </c>
      <c r="D48" s="1802">
        <f t="shared" ref="D48:M48" si="5">SUM(D49)</f>
        <v>0</v>
      </c>
      <c r="E48" s="1802">
        <f t="shared" si="5"/>
        <v>0</v>
      </c>
      <c r="F48" s="1802">
        <f t="shared" si="5"/>
        <v>0</v>
      </c>
      <c r="G48" s="1802">
        <f t="shared" si="5"/>
        <v>0</v>
      </c>
      <c r="H48" s="1802">
        <f t="shared" si="5"/>
        <v>0</v>
      </c>
      <c r="I48" s="1802">
        <f t="shared" si="5"/>
        <v>16.619589516266533</v>
      </c>
      <c r="J48" s="1802">
        <f t="shared" si="5"/>
        <v>53.422077742883147</v>
      </c>
      <c r="K48" s="1802">
        <f t="shared" si="5"/>
        <v>95.182931628640958</v>
      </c>
      <c r="L48" s="1802">
        <f t="shared" si="5"/>
        <v>131.66121503720757</v>
      </c>
      <c r="M48" s="1802">
        <f t="shared" si="5"/>
        <v>172.72742446980902</v>
      </c>
      <c r="N48" s="1797">
        <f>China!M328</f>
        <v>0.26378763078859735</v>
      </c>
      <c r="O48" s="1735"/>
    </row>
    <row r="49" spans="1:17" s="1749" customFormat="1" ht="15" customHeight="1">
      <c r="A49" s="1735"/>
      <c r="B49" s="1759" t="str">
        <f>China!A329</f>
        <v>LY2409021 (glucagon receptor antagonist)</v>
      </c>
      <c r="C49" s="1760">
        <f>China!B329/1000000</f>
        <v>0</v>
      </c>
      <c r="D49" s="1760">
        <f>China!C329/1000000</f>
        <v>0</v>
      </c>
      <c r="E49" s="1760">
        <f>China!D329/1000000</f>
        <v>0</v>
      </c>
      <c r="F49" s="1760">
        <f>China!E329/1000000</f>
        <v>0</v>
      </c>
      <c r="G49" s="1760">
        <f>China!F329/1000000</f>
        <v>0</v>
      </c>
      <c r="H49" s="1760">
        <f>China!G329/1000000</f>
        <v>0</v>
      </c>
      <c r="I49" s="1760">
        <f>China!H329/1000000</f>
        <v>16.619589516266533</v>
      </c>
      <c r="J49" s="1760">
        <f>China!I329/1000000</f>
        <v>53.422077742883147</v>
      </c>
      <c r="K49" s="1760">
        <f>China!J329/1000000</f>
        <v>95.182931628640958</v>
      </c>
      <c r="L49" s="1760">
        <f>China!K329/1000000</f>
        <v>131.66121503720757</v>
      </c>
      <c r="M49" s="1760">
        <f>China!L329/1000000</f>
        <v>172.72742446980902</v>
      </c>
      <c r="N49" s="1761">
        <f>China!M329</f>
        <v>0.12451189112094352</v>
      </c>
      <c r="O49" s="1735"/>
    </row>
    <row r="50" spans="1:17" s="1749" customFormat="1" ht="15" customHeight="1">
      <c r="A50" s="1735"/>
      <c r="B50" s="1759"/>
      <c r="C50" s="1760"/>
      <c r="D50" s="1760"/>
      <c r="E50" s="1760"/>
      <c r="F50" s="1760"/>
      <c r="G50" s="1760"/>
      <c r="H50" s="1760"/>
      <c r="I50" s="1760"/>
      <c r="J50" s="1760"/>
      <c r="K50" s="1760"/>
      <c r="L50" s="1760"/>
      <c r="M50" s="1760"/>
      <c r="N50" s="1761"/>
      <c r="O50" s="1735"/>
    </row>
    <row r="51" spans="1:17" s="1758" customFormat="1" ht="15" customHeight="1">
      <c r="A51" s="1754"/>
      <c r="B51" s="1755" t="str">
        <f>China!A330</f>
        <v>Insulins</v>
      </c>
      <c r="C51" s="1756">
        <f>SUM(C52:C66)</f>
        <v>552.04101996174472</v>
      </c>
      <c r="D51" s="1756">
        <f t="shared" ref="D51:M51" si="6">SUM(D52:D66)</f>
        <v>652.14615591152642</v>
      </c>
      <c r="E51" s="1756">
        <f t="shared" si="6"/>
        <v>762.649400035285</v>
      </c>
      <c r="F51" s="1756">
        <f t="shared" si="6"/>
        <v>823.39629295742486</v>
      </c>
      <c r="G51" s="1756">
        <f t="shared" si="6"/>
        <v>902.43168771362866</v>
      </c>
      <c r="H51" s="1756">
        <f t="shared" si="6"/>
        <v>986.48203553987037</v>
      </c>
      <c r="I51" s="1756">
        <f t="shared" si="6"/>
        <v>1076.7184022399092</v>
      </c>
      <c r="J51" s="1756">
        <f t="shared" si="6"/>
        <v>1174.9591926968019</v>
      </c>
      <c r="K51" s="1756">
        <f t="shared" si="6"/>
        <v>1279.8036085554045</v>
      </c>
      <c r="L51" s="1756">
        <f t="shared" si="6"/>
        <v>1385.9202513088867</v>
      </c>
      <c r="M51" s="1756">
        <f t="shared" si="6"/>
        <v>1688.4967423239327</v>
      </c>
      <c r="N51" s="1757">
        <f>China!M330</f>
        <v>0.11828599952310426</v>
      </c>
      <c r="O51" s="1754"/>
    </row>
    <row r="52" spans="1:17" s="1749" customFormat="1" ht="15" customHeight="1">
      <c r="A52" s="1735"/>
      <c r="B52" s="1762" t="str">
        <f>China!A331</f>
        <v>Soluble (neutral) insulins</v>
      </c>
      <c r="C52" s="1760">
        <f>China!B331/1000000</f>
        <v>56.867475659206256</v>
      </c>
      <c r="D52" s="1760">
        <f>China!C331/1000000</f>
        <v>62.242534565643169</v>
      </c>
      <c r="E52" s="1760">
        <f>China!D331/1000000</f>
        <v>67.806125808871741</v>
      </c>
      <c r="F52" s="1760">
        <f>China!E331/1000000</f>
        <v>73.552085786506808</v>
      </c>
      <c r="G52" s="1760">
        <f>China!F331/1000000</f>
        <v>79.486767846917857</v>
      </c>
      <c r="H52" s="1760">
        <f>China!G331/1000000</f>
        <v>85.612960236847314</v>
      </c>
      <c r="I52" s="1760">
        <f>China!H331/1000000</f>
        <v>92.004493708380011</v>
      </c>
      <c r="J52" s="1760">
        <f>China!I331/1000000</f>
        <v>98.579875890296449</v>
      </c>
      <c r="K52" s="1760">
        <f>China!J331/1000000</f>
        <v>105.38476206769414</v>
      </c>
      <c r="L52" s="1760">
        <f>China!K331/1000000</f>
        <v>112.13295026767463</v>
      </c>
      <c r="M52" s="1760">
        <f>China!L331/1000000</f>
        <v>119.5253590825989</v>
      </c>
      <c r="N52" s="1761">
        <f>China!M331</f>
        <v>7.7108890699195021E-2</v>
      </c>
      <c r="O52" s="1735"/>
    </row>
    <row r="53" spans="1:17" s="1749" customFormat="1" ht="15" customHeight="1">
      <c r="A53" s="1735"/>
      <c r="B53" s="1762" t="str">
        <f>China!A332</f>
        <v>NPH insulins</v>
      </c>
      <c r="C53" s="1760">
        <f>China!B332/1000000</f>
        <v>87.670691641276335</v>
      </c>
      <c r="D53" s="1760">
        <f>China!C332/1000000</f>
        <v>95.957240788699906</v>
      </c>
      <c r="E53" s="1760">
        <f>China!D332/1000000</f>
        <v>104.53444395534396</v>
      </c>
      <c r="F53" s="1760">
        <f>China!E332/1000000</f>
        <v>113.39279892086469</v>
      </c>
      <c r="G53" s="1760">
        <f>China!F332/1000000</f>
        <v>122.54210043066506</v>
      </c>
      <c r="H53" s="1760">
        <f>China!G332/1000000</f>
        <v>131.98664703180629</v>
      </c>
      <c r="I53" s="1760">
        <f>China!H332/1000000</f>
        <v>141.84026113375256</v>
      </c>
      <c r="J53" s="1760">
        <f>China!I332/1000000</f>
        <v>151.97730866420704</v>
      </c>
      <c r="K53" s="1760">
        <f>China!J332/1000000</f>
        <v>162.46817485436182</v>
      </c>
      <c r="L53" s="1760">
        <f>China!K332/1000000</f>
        <v>172.87163166266507</v>
      </c>
      <c r="M53" s="1760">
        <f>China!L332/1000000</f>
        <v>368.5365238380133</v>
      </c>
      <c r="N53" s="1761">
        <f>China!M332</f>
        <v>0.15441672531330197</v>
      </c>
      <c r="O53" s="1735"/>
    </row>
    <row r="54" spans="1:17" s="1749" customFormat="1" ht="15" customHeight="1">
      <c r="A54" s="1735"/>
      <c r="B54" s="1762" t="str">
        <f>China!A333</f>
        <v>Biphasic (premixed) insulins</v>
      </c>
      <c r="C54" s="1760">
        <f>China!B333/1000000</f>
        <v>131.31647920971713</v>
      </c>
      <c r="D54" s="1760">
        <f>China!C333/1000000</f>
        <v>143.72838606783105</v>
      </c>
      <c r="E54" s="1760">
        <f>China!D333/1000000</f>
        <v>156.57564551365303</v>
      </c>
      <c r="F54" s="1760">
        <f>China!E333/1000000</f>
        <v>169.84402476200867</v>
      </c>
      <c r="G54" s="1760">
        <f>China!F333/1000000</f>
        <v>183.54819475317453</v>
      </c>
      <c r="H54" s="1760">
        <f>China!G333/1000000</f>
        <v>197.69459401358662</v>
      </c>
      <c r="I54" s="1760">
        <f>China!H333/1000000</f>
        <v>212.45371005493422</v>
      </c>
      <c r="J54" s="1760">
        <f>China!I333/1000000</f>
        <v>227.63736341000956</v>
      </c>
      <c r="K54" s="1760">
        <f>China!J333/1000000</f>
        <v>243.3509797413171</v>
      </c>
      <c r="L54" s="1760">
        <f>China!K333/1000000</f>
        <v>258.93367099310535</v>
      </c>
      <c r="M54" s="1760">
        <f>China!L333/1000000</f>
        <v>276.0039750149013</v>
      </c>
      <c r="N54" s="1761">
        <f>China!M333</f>
        <v>7.7108890699195021E-2</v>
      </c>
      <c r="O54" s="1735"/>
    </row>
    <row r="55" spans="1:17" s="1749" customFormat="1" ht="15" customHeight="1">
      <c r="A55" s="1735"/>
      <c r="B55" s="1762" t="str">
        <f>China!A334</f>
        <v>Humalog</v>
      </c>
      <c r="C55" s="1760">
        <f>China!B334/1000000</f>
        <v>32.414461125747565</v>
      </c>
      <c r="D55" s="1760">
        <f>China!C334/1000000</f>
        <v>35.478244702416603</v>
      </c>
      <c r="E55" s="1760">
        <f>China!D334/1000000</f>
        <v>38.649491711056889</v>
      </c>
      <c r="F55" s="1760">
        <f>China!E334/1000000</f>
        <v>39.828454453393427</v>
      </c>
      <c r="G55" s="1760">
        <f>China!F334/1000000</f>
        <v>40.889980549650708</v>
      </c>
      <c r="H55" s="1760">
        <f>China!G334/1000000</f>
        <v>41.839374716348146</v>
      </c>
      <c r="I55" s="1760">
        <f>China!H334/1000000</f>
        <v>42.714794037529863</v>
      </c>
      <c r="J55" s="1760">
        <f>China!I334/1000000</f>
        <v>44.394511152885833</v>
      </c>
      <c r="K55" s="1760">
        <f>China!J334/1000000</f>
        <v>46.035256223693608</v>
      </c>
      <c r="L55" s="1760">
        <f>China!K334/1000000</f>
        <v>47.513577158090186</v>
      </c>
      <c r="M55" s="1760">
        <f>China!L334/1000000</f>
        <v>49.126550553035329</v>
      </c>
      <c r="N55" s="1761">
        <f>China!M334</f>
        <v>4.2456031606961986E-2</v>
      </c>
      <c r="O55" s="1735"/>
    </row>
    <row r="56" spans="1:17" s="1749" customFormat="1" ht="15" customHeight="1">
      <c r="A56" s="1735"/>
      <c r="B56" s="1762" t="str">
        <f>China!A335</f>
        <v xml:space="preserve">  Humalog biosimilars</v>
      </c>
      <c r="C56" s="1760">
        <f>China!B335/1000000</f>
        <v>0</v>
      </c>
      <c r="D56" s="1760">
        <f>China!C335/1000000</f>
        <v>0</v>
      </c>
      <c r="E56" s="1760">
        <f>China!D335/1000000</f>
        <v>0</v>
      </c>
      <c r="F56" s="1760">
        <f>China!E335/1000000</f>
        <v>1.729393417055245</v>
      </c>
      <c r="G56" s="1760">
        <f>China!F335/1000000</f>
        <v>4.8490306574253479</v>
      </c>
      <c r="H56" s="1760">
        <f>China!G335/1000000</f>
        <v>8.4044622839240652</v>
      </c>
      <c r="I56" s="1760">
        <f>China!H335/1000000</f>
        <v>12.428181833720465</v>
      </c>
      <c r="J56" s="1760">
        <f>China!I335/1000000</f>
        <v>16.251851511081458</v>
      </c>
      <c r="K56" s="1760">
        <f>China!J335/1000000</f>
        <v>20.560250241457592</v>
      </c>
      <c r="L56" s="1760">
        <f>China!K335/1000000</f>
        <v>25.323484664613968</v>
      </c>
      <c r="M56" s="1760">
        <f>China!L335/1000000</f>
        <v>30.731574398326352</v>
      </c>
      <c r="N56" s="1761">
        <f>China!M335</f>
        <v>0.20279880516916982</v>
      </c>
      <c r="O56" s="1735"/>
    </row>
    <row r="57" spans="1:17" s="1749" customFormat="1" ht="15" customHeight="1">
      <c r="A57" s="1735"/>
      <c r="B57" s="1762" t="str">
        <f>China!A336</f>
        <v>Lantus</v>
      </c>
      <c r="C57" s="1760">
        <f>China!B336/1000000</f>
        <v>128.52049498980617</v>
      </c>
      <c r="D57" s="1760">
        <f>China!C336/1000000</f>
        <v>164.11281613807918</v>
      </c>
      <c r="E57" s="1760">
        <f>China!D336/1000000</f>
        <v>204.32245910406684</v>
      </c>
      <c r="F57" s="1760">
        <f>China!E336/1000000</f>
        <v>210.55510424484021</v>
      </c>
      <c r="G57" s="1760">
        <f>China!F336/1000000</f>
        <v>216.16691471862137</v>
      </c>
      <c r="H57" s="1760">
        <f>China!G336/1000000</f>
        <v>221.18593417297512</v>
      </c>
      <c r="I57" s="1760">
        <f>China!H336/1000000</f>
        <v>225.81388192939772</v>
      </c>
      <c r="J57" s="1760">
        <f>China!I336/1000000</f>
        <v>234.69378995443739</v>
      </c>
      <c r="K57" s="1760">
        <f>China!J336/1000000</f>
        <v>243.36767032876628</v>
      </c>
      <c r="L57" s="1760">
        <f>China!K336/1000000</f>
        <v>251.18288743224292</v>
      </c>
      <c r="M57" s="1760">
        <f>China!L336/1000000</f>
        <v>259.70995146166047</v>
      </c>
      <c r="N57" s="1761">
        <f>China!M336</f>
        <v>7.2881162690811685E-2</v>
      </c>
      <c r="O57" s="1735"/>
    </row>
    <row r="58" spans="1:17" s="1749" customFormat="1" ht="15" customHeight="1">
      <c r="A58" s="1735"/>
      <c r="B58" s="1762" t="str">
        <f>China!A337</f>
        <v xml:space="preserve">  Lantus biosimilars</v>
      </c>
      <c r="C58" s="1760">
        <f>China!B337/1000000</f>
        <v>0</v>
      </c>
      <c r="D58" s="1760">
        <f>China!C337/1000000</f>
        <v>0</v>
      </c>
      <c r="E58" s="1760">
        <f>China!D337/1000000</f>
        <v>0</v>
      </c>
      <c r="F58" s="1760">
        <f>China!E337/1000000</f>
        <v>9.1425242632628034</v>
      </c>
      <c r="G58" s="1760">
        <f>China!F337/1000000</f>
        <v>25.634641604166713</v>
      </c>
      <c r="H58" s="1760">
        <f>China!G337/1000000</f>
        <v>44.430607629633599</v>
      </c>
      <c r="I58" s="1760">
        <f>China!H337/1000000</f>
        <v>65.702201039083562</v>
      </c>
      <c r="J58" s="1760">
        <f>China!I337/1000000</f>
        <v>85.91622085390425</v>
      </c>
      <c r="K58" s="1760">
        <f>China!J337/1000000</f>
        <v>108.6927849022085</v>
      </c>
      <c r="L58" s="1760">
        <f>China!K337/1000000</f>
        <v>133.87386044918728</v>
      </c>
      <c r="M58" s="1760">
        <f>China!L337/1000000</f>
        <v>162.4639956496317</v>
      </c>
      <c r="N58" s="1761">
        <f>China!M337</f>
        <v>0.20279880516916982</v>
      </c>
      <c r="O58" s="1735"/>
    </row>
    <row r="59" spans="1:17" s="1749" customFormat="1" ht="15" customHeight="1">
      <c r="A59" s="1735"/>
      <c r="B59" s="1762" t="str">
        <f>China!A338</f>
        <v>Levemir</v>
      </c>
      <c r="C59" s="1760">
        <f>China!B338/1000000</f>
        <v>47.389563049338555</v>
      </c>
      <c r="D59" s="1760">
        <f>China!C338/1000000</f>
        <v>62.242534565643183</v>
      </c>
      <c r="E59" s="1760">
        <f>China!D338/1000000</f>
        <v>79.107146777017036</v>
      </c>
      <c r="F59" s="1760">
        <f>China!E338/1000000</f>
        <v>81.520228413378391</v>
      </c>
      <c r="G59" s="1760">
        <f>China!F338/1000000</f>
        <v>83.692942645483939</v>
      </c>
      <c r="H59" s="1760">
        <f>China!G338/1000000</f>
        <v>85.636147080244797</v>
      </c>
      <c r="I59" s="1760">
        <f>China!H338/1000000</f>
        <v>87.427941012488063</v>
      </c>
      <c r="J59" s="1760">
        <f>China!I338/1000000</f>
        <v>90.865958500058738</v>
      </c>
      <c r="K59" s="1760">
        <f>China!J338/1000000</f>
        <v>94.224208644986945</v>
      </c>
      <c r="L59" s="1760">
        <f>China!K338/1000000</f>
        <v>97.250011727085237</v>
      </c>
      <c r="M59" s="1760">
        <f>China!L338/1000000</f>
        <v>100.55141926059866</v>
      </c>
      <c r="N59" s="1761">
        <f>China!M338</f>
        <v>7.8128558151879801E-2</v>
      </c>
      <c r="O59" s="1735"/>
      <c r="Q59" s="1763"/>
    </row>
    <row r="60" spans="1:17" s="1749" customFormat="1" ht="15" customHeight="1">
      <c r="A60" s="1735"/>
      <c r="B60" s="1762" t="str">
        <f>China!A339</f>
        <v xml:space="preserve">  Levemir biosimilars</v>
      </c>
      <c r="C60" s="1760">
        <f>China!B339/1000000</f>
        <v>0</v>
      </c>
      <c r="D60" s="1760">
        <f>China!C339/1000000</f>
        <v>0</v>
      </c>
      <c r="E60" s="1760">
        <f>China!D339/1000000</f>
        <v>0</v>
      </c>
      <c r="F60" s="1760">
        <f>China!E339/1000000</f>
        <v>3.5396941284756456</v>
      </c>
      <c r="G60" s="1760">
        <f>China!F339/1000000</f>
        <v>9.9249165502857934</v>
      </c>
      <c r="H60" s="1760">
        <f>China!G339/1000000</f>
        <v>17.202115785809486</v>
      </c>
      <c r="I60" s="1760">
        <f>China!H339/1000000</f>
        <v>25.437799074866433</v>
      </c>
      <c r="J60" s="1760">
        <f>China!I339/1000000</f>
        <v>33.264023560693026</v>
      </c>
      <c r="K60" s="1760">
        <f>China!J339/1000000</f>
        <v>42.082383535147116</v>
      </c>
      <c r="L60" s="1760">
        <f>China!K339/1000000</f>
        <v>51.831693757981796</v>
      </c>
      <c r="M60" s="1760">
        <f>China!L339/1000000</f>
        <v>62.900883271428206</v>
      </c>
      <c r="N60" s="1761">
        <f>China!M339</f>
        <v>6.5781546670891533E-2</v>
      </c>
      <c r="O60" s="1735"/>
      <c r="Q60" s="1763"/>
    </row>
    <row r="61" spans="1:17" s="1749" customFormat="1" ht="15" customHeight="1">
      <c r="A61" s="1735"/>
      <c r="B61" s="1762" t="str">
        <f>China!A340</f>
        <v>Novolog/NovoRapid</v>
      </c>
      <c r="C61" s="1760">
        <f>China!B340/1000000</f>
        <v>54.592776632838017</v>
      </c>
      <c r="D61" s="1760">
        <f>China!C340/1000000</f>
        <v>69.711638713520358</v>
      </c>
      <c r="E61" s="1760">
        <f>China!D340/1000000</f>
        <v>86.79184103535583</v>
      </c>
      <c r="F61" s="1760">
        <f>China!E340/1000000</f>
        <v>89.4393363163923</v>
      </c>
      <c r="G61" s="1760">
        <f>China!F340/1000000</f>
        <v>91.823114216759521</v>
      </c>
      <c r="H61" s="1760">
        <f>China!G340/1000000</f>
        <v>93.955087082325718</v>
      </c>
      <c r="I61" s="1760">
        <f>China!H340/1000000</f>
        <v>95.920940996558343</v>
      </c>
      <c r="J61" s="1760">
        <f>China!I340/1000000</f>
        <v>99.692937325778729</v>
      </c>
      <c r="K61" s="1760">
        <f>China!J340/1000000</f>
        <v>103.3774174847857</v>
      </c>
      <c r="L61" s="1760">
        <f>China!K340/1000000</f>
        <v>106.69715572343064</v>
      </c>
      <c r="M61" s="1760">
        <f>China!L340/1000000</f>
        <v>110.31927141734251</v>
      </c>
      <c r="N61" s="1761">
        <f>China!M340</f>
        <v>7.2881162690811685E-2</v>
      </c>
      <c r="O61" s="1735"/>
      <c r="Q61" s="1763"/>
    </row>
    <row r="62" spans="1:17" s="1749" customFormat="1" ht="15" customHeight="1">
      <c r="A62" s="1735"/>
      <c r="B62" s="1762" t="str">
        <f>China!A341</f>
        <v xml:space="preserve">  Novolog biosimilars</v>
      </c>
      <c r="C62" s="1760">
        <f>China!B341/1000000</f>
        <v>0</v>
      </c>
      <c r="D62" s="1760">
        <f>China!C341/1000000</f>
        <v>0</v>
      </c>
      <c r="E62" s="1760">
        <f>China!D341/1000000</f>
        <v>0</v>
      </c>
      <c r="F62" s="1760">
        <f>China!E341/1000000</f>
        <v>3.8835501295275612</v>
      </c>
      <c r="G62" s="1760">
        <f>China!F341/1000000</f>
        <v>10.889051300884974</v>
      </c>
      <c r="H62" s="1760">
        <f>China!G341/1000000</f>
        <v>18.873178462145241</v>
      </c>
      <c r="I62" s="1760">
        <f>China!H341/1000000</f>
        <v>27.908899556424871</v>
      </c>
      <c r="J62" s="1760">
        <f>China!I341/1000000</f>
        <v>36.495385849446045</v>
      </c>
      <c r="K62" s="1760">
        <f>China!J341/1000000</f>
        <v>46.170386507132804</v>
      </c>
      <c r="L62" s="1760">
        <f>China!K341/1000000</f>
        <v>56.866772580185732</v>
      </c>
      <c r="M62" s="1760">
        <f>China!L341/1000000</f>
        <v>69.011254789224068</v>
      </c>
      <c r="N62" s="1761">
        <f>China!M341</f>
        <v>0.20279880516916982</v>
      </c>
      <c r="O62" s="1735"/>
      <c r="Q62" s="1763"/>
    </row>
    <row r="63" spans="1:17" s="1749" customFormat="1" ht="15" customHeight="1">
      <c r="A63" s="1735"/>
      <c r="B63" s="1762" t="str">
        <f>China!A342</f>
        <v>Apidra</v>
      </c>
      <c r="C63" s="1760">
        <f>China!B342/1000000</f>
        <v>13.269077653814797</v>
      </c>
      <c r="D63" s="1760">
        <f>China!C342/1000000</f>
        <v>18.672760369692956</v>
      </c>
      <c r="E63" s="1760">
        <f>China!D342/1000000</f>
        <v>24.86224612991964</v>
      </c>
      <c r="F63" s="1760">
        <f>China!E342/1000000</f>
        <v>26.969098121719171</v>
      </c>
      <c r="G63" s="1760">
        <f>China!F342/1000000</f>
        <v>29.145148210536554</v>
      </c>
      <c r="H63" s="1760">
        <f>China!G342/1000000</f>
        <v>31.391418753510688</v>
      </c>
      <c r="I63" s="1760">
        <f>China!H342/1000000</f>
        <v>33.734981026406011</v>
      </c>
      <c r="J63" s="1760">
        <f>China!I342/1000000</f>
        <v>36.145954493108704</v>
      </c>
      <c r="K63" s="1760">
        <f>China!J342/1000000</f>
        <v>38.641079424821193</v>
      </c>
      <c r="L63" s="1760">
        <f>China!K342/1000000</f>
        <v>41.115415098147373</v>
      </c>
      <c r="M63" s="1760">
        <f>China!L342/1000000</f>
        <v>43.825964996952933</v>
      </c>
      <c r="N63" s="1761">
        <f>China!M342</f>
        <v>0.12690959112260702</v>
      </c>
      <c r="O63" s="1735"/>
      <c r="Q63" s="1763"/>
    </row>
    <row r="64" spans="1:17" s="1749" customFormat="1" ht="15" customHeight="1">
      <c r="A64" s="1735"/>
      <c r="B64" s="1762" t="str">
        <f>China!A343</f>
        <v>Tresiba; Ryzodeg</v>
      </c>
      <c r="C64" s="1760">
        <f>China!B343/1000000</f>
        <v>0</v>
      </c>
      <c r="D64" s="1760">
        <f>China!C343/1000000</f>
        <v>0</v>
      </c>
      <c r="E64" s="1760">
        <f>China!D343/1000000</f>
        <v>0</v>
      </c>
      <c r="F64" s="1760">
        <f>China!E343/1000000</f>
        <v>0</v>
      </c>
      <c r="G64" s="1760">
        <f>China!F343/1000000</f>
        <v>3.8388842290560765</v>
      </c>
      <c r="H64" s="1760">
        <f>China!G343/1000000</f>
        <v>8.2695082907131194</v>
      </c>
      <c r="I64" s="1760">
        <f>China!H343/1000000</f>
        <v>13.330316836367038</v>
      </c>
      <c r="J64" s="1760">
        <f>China!I343/1000000</f>
        <v>19.044011530894746</v>
      </c>
      <c r="K64" s="1760">
        <f>China!J343/1000000</f>
        <v>25.448254599031674</v>
      </c>
      <c r="L64" s="1760">
        <f>China!K343/1000000</f>
        <v>30.327139794476668</v>
      </c>
      <c r="M64" s="1760">
        <f>China!L343/1000000</f>
        <v>35.790018590218985</v>
      </c>
      <c r="N64" s="1761">
        <f>China!M343</f>
        <v>0.25013147841830596</v>
      </c>
      <c r="O64" s="1735"/>
      <c r="Q64" s="1763"/>
    </row>
    <row r="65" spans="1:17" s="1749" customFormat="1" ht="15" customHeight="1">
      <c r="A65" s="1735"/>
      <c r="B65" s="1762" t="str">
        <f>China!A344</f>
        <v xml:space="preserve">   IDegLira</v>
      </c>
      <c r="C65" s="1760">
        <f>China!B344/1000000</f>
        <v>0</v>
      </c>
      <c r="D65" s="1760">
        <f>China!C344/1000000</f>
        <v>0</v>
      </c>
      <c r="E65" s="1760">
        <f>China!D344/1000000</f>
        <v>0</v>
      </c>
      <c r="F65" s="1760">
        <f>China!E344/1000000</f>
        <v>0</v>
      </c>
      <c r="G65" s="1760">
        <f>China!F344/1000000</f>
        <v>0</v>
      </c>
      <c r="H65" s="1760">
        <f>China!G344/1000000</f>
        <v>0</v>
      </c>
      <c r="I65" s="1760">
        <f>China!H344/1000000</f>
        <v>0</v>
      </c>
      <c r="J65" s="1760">
        <f>China!I344/1000000</f>
        <v>0</v>
      </c>
      <c r="K65" s="1760">
        <f>China!J344/1000000</f>
        <v>0</v>
      </c>
      <c r="L65" s="1760">
        <f>China!K344/1000000</f>
        <v>0</v>
      </c>
      <c r="M65" s="1760">
        <f>China!L344/1000000</f>
        <v>0</v>
      </c>
      <c r="N65" s="1761">
        <v>0</v>
      </c>
      <c r="O65" s="1735"/>
      <c r="Q65" s="1763"/>
    </row>
    <row r="66" spans="1:17" s="1749" customFormat="1" ht="15" customHeight="1">
      <c r="A66" s="1735"/>
      <c r="B66" s="1762" t="str">
        <f>China!A345</f>
        <v>LY2605541 (insulin peglispro)</v>
      </c>
      <c r="C66" s="1760">
        <f>China!B345/1000000</f>
        <v>0</v>
      </c>
      <c r="D66" s="1760">
        <f>China!C345/1000000</f>
        <v>0</v>
      </c>
      <c r="E66" s="1760">
        <f>China!D345/1000000</f>
        <v>0</v>
      </c>
      <c r="F66" s="1760">
        <f>China!E345/1000000</f>
        <v>0</v>
      </c>
      <c r="G66" s="1760">
        <f>China!F345/1000000</f>
        <v>0</v>
      </c>
      <c r="H66" s="1760">
        <f>China!G345/1000000</f>
        <v>0</v>
      </c>
      <c r="I66" s="1760">
        <f>China!H345/1000000</f>
        <v>0</v>
      </c>
      <c r="J66" s="1760">
        <f>China!I345/1000000</f>
        <v>0</v>
      </c>
      <c r="K66" s="1760">
        <f>China!J345/1000000</f>
        <v>0</v>
      </c>
      <c r="L66" s="1760">
        <f>China!K345/1000000</f>
        <v>0</v>
      </c>
      <c r="M66" s="1760">
        <f>China!L345/1000000</f>
        <v>0</v>
      </c>
      <c r="N66" s="1761">
        <v>0</v>
      </c>
      <c r="O66" s="1735"/>
      <c r="Q66" s="1763"/>
    </row>
    <row r="67" spans="1:17" s="1749" customFormat="1" ht="15" customHeight="1">
      <c r="A67" s="1735"/>
      <c r="B67" s="1755"/>
      <c r="C67" s="1179"/>
      <c r="D67" s="1179"/>
      <c r="E67" s="1179"/>
      <c r="F67" s="1179"/>
      <c r="G67" s="1179"/>
      <c r="H67" s="1179"/>
      <c r="I67" s="1179"/>
      <c r="J67" s="1179"/>
      <c r="K67" s="1179"/>
      <c r="L67" s="1179"/>
      <c r="M67" s="1179"/>
      <c r="N67" s="1753"/>
      <c r="O67" s="1735"/>
      <c r="Q67" s="1763"/>
    </row>
    <row r="68" spans="1:17" s="1749" customFormat="1" ht="15" customHeight="1">
      <c r="A68" s="1735"/>
      <c r="B68" s="1750" t="s">
        <v>2724</v>
      </c>
      <c r="C68" s="1179"/>
      <c r="D68" s="1179"/>
      <c r="E68" s="1179"/>
      <c r="F68" s="1179"/>
      <c r="G68" s="1179"/>
      <c r="H68" s="1179"/>
      <c r="I68" s="1179"/>
      <c r="J68" s="1179"/>
      <c r="K68" s="1179"/>
      <c r="L68" s="1179"/>
      <c r="M68" s="1179"/>
      <c r="N68" s="1753"/>
      <c r="O68" s="1735"/>
      <c r="Q68" s="1763"/>
    </row>
    <row r="69" spans="1:17" s="1749" customFormat="1" ht="15" customHeight="1">
      <c r="A69" s="1735"/>
      <c r="B69" s="1764" t="str">
        <f t="shared" ref="B69:M69" si="7">B12</f>
        <v>Biguanides</v>
      </c>
      <c r="C69" s="1765">
        <f t="shared" si="7"/>
        <v>663.45388269073965</v>
      </c>
      <c r="D69" s="1765">
        <f t="shared" si="7"/>
        <v>726.16290326583692</v>
      </c>
      <c r="E69" s="1765">
        <f t="shared" si="7"/>
        <v>791.07146777017022</v>
      </c>
      <c r="F69" s="1765">
        <f t="shared" si="7"/>
        <v>858.1076675092462</v>
      </c>
      <c r="G69" s="1765">
        <f t="shared" si="7"/>
        <v>927.34562488070821</v>
      </c>
      <c r="H69" s="1765">
        <f t="shared" si="7"/>
        <v>998.81786942988526</v>
      </c>
      <c r="I69" s="1765">
        <f t="shared" si="7"/>
        <v>1073.3857599311002</v>
      </c>
      <c r="J69" s="1765">
        <f t="shared" si="7"/>
        <v>1150.0985520534584</v>
      </c>
      <c r="K69" s="1765">
        <f t="shared" si="7"/>
        <v>1229.4888907897648</v>
      </c>
      <c r="L69" s="1765">
        <f t="shared" si="7"/>
        <v>1308.2177531228706</v>
      </c>
      <c r="M69" s="1765">
        <f t="shared" si="7"/>
        <v>1394.4625226303203</v>
      </c>
      <c r="N69" s="1753"/>
      <c r="O69" s="1735"/>
      <c r="P69" s="1749">
        <v>1</v>
      </c>
    </row>
    <row r="70" spans="1:17" s="1749" customFormat="1" ht="15" customHeight="1">
      <c r="A70" s="1735"/>
      <c r="B70" s="1762" t="str">
        <f>B14</f>
        <v>SUs and non-SUs</v>
      </c>
      <c r="C70" s="1765">
        <f t="shared" ref="C70:M70" si="8">C14</f>
        <v>341.20485395523752</v>
      </c>
      <c r="D70" s="1765">
        <f t="shared" si="8"/>
        <v>361.00670048073033</v>
      </c>
      <c r="E70" s="1765">
        <f t="shared" si="8"/>
        <v>379.71430452968173</v>
      </c>
      <c r="F70" s="1765">
        <f t="shared" si="8"/>
        <v>397.18126324713683</v>
      </c>
      <c r="G70" s="1765">
        <f t="shared" si="8"/>
        <v>413.33119280397284</v>
      </c>
      <c r="H70" s="1765">
        <f t="shared" si="8"/>
        <v>428.0648011842365</v>
      </c>
      <c r="I70" s="1765">
        <f t="shared" si="8"/>
        <v>441.62156980022405</v>
      </c>
      <c r="J70" s="1765">
        <f t="shared" si="8"/>
        <v>453.46742909536363</v>
      </c>
      <c r="K70" s="1765">
        <f t="shared" si="8"/>
        <v>463.69295309785417</v>
      </c>
      <c r="L70" s="1765">
        <f t="shared" si="8"/>
        <v>470.95839112423334</v>
      </c>
      <c r="M70" s="1765">
        <f t="shared" si="8"/>
        <v>478.10143633039559</v>
      </c>
      <c r="N70" s="1753"/>
      <c r="O70" s="1735"/>
      <c r="P70" s="1749">
        <v>1</v>
      </c>
    </row>
    <row r="71" spans="1:17" s="1749" customFormat="1" ht="15" customHeight="1">
      <c r="A71" s="1735"/>
      <c r="B71" s="1762" t="str">
        <f t="shared" ref="B71:M71" si="9">B16</f>
        <v>AGIs</v>
      </c>
      <c r="C71" s="1765">
        <f t="shared" si="9"/>
        <v>22.510042448435808</v>
      </c>
      <c r="D71" s="1765">
        <f t="shared" si="9"/>
        <v>23.34095046211619</v>
      </c>
      <c r="E71" s="1765">
        <f t="shared" si="9"/>
        <v>24.014669557308739</v>
      </c>
      <c r="F71" s="1765">
        <f t="shared" si="9"/>
        <v>24.517361928835609</v>
      </c>
      <c r="G71" s="1765">
        <f t="shared" si="9"/>
        <v>24.839614952161831</v>
      </c>
      <c r="H71" s="1765">
        <f t="shared" si="9"/>
        <v>24.970446735747132</v>
      </c>
      <c r="I71" s="1765">
        <f t="shared" si="9"/>
        <v>24.917883712686251</v>
      </c>
      <c r="J71" s="1765">
        <f t="shared" si="9"/>
        <v>24.644968972574112</v>
      </c>
      <c r="K71" s="1765">
        <f t="shared" si="9"/>
        <v>24.150674640513241</v>
      </c>
      <c r="L71" s="1765">
        <f t="shared" si="9"/>
        <v>23.361031305765547</v>
      </c>
      <c r="M71" s="1765">
        <f t="shared" si="9"/>
        <v>22.411004827987291</v>
      </c>
      <c r="N71" s="1753"/>
      <c r="O71" s="1735"/>
      <c r="P71" s="1749">
        <v>1</v>
      </c>
    </row>
    <row r="72" spans="1:17" s="1749" customFormat="1" ht="15" customHeight="1">
      <c r="A72" s="1735"/>
      <c r="B72" s="1762" t="str">
        <f t="shared" ref="B72:M72" si="10">B18</f>
        <v>TZDs</v>
      </c>
      <c r="C72" s="1765">
        <f t="shared" si="10"/>
        <v>75.108508302947499</v>
      </c>
      <c r="D72" s="1765">
        <f t="shared" si="10"/>
        <v>81.209218015229453</v>
      </c>
      <c r="E72" s="1765">
        <f t="shared" si="10"/>
        <v>93.544201063822655</v>
      </c>
      <c r="F72" s="1765">
        <f t="shared" si="10"/>
        <v>106.03350411522587</v>
      </c>
      <c r="G72" s="1765">
        <f t="shared" si="10"/>
        <v>119.51939528670864</v>
      </c>
      <c r="H72" s="1765">
        <f t="shared" si="10"/>
        <v>130.74525910837204</v>
      </c>
      <c r="I72" s="1765">
        <f t="shared" si="10"/>
        <v>144.04836898275366</v>
      </c>
      <c r="J72" s="1765">
        <f t="shared" si="10"/>
        <v>159.61451071581919</v>
      </c>
      <c r="K72" s="1765">
        <f t="shared" si="10"/>
        <v>176.26772397622602</v>
      </c>
      <c r="L72" s="1765">
        <f t="shared" si="10"/>
        <v>187.55481853938227</v>
      </c>
      <c r="M72" s="1765">
        <f t="shared" si="10"/>
        <v>212.70201678521161</v>
      </c>
      <c r="N72" s="1753"/>
      <c r="O72" s="1735"/>
      <c r="P72" s="1749">
        <v>1</v>
      </c>
    </row>
    <row r="73" spans="1:17" s="1749" customFormat="1" ht="15" customHeight="1">
      <c r="A73" s="1735"/>
      <c r="B73" s="1762" t="str">
        <f>B22</f>
        <v>GLP-1 receptor agonists</v>
      </c>
      <c r="C73" s="1765">
        <f t="shared" ref="C73:M73" si="11">C22</f>
        <v>161.01314889458513</v>
      </c>
      <c r="D73" s="1765">
        <f t="shared" si="11"/>
        <v>224.11461945935918</v>
      </c>
      <c r="E73" s="1765">
        <f t="shared" si="11"/>
        <v>296.30994452952746</v>
      </c>
      <c r="F73" s="1765">
        <f t="shared" si="11"/>
        <v>449.55604105705692</v>
      </c>
      <c r="G73" s="1765">
        <f t="shared" si="11"/>
        <v>631.28100304927921</v>
      </c>
      <c r="H73" s="1765">
        <f t="shared" si="11"/>
        <v>714.26314230787489</v>
      </c>
      <c r="I73" s="1765">
        <f t="shared" si="11"/>
        <v>793.74218739479022</v>
      </c>
      <c r="J73" s="1765">
        <f t="shared" si="11"/>
        <v>883.67655787946023</v>
      </c>
      <c r="K73" s="1765">
        <f t="shared" si="11"/>
        <v>985.16213924739293</v>
      </c>
      <c r="L73" s="1765">
        <f t="shared" si="11"/>
        <v>1092.6815577826876</v>
      </c>
      <c r="M73" s="1765">
        <f t="shared" si="11"/>
        <v>1216.6634108967</v>
      </c>
      <c r="N73" s="1753"/>
      <c r="O73" s="1735"/>
      <c r="P73" s="1749">
        <v>1</v>
      </c>
    </row>
    <row r="74" spans="1:17" s="1749" customFormat="1" ht="15" customHeight="1">
      <c r="A74" s="1735"/>
      <c r="B74" s="1762" t="str">
        <f>B32</f>
        <v>DPP-4 inhibitors</v>
      </c>
      <c r="C74" s="1765">
        <f t="shared" ref="C74:M74" si="12">C32</f>
        <v>581.12873376142875</v>
      </c>
      <c r="D74" s="1765">
        <f t="shared" si="12"/>
        <v>804.7166472813808</v>
      </c>
      <c r="E74" s="1765">
        <f t="shared" si="12"/>
        <v>990.9219621968623</v>
      </c>
      <c r="F74" s="1765">
        <f t="shared" si="12"/>
        <v>1197.2655699438221</v>
      </c>
      <c r="G74" s="1765">
        <f t="shared" si="12"/>
        <v>1435.8723788239236</v>
      </c>
      <c r="H74" s="1765">
        <f t="shared" si="12"/>
        <v>1699.7440929333986</v>
      </c>
      <c r="I74" s="1765">
        <f t="shared" si="12"/>
        <v>2014.2767194486357</v>
      </c>
      <c r="J74" s="1765">
        <f t="shared" si="12"/>
        <v>2303.9281846045092</v>
      </c>
      <c r="K74" s="1765">
        <f t="shared" si="12"/>
        <v>2571.9783984393844</v>
      </c>
      <c r="L74" s="1765">
        <f t="shared" si="12"/>
        <v>2843.2083480845399</v>
      </c>
      <c r="M74" s="1765">
        <f t="shared" si="12"/>
        <v>3115.8212396612953</v>
      </c>
      <c r="N74" s="1753"/>
      <c r="O74" s="1735"/>
      <c r="P74" s="1749">
        <v>1</v>
      </c>
    </row>
    <row r="75" spans="1:17" s="1749" customFormat="1" ht="15" customHeight="1">
      <c r="A75" s="1735"/>
      <c r="B75" s="1762" t="str">
        <f>B41</f>
        <v>SGLT-2 inhibitors</v>
      </c>
      <c r="C75" s="1765">
        <f t="shared" ref="C75:M75" si="13">C41</f>
        <v>0</v>
      </c>
      <c r="D75" s="1765">
        <f t="shared" si="13"/>
        <v>0</v>
      </c>
      <c r="E75" s="1765">
        <f t="shared" si="13"/>
        <v>12.125938993715053</v>
      </c>
      <c r="F75" s="1765">
        <f t="shared" si="13"/>
        <v>40.191260332102843</v>
      </c>
      <c r="G75" s="1765">
        <f t="shared" si="13"/>
        <v>173.7366572453592</v>
      </c>
      <c r="H75" s="1765">
        <f t="shared" si="13"/>
        <v>280.69029471185985</v>
      </c>
      <c r="I75" s="1765">
        <f t="shared" si="13"/>
        <v>400.36591144686076</v>
      </c>
      <c r="J75" s="1765">
        <f t="shared" si="13"/>
        <v>532.79618868902116</v>
      </c>
      <c r="K75" s="1765">
        <f t="shared" si="13"/>
        <v>633.44240998860562</v>
      </c>
      <c r="L75" s="1765">
        <f t="shared" si="13"/>
        <v>757.55837575254816</v>
      </c>
      <c r="M75" s="1765">
        <f t="shared" si="13"/>
        <v>852.62574903909456</v>
      </c>
      <c r="N75" s="1753"/>
      <c r="O75" s="1735"/>
      <c r="P75" s="1749">
        <v>1</v>
      </c>
    </row>
    <row r="76" spans="1:17" s="1749" customFormat="1" ht="15" customHeight="1">
      <c r="A76" s="1735"/>
      <c r="B76" s="1762" t="str">
        <f>B48</f>
        <v>Novel MOA</v>
      </c>
      <c r="C76" s="1765">
        <f t="shared" ref="C76:M76" si="14">C48</f>
        <v>0</v>
      </c>
      <c r="D76" s="1765">
        <f t="shared" si="14"/>
        <v>0</v>
      </c>
      <c r="E76" s="1765">
        <f t="shared" si="14"/>
        <v>0</v>
      </c>
      <c r="F76" s="1765">
        <f t="shared" si="14"/>
        <v>0</v>
      </c>
      <c r="G76" s="1765">
        <f t="shared" si="14"/>
        <v>0</v>
      </c>
      <c r="H76" s="1765">
        <f t="shared" si="14"/>
        <v>0</v>
      </c>
      <c r="I76" s="1765">
        <f t="shared" si="14"/>
        <v>16.619589516266533</v>
      </c>
      <c r="J76" s="1765">
        <f t="shared" si="14"/>
        <v>53.422077742883147</v>
      </c>
      <c r="K76" s="1765">
        <f t="shared" si="14"/>
        <v>95.182931628640958</v>
      </c>
      <c r="L76" s="1765">
        <f t="shared" si="14"/>
        <v>131.66121503720757</v>
      </c>
      <c r="M76" s="1765">
        <f t="shared" si="14"/>
        <v>172.72742446980902</v>
      </c>
      <c r="N76" s="1753"/>
      <c r="O76" s="1735"/>
      <c r="P76" s="1749">
        <v>1</v>
      </c>
    </row>
    <row r="77" spans="1:17" s="1749" customFormat="1" ht="15" customHeight="1">
      <c r="A77" s="1735"/>
      <c r="B77" s="1788" t="str">
        <f>B51</f>
        <v>Insulins</v>
      </c>
      <c r="C77" s="1765">
        <f t="shared" ref="C77:M77" si="15">C51</f>
        <v>552.04101996174472</v>
      </c>
      <c r="D77" s="1765">
        <f t="shared" si="15"/>
        <v>652.14615591152642</v>
      </c>
      <c r="E77" s="1765">
        <f t="shared" si="15"/>
        <v>762.649400035285</v>
      </c>
      <c r="F77" s="1765">
        <f t="shared" si="15"/>
        <v>823.39629295742486</v>
      </c>
      <c r="G77" s="1765">
        <f t="shared" si="15"/>
        <v>902.43168771362866</v>
      </c>
      <c r="H77" s="1765">
        <f t="shared" si="15"/>
        <v>986.48203553987037</v>
      </c>
      <c r="I77" s="1765">
        <f t="shared" si="15"/>
        <v>1076.7184022399092</v>
      </c>
      <c r="J77" s="1765">
        <f t="shared" si="15"/>
        <v>1174.9591926968019</v>
      </c>
      <c r="K77" s="1765">
        <f t="shared" si="15"/>
        <v>1279.8036085554045</v>
      </c>
      <c r="L77" s="1765">
        <f t="shared" si="15"/>
        <v>1385.9202513088867</v>
      </c>
      <c r="M77" s="1765">
        <f t="shared" si="15"/>
        <v>1688.4967423239327</v>
      </c>
      <c r="N77" s="1753"/>
      <c r="O77" s="1735"/>
      <c r="P77" s="1749">
        <v>1</v>
      </c>
    </row>
    <row r="78" spans="1:17" s="1749" customFormat="1" ht="15" customHeight="1">
      <c r="A78" s="1735"/>
      <c r="B78" s="1789" t="s">
        <v>2719</v>
      </c>
      <c r="C78" s="1790">
        <f>SUM(C69:C77)</f>
        <v>2396.4601900151192</v>
      </c>
      <c r="D78" s="1790">
        <f t="shared" ref="D78:M78" si="16">SUM(D69:D77)</f>
        <v>2872.6971948761789</v>
      </c>
      <c r="E78" s="1790">
        <f t="shared" si="16"/>
        <v>3350.3518886763732</v>
      </c>
      <c r="F78" s="1790">
        <f t="shared" si="16"/>
        <v>3896.2489610908515</v>
      </c>
      <c r="G78" s="1790">
        <f t="shared" si="16"/>
        <v>4628.3575547557421</v>
      </c>
      <c r="H78" s="1790">
        <f t="shared" si="16"/>
        <v>5263.7779419512444</v>
      </c>
      <c r="I78" s="1790">
        <f t="shared" si="16"/>
        <v>5985.6963924732263</v>
      </c>
      <c r="J78" s="1790">
        <f t="shared" si="16"/>
        <v>6736.6076624498892</v>
      </c>
      <c r="K78" s="1790">
        <f t="shared" si="16"/>
        <v>7459.1697303637866</v>
      </c>
      <c r="L78" s="1790">
        <f t="shared" si="16"/>
        <v>8201.1217420581215</v>
      </c>
      <c r="M78" s="1790">
        <f t="shared" si="16"/>
        <v>9154.0115469647462</v>
      </c>
      <c r="N78" s="1791">
        <f>(M78/C78)^(1/10)-1</f>
        <v>0.14341562780126194</v>
      </c>
      <c r="O78" s="1735"/>
    </row>
    <row r="79" spans="1:17" s="1749" customFormat="1" ht="15" customHeight="1">
      <c r="A79" s="1735"/>
      <c r="B79" s="1766"/>
      <c r="C79" s="1767"/>
      <c r="D79" s="1767"/>
      <c r="E79" s="1767"/>
      <c r="F79" s="1767"/>
      <c r="G79" s="1767"/>
      <c r="H79" s="1767"/>
      <c r="I79" s="1767"/>
      <c r="J79" s="1767"/>
      <c r="K79" s="1767"/>
      <c r="L79" s="1767"/>
      <c r="M79" s="1767"/>
      <c r="N79" s="1768"/>
      <c r="O79" s="1735"/>
    </row>
    <row r="80" spans="1:17" s="1749" customFormat="1" ht="15" customHeight="1">
      <c r="A80" s="1735"/>
      <c r="B80" s="1769" t="s">
        <v>2722</v>
      </c>
      <c r="C80" s="1770">
        <f t="array" ref="C80">AVERAGE(IF($P$69:$P$77=1,IF(C69:C77&lt;&gt;0,C69:C77,""),""))</f>
        <v>342.35145571644563</v>
      </c>
      <c r="D80" s="1770">
        <f t="array" ref="D80">AVERAGE(IF($P$69:$P$77=1,IF(D69:D77&lt;&gt;0,D69:D77,""),""))</f>
        <v>410.38531355373982</v>
      </c>
      <c r="E80" s="1770">
        <f t="array" ref="E80">AVERAGE(IF($P$69:$P$77=1,IF(E69:E77&lt;&gt;0,E69:E77,""),""))</f>
        <v>418.79398608454665</v>
      </c>
      <c r="F80" s="1770">
        <f t="array" ref="F80">AVERAGE(IF($P$69:$P$77=1,IF(F69:F77&lt;&gt;0,F69:F77,""),""))</f>
        <v>487.03112013635644</v>
      </c>
      <c r="G80" s="1770">
        <f t="array" ref="G80">AVERAGE(IF($P$69:$P$77=1,IF(G69:G77&lt;&gt;0,G69:G77,""),""))</f>
        <v>578.54469434446776</v>
      </c>
      <c r="H80" s="1770">
        <f t="array" ref="H80">AVERAGE(IF($P$69:$P$77=1,IF(H69:H77&lt;&gt;0,H69:H77,""),""))</f>
        <v>657.97224274390555</v>
      </c>
      <c r="I80" s="1770">
        <f t="array" ref="I80">AVERAGE(IF($P$69:$P$77=1,IF(I69:I77&lt;&gt;0,I69:I77,""),""))</f>
        <v>665.07737694146954</v>
      </c>
      <c r="J80" s="1770">
        <f t="array" ref="J80">AVERAGE(IF($P$69:$P$77=1,IF(J69:J77&lt;&gt;0,J69:J77,""),""))</f>
        <v>748.51196249443217</v>
      </c>
      <c r="K80" s="1770">
        <f t="array" ref="K80">AVERAGE(IF($P$69:$P$77=1,IF(K69:K77&lt;&gt;0,K69:K77,""),""))</f>
        <v>828.79663670708737</v>
      </c>
      <c r="L80" s="1770">
        <f t="array" ref="L80">AVERAGE(IF($P$69:$P$77=1,IF(L69:L77&lt;&gt;0,L69:L77,""),""))</f>
        <v>911.23574911756907</v>
      </c>
      <c r="M80" s="1771">
        <f t="array" ref="M80">AVERAGE(IF($P$69:$P$77=1,IF(M69:M77&lt;&gt;0,M69:M77,""),""))</f>
        <v>1017.1123941071941</v>
      </c>
      <c r="N80" s="1768"/>
      <c r="O80" s="1735"/>
    </row>
    <row r="81" spans="1:15" s="1749" customFormat="1" ht="15" customHeight="1">
      <c r="A81" s="1735"/>
      <c r="B81" s="1772" t="s">
        <v>2720</v>
      </c>
      <c r="C81" s="1773">
        <f t="shared" ref="C81:M81" si="17">+C80/C89</f>
        <v>0.14285714285714288</v>
      </c>
      <c r="D81" s="1773">
        <f t="shared" si="17"/>
        <v>0.14285714285714279</v>
      </c>
      <c r="E81" s="1773">
        <f t="shared" si="17"/>
        <v>0.12499999999999999</v>
      </c>
      <c r="F81" s="1773">
        <f t="shared" si="17"/>
        <v>0.12499999999999999</v>
      </c>
      <c r="G81" s="1773">
        <f t="shared" si="17"/>
        <v>0.125</v>
      </c>
      <c r="H81" s="1773">
        <f t="shared" si="17"/>
        <v>0.125</v>
      </c>
      <c r="I81" s="1773">
        <f t="shared" si="17"/>
        <v>0.1111111111111111</v>
      </c>
      <c r="J81" s="1773">
        <f t="shared" si="17"/>
        <v>0.1111111111111111</v>
      </c>
      <c r="K81" s="1773">
        <f t="shared" si="17"/>
        <v>0.1111111111111111</v>
      </c>
      <c r="L81" s="1773">
        <f t="shared" si="17"/>
        <v>0.11111111111111109</v>
      </c>
      <c r="M81" s="1774">
        <f t="shared" si="17"/>
        <v>0.11111111111111112</v>
      </c>
      <c r="N81" s="1768"/>
      <c r="O81" s="1735"/>
    </row>
    <row r="82" spans="1:15" s="1754" customFormat="1" ht="12.75">
      <c r="B82" s="1772" t="s">
        <v>2721</v>
      </c>
      <c r="C82" s="1775">
        <f t="array" ref="C82">MEDIAN(IF($P$69:$P$77=1,IF(C69:C77&gt;0,C69:C77,""),""))</f>
        <v>341.20485395523752</v>
      </c>
      <c r="D82" s="1775">
        <f t="array" ref="D82">MEDIAN(IF($P$69:$P$77=1,IF(D69:D77&gt;0,D69:D77,""),""))</f>
        <v>361.00670048073033</v>
      </c>
      <c r="E82" s="1775">
        <f t="array" ref="E82">MEDIAN(IF($P$69:$P$77=1,IF(E69:E77&gt;0,E69:E77,""),""))</f>
        <v>338.01212452960459</v>
      </c>
      <c r="F82" s="1775">
        <f t="array" ref="F82">MEDIAN(IF($P$69:$P$77=1,IF(F69:F77&gt;0,F69:F77,""),""))</f>
        <v>423.36865215209684</v>
      </c>
      <c r="G82" s="1775">
        <f t="array" ref="G82">MEDIAN(IF($P$69:$P$77=1,IF(G69:G77&gt;0,G69:G77,""),""))</f>
        <v>522.30609792662608</v>
      </c>
      <c r="H82" s="1775">
        <f t="array" ref="H82">MEDIAN(IF($P$69:$P$77=1,IF(H69:H77&gt;0,H69:H77,""),""))</f>
        <v>571.16397174605572</v>
      </c>
      <c r="I82" s="1775">
        <f t="array" ref="I82">MEDIAN(IF($P$69:$P$77=1,IF(I69:I77&gt;0,I69:I77,""),""))</f>
        <v>441.62156980022405</v>
      </c>
      <c r="J82" s="1775">
        <f t="array" ref="J82">MEDIAN(IF($P$69:$P$77=1,IF(J69:J77&gt;0,J69:J77,""),""))</f>
        <v>532.79618868902116</v>
      </c>
      <c r="K82" s="1775">
        <f t="array" ref="K82">MEDIAN(IF($P$69:$P$77=1,IF(K69:K77&gt;0,K69:K77,""),""))</f>
        <v>633.44240998860562</v>
      </c>
      <c r="L82" s="1775">
        <f t="array" ref="L82">MEDIAN(IF($P$69:$P$77=1,IF(L69:L77&gt;0,L69:L77,""),""))</f>
        <v>757.55837575254816</v>
      </c>
      <c r="M82" s="1776">
        <f t="array" ref="M82">MEDIAN(IF($P$69:$P$77=1,IF(M69:M77&gt;0,M69:M77,""),""))</f>
        <v>852.62574903909456</v>
      </c>
    </row>
    <row r="83" spans="1:15" s="1754" customFormat="1" ht="12.75">
      <c r="B83" s="1777" t="s">
        <v>2720</v>
      </c>
      <c r="C83" s="1778">
        <f t="shared" ref="C83:M83" si="18">+C82/C89</f>
        <v>0.14237868643796869</v>
      </c>
      <c r="D83" s="1778">
        <f t="shared" si="18"/>
        <v>0.12566820517130439</v>
      </c>
      <c r="E83" s="1778">
        <f t="shared" si="18"/>
        <v>0.10088854417711428</v>
      </c>
      <c r="F83" s="1778">
        <f t="shared" si="18"/>
        <v>0.10866057492218471</v>
      </c>
      <c r="G83" s="1778">
        <f t="shared" si="18"/>
        <v>0.1128491244998876</v>
      </c>
      <c r="H83" s="1778">
        <f t="shared" si="18"/>
        <v>0.10850837137220294</v>
      </c>
      <c r="I83" s="1778">
        <f t="shared" si="18"/>
        <v>7.3779480421951482E-2</v>
      </c>
      <c r="J83" s="1778">
        <f t="shared" si="18"/>
        <v>7.9089686587931723E-2</v>
      </c>
      <c r="K83" s="1778">
        <f t="shared" si="18"/>
        <v>8.4921302623008205E-2</v>
      </c>
      <c r="L83" s="1778">
        <f t="shared" si="18"/>
        <v>9.2372531414517706E-2</v>
      </c>
      <c r="M83" s="1779">
        <f t="shared" si="18"/>
        <v>9.3142306481119208E-2</v>
      </c>
    </row>
    <row r="84" spans="1:15" s="1736" customFormat="1" ht="15" customHeight="1">
      <c r="A84" s="1780"/>
      <c r="B84" s="1781"/>
      <c r="C84" s="1782"/>
      <c r="D84" s="1782"/>
      <c r="E84" s="1782"/>
      <c r="F84" s="1782"/>
      <c r="G84" s="1782"/>
      <c r="H84" s="1783"/>
      <c r="I84" s="1784"/>
      <c r="J84" s="1784"/>
      <c r="K84" s="1784"/>
      <c r="L84" s="1784"/>
      <c r="O84" s="1735"/>
    </row>
    <row r="85" spans="1:15" s="1736" customFormat="1" ht="15" customHeight="1">
      <c r="A85" s="1780"/>
      <c r="B85" s="8" t="s">
        <v>2723</v>
      </c>
      <c r="C85" s="1782"/>
      <c r="D85" s="1782"/>
      <c r="E85" s="1782"/>
      <c r="F85" s="1782"/>
      <c r="G85" s="1782"/>
      <c r="H85" s="1783"/>
      <c r="I85" s="1784"/>
      <c r="J85" s="1784"/>
      <c r="K85" s="1784"/>
      <c r="L85" s="1784"/>
      <c r="O85" s="1735"/>
    </row>
    <row r="86" spans="1:15" s="1736" customFormat="1" ht="15" customHeight="1">
      <c r="A86" s="1785"/>
      <c r="B86" s="2628"/>
      <c r="C86" s="2628"/>
      <c r="D86" s="2628"/>
      <c r="E86" s="2628"/>
      <c r="F86" s="2628"/>
      <c r="G86" s="2628"/>
      <c r="H86" s="2628"/>
      <c r="I86" s="2628"/>
      <c r="J86" s="2628"/>
      <c r="K86" s="2628"/>
      <c r="L86" s="2628"/>
      <c r="M86" s="2628"/>
      <c r="N86" s="2628"/>
      <c r="O86" s="1735"/>
    </row>
    <row r="87" spans="1:15" s="1736" customFormat="1" ht="15.75" customHeight="1">
      <c r="A87" s="1785"/>
      <c r="B87" s="1786"/>
      <c r="C87" s="1786"/>
      <c r="D87" s="1786"/>
      <c r="E87" s="1786"/>
      <c r="F87" s="1786"/>
      <c r="G87" s="1786"/>
      <c r="H87" s="1786"/>
      <c r="I87" s="1786"/>
      <c r="J87" s="1786"/>
      <c r="K87" s="1786"/>
      <c r="L87" s="1786"/>
      <c r="M87" s="1786"/>
      <c r="N87" s="1786"/>
      <c r="O87" s="1735"/>
    </row>
    <row r="88" spans="1:15" s="1736" customFormat="1" ht="12.75">
      <c r="A88" s="1735"/>
      <c r="O88" s="1735"/>
    </row>
    <row r="89" spans="1:15" s="1736" customFormat="1" ht="12.75">
      <c r="A89" s="1735"/>
      <c r="B89" s="1745" t="s">
        <v>2719</v>
      </c>
      <c r="C89" s="1751">
        <f>China!B298/1000000</f>
        <v>2396.4601900151192</v>
      </c>
      <c r="D89" s="1751">
        <f>China!C298/1000000</f>
        <v>2872.6971948761798</v>
      </c>
      <c r="E89" s="1751">
        <f>China!D298/1000000</f>
        <v>3350.3518886763736</v>
      </c>
      <c r="F89" s="1751">
        <f>China!E298/1000000</f>
        <v>3896.2489610908519</v>
      </c>
      <c r="G89" s="1751">
        <f>China!F298/1000000</f>
        <v>4628.3575547557421</v>
      </c>
      <c r="H89" s="1751">
        <f>China!G298/1000000</f>
        <v>5263.7779419512444</v>
      </c>
      <c r="I89" s="1751">
        <f>China!H298/1000000</f>
        <v>5985.6963924732263</v>
      </c>
      <c r="J89" s="1751">
        <f>China!I298/1000000</f>
        <v>6736.6076624498901</v>
      </c>
      <c r="K89" s="1751">
        <f>China!J298/1000000</f>
        <v>7459.1697303637866</v>
      </c>
      <c r="L89" s="1751">
        <f>China!K298/1000000</f>
        <v>8201.1217420581233</v>
      </c>
      <c r="M89" s="1751">
        <f>China!L298/1000000</f>
        <v>9154.0115469647462</v>
      </c>
      <c r="N89" s="1787">
        <f>China!M298</f>
        <v>0.14341562780126194</v>
      </c>
      <c r="O89" s="1735"/>
    </row>
    <row r="90" spans="1:15" s="1736" customFormat="1" ht="12.75">
      <c r="A90" s="1735"/>
      <c r="O90" s="1735"/>
    </row>
    <row r="91" spans="1:15" s="1736" customFormat="1" ht="12.75">
      <c r="A91" s="1735"/>
      <c r="C91" s="1736" t="str">
        <f>IF(C89&lt;&gt;C78,"Check","")</f>
        <v/>
      </c>
      <c r="D91" s="1736" t="str">
        <f t="shared" ref="D91:M91" si="19">IF(D89&lt;&gt;D78,"Check","")</f>
        <v/>
      </c>
      <c r="E91" s="1736" t="str">
        <f t="shared" si="19"/>
        <v/>
      </c>
      <c r="F91" s="1736" t="str">
        <f t="shared" si="19"/>
        <v/>
      </c>
      <c r="G91" s="1736" t="str">
        <f t="shared" si="19"/>
        <v/>
      </c>
      <c r="H91" s="1736" t="str">
        <f t="shared" si="19"/>
        <v/>
      </c>
      <c r="I91" s="1736" t="str">
        <f t="shared" si="19"/>
        <v/>
      </c>
      <c r="J91" s="1736" t="str">
        <f t="shared" si="19"/>
        <v/>
      </c>
      <c r="K91" s="1736" t="str">
        <f t="shared" si="19"/>
        <v/>
      </c>
      <c r="L91" s="1736" t="str">
        <f t="shared" si="19"/>
        <v/>
      </c>
      <c r="M91" s="1736" t="str">
        <f t="shared" si="19"/>
        <v/>
      </c>
      <c r="O91" s="1735"/>
    </row>
    <row r="92" spans="1:15" s="1736" customFormat="1" ht="12.75">
      <c r="A92" s="1735"/>
      <c r="O92" s="1735"/>
    </row>
    <row r="93" spans="1:15" s="1736" customFormat="1" ht="12.75">
      <c r="A93" s="1735"/>
      <c r="O93" s="1735"/>
    </row>
    <row r="94" spans="1:15" s="1736" customFormat="1" ht="12.75">
      <c r="A94" s="1735"/>
      <c r="O94" s="1735"/>
    </row>
    <row r="95" spans="1:15" s="1736" customFormat="1" ht="12.75">
      <c r="A95" s="1735"/>
      <c r="O95" s="1735"/>
    </row>
    <row r="96" spans="1:15" s="1736" customFormat="1" ht="12.75">
      <c r="A96" s="1735"/>
      <c r="O96" s="1735"/>
    </row>
    <row r="97" spans="1:15" s="1736" customFormat="1" ht="12.75">
      <c r="A97" s="1735"/>
      <c r="O97" s="1735"/>
    </row>
    <row r="98" spans="1:15" s="1736" customFormat="1" ht="12.75">
      <c r="A98" s="1735"/>
      <c r="O98" s="1735"/>
    </row>
    <row r="99" spans="1:15" s="1736" customFormat="1" ht="12.75">
      <c r="A99" s="1735"/>
      <c r="O99" s="1735"/>
    </row>
    <row r="100" spans="1:15" s="1736" customFormat="1" ht="12.75">
      <c r="A100" s="1735"/>
      <c r="O100" s="1735"/>
    </row>
    <row r="101" spans="1:15" s="1736" customFormat="1" ht="12.75">
      <c r="A101" s="1735"/>
      <c r="O101" s="1735"/>
    </row>
    <row r="102" spans="1:15" s="1736" customFormat="1" ht="12.75">
      <c r="A102" s="1735"/>
      <c r="O102" s="1735"/>
    </row>
    <row r="103" spans="1:15" s="1736" customFormat="1" ht="12.75">
      <c r="A103" s="1735"/>
      <c r="O103" s="1735"/>
    </row>
    <row r="104" spans="1:15" s="1736" customFormat="1" ht="12.75">
      <c r="A104" s="1735"/>
      <c r="O104" s="1735"/>
    </row>
    <row r="105" spans="1:15" s="1736" customFormat="1" ht="12.75">
      <c r="A105" s="1735"/>
      <c r="O105" s="1735"/>
    </row>
    <row r="106" spans="1:15" s="1736" customFormat="1" ht="12.75">
      <c r="A106" s="1735"/>
      <c r="O106" s="1735"/>
    </row>
    <row r="107" spans="1:15" s="1736" customFormat="1" ht="12.75">
      <c r="A107" s="1735"/>
      <c r="O107" s="1735"/>
    </row>
    <row r="108" spans="1:15" s="1736" customFormat="1" ht="12.75">
      <c r="A108" s="1735"/>
      <c r="O108" s="1735"/>
    </row>
    <row r="109" spans="1:15" s="1736" customFormat="1" ht="12.75">
      <c r="A109" s="1735"/>
      <c r="O109" s="1735"/>
    </row>
    <row r="110" spans="1:15" s="1736" customFormat="1" ht="12.75">
      <c r="A110" s="1735"/>
      <c r="O110" s="1735"/>
    </row>
  </sheetData>
  <mergeCells count="1">
    <mergeCell ref="B86:N86"/>
  </mergeCells>
  <conditionalFormatting sqref="B4:N4">
    <cfRule type="cellIs" dxfId="23" priority="1" stopIfTrue="1" operator="equal">
      <formula>"input"</formula>
    </cfRule>
  </conditionalFormatting>
  <pageMargins left="0.5" right="0.5" top="0.5" bottom="0.5" header="0.5" footer="0.5"/>
  <pageSetup scale="80" fitToWidth="0" orientation="landscape" r:id="rId1"/>
  <rowBreaks count="2" manualBreakCount="2">
    <brk id="47" max="14" man="1"/>
    <brk id="86" max="14" man="1"/>
  </rowBreak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G69"/>
  <sheetViews>
    <sheetView showGridLines="0" view="pageBreakPreview" zoomScale="85" zoomScaleNormal="100" zoomScaleSheetLayoutView="85" workbookViewId="0">
      <selection activeCell="D21" sqref="D21"/>
    </sheetView>
  </sheetViews>
  <sheetFormatPr defaultRowHeight="12.75" outlineLevelRow="1"/>
  <cols>
    <col min="1" max="1" width="2.83203125" style="310" customWidth="1"/>
    <col min="2" max="2" width="63.6640625" style="144" customWidth="1"/>
    <col min="3" max="5" width="40.83203125" style="144" customWidth="1"/>
    <col min="6" max="6" width="2.83203125" style="144" customWidth="1"/>
    <col min="7" max="7" width="9.33203125" style="144"/>
    <col min="8" max="16384" width="9.33203125" style="310"/>
  </cols>
  <sheetData>
    <row r="1" spans="2:7" ht="10.7" customHeight="1" thickBot="1">
      <c r="B1" s="310"/>
      <c r="C1" s="310"/>
      <c r="D1" s="310"/>
      <c r="E1" s="310"/>
    </row>
    <row r="2" spans="2:7" ht="16.5" customHeight="1" thickTop="1">
      <c r="B2" s="10" t="str">
        <f>'MASTER PubCo Inputs'!$C$5</f>
        <v>Hua Medicine</v>
      </c>
      <c r="C2" s="10"/>
      <c r="D2" s="10"/>
      <c r="E2" s="10"/>
    </row>
    <row r="3" spans="2:7" ht="15.75" customHeight="1">
      <c r="B3" s="11" t="str">
        <f>VLOOKUP(B4,Outline!$E$8:$G$81,COLUMNS(Outline!$E$8:$G$8),FALSE)</f>
        <v>Workpaper #7</v>
      </c>
      <c r="C3" s="11"/>
      <c r="D3" s="11"/>
      <c r="E3" s="11"/>
    </row>
    <row r="4" spans="2:7" ht="16.5" customHeight="1" thickBot="1">
      <c r="B4" s="12" t="s">
        <v>3318</v>
      </c>
      <c r="C4" s="12"/>
      <c r="D4" s="12"/>
      <c r="E4" s="13" t="str">
        <f>+'MASTER PubCo Inputs'!$C$19</f>
        <v>(in thousands of USD, except price per share)</v>
      </c>
    </row>
    <row r="5" spans="2:7" ht="12.75" customHeight="1" thickTop="1">
      <c r="B5" s="210"/>
      <c r="C5" s="210"/>
      <c r="D5" s="210"/>
      <c r="E5" s="310"/>
    </row>
    <row r="6" spans="2:7" s="16" customFormat="1" ht="12.75" customHeight="1">
      <c r="B6" s="310"/>
      <c r="C6" s="310"/>
      <c r="D6" s="378"/>
      <c r="E6" s="310"/>
      <c r="F6" s="254"/>
      <c r="G6" s="254"/>
    </row>
    <row r="7" spans="2:7">
      <c r="B7" s="310" t="s">
        <v>228</v>
      </c>
      <c r="C7" s="2475">
        <f>'MASTER PubCo Inputs'!C6</f>
        <v>43281</v>
      </c>
      <c r="D7" s="1168">
        <f>'Market Trends since Prior Val'!AD2</f>
        <v>43190</v>
      </c>
      <c r="E7" s="144" t="s">
        <v>3319</v>
      </c>
    </row>
    <row r="8" spans="2:7" ht="25.5" hidden="1" outlineLevel="1">
      <c r="B8" s="310" t="s">
        <v>3320</v>
      </c>
      <c r="C8" s="2476" t="s">
        <v>3346</v>
      </c>
      <c r="D8" s="2477" t="s">
        <v>3347</v>
      </c>
    </row>
    <row r="9" spans="2:7" collapsed="1">
      <c r="B9" s="310"/>
      <c r="D9" s="379"/>
    </row>
    <row r="10" spans="2:7">
      <c r="B10" s="1" t="s">
        <v>69</v>
      </c>
      <c r="D10" s="379"/>
    </row>
    <row r="11" spans="2:7">
      <c r="B11" s="310" t="s">
        <v>71</v>
      </c>
      <c r="C11" s="2478">
        <f>C14-C13+C12</f>
        <v>488167.47741487145</v>
      </c>
      <c r="D11" s="2478">
        <f>D14-D13+D12</f>
        <v>256430.79118455559</v>
      </c>
      <c r="E11" s="51">
        <f>IFERROR(C11/D11-1,"n/a")</f>
        <v>0.90370070286735893</v>
      </c>
    </row>
    <row r="12" spans="2:7">
      <c r="B12" s="310" t="s">
        <v>25</v>
      </c>
      <c r="C12" s="2497">
        <f>IFERROR('Hist BS'!I62,"n/a")</f>
        <v>0</v>
      </c>
      <c r="D12" s="2498">
        <v>0</v>
      </c>
      <c r="E12" s="51" t="str">
        <f>IFERROR(C12/D12-1,"n/a")</f>
        <v>n/a</v>
      </c>
    </row>
    <row r="13" spans="2:7">
      <c r="B13" s="310" t="s">
        <v>3321</v>
      </c>
      <c r="C13" s="2497">
        <f>IFERROR('Hist BS'!I57,"n/a")</f>
        <v>128832.52258512856</v>
      </c>
      <c r="D13" s="2498">
        <v>135569.20881544441</v>
      </c>
      <c r="E13" s="51">
        <f>IFERROR(C13/D13-1,"n/a")</f>
        <v>-4.9691860631028373E-2</v>
      </c>
    </row>
    <row r="14" spans="2:7">
      <c r="B14" s="310" t="s">
        <v>72</v>
      </c>
      <c r="C14" s="2479">
        <f>'Val Summ'!D9</f>
        <v>617000</v>
      </c>
      <c r="D14" s="2480">
        <v>392000</v>
      </c>
      <c r="E14" s="51">
        <f>IFERROR(C14/D14-1,"n/a")</f>
        <v>0.57397959183673475</v>
      </c>
    </row>
    <row r="15" spans="2:7">
      <c r="B15" s="310" t="s">
        <v>3322</v>
      </c>
      <c r="C15" s="2479">
        <f>IFERROR((SUM('Econ Rights'!C13:K13)),"n/a")</f>
        <v>211556.11343834398</v>
      </c>
      <c r="D15" s="2480">
        <v>211556.11343834398</v>
      </c>
      <c r="E15" s="51">
        <f>IFERROR(C15/D15-1,"n/a")</f>
        <v>0</v>
      </c>
    </row>
    <row r="16" spans="2:7">
      <c r="B16" s="310"/>
      <c r="D16" s="379"/>
    </row>
    <row r="17" spans="2:7">
      <c r="B17" s="1" t="s">
        <v>3323</v>
      </c>
      <c r="D17" s="379"/>
    </row>
    <row r="18" spans="2:7">
      <c r="B18" s="310" t="s">
        <v>3324</v>
      </c>
      <c r="C18" s="2481">
        <f>IFERROR('Val Summ'!F11,"n/a")</f>
        <v>7.283746618196127</v>
      </c>
      <c r="D18" s="2482">
        <v>3.66</v>
      </c>
      <c r="E18" s="51">
        <f>IFERROR(C18/D18-1,"n/a")</f>
        <v>0.99009470442517133</v>
      </c>
    </row>
    <row r="19" spans="2:7">
      <c r="B19" s="310" t="s">
        <v>3325</v>
      </c>
      <c r="C19" s="1524">
        <f>C18/C67</f>
        <v>0.54759659718945719</v>
      </c>
      <c r="D19" s="1524">
        <f>D18/D67</f>
        <v>0.27516107448144167</v>
      </c>
      <c r="E19" s="51">
        <f>IFERROR(C19/D19-1,"n/a")</f>
        <v>0.99009470442517133</v>
      </c>
    </row>
    <row r="20" spans="2:7">
      <c r="B20" s="310"/>
      <c r="D20" s="379"/>
    </row>
    <row r="21" spans="2:7">
      <c r="B21" s="1" t="s">
        <v>3326</v>
      </c>
      <c r="D21" s="379"/>
    </row>
    <row r="22" spans="2:7">
      <c r="B22" s="310" t="s">
        <v>3327</v>
      </c>
      <c r="C22" s="260" t="s">
        <v>1046</v>
      </c>
      <c r="D22" s="260" t="s">
        <v>1046</v>
      </c>
      <c r="E22" s="51" t="str">
        <f>IFERROR(C22/D22-1,"n/a")</f>
        <v>n/a</v>
      </c>
    </row>
    <row r="23" spans="2:7">
      <c r="B23" s="310"/>
      <c r="D23" s="379"/>
    </row>
    <row r="24" spans="2:7">
      <c r="B24" s="1" t="s">
        <v>3328</v>
      </c>
      <c r="D24" s="379"/>
    </row>
    <row r="25" spans="2:7">
      <c r="B25" s="310" t="s">
        <v>1571</v>
      </c>
      <c r="C25" s="339">
        <f>'Hybrid OPM'!D9</f>
        <v>0.44999999999999996</v>
      </c>
      <c r="D25" s="2483">
        <v>0.7</v>
      </c>
      <c r="E25" s="51">
        <f>IFERROR(C25/D25-1,"n/a")</f>
        <v>-0.35714285714285721</v>
      </c>
    </row>
    <row r="26" spans="2:7">
      <c r="B26" s="310" t="s">
        <v>1572</v>
      </c>
      <c r="C26" s="339">
        <f>'Hybrid OPM'!E9</f>
        <v>0.05</v>
      </c>
      <c r="D26" s="2483">
        <v>0.05</v>
      </c>
      <c r="E26" s="51">
        <f>IFERROR(C26/D26-1,"n/a")</f>
        <v>0</v>
      </c>
    </row>
    <row r="27" spans="2:7">
      <c r="B27" s="310" t="s">
        <v>3329</v>
      </c>
      <c r="C27" s="339">
        <f>'Hybrid OPM'!F9</f>
        <v>0.5</v>
      </c>
      <c r="D27" s="2483">
        <v>0.25</v>
      </c>
      <c r="E27" s="51">
        <f>IFERROR(C27/D27-1,"n/a")</f>
        <v>1</v>
      </c>
    </row>
    <row r="28" spans="2:7">
      <c r="B28" s="310"/>
      <c r="D28" s="379"/>
    </row>
    <row r="29" spans="2:7">
      <c r="B29" s="1" t="s">
        <v>3348</v>
      </c>
      <c r="D29" s="379"/>
    </row>
    <row r="30" spans="2:7">
      <c r="B30" s="310" t="s">
        <v>3330</v>
      </c>
      <c r="C30" s="596">
        <f>'OPM Hybrid (Liquidation)'!D10</f>
        <v>2.2506849315068491</v>
      </c>
      <c r="D30" s="2484">
        <v>2.5</v>
      </c>
      <c r="E30" s="51">
        <f>IFERROR(C30/D30-1,"n/a")</f>
        <v>-9.9726027397260331E-2</v>
      </c>
    </row>
    <row r="31" spans="2:7">
      <c r="B31" s="310" t="s">
        <v>3331</v>
      </c>
      <c r="C31" s="2485">
        <f>C7+'Comparative Sheet'!C30*365.25</f>
        <v>44103.062671232874</v>
      </c>
      <c r="D31" s="2485">
        <f>D7+'Comparative Sheet'!D30*365.25</f>
        <v>44103.125</v>
      </c>
      <c r="E31" s="2486">
        <f>IFERROR(YEARFRAC(D31,C31,3)*12,"n/a")</f>
        <v>0</v>
      </c>
      <c r="G31" s="144" t="s">
        <v>3332</v>
      </c>
    </row>
    <row r="32" spans="2:7">
      <c r="B32" s="310" t="s">
        <v>47</v>
      </c>
      <c r="C32" s="2487">
        <f>'OPM Hybrid (Liquidation)'!D11</f>
        <v>0.73399999999999999</v>
      </c>
      <c r="D32" s="2488">
        <v>0.78600000000000003</v>
      </c>
      <c r="E32" s="51">
        <f>IFERROR(C32-D32,"n/a")</f>
        <v>-5.2000000000000046E-2</v>
      </c>
    </row>
    <row r="33" spans="2:5">
      <c r="B33" s="310" t="s">
        <v>403</v>
      </c>
      <c r="C33" s="2487">
        <f>'Asset Vol OPM Liquidation'!Y70</f>
        <v>0.73399999999999999</v>
      </c>
      <c r="D33" s="2488">
        <v>0.78600000000000003</v>
      </c>
      <c r="E33" s="51">
        <f>IFERROR(C33-D33,"n/a")</f>
        <v>-5.2000000000000046E-2</v>
      </c>
    </row>
    <row r="34" spans="2:5">
      <c r="B34" s="310" t="s">
        <v>3333</v>
      </c>
      <c r="C34" s="669" t="s">
        <v>3</v>
      </c>
      <c r="D34" s="379" t="s">
        <v>3</v>
      </c>
      <c r="E34" s="51" t="str">
        <f>IFERROR(C34/D34-1,"n/a")</f>
        <v>n/a</v>
      </c>
    </row>
    <row r="35" spans="2:5">
      <c r="B35" s="310"/>
      <c r="C35" s="669"/>
      <c r="D35" s="379"/>
      <c r="E35" s="51"/>
    </row>
    <row r="36" spans="2:5">
      <c r="B36" s="1" t="s">
        <v>3348</v>
      </c>
      <c r="D36" s="379"/>
    </row>
    <row r="37" spans="2:5">
      <c r="B37" s="310" t="s">
        <v>3330</v>
      </c>
      <c r="C37" s="596">
        <f>'OPM Hybrid (Redemption)'!D10</f>
        <v>2.7123287671232879</v>
      </c>
      <c r="D37" s="2484">
        <v>3</v>
      </c>
      <c r="E37" s="51">
        <f>IFERROR(C37/D37-1,"n/a")</f>
        <v>-9.5890410958904049E-2</v>
      </c>
    </row>
    <row r="38" spans="2:5">
      <c r="B38" s="310" t="s">
        <v>3331</v>
      </c>
      <c r="C38" s="2485">
        <f>C14+'Comparative Sheet'!C37*365.25</f>
        <v>617990.67808219173</v>
      </c>
      <c r="D38" s="2485">
        <f>D14+'Comparative Sheet'!D37*365.25</f>
        <v>393095.75</v>
      </c>
      <c r="E38" s="2486">
        <f>IFERROR(YEARFRAC(D38,C38,3)*12,"n/a")</f>
        <v>7393.8082191780813</v>
      </c>
    </row>
    <row r="39" spans="2:5">
      <c r="B39" s="310" t="s">
        <v>47</v>
      </c>
      <c r="C39" s="2487">
        <f>'OPM Hybrid (Redemption)'!D11</f>
        <v>0.76</v>
      </c>
      <c r="D39" s="2488">
        <v>0.78800000000000003</v>
      </c>
      <c r="E39" s="51">
        <f>IFERROR(C39-D39,"n/a")</f>
        <v>-2.8000000000000025E-2</v>
      </c>
    </row>
    <row r="40" spans="2:5">
      <c r="B40" s="310" t="s">
        <v>403</v>
      </c>
      <c r="C40" s="2487">
        <f>'Asset Vol OPM Redemption'!Y70</f>
        <v>0.76</v>
      </c>
      <c r="D40" s="2488">
        <v>0.78800000000000003</v>
      </c>
      <c r="E40" s="51">
        <f>IFERROR(C40-D40,"n/a")</f>
        <v>-2.8000000000000025E-2</v>
      </c>
    </row>
    <row r="41" spans="2:5">
      <c r="B41" s="310" t="s">
        <v>3333</v>
      </c>
      <c r="C41" s="669" t="s">
        <v>3</v>
      </c>
      <c r="D41" s="379" t="s">
        <v>3</v>
      </c>
      <c r="E41" s="51" t="str">
        <f>IFERROR(C41/D41-1,"n/a")</f>
        <v>n/a</v>
      </c>
    </row>
    <row r="42" spans="2:5">
      <c r="B42" s="310"/>
      <c r="D42" s="379"/>
    </row>
    <row r="43" spans="2:5">
      <c r="B43" s="1" t="s">
        <v>196</v>
      </c>
      <c r="D43" s="379"/>
    </row>
    <row r="44" spans="2:5">
      <c r="B44" s="310" t="s">
        <v>1551</v>
      </c>
      <c r="C44" s="2487">
        <f>'Hybrid OPM'!D13</f>
        <v>0.19</v>
      </c>
      <c r="D44" s="2488">
        <v>0.25</v>
      </c>
      <c r="E44" s="51">
        <f>IFERROR(C44/D44-1,"n/a")</f>
        <v>-0.24</v>
      </c>
    </row>
    <row r="45" spans="2:5">
      <c r="B45" s="310" t="s">
        <v>1552</v>
      </c>
      <c r="C45" s="2487">
        <f>'Hybrid OPM'!E13</f>
        <v>0.19</v>
      </c>
      <c r="D45" s="2488">
        <v>0.25</v>
      </c>
      <c r="E45" s="51">
        <f>IFERROR(C45/D45-1,"n/a")</f>
        <v>-0.24</v>
      </c>
    </row>
    <row r="46" spans="2:5">
      <c r="B46" s="310" t="s">
        <v>643</v>
      </c>
      <c r="C46" s="2487">
        <f>'Hybrid OPM'!F13</f>
        <v>0.19</v>
      </c>
      <c r="D46" s="2488">
        <v>0.25</v>
      </c>
      <c r="E46" s="51">
        <f>IFERROR(C46-D46,"n/a")</f>
        <v>-0.06</v>
      </c>
    </row>
    <row r="47" spans="2:5">
      <c r="B47" s="310"/>
      <c r="C47" s="2487"/>
      <c r="D47" s="2488"/>
      <c r="E47" s="51"/>
    </row>
    <row r="48" spans="2:5">
      <c r="B48" s="1" t="s">
        <v>3334</v>
      </c>
      <c r="C48" s="2487"/>
      <c r="D48" s="2488"/>
      <c r="E48" s="51"/>
    </row>
    <row r="49" spans="2:7">
      <c r="B49" s="310" t="str">
        <f>B44</f>
        <v>OPM (Liquidation)</v>
      </c>
      <c r="C49" s="2488" t="s">
        <v>284</v>
      </c>
      <c r="D49" s="2488" t="s">
        <v>284</v>
      </c>
      <c r="E49" s="51" t="s">
        <v>1</v>
      </c>
    </row>
    <row r="50" spans="2:7">
      <c r="B50" s="310" t="str">
        <f t="shared" ref="B50:B51" si="0">B45</f>
        <v>OPM (Redemption)</v>
      </c>
      <c r="C50" s="2488" t="s">
        <v>284</v>
      </c>
      <c r="D50" s="2488" t="s">
        <v>284</v>
      </c>
      <c r="E50" s="51" t="s">
        <v>1</v>
      </c>
    </row>
    <row r="51" spans="2:7">
      <c r="B51" s="310" t="str">
        <f t="shared" si="0"/>
        <v>IPO</v>
      </c>
      <c r="C51" s="2488" t="s">
        <v>284</v>
      </c>
      <c r="D51" s="2488" t="s">
        <v>284</v>
      </c>
      <c r="E51" s="51" t="s">
        <v>1</v>
      </c>
    </row>
    <row r="52" spans="2:7">
      <c r="B52" s="310"/>
      <c r="C52" s="1524"/>
      <c r="D52" s="2489"/>
      <c r="E52" s="1524"/>
    </row>
    <row r="53" spans="2:7">
      <c r="B53" s="1" t="s">
        <v>3335</v>
      </c>
      <c r="C53" s="1524"/>
      <c r="D53" s="2489"/>
      <c r="E53" s="1524"/>
    </row>
    <row r="54" spans="2:7">
      <c r="B54" s="310" t="s">
        <v>231</v>
      </c>
      <c r="C54" s="596">
        <f>'IPO Waterfall'!D22</f>
        <v>1000000</v>
      </c>
      <c r="D54" s="2484">
        <v>900000</v>
      </c>
      <c r="E54" s="51">
        <f>IFERROR(C54/D54-1,"n/a")</f>
        <v>0.11111111111111116</v>
      </c>
    </row>
    <row r="55" spans="2:7">
      <c r="B55" s="310" t="s">
        <v>235</v>
      </c>
      <c r="C55" s="2490">
        <f>'IPO Waterfall'!D20</f>
        <v>4.7268782912834162</v>
      </c>
      <c r="D55" s="2491">
        <v>4.2541904621550746</v>
      </c>
      <c r="E55" s="51">
        <f>IFERROR(C55/D55-1,"n/a")</f>
        <v>0.11111111111111116</v>
      </c>
    </row>
    <row r="56" spans="2:7">
      <c r="B56" s="310" t="s">
        <v>3336</v>
      </c>
      <c r="C56" s="2492">
        <f>'IPO Waterfall'!D14</f>
        <v>43343</v>
      </c>
      <c r="D56" s="2493">
        <v>43465</v>
      </c>
      <c r="E56" s="2486">
        <f>IFERROR(YEARFRAC(D56,C56,3)*12,"n/a")</f>
        <v>4.0109589041095894</v>
      </c>
      <c r="G56" s="144" t="s">
        <v>3332</v>
      </c>
    </row>
    <row r="57" spans="2:7">
      <c r="B57" s="310"/>
      <c r="C57" s="1524"/>
      <c r="D57" s="2489"/>
      <c r="E57" s="1524"/>
    </row>
    <row r="58" spans="2:7">
      <c r="B58" s="1" t="s">
        <v>278</v>
      </c>
      <c r="C58" s="1524"/>
      <c r="D58" s="2489"/>
      <c r="E58" s="1524"/>
    </row>
    <row r="59" spans="2:7">
      <c r="B59" s="310" t="s">
        <v>3337</v>
      </c>
      <c r="C59" s="2487">
        <f>'WACC IPO'!J11</f>
        <v>0.125</v>
      </c>
      <c r="D59" s="2488">
        <v>0.125</v>
      </c>
      <c r="E59" s="51">
        <f>IFERROR(C59-D59,"n/a")</f>
        <v>0</v>
      </c>
    </row>
    <row r="60" spans="2:7">
      <c r="B60" s="310" t="s">
        <v>3338</v>
      </c>
      <c r="C60" s="2487">
        <f>'WACC IPO'!J13</f>
        <v>0.22</v>
      </c>
      <c r="D60" s="2488">
        <v>0.25</v>
      </c>
      <c r="E60" s="51">
        <f>IFERROR(C60-D60,"n/a")</f>
        <v>-0.03</v>
      </c>
    </row>
    <row r="61" spans="2:7">
      <c r="B61" s="310" t="s">
        <v>3339</v>
      </c>
      <c r="C61" s="2487">
        <f>'WACC IPO'!J15</f>
        <v>0.22</v>
      </c>
      <c r="D61" s="2488">
        <v>0.25</v>
      </c>
      <c r="E61" s="51">
        <f>IFERROR(C61-D61,"n/a")</f>
        <v>-0.03</v>
      </c>
    </row>
    <row r="62" spans="2:7">
      <c r="B62" s="310" t="s">
        <v>3340</v>
      </c>
      <c r="C62" s="2487">
        <f>'WACC IPO'!J23</f>
        <v>0.19500000000000001</v>
      </c>
      <c r="D62" s="2488">
        <v>0.21</v>
      </c>
      <c r="E62" s="51">
        <f>IFERROR(C62-D62,"n/a")</f>
        <v>-1.4999999999999986E-2</v>
      </c>
    </row>
    <row r="63" spans="2:7">
      <c r="B63" s="310"/>
      <c r="C63" s="1524"/>
      <c r="D63" s="2489"/>
      <c r="E63" s="1524"/>
    </row>
    <row r="64" spans="2:7">
      <c r="B64" s="1" t="s">
        <v>21</v>
      </c>
      <c r="D64" s="379"/>
    </row>
    <row r="65" spans="2:7">
      <c r="B65" s="310" t="s">
        <v>3341</v>
      </c>
      <c r="C65" s="669" t="str">
        <f>'Econ Rights'!K7</f>
        <v>Series E</v>
      </c>
      <c r="D65" s="669" t="str">
        <f>C65</f>
        <v>Series E</v>
      </c>
    </row>
    <row r="66" spans="2:7">
      <c r="B66" s="310" t="s">
        <v>3342</v>
      </c>
      <c r="C66" s="2492">
        <f>'Econ Rights'!K10</f>
        <v>43175.44172413979</v>
      </c>
      <c r="D66" s="2493">
        <v>43175.44172413979</v>
      </c>
      <c r="E66" s="2486">
        <f>IFERROR(YEARFRAC(D66,C66,3)*12,"n/a")</f>
        <v>0</v>
      </c>
      <c r="G66" s="144" t="s">
        <v>3332</v>
      </c>
    </row>
    <row r="67" spans="2:7">
      <c r="B67" s="310" t="s">
        <v>3343</v>
      </c>
      <c r="C67" s="2494">
        <f>'Econ Rights'!K12</f>
        <v>13.301299999999999</v>
      </c>
      <c r="D67" s="2495">
        <v>13.301299999999999</v>
      </c>
      <c r="E67" s="51">
        <f>IFERROR(C67/D67-1,"n/a")</f>
        <v>0</v>
      </c>
    </row>
    <row r="68" spans="2:7">
      <c r="B68" s="310" t="s">
        <v>3344</v>
      </c>
      <c r="C68" s="2496">
        <f>'Econ Rights'!K13</f>
        <v>67368.863182899993</v>
      </c>
      <c r="D68" s="2484">
        <v>67368.863182899993</v>
      </c>
      <c r="E68" s="51">
        <f>IFERROR(C68/D68-1,"n/a")</f>
        <v>0</v>
      </c>
    </row>
    <row r="69" spans="2:7">
      <c r="B69" s="310" t="s">
        <v>3345</v>
      </c>
      <c r="C69" s="2494">
        <f>'Cap Table'!E29</f>
        <v>7</v>
      </c>
      <c r="D69" s="2495">
        <v>10</v>
      </c>
      <c r="E69" s="51">
        <f>IFERROR(C69/D69-1,"n/a")</f>
        <v>-0.30000000000000004</v>
      </c>
    </row>
  </sheetData>
  <conditionalFormatting sqref="B4:D5 E4">
    <cfRule type="cellIs" dxfId="22" priority="1" stopIfTrue="1" operator="equal">
      <formula>"input"</formula>
    </cfRule>
  </conditionalFormatting>
  <pageMargins left="0.5" right="0.5" top="0.5" bottom="0.5" header="0.5" footer="0.5"/>
  <pageSetup scale="80" orientation="landscape" r:id="rId1"/>
  <rowBreaks count="1" manualBreakCount="1">
    <brk id="52" max="5" man="1"/>
  </row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499984740745262"/>
  </sheetPr>
  <dimension ref="A1"/>
  <sheetViews>
    <sheetView workbookViewId="0">
      <selection activeCell="L13" sqref="L13"/>
    </sheetView>
  </sheetViews>
  <sheetFormatPr defaultRowHeight="12.75"/>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5"/>
  <sheetViews>
    <sheetView showGridLines="0" zoomScaleNormal="100" zoomScaleSheetLayoutView="115" workbookViewId="0">
      <pane xSplit="6" ySplit="3" topLeftCell="G4" activePane="bottomRight" state="frozen"/>
      <selection activeCell="B40" sqref="B40"/>
      <selection pane="topRight" activeCell="B40" sqref="B40"/>
      <selection pane="bottomLeft" activeCell="B40" sqref="B40"/>
      <selection pane="bottomRight" activeCell="H9" sqref="H9"/>
    </sheetView>
  </sheetViews>
  <sheetFormatPr defaultColWidth="10.6640625" defaultRowHeight="12.75"/>
  <cols>
    <col min="1" max="1" width="22.1640625" customWidth="1"/>
    <col min="2" max="3" width="2.1640625" customWidth="1"/>
    <col min="4" max="4" width="8.6640625" customWidth="1"/>
    <col min="5" max="5" width="34.33203125" customWidth="1"/>
    <col min="6" max="6" width="40.6640625" customWidth="1"/>
    <col min="7" max="7" width="11.83203125" customWidth="1"/>
    <col min="8" max="8" width="13.33203125" customWidth="1"/>
  </cols>
  <sheetData>
    <row r="1" spans="1:8" s="2510" customFormat="1" ht="23.25" customHeight="1">
      <c r="A1" s="2507"/>
      <c r="B1" s="2508" t="s">
        <v>3353</v>
      </c>
      <c r="C1" s="2509"/>
      <c r="D1" s="2509"/>
      <c r="E1" s="2509"/>
      <c r="F1" s="2509"/>
    </row>
    <row r="2" spans="1:8" ht="13.5" thickBot="1">
      <c r="A2" s="2511" t="s">
        <v>3354</v>
      </c>
      <c r="B2" s="2512"/>
      <c r="C2" s="2512"/>
      <c r="D2" s="2513"/>
      <c r="E2" s="2513"/>
      <c r="F2" s="2514"/>
      <c r="G2" s="2515">
        <v>2019</v>
      </c>
      <c r="H2" s="2515">
        <v>2018</v>
      </c>
    </row>
    <row r="3" spans="1:8" ht="4.5" customHeight="1">
      <c r="A3" s="2513"/>
      <c r="B3" s="2513"/>
      <c r="C3" s="2513"/>
      <c r="D3" s="2513"/>
      <c r="E3" s="2513"/>
      <c r="F3" s="2514"/>
      <c r="G3" s="2513"/>
      <c r="H3" s="2513"/>
    </row>
    <row r="4" spans="1:8">
      <c r="A4" s="2513"/>
      <c r="B4" s="2513"/>
      <c r="C4" s="2513"/>
      <c r="D4" s="2513"/>
      <c r="E4" s="2513"/>
      <c r="F4" s="2514"/>
      <c r="G4" s="2513"/>
      <c r="H4" s="2513"/>
    </row>
    <row r="5" spans="1:8">
      <c r="A5" s="2513"/>
      <c r="B5" s="2517" t="s">
        <v>3355</v>
      </c>
      <c r="C5" s="2517"/>
      <c r="D5" s="2518"/>
      <c r="E5" s="2518"/>
      <c r="F5" s="2519"/>
      <c r="G5" s="2513"/>
      <c r="H5" s="2513"/>
    </row>
    <row r="6" spans="1:8" s="2523" customFormat="1">
      <c r="A6" s="2520"/>
      <c r="B6" s="2521"/>
      <c r="C6" s="2521"/>
      <c r="D6" s="2521"/>
      <c r="E6" s="2521"/>
      <c r="F6" s="2522"/>
    </row>
    <row r="7" spans="1:8" s="2526" customFormat="1" ht="13.35" customHeight="1">
      <c r="A7" s="2524"/>
      <c r="B7" s="2525"/>
      <c r="C7" s="2525"/>
      <c r="D7" s="2525"/>
      <c r="E7" s="2525"/>
    </row>
    <row r="8" spans="1:8" s="2529" customFormat="1" ht="13.35" customHeight="1">
      <c r="A8" s="2527"/>
      <c r="B8" s="2528"/>
      <c r="C8" s="2528"/>
      <c r="D8" s="2528"/>
      <c r="E8" s="2528"/>
      <c r="G8" s="2530"/>
      <c r="H8" s="2530"/>
    </row>
    <row r="9" spans="1:8" ht="13.5" customHeight="1">
      <c r="A9" s="2531"/>
      <c r="B9" s="2532" t="s">
        <v>3356</v>
      </c>
      <c r="C9" s="2532"/>
      <c r="D9" s="2532"/>
      <c r="E9" s="2532"/>
      <c r="F9" s="2522" t="s">
        <v>3357</v>
      </c>
      <c r="G9" s="2530">
        <v>-102261.52611916652</v>
      </c>
      <c r="H9" s="2530">
        <v>-82008.926938281409</v>
      </c>
    </row>
    <row r="10" spans="1:8">
      <c r="A10" s="2533"/>
      <c r="B10" s="2534" t="s">
        <v>3358</v>
      </c>
      <c r="C10" s="2534"/>
      <c r="D10" s="2534"/>
      <c r="E10" s="2534"/>
      <c r="F10" s="2522" t="s">
        <v>3357</v>
      </c>
      <c r="G10" s="2530">
        <v>-324010.32266582258</v>
      </c>
      <c r="H10" s="2530">
        <v>-428719.06952419045</v>
      </c>
    </row>
    <row r="11" spans="1:8">
      <c r="A11" s="2531"/>
      <c r="B11" s="2534" t="s">
        <v>3359</v>
      </c>
      <c r="C11" s="2534"/>
      <c r="D11" s="2534"/>
      <c r="E11" s="2534"/>
      <c r="F11" s="2522" t="s">
        <v>3357</v>
      </c>
      <c r="G11" s="2530">
        <v>7000</v>
      </c>
      <c r="H11" s="2530">
        <v>7055</v>
      </c>
    </row>
    <row r="12" spans="1:8" ht="13.5" customHeight="1">
      <c r="A12" s="2531"/>
      <c r="B12" s="2534"/>
      <c r="C12" s="2534" t="s">
        <v>3360</v>
      </c>
      <c r="D12" s="2534"/>
      <c r="E12" s="2534"/>
      <c r="F12" s="2522" t="s">
        <v>3357</v>
      </c>
      <c r="G12" s="2530">
        <v>7000</v>
      </c>
      <c r="H12" s="2530">
        <v>5806</v>
      </c>
    </row>
    <row r="13" spans="1:8" ht="13.35" customHeight="1">
      <c r="A13" s="2531"/>
      <c r="B13" s="2534"/>
      <c r="C13" s="2534" t="s">
        <v>3361</v>
      </c>
      <c r="D13" s="2534"/>
      <c r="E13" s="2534"/>
      <c r="F13" s="2522" t="s">
        <v>3357</v>
      </c>
      <c r="G13" s="2530">
        <v>0</v>
      </c>
      <c r="H13" s="2530">
        <v>1249</v>
      </c>
    </row>
    <row r="14" spans="1:8" ht="13.35" customHeight="1">
      <c r="A14" s="2533"/>
      <c r="B14" s="2534" t="s">
        <v>3362</v>
      </c>
      <c r="C14" s="2534"/>
      <c r="D14" s="2534"/>
      <c r="E14" s="2534"/>
      <c r="F14" s="2522" t="s">
        <v>3357</v>
      </c>
      <c r="G14" s="2530">
        <v>0</v>
      </c>
      <c r="H14" s="2530">
        <v>80</v>
      </c>
    </row>
    <row r="15" spans="1:8" ht="13.35" customHeight="1">
      <c r="A15" s="2533"/>
      <c r="B15" s="2534" t="s">
        <v>3363</v>
      </c>
      <c r="C15" s="2534"/>
      <c r="D15" s="2534"/>
      <c r="E15" s="2534"/>
      <c r="F15" s="2522" t="s">
        <v>3364</v>
      </c>
      <c r="G15" s="2530">
        <v>0</v>
      </c>
      <c r="H15" s="2530">
        <v>-41046.87893416937</v>
      </c>
    </row>
    <row r="16" spans="1:8" ht="13.35" customHeight="1">
      <c r="A16" s="2520"/>
      <c r="B16" s="2534" t="s">
        <v>3365</v>
      </c>
      <c r="C16" s="2534"/>
      <c r="D16" s="2534"/>
      <c r="E16" s="2534"/>
      <c r="F16" s="2522" t="s">
        <v>3357</v>
      </c>
      <c r="G16" s="2530">
        <v>0</v>
      </c>
      <c r="H16" s="2530">
        <v>-8826</v>
      </c>
    </row>
    <row r="17" spans="1:8" s="2536" customFormat="1" ht="12.95" customHeight="1">
      <c r="A17" s="2520"/>
      <c r="B17" s="2532" t="s">
        <v>3366</v>
      </c>
      <c r="C17" s="2532"/>
      <c r="D17" s="2532"/>
      <c r="E17" s="2532"/>
      <c r="F17" s="2535" t="s">
        <v>3357</v>
      </c>
      <c r="G17" s="2530">
        <v>0</v>
      </c>
      <c r="H17" s="2530">
        <v>-4277949.6844941145</v>
      </c>
    </row>
    <row r="18" spans="1:8" s="2536" customFormat="1" ht="12.95" customHeight="1">
      <c r="A18" s="2520"/>
      <c r="B18" s="2532"/>
      <c r="C18" s="2532"/>
      <c r="D18" s="2532"/>
      <c r="E18" s="2532"/>
      <c r="F18" s="2535"/>
      <c r="G18" s="2530"/>
      <c r="H18" s="2537"/>
    </row>
    <row r="19" spans="1:8">
      <c r="A19" s="2531"/>
      <c r="B19" s="2538" t="s">
        <v>3367</v>
      </c>
      <c r="C19" s="2538"/>
      <c r="D19" s="2538"/>
      <c r="E19" s="2538"/>
      <c r="F19" s="2539" t="s">
        <v>3357</v>
      </c>
      <c r="G19" s="2540">
        <f>SUM(G8:G11,G14:G17)</f>
        <v>-419271.8487849891</v>
      </c>
      <c r="H19" s="2540">
        <f>SUM(H8:H11,H14:H17)</f>
        <v>-4831415.5598907555</v>
      </c>
    </row>
    <row r="20" spans="1:8" s="2536" customFormat="1" ht="12.95" customHeight="1">
      <c r="A20" s="2531"/>
      <c r="B20" s="2532"/>
      <c r="C20" s="2532"/>
      <c r="D20" s="2532"/>
      <c r="E20" s="2532"/>
      <c r="F20" s="2535"/>
      <c r="G20" s="2530"/>
      <c r="H20" s="2530"/>
    </row>
    <row r="21" spans="1:8">
      <c r="A21" s="2531"/>
      <c r="B21" s="2534" t="s">
        <v>3358</v>
      </c>
      <c r="C21" s="2534"/>
      <c r="D21" s="2534"/>
      <c r="E21" s="2534"/>
      <c r="F21" s="2522" t="s">
        <v>3368</v>
      </c>
      <c r="G21" s="2530">
        <f>G10/6.3</f>
        <v>-51430.209946955969</v>
      </c>
      <c r="H21" s="2530">
        <f>H10/6.3</f>
        <v>-68050.645956220702</v>
      </c>
    </row>
    <row r="22" spans="1:8" ht="15">
      <c r="A22" s="2531"/>
      <c r="B22" s="2516"/>
      <c r="C22" s="2516"/>
      <c r="D22" s="2516"/>
      <c r="E22" s="2516"/>
      <c r="F22" s="2516"/>
      <c r="G22" s="2516"/>
      <c r="H22" s="2516"/>
    </row>
    <row r="23" spans="1:8" ht="15">
      <c r="A23" s="2531"/>
      <c r="B23" s="2521"/>
      <c r="C23" s="2516"/>
      <c r="D23" s="2516"/>
      <c r="E23" s="2516"/>
      <c r="F23" s="2516"/>
      <c r="G23" s="2541"/>
      <c r="H23" s="2541"/>
    </row>
    <row r="24" spans="1:8">
      <c r="A24" s="2513"/>
      <c r="B24" s="2521"/>
      <c r="C24" s="2521"/>
      <c r="D24" s="2521"/>
      <c r="E24" s="2521"/>
      <c r="F24" s="2522"/>
      <c r="G24" s="2513"/>
      <c r="H24" s="2513"/>
    </row>
    <row r="25" spans="1:8" ht="12" customHeight="1">
      <c r="A25" s="2513"/>
      <c r="B25" s="2521" t="s">
        <v>3369</v>
      </c>
      <c r="C25" s="2521"/>
      <c r="D25" s="2521"/>
      <c r="E25" s="2521" t="s">
        <v>3370</v>
      </c>
      <c r="F25" s="2522"/>
      <c r="G25" s="2513"/>
      <c r="H25" s="2513"/>
    </row>
    <row r="26" spans="1:8" ht="10.5" customHeight="1">
      <c r="A26" s="2513"/>
      <c r="B26" s="2521"/>
      <c r="C26" s="2521"/>
      <c r="D26" s="2521"/>
      <c r="E26" s="2521"/>
      <c r="F26" s="2522"/>
      <c r="G26" s="2513"/>
      <c r="H26" s="2513"/>
    </row>
    <row r="27" spans="1:8" ht="12.75" customHeight="1">
      <c r="A27" s="2513"/>
      <c r="B27" s="2521" t="s">
        <v>3371</v>
      </c>
      <c r="C27" s="2521"/>
      <c r="D27" s="2521"/>
      <c r="E27" s="2521" t="s">
        <v>3372</v>
      </c>
      <c r="F27" s="2522"/>
      <c r="G27" s="2513"/>
      <c r="H27" s="2513"/>
    </row>
    <row r="28" spans="1:8" ht="15" customHeight="1">
      <c r="A28" s="2513"/>
      <c r="B28" s="2521"/>
      <c r="C28" s="2521"/>
      <c r="D28" s="2521"/>
      <c r="E28" s="2521"/>
      <c r="F28" s="2522"/>
      <c r="G28" s="2513"/>
      <c r="H28" s="2513"/>
    </row>
    <row r="29" spans="1:8" ht="14.25" customHeight="1">
      <c r="A29" s="2513"/>
      <c r="B29" s="2542" t="s">
        <v>3373</v>
      </c>
      <c r="C29" s="2521"/>
      <c r="D29" s="2521"/>
      <c r="E29" s="2521" t="s">
        <v>3374</v>
      </c>
      <c r="F29" s="2522"/>
      <c r="G29" s="2513"/>
      <c r="H29" s="2513"/>
    </row>
    <row r="30" spans="1:8" ht="12" customHeight="1">
      <c r="A30" s="2516"/>
      <c r="B30" s="2521"/>
      <c r="C30" s="2521"/>
      <c r="D30" s="2521"/>
      <c r="E30" s="2521" t="s">
        <v>3375</v>
      </c>
      <c r="F30" s="2516"/>
      <c r="G30" s="2516"/>
      <c r="H30" s="2516"/>
    </row>
    <row r="31" spans="1:8" ht="11.25" customHeight="1">
      <c r="A31" s="2516"/>
      <c r="B31" s="2521"/>
      <c r="C31" s="2521"/>
      <c r="D31" s="2521"/>
      <c r="E31" s="2521"/>
      <c r="F31" s="2516"/>
      <c r="G31" s="2516"/>
      <c r="H31" s="2516"/>
    </row>
    <row r="32" spans="1:8" ht="15.75" customHeight="1">
      <c r="A32" s="2516"/>
      <c r="B32" s="2521" t="s">
        <v>3376</v>
      </c>
      <c r="C32" s="2521"/>
      <c r="D32" s="2521"/>
      <c r="E32" s="2521" t="s">
        <v>3377</v>
      </c>
      <c r="F32" s="2516"/>
      <c r="G32" s="2516"/>
      <c r="H32" s="2516"/>
    </row>
    <row r="33" spans="2:5" ht="21" customHeight="1">
      <c r="B33" s="2521"/>
      <c r="C33" s="2521"/>
      <c r="D33" s="2521"/>
      <c r="E33" s="2521"/>
    </row>
    <row r="34" spans="2:5">
      <c r="B34" s="2521"/>
      <c r="C34" s="2521"/>
      <c r="D34" s="2521"/>
      <c r="E34" s="2521"/>
    </row>
    <row r="35" spans="2:5" ht="15">
      <c r="B35" s="2516"/>
      <c r="C35" s="2516"/>
      <c r="D35" s="2516"/>
      <c r="E35" s="2516"/>
    </row>
  </sheetData>
  <pageMargins left="0.70866141732283472" right="0.70866141732283472" top="0.74803149606299213" bottom="0.74803149606299213" header="0.31496062992125984" footer="0.31496062992125984"/>
  <pageSetup orientation="landscape" horizontalDpi="4294967295" verticalDpi="4294967295"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3"/>
  <sheetViews>
    <sheetView workbookViewId="0">
      <selection activeCell="B23" sqref="B23"/>
    </sheetView>
  </sheetViews>
  <sheetFormatPr defaultRowHeight="12"/>
  <cols>
    <col min="1" max="1" width="26.33203125" style="2558" customWidth="1"/>
    <col min="2" max="2" width="16.33203125" style="2557" bestFit="1" customWidth="1"/>
    <col min="3" max="3" width="9.33203125" style="2558"/>
    <col min="4" max="4" width="18.83203125" style="2558" bestFit="1" customWidth="1"/>
    <col min="5" max="5" width="14.6640625" style="2557" bestFit="1" customWidth="1"/>
    <col min="6" max="6" width="13.33203125" style="2558" bestFit="1" customWidth="1"/>
    <col min="7" max="7" width="15" style="2558" bestFit="1" customWidth="1"/>
    <col min="8" max="8" width="26" style="2558" bestFit="1" customWidth="1"/>
    <col min="9" max="9" width="18.5" style="2558" bestFit="1" customWidth="1"/>
    <col min="10" max="10" width="17.83203125" style="2558" customWidth="1"/>
    <col min="11" max="11" width="21.5" style="2558" customWidth="1"/>
    <col min="12" max="16384" width="9.33203125" style="2558"/>
  </cols>
  <sheetData>
    <row r="1" spans="1:12">
      <c r="A1" s="2556" t="s">
        <v>3385</v>
      </c>
    </row>
    <row r="3" spans="1:12">
      <c r="A3" s="2558" t="s">
        <v>3386</v>
      </c>
      <c r="B3" s="2557" t="s">
        <v>3387</v>
      </c>
      <c r="D3" s="2558" t="s">
        <v>3388</v>
      </c>
      <c r="H3" s="2558" t="s">
        <v>3389</v>
      </c>
    </row>
    <row r="4" spans="1:12">
      <c r="A4" s="2559">
        <v>0</v>
      </c>
      <c r="B4" s="2557">
        <v>0</v>
      </c>
      <c r="D4" s="2560" t="s">
        <v>3390</v>
      </c>
      <c r="E4" s="2561" t="s">
        <v>3391</v>
      </c>
      <c r="H4" s="2560" t="s">
        <v>3390</v>
      </c>
      <c r="I4" s="2561" t="s">
        <v>3391</v>
      </c>
      <c r="J4" s="2562" t="s">
        <v>3392</v>
      </c>
      <c r="K4" s="2558" t="s">
        <v>4065</v>
      </c>
    </row>
    <row r="5" spans="1:12" ht="15">
      <c r="A5" s="2559">
        <v>1</v>
      </c>
      <c r="B5" s="2557">
        <v>1948865</v>
      </c>
      <c r="D5" s="2563">
        <v>1</v>
      </c>
      <c r="E5" s="2557">
        <v>1948865</v>
      </c>
      <c r="H5" s="2564" t="s">
        <v>3393</v>
      </c>
      <c r="I5" s="2565">
        <f>(((1948.865) * 1000) * 0.001) * 1000</f>
        <v>1948865</v>
      </c>
      <c r="J5" s="2566">
        <f>E5-I5</f>
        <v>0</v>
      </c>
      <c r="K5" s="2565"/>
      <c r="L5" s="2565"/>
    </row>
    <row r="6" spans="1:12" ht="15">
      <c r="A6" s="2559">
        <v>3.5</v>
      </c>
      <c r="B6" s="2557">
        <v>960000</v>
      </c>
      <c r="D6" s="2563">
        <v>3.5</v>
      </c>
      <c r="E6" s="2557">
        <v>960000</v>
      </c>
      <c r="H6" s="2564" t="s">
        <v>3394</v>
      </c>
      <c r="I6" s="2565">
        <f>(((960) * 1000) * 0.001) * 1000</f>
        <v>960000</v>
      </c>
      <c r="J6" s="2566">
        <f t="shared" ref="J6:J14" si="0">E6-I6</f>
        <v>0</v>
      </c>
      <c r="K6" s="2565"/>
      <c r="L6" s="2565"/>
    </row>
    <row r="7" spans="1:12" ht="15">
      <c r="A7" s="2559">
        <v>3.7</v>
      </c>
      <c r="B7" s="2557">
        <v>1201357</v>
      </c>
      <c r="D7" s="2563">
        <v>3.7</v>
      </c>
      <c r="E7" s="2557">
        <v>1201357</v>
      </c>
      <c r="H7" s="2564" t="s">
        <v>3395</v>
      </c>
      <c r="I7" s="2565">
        <f>(((1147.469) * 1000) * 0.001) * 1000</f>
        <v>1147469</v>
      </c>
      <c r="J7" s="2566">
        <f t="shared" si="0"/>
        <v>53888</v>
      </c>
      <c r="K7" s="2565">
        <f>'ESOP All_June'!BA62</f>
        <v>53888</v>
      </c>
      <c r="L7" s="2565"/>
    </row>
    <row r="8" spans="1:12" ht="15">
      <c r="A8" s="2559">
        <v>4</v>
      </c>
      <c r="B8" s="2557">
        <v>70000</v>
      </c>
      <c r="D8" s="2563">
        <v>4</v>
      </c>
      <c r="E8" s="2557">
        <v>70000</v>
      </c>
      <c r="H8" s="2564" t="s">
        <v>3396</v>
      </c>
      <c r="I8" s="2565">
        <f>(((70) * 1000) * 0.001) * 1000</f>
        <v>70000</v>
      </c>
      <c r="J8" s="2566">
        <f t="shared" si="0"/>
        <v>0</v>
      </c>
      <c r="K8" s="2565"/>
      <c r="L8" s="2565"/>
    </row>
    <row r="9" spans="1:12" ht="15">
      <c r="A9" s="2559">
        <v>6</v>
      </c>
      <c r="B9" s="2557">
        <v>75000</v>
      </c>
      <c r="D9" s="2563">
        <v>6</v>
      </c>
      <c r="E9" s="2557">
        <v>75000</v>
      </c>
      <c r="H9" s="2564" t="s">
        <v>3397</v>
      </c>
      <c r="I9" s="2565">
        <f>(((75) * 1000) * 0.001) * 1000</f>
        <v>75000</v>
      </c>
      <c r="J9" s="2566">
        <f t="shared" si="0"/>
        <v>0</v>
      </c>
      <c r="K9" s="2565"/>
      <c r="L9" s="2565"/>
    </row>
    <row r="10" spans="1:12" ht="15">
      <c r="A10" s="2559">
        <v>7</v>
      </c>
      <c r="B10" s="2557">
        <v>2739670</v>
      </c>
      <c r="D10" s="2563">
        <v>7</v>
      </c>
      <c r="E10" s="2557">
        <v>2739670</v>
      </c>
      <c r="H10" s="2564" t="s">
        <v>3398</v>
      </c>
      <c r="I10" s="2565">
        <f>(((2899.558) * 1000) * 0.001) * 1000</f>
        <v>2899558</v>
      </c>
      <c r="J10" s="2566">
        <f t="shared" si="0"/>
        <v>-159888</v>
      </c>
      <c r="K10" s="2565">
        <f>K7+'ESOP All_June'!AQ62+'ESOP All_June'!AV6+'ESOP All_June'!AV17</f>
        <v>159888</v>
      </c>
      <c r="L10" s="2565"/>
    </row>
    <row r="11" spans="1:12" ht="15">
      <c r="A11" s="2559">
        <v>10</v>
      </c>
      <c r="B11" s="2557">
        <v>100000</v>
      </c>
      <c r="D11" s="2563">
        <v>10</v>
      </c>
      <c r="E11" s="2557">
        <v>100000</v>
      </c>
      <c r="H11" s="2564" t="s">
        <v>3399</v>
      </c>
      <c r="I11" s="2558">
        <v>0</v>
      </c>
      <c r="J11" s="2566">
        <f t="shared" si="0"/>
        <v>100000</v>
      </c>
      <c r="K11" s="2565"/>
      <c r="L11" s="2565"/>
    </row>
    <row r="12" spans="1:12" ht="15">
      <c r="A12" s="2559">
        <v>11</v>
      </c>
      <c r="B12" s="2557">
        <v>6000</v>
      </c>
      <c r="D12" s="2563">
        <v>11</v>
      </c>
      <c r="E12" s="2557">
        <v>6000</v>
      </c>
      <c r="H12" s="2564" t="s">
        <v>3400</v>
      </c>
      <c r="I12" s="2558">
        <v>0</v>
      </c>
      <c r="J12" s="2566">
        <f t="shared" si="0"/>
        <v>6000</v>
      </c>
    </row>
    <row r="13" spans="1:12" ht="15">
      <c r="A13" s="2559" t="s">
        <v>3401</v>
      </c>
      <c r="B13" s="2557">
        <v>7100892</v>
      </c>
      <c r="H13" s="2567" t="s">
        <v>2562</v>
      </c>
      <c r="I13" s="2566">
        <f>(((494.865) * 1000) * 0.001) * 1000</f>
        <v>494865</v>
      </c>
      <c r="J13" s="2566">
        <f t="shared" si="0"/>
        <v>-494865</v>
      </c>
    </row>
    <row r="14" spans="1:12" ht="15.75" thickBot="1">
      <c r="D14" s="2568" t="s">
        <v>81</v>
      </c>
      <c r="E14" s="2569">
        <v>7100892</v>
      </c>
      <c r="H14" s="2568" t="s">
        <v>81</v>
      </c>
      <c r="I14" s="2569">
        <f>SUM(I5:I13)</f>
        <v>7595757</v>
      </c>
      <c r="J14" s="2566">
        <f t="shared" si="0"/>
        <v>-494865</v>
      </c>
    </row>
    <row r="15" spans="1:12" ht="12.75" thickTop="1">
      <c r="G15" s="2557"/>
    </row>
    <row r="16" spans="1:12">
      <c r="G16" s="2557"/>
    </row>
    <row r="17" spans="1:7">
      <c r="F17" s="2562"/>
      <c r="G17" s="2570"/>
    </row>
    <row r="18" spans="1:7">
      <c r="G18" s="2571"/>
    </row>
    <row r="19" spans="1:7">
      <c r="A19" s="2572" t="s">
        <v>3402</v>
      </c>
      <c r="B19" s="2573"/>
      <c r="C19" s="2572"/>
      <c r="D19" s="2574"/>
      <c r="E19" s="2572"/>
      <c r="F19" s="2574"/>
      <c r="G19" s="2572"/>
    </row>
    <row r="20" spans="1:7" s="2578" customFormat="1">
      <c r="A20" s="2575" t="s">
        <v>3403</v>
      </c>
      <c r="B20" s="2576" t="s">
        <v>3404</v>
      </c>
      <c r="C20" s="2575"/>
      <c r="D20" s="2577" t="s">
        <v>3405</v>
      </c>
      <c r="E20" s="2575" t="s">
        <v>3406</v>
      </c>
    </row>
    <row r="21" spans="1:7">
      <c r="A21" s="2579" t="s">
        <v>3407</v>
      </c>
      <c r="B21" s="2580">
        <v>2100769</v>
      </c>
      <c r="C21" s="2581"/>
      <c r="D21" s="2582">
        <v>41775</v>
      </c>
      <c r="E21" s="2581" t="s">
        <v>1409</v>
      </c>
    </row>
    <row r="22" spans="1:7">
      <c r="A22" s="2579" t="s">
        <v>1304</v>
      </c>
      <c r="B22" s="2580">
        <v>1050385</v>
      </c>
      <c r="C22" s="2581"/>
      <c r="D22" s="2582">
        <v>41775</v>
      </c>
      <c r="E22" s="2581" t="s">
        <v>1409</v>
      </c>
    </row>
    <row r="23" spans="1:7">
      <c r="A23" s="2583" t="s">
        <v>3408</v>
      </c>
      <c r="B23" s="2584">
        <v>494865</v>
      </c>
      <c r="C23" s="2585"/>
      <c r="D23" s="2586">
        <v>43107</v>
      </c>
      <c r="E23" s="2585" t="s">
        <v>3409</v>
      </c>
    </row>
  </sheetData>
  <pageMargins left="0.7" right="0.7" top="0.75" bottom="0.75" header="0.3" footer="0.3"/>
  <pageSetup paperSize="9" orientation="portrait" horizontalDpi="300" verticalDpi="300" copies="0"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pageSetUpPr fitToPage="1"/>
  </sheetPr>
  <dimension ref="A1:G24"/>
  <sheetViews>
    <sheetView topLeftCell="A13" workbookViewId="0">
      <selection activeCell="E24" sqref="E24"/>
    </sheetView>
  </sheetViews>
  <sheetFormatPr defaultRowHeight="12.75"/>
  <cols>
    <col min="1" max="1" width="44.33203125" style="2128" bestFit="1" customWidth="1"/>
    <col min="2" max="2" width="42.5" style="2128" customWidth="1"/>
    <col min="3" max="3" width="27.5" style="2128" customWidth="1"/>
    <col min="4" max="4" width="17.5" style="2128" bestFit="1" customWidth="1"/>
    <col min="5" max="5" width="24" style="2128" customWidth="1"/>
    <col min="6" max="6" width="30.33203125" style="2128" bestFit="1" customWidth="1"/>
    <col min="7" max="7" width="26.83203125" style="2128" customWidth="1"/>
    <col min="8" max="16384" width="9.33203125" style="2128"/>
  </cols>
  <sheetData>
    <row r="1" spans="1:7" s="2109" customFormat="1" ht="24.75" customHeight="1">
      <c r="A1" s="2629" t="s">
        <v>3029</v>
      </c>
      <c r="B1" s="2630"/>
      <c r="C1" s="2631" t="s">
        <v>3030</v>
      </c>
      <c r="D1" s="2631"/>
      <c r="E1" s="2632"/>
      <c r="F1" s="2631" t="s">
        <v>3031</v>
      </c>
      <c r="G1" s="2632"/>
    </row>
    <row r="2" spans="1:7" s="2113" customFormat="1" ht="22.5" customHeight="1">
      <c r="A2" s="2110" t="s">
        <v>3032</v>
      </c>
      <c r="B2" s="2111">
        <v>27525.14</v>
      </c>
      <c r="C2" s="2110" t="s">
        <v>3033</v>
      </c>
      <c r="D2" s="2112"/>
      <c r="E2" s="2111">
        <v>5995.28</v>
      </c>
      <c r="F2" s="2110" t="s">
        <v>3034</v>
      </c>
      <c r="G2" s="2111">
        <v>2024166.9199999985</v>
      </c>
    </row>
    <row r="3" spans="1:7" s="2113" customFormat="1" ht="22.5" customHeight="1">
      <c r="A3" s="2114" t="s">
        <v>3035</v>
      </c>
      <c r="B3" s="2115">
        <v>13400</v>
      </c>
      <c r="C3" s="2114" t="s">
        <v>3036</v>
      </c>
      <c r="D3" s="2116"/>
      <c r="E3" s="2115">
        <v>104866039.65000001</v>
      </c>
      <c r="F3" s="2117"/>
      <c r="G3" s="2118"/>
    </row>
    <row r="4" spans="1:7" s="2113" customFormat="1" ht="22.5" customHeight="1">
      <c r="A4" s="2114" t="s">
        <v>3037</v>
      </c>
      <c r="B4" s="2119">
        <v>45291104.890000001</v>
      </c>
      <c r="C4" s="2114" t="s">
        <v>3038</v>
      </c>
      <c r="D4" s="2116"/>
      <c r="E4" s="2115">
        <v>10955200.810000002</v>
      </c>
      <c r="F4" s="2117"/>
      <c r="G4" s="2118"/>
    </row>
    <row r="5" spans="1:7" s="2113" customFormat="1" ht="22.5" customHeight="1">
      <c r="A5" s="2114" t="s">
        <v>3039</v>
      </c>
      <c r="B5" s="2115">
        <v>61531.199999999997</v>
      </c>
      <c r="C5" s="2120"/>
      <c r="D5" s="2121"/>
      <c r="E5" s="2118"/>
      <c r="F5" s="2117"/>
      <c r="G5" s="2118"/>
    </row>
    <row r="6" spans="1:7" s="2113" customFormat="1" ht="22.5" customHeight="1">
      <c r="A6" s="2114" t="s">
        <v>3040</v>
      </c>
      <c r="B6" s="2119">
        <v>12822400</v>
      </c>
      <c r="C6" s="2120"/>
      <c r="D6" s="2121"/>
      <c r="E6" s="2118"/>
      <c r="F6" s="2117"/>
      <c r="G6" s="2118"/>
    </row>
    <row r="7" spans="1:7" s="2113" customFormat="1" ht="22.5" customHeight="1">
      <c r="A7" s="2114" t="s">
        <v>3041</v>
      </c>
      <c r="B7" s="2115">
        <v>13471184.34</v>
      </c>
      <c r="C7" s="2120"/>
      <c r="D7" s="2121"/>
      <c r="E7" s="2118"/>
      <c r="F7" s="2117"/>
      <c r="G7" s="2118"/>
    </row>
    <row r="8" spans="1:7" s="2113" customFormat="1" ht="22.5" customHeight="1">
      <c r="A8" s="2114" t="s">
        <v>3042</v>
      </c>
      <c r="B8" s="2115">
        <v>2009896.12</v>
      </c>
      <c r="C8" s="2120"/>
      <c r="D8" s="2121"/>
      <c r="E8" s="2118"/>
      <c r="F8" s="2117"/>
      <c r="G8" s="2118"/>
    </row>
    <row r="9" spans="1:7" s="2113" customFormat="1" ht="22.5" customHeight="1">
      <c r="A9" s="2122" t="s">
        <v>3043</v>
      </c>
      <c r="B9" s="2123">
        <v>16000000</v>
      </c>
      <c r="C9" s="2124"/>
      <c r="D9" s="2125"/>
      <c r="E9" s="2126"/>
      <c r="F9" s="2127"/>
      <c r="G9" s="2126"/>
    </row>
    <row r="10" spans="1:7">
      <c r="B10" s="2129"/>
      <c r="C10" s="2130"/>
      <c r="D10" s="2130"/>
      <c r="E10" s="2130"/>
      <c r="F10" s="2130"/>
      <c r="G10" s="2130"/>
    </row>
    <row r="11" spans="1:7" ht="13.5" thickBot="1">
      <c r="D11" s="2128" t="s">
        <v>3044</v>
      </c>
      <c r="E11" s="2128" t="s">
        <v>3045</v>
      </c>
    </row>
    <row r="12" spans="1:7" ht="15">
      <c r="A12" s="2633" t="s">
        <v>3046</v>
      </c>
      <c r="B12" s="2131" t="s">
        <v>3032</v>
      </c>
      <c r="C12" s="2132">
        <v>27525.14</v>
      </c>
      <c r="D12" s="2132">
        <v>6.2881</v>
      </c>
      <c r="E12" s="2133">
        <f>C12/D12</f>
        <v>4377.3381466579731</v>
      </c>
    </row>
    <row r="13" spans="1:7" ht="15">
      <c r="A13" s="2634"/>
      <c r="B13" s="2134" t="s">
        <v>3035</v>
      </c>
      <c r="C13" s="2121">
        <v>13400</v>
      </c>
      <c r="D13" s="2121">
        <f>1*0.2159/6.2881</f>
        <v>3.4334695695043022E-2</v>
      </c>
      <c r="E13" s="2135">
        <f>C13*D13</f>
        <v>460.0849223135765</v>
      </c>
      <c r="G13" s="2136"/>
    </row>
    <row r="14" spans="1:7" ht="15">
      <c r="A14" s="2634"/>
      <c r="B14" s="2134" t="s">
        <v>3047</v>
      </c>
      <c r="C14" s="2137">
        <v>45291104.890000001</v>
      </c>
      <c r="D14" s="2121">
        <v>6.2881</v>
      </c>
      <c r="E14" s="2135">
        <f>C14/D14</f>
        <v>7202669.3102845056</v>
      </c>
    </row>
    <row r="15" spans="1:7" ht="15">
      <c r="A15" s="2634"/>
      <c r="B15" s="2134" t="s">
        <v>3048</v>
      </c>
      <c r="C15" s="2121">
        <v>61531.199999999997</v>
      </c>
      <c r="D15" s="2121">
        <v>6.2881</v>
      </c>
      <c r="E15" s="2135">
        <f>C15/D15</f>
        <v>9785.3405639223292</v>
      </c>
    </row>
    <row r="16" spans="1:7" ht="15">
      <c r="A16" s="2634"/>
      <c r="B16" s="2134" t="s">
        <v>3049</v>
      </c>
      <c r="C16" s="2137">
        <v>12822400</v>
      </c>
      <c r="D16" s="2121">
        <v>6.2881</v>
      </c>
      <c r="E16" s="2135">
        <f>C16/D16</f>
        <v>2039153.321353032</v>
      </c>
    </row>
    <row r="17" spans="1:6" ht="15">
      <c r="A17" s="2634"/>
      <c r="B17" s="2134" t="s">
        <v>3050</v>
      </c>
      <c r="C17" s="2121">
        <v>13471184.34</v>
      </c>
      <c r="D17" s="2121">
        <v>1</v>
      </c>
      <c r="E17" s="2135">
        <f>C17</f>
        <v>13471184.34</v>
      </c>
    </row>
    <row r="18" spans="1:6" ht="15">
      <c r="A18" s="2634"/>
      <c r="B18" s="2134" t="s">
        <v>3051</v>
      </c>
      <c r="C18" s="2121">
        <v>2009896.12</v>
      </c>
      <c r="D18" s="2121">
        <v>1</v>
      </c>
      <c r="E18" s="2135">
        <f>C18</f>
        <v>2009896.12</v>
      </c>
    </row>
    <row r="19" spans="1:6" ht="15.75" thickBot="1">
      <c r="A19" s="2634"/>
      <c r="B19" s="2138" t="s">
        <v>3052</v>
      </c>
      <c r="C19" s="2139">
        <v>16000000</v>
      </c>
      <c r="D19" s="2139">
        <v>6.2881</v>
      </c>
      <c r="E19" s="2140">
        <f>C19/D19</f>
        <v>2544488.7962977686</v>
      </c>
    </row>
    <row r="20" spans="1:6" ht="15" customHeight="1">
      <c r="A20" s="2635" t="s">
        <v>3053</v>
      </c>
      <c r="B20" s="2131" t="s">
        <v>3033</v>
      </c>
      <c r="C20" s="2132">
        <v>5995.28</v>
      </c>
      <c r="D20" s="2132">
        <v>6.2881</v>
      </c>
      <c r="E20" s="2133">
        <f>C20/D20</f>
        <v>953.43267441675539</v>
      </c>
    </row>
    <row r="21" spans="1:6" ht="15.75" customHeight="1">
      <c r="A21" s="2636"/>
      <c r="B21" s="2134" t="s">
        <v>3036</v>
      </c>
      <c r="C21" s="2121">
        <v>104866039.65000001</v>
      </c>
      <c r="D21" s="2121">
        <v>1</v>
      </c>
      <c r="E21" s="2135">
        <f>C21</f>
        <v>104866039.65000001</v>
      </c>
    </row>
    <row r="22" spans="1:6" ht="15" customHeight="1" thickBot="1">
      <c r="A22" s="2637"/>
      <c r="B22" s="2138" t="s">
        <v>3038</v>
      </c>
      <c r="C22" s="2139">
        <v>10955200.810000002</v>
      </c>
      <c r="D22" s="2139">
        <f>1*0.8013/6.2881</f>
        <v>0.12743117952958763</v>
      </c>
      <c r="E22" s="2140">
        <f>C22*D22</f>
        <v>1396034.1612017942</v>
      </c>
      <c r="F22" s="2136"/>
    </row>
    <row r="23" spans="1:6" ht="36" customHeight="1" thickBot="1">
      <c r="A23" s="2141" t="s">
        <v>3054</v>
      </c>
      <c r="B23" s="2142" t="s">
        <v>3034</v>
      </c>
      <c r="C23" s="2143">
        <v>2024166.9199999985</v>
      </c>
      <c r="D23" s="2143">
        <v>1</v>
      </c>
      <c r="E23" s="2144">
        <f>C23</f>
        <v>2024166.9199999985</v>
      </c>
    </row>
    <row r="24" spans="1:6">
      <c r="B24" s="2130"/>
      <c r="C24" s="2130"/>
      <c r="D24" s="2130"/>
      <c r="E24" s="2129">
        <f>SUM(E12:E23)</f>
        <v>135569208.81544441</v>
      </c>
    </row>
  </sheetData>
  <sheetProtection formatCells="0" sort="0" autoFilter="0" pivotTables="0"/>
  <mergeCells count="5">
    <mergeCell ref="A1:B1"/>
    <mergeCell ref="C1:E1"/>
    <mergeCell ref="F1:G1"/>
    <mergeCell ref="A12:A19"/>
    <mergeCell ref="A20:A22"/>
  </mergeCells>
  <printOptions horizontalCentered="1"/>
  <pageMargins left="0.70866141732283472" right="0.70866141732283472" top="0.74803149606299213" bottom="0.74803149606299213" header="0.31496062992125984" footer="0.31496062992125984"/>
  <pageSetup paperSize="9" scale="86" orientation="landscape" r:id="rId1"/>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K127"/>
  <sheetViews>
    <sheetView showGridLines="0" zoomScaleNormal="100" workbookViewId="0">
      <pane xSplit="2" ySplit="2" topLeftCell="C3" activePane="bottomRight" state="frozen"/>
      <selection activeCell="F19" sqref="F19"/>
      <selection pane="topRight" activeCell="F19" sqref="F19"/>
      <selection pane="bottomLeft" activeCell="F19" sqref="F19"/>
      <selection pane="bottomRight" activeCell="C3" sqref="C3"/>
    </sheetView>
  </sheetViews>
  <sheetFormatPr defaultColWidth="10.5" defaultRowHeight="15"/>
  <cols>
    <col min="1" max="1" width="10.5" style="2359"/>
    <col min="2" max="2" width="15.83203125" style="2385" bestFit="1" customWidth="1"/>
    <col min="3" max="3" width="11.6640625" style="2368" bestFit="1" customWidth="1"/>
    <col min="4" max="4" width="16" style="2368" customWidth="1"/>
    <col min="5" max="5" width="13.1640625" style="2368" bestFit="1" customWidth="1"/>
    <col min="6" max="7" width="13.1640625" style="2381" customWidth="1"/>
    <col min="8" max="8" width="14.83203125" style="2368" bestFit="1" customWidth="1"/>
    <col min="9" max="10" width="13.6640625" style="2368" bestFit="1" customWidth="1"/>
    <col min="11" max="12" width="13.6640625" style="2368" customWidth="1"/>
    <col min="13" max="14" width="13.83203125" style="2368" customWidth="1"/>
    <col min="15" max="17" width="14" style="2368" customWidth="1"/>
    <col min="18" max="19" width="14.6640625" style="2368" customWidth="1"/>
    <col min="20" max="20" width="16.1640625" style="2368" customWidth="1"/>
    <col min="21" max="21" width="14.6640625" style="2368" customWidth="1"/>
    <col min="22" max="22" width="14.6640625" style="2595" customWidth="1"/>
    <col min="23" max="24" width="14.5" style="2368" customWidth="1"/>
    <col min="25" max="27" width="16.5" style="2368" customWidth="1"/>
    <col min="28" max="28" width="12.33203125" style="2368" customWidth="1"/>
    <col min="29" max="29" width="14.6640625" style="2368" customWidth="1"/>
    <col min="30" max="32" width="12.33203125" style="2368" customWidth="1"/>
    <col min="33" max="34" width="10.6640625" style="2368" bestFit="1" customWidth="1"/>
    <col min="35" max="37" width="13.5" style="2368" customWidth="1"/>
    <col min="38" max="38" width="10.6640625" style="2368" bestFit="1" customWidth="1"/>
    <col min="39" max="39" width="10.5" style="2368"/>
    <col min="40" max="42" width="12.6640625" style="2368" customWidth="1"/>
    <col min="43" max="43" width="11" style="2368" bestFit="1" customWidth="1"/>
    <col min="44" max="44" width="10.5" style="2368"/>
    <col min="45" max="45" width="13.5" style="2368" customWidth="1"/>
    <col min="46" max="46" width="10.5" style="2368"/>
    <col min="47" max="47" width="12.5" style="2368" customWidth="1"/>
    <col min="48" max="48" width="12" style="2368" bestFit="1" customWidth="1"/>
    <col min="49" max="49" width="10.5" style="2368"/>
    <col min="50" max="50" width="12.83203125" style="2368" bestFit="1" customWidth="1"/>
    <col min="51" max="51" width="10.5" style="2368"/>
    <col min="52" max="52" width="12.1640625" style="2368" bestFit="1" customWidth="1"/>
    <col min="53" max="53" width="13.33203125" style="2368" bestFit="1" customWidth="1"/>
    <col min="54" max="54" width="10.5" style="2368"/>
    <col min="55" max="55" width="12.83203125" style="2368" bestFit="1" customWidth="1"/>
    <col min="56" max="56" width="10.5" style="2368"/>
    <col min="57" max="57" width="12.1640625" style="2368" bestFit="1" customWidth="1"/>
    <col min="58" max="62" width="10.5" style="2368"/>
    <col min="63" max="16384" width="10.5" style="2359"/>
  </cols>
  <sheetData>
    <row r="1" spans="1:62" s="2348" customFormat="1" ht="24" customHeight="1">
      <c r="A1" s="2347" t="s">
        <v>1940</v>
      </c>
      <c r="B1" s="2639" t="s">
        <v>3110</v>
      </c>
      <c r="C1" s="2638" t="s">
        <v>2922</v>
      </c>
      <c r="D1" s="2638"/>
      <c r="E1" s="2638"/>
      <c r="F1" s="2638"/>
      <c r="G1" s="2638"/>
      <c r="H1" s="2638" t="s">
        <v>3111</v>
      </c>
      <c r="I1" s="2638"/>
      <c r="J1" s="2638"/>
      <c r="K1" s="2638"/>
      <c r="L1" s="2638"/>
      <c r="M1" s="2638" t="s">
        <v>2924</v>
      </c>
      <c r="N1" s="2638"/>
      <c r="O1" s="2638"/>
      <c r="P1" s="2638"/>
      <c r="Q1" s="2638"/>
      <c r="R1" s="2638" t="s">
        <v>2925</v>
      </c>
      <c r="S1" s="2638"/>
      <c r="T1" s="2638"/>
      <c r="U1" s="2638"/>
      <c r="V1" s="2638"/>
      <c r="W1" s="2638" t="s">
        <v>2926</v>
      </c>
      <c r="X1" s="2638"/>
      <c r="Y1" s="2638"/>
      <c r="Z1" s="2638"/>
      <c r="AA1" s="2638"/>
      <c r="AB1" s="2638" t="s">
        <v>3112</v>
      </c>
      <c r="AC1" s="2638"/>
      <c r="AD1" s="2638"/>
      <c r="AE1" s="2638"/>
      <c r="AF1" s="2638"/>
      <c r="AG1" s="2638" t="s">
        <v>3113</v>
      </c>
      <c r="AH1" s="2638"/>
      <c r="AI1" s="2638"/>
      <c r="AJ1" s="2638"/>
      <c r="AK1" s="2638"/>
      <c r="AL1" s="2638" t="s">
        <v>2929</v>
      </c>
      <c r="AM1" s="2638"/>
      <c r="AN1" s="2638"/>
      <c r="AO1" s="2638"/>
      <c r="AP1" s="2638"/>
      <c r="AQ1" s="2638" t="s">
        <v>2930</v>
      </c>
      <c r="AR1" s="2638"/>
      <c r="AS1" s="2638"/>
      <c r="AT1" s="2638"/>
      <c r="AU1" s="2638"/>
      <c r="AV1" s="2638" t="s">
        <v>2931</v>
      </c>
      <c r="AW1" s="2638"/>
      <c r="AX1" s="2638"/>
      <c r="AY1" s="2638"/>
      <c r="AZ1" s="2638"/>
      <c r="BA1" s="2638" t="s">
        <v>3114</v>
      </c>
      <c r="BB1" s="2638"/>
      <c r="BC1" s="2638"/>
      <c r="BD1" s="2638"/>
      <c r="BE1" s="2638"/>
      <c r="BF1" s="2638" t="s">
        <v>3115</v>
      </c>
      <c r="BG1" s="2638"/>
      <c r="BH1" s="2638"/>
      <c r="BI1" s="2638"/>
      <c r="BJ1" s="2638"/>
    </row>
    <row r="2" spans="1:62" s="2348" customFormat="1" ht="60">
      <c r="A2" s="2349" t="s">
        <v>3116</v>
      </c>
      <c r="B2" s="2640"/>
      <c r="C2" s="2347" t="s">
        <v>2937</v>
      </c>
      <c r="D2" s="2347" t="s">
        <v>3117</v>
      </c>
      <c r="E2" s="2347" t="s">
        <v>3118</v>
      </c>
      <c r="F2" s="2347" t="s">
        <v>3119</v>
      </c>
      <c r="G2" s="2347" t="s">
        <v>2941</v>
      </c>
      <c r="H2" s="2347" t="s">
        <v>2937</v>
      </c>
      <c r="I2" s="2347" t="s">
        <v>3117</v>
      </c>
      <c r="J2" s="2347" t="s">
        <v>3118</v>
      </c>
      <c r="K2" s="2347" t="s">
        <v>3119</v>
      </c>
      <c r="L2" s="2347" t="s">
        <v>2941</v>
      </c>
      <c r="M2" s="2347" t="s">
        <v>2937</v>
      </c>
      <c r="N2" s="2347" t="s">
        <v>3117</v>
      </c>
      <c r="O2" s="2347" t="s">
        <v>2942</v>
      </c>
      <c r="P2" s="2347" t="s">
        <v>3119</v>
      </c>
      <c r="Q2" s="2347" t="s">
        <v>2941</v>
      </c>
      <c r="R2" s="2347" t="s">
        <v>2937</v>
      </c>
      <c r="S2" s="2347" t="s">
        <v>3117</v>
      </c>
      <c r="T2" s="2347" t="s">
        <v>3118</v>
      </c>
      <c r="U2" s="2347" t="s">
        <v>3119</v>
      </c>
      <c r="V2" s="2591" t="s">
        <v>2941</v>
      </c>
      <c r="W2" s="2347" t="s">
        <v>2937</v>
      </c>
      <c r="X2" s="2347" t="s">
        <v>3117</v>
      </c>
      <c r="Y2" s="2347" t="s">
        <v>3118</v>
      </c>
      <c r="Z2" s="2347" t="s">
        <v>3119</v>
      </c>
      <c r="AA2" s="2347" t="s">
        <v>2941</v>
      </c>
      <c r="AB2" s="2347" t="s">
        <v>2937</v>
      </c>
      <c r="AC2" s="2347" t="s">
        <v>3117</v>
      </c>
      <c r="AD2" s="2347" t="s">
        <v>3118</v>
      </c>
      <c r="AE2" s="2347" t="s">
        <v>3119</v>
      </c>
      <c r="AF2" s="2347" t="s">
        <v>2941</v>
      </c>
      <c r="AG2" s="2347" t="s">
        <v>2937</v>
      </c>
      <c r="AH2" s="2347" t="s">
        <v>3117</v>
      </c>
      <c r="AI2" s="2347" t="s">
        <v>3118</v>
      </c>
      <c r="AJ2" s="2347" t="s">
        <v>3119</v>
      </c>
      <c r="AK2" s="2347" t="s">
        <v>2941</v>
      </c>
      <c r="AL2" s="2347" t="s">
        <v>2937</v>
      </c>
      <c r="AM2" s="2347" t="s">
        <v>3117</v>
      </c>
      <c r="AN2" s="2347" t="s">
        <v>3118</v>
      </c>
      <c r="AO2" s="2347" t="s">
        <v>3119</v>
      </c>
      <c r="AP2" s="2347" t="s">
        <v>2941</v>
      </c>
      <c r="AQ2" s="2347" t="s">
        <v>2937</v>
      </c>
      <c r="AR2" s="2347" t="s">
        <v>3117</v>
      </c>
      <c r="AS2" s="2347" t="s">
        <v>3118</v>
      </c>
      <c r="AT2" s="2347" t="s">
        <v>3119</v>
      </c>
      <c r="AU2" s="2347" t="s">
        <v>2941</v>
      </c>
      <c r="AV2" s="2347" t="s">
        <v>2937</v>
      </c>
      <c r="AW2" s="2347" t="s">
        <v>3117</v>
      </c>
      <c r="AX2" s="2347" t="s">
        <v>3118</v>
      </c>
      <c r="AY2" s="2347" t="s">
        <v>3119</v>
      </c>
      <c r="AZ2" s="2347" t="s">
        <v>2941</v>
      </c>
      <c r="BA2" s="2347" t="s">
        <v>2937</v>
      </c>
      <c r="BB2" s="2347" t="s">
        <v>3117</v>
      </c>
      <c r="BC2" s="2347" t="s">
        <v>3118</v>
      </c>
      <c r="BD2" s="2347" t="s">
        <v>3119</v>
      </c>
      <c r="BE2" s="2347" t="s">
        <v>2941</v>
      </c>
      <c r="BF2" s="2347" t="s">
        <v>2937</v>
      </c>
      <c r="BG2" s="2347" t="s">
        <v>3117</v>
      </c>
      <c r="BH2" s="2347" t="s">
        <v>3118</v>
      </c>
      <c r="BI2" s="2347" t="s">
        <v>3119</v>
      </c>
      <c r="BJ2" s="2347" t="s">
        <v>2941</v>
      </c>
    </row>
    <row r="3" spans="1:62">
      <c r="A3" s="2350">
        <v>1</v>
      </c>
      <c r="B3" s="2351">
        <f>C3+H3+M3+R3+W3+AB3+AG3+AL3+AQ3+AV3+BA3+BF3</f>
        <v>778115</v>
      </c>
      <c r="C3" s="1478"/>
      <c r="D3" s="1463"/>
      <c r="E3" s="2352"/>
      <c r="F3" s="2353"/>
      <c r="G3" s="2353"/>
      <c r="H3" s="1478"/>
      <c r="I3" s="1463"/>
      <c r="J3" s="2352"/>
      <c r="K3" s="2353"/>
      <c r="L3" s="2353"/>
      <c r="M3" s="1478"/>
      <c r="N3" s="1463"/>
      <c r="O3" s="2352"/>
      <c r="P3" s="2353"/>
      <c r="Q3" s="2353"/>
      <c r="R3" s="1478">
        <v>180000</v>
      </c>
      <c r="S3" s="1463">
        <v>1</v>
      </c>
      <c r="T3" s="2352">
        <v>41964</v>
      </c>
      <c r="U3" s="2353">
        <v>48</v>
      </c>
      <c r="V3" s="2592">
        <v>41977</v>
      </c>
      <c r="W3" s="1478">
        <v>50000</v>
      </c>
      <c r="X3" s="1463">
        <v>3.5</v>
      </c>
      <c r="Y3" s="2352">
        <v>42360</v>
      </c>
      <c r="Z3" s="2353">
        <v>48</v>
      </c>
      <c r="AA3" s="2352">
        <v>42380</v>
      </c>
      <c r="AB3" s="2354">
        <v>50000</v>
      </c>
      <c r="AC3" s="2355">
        <v>6</v>
      </c>
      <c r="AD3" s="2352">
        <v>42488</v>
      </c>
      <c r="AE3" s="2353">
        <v>48</v>
      </c>
      <c r="AF3" s="2352">
        <v>42570</v>
      </c>
      <c r="AG3" s="1478"/>
      <c r="AH3" s="2355"/>
      <c r="AI3" s="2352"/>
      <c r="AJ3" s="2353"/>
      <c r="AK3" s="2353"/>
      <c r="AL3" s="1478">
        <v>100000</v>
      </c>
      <c r="AM3" s="2355">
        <v>7</v>
      </c>
      <c r="AN3" s="2352">
        <v>42734</v>
      </c>
      <c r="AO3" s="2353">
        <v>48</v>
      </c>
      <c r="AP3" s="2352">
        <v>42800</v>
      </c>
      <c r="AQ3" s="2355"/>
      <c r="AR3" s="2355"/>
      <c r="AS3" s="2355"/>
      <c r="AT3" s="2353"/>
      <c r="AU3" s="2353"/>
      <c r="AV3" s="1478">
        <v>90865</v>
      </c>
      <c r="AW3" s="1463">
        <v>1</v>
      </c>
      <c r="AX3" s="2352">
        <v>43098</v>
      </c>
      <c r="AY3" s="2353">
        <v>48</v>
      </c>
      <c r="AZ3" s="2352">
        <v>43107</v>
      </c>
      <c r="BA3" s="1478">
        <v>307250</v>
      </c>
      <c r="BB3" s="2356">
        <v>7</v>
      </c>
      <c r="BC3" s="2357">
        <v>43194</v>
      </c>
      <c r="BD3" s="2356">
        <v>48</v>
      </c>
      <c r="BE3" s="2357">
        <v>43193</v>
      </c>
      <c r="BF3" s="2358"/>
      <c r="BG3" s="2358"/>
      <c r="BH3" s="2358"/>
      <c r="BI3" s="2358"/>
      <c r="BJ3" s="2358"/>
    </row>
    <row r="4" spans="1:62">
      <c r="A4" s="2360">
        <v>2</v>
      </c>
      <c r="B4" s="2351">
        <f t="shared" ref="B4:B17" si="0">C4+H4+M4+R4+W4+AB4+AG4+AL4+AQ4+AV4+BA4+BF4</f>
        <v>35600</v>
      </c>
      <c r="C4" s="1462"/>
      <c r="D4" s="1463"/>
      <c r="E4" s="2361"/>
      <c r="F4" s="2362"/>
      <c r="G4" s="2362"/>
      <c r="H4" s="1462">
        <v>5000</v>
      </c>
      <c r="I4" s="1463">
        <v>1</v>
      </c>
      <c r="J4" s="2361">
        <v>41214</v>
      </c>
      <c r="K4" s="2362">
        <v>48</v>
      </c>
      <c r="L4" s="2361">
        <v>41358</v>
      </c>
      <c r="M4" s="1462">
        <v>5000</v>
      </c>
      <c r="N4" s="1463">
        <v>1</v>
      </c>
      <c r="O4" s="2361">
        <v>41518</v>
      </c>
      <c r="P4" s="2362">
        <v>48</v>
      </c>
      <c r="Q4" s="2361">
        <v>41358</v>
      </c>
      <c r="R4" s="1462">
        <v>10000</v>
      </c>
      <c r="S4" s="1463">
        <v>1</v>
      </c>
      <c r="T4" s="2361">
        <v>41964</v>
      </c>
      <c r="U4" s="2362">
        <v>48</v>
      </c>
      <c r="V4" s="2593">
        <v>41977</v>
      </c>
      <c r="W4" s="1462">
        <v>10000</v>
      </c>
      <c r="X4" s="1463">
        <v>3.5</v>
      </c>
      <c r="Y4" s="2352">
        <v>42360</v>
      </c>
      <c r="Z4" s="2362">
        <v>48</v>
      </c>
      <c r="AA4" s="2361">
        <v>42380</v>
      </c>
      <c r="AB4" s="2358"/>
      <c r="AC4" s="2358"/>
      <c r="AD4" s="2358"/>
      <c r="AE4" s="2358"/>
      <c r="AF4" s="2358"/>
      <c r="AG4" s="1462"/>
      <c r="AH4" s="2358"/>
      <c r="AI4" s="2352"/>
      <c r="AJ4" s="2362"/>
      <c r="AK4" s="2362"/>
      <c r="AL4" s="1462">
        <v>1000</v>
      </c>
      <c r="AM4" s="2355">
        <v>7</v>
      </c>
      <c r="AN4" s="2352">
        <v>42734</v>
      </c>
      <c r="AO4" s="2362">
        <v>48</v>
      </c>
      <c r="AP4" s="2361">
        <v>42800</v>
      </c>
      <c r="AQ4" s="2358"/>
      <c r="AR4" s="2358"/>
      <c r="AS4" s="2358"/>
      <c r="AT4" s="2362"/>
      <c r="AU4" s="2362"/>
      <c r="AV4" s="1462">
        <v>1000</v>
      </c>
      <c r="AW4" s="1463">
        <v>1</v>
      </c>
      <c r="AX4" s="2352">
        <v>43098</v>
      </c>
      <c r="AY4" s="2353">
        <v>48</v>
      </c>
      <c r="AZ4" s="2361">
        <v>43107</v>
      </c>
      <c r="BA4" s="1462">
        <v>3600</v>
      </c>
      <c r="BB4" s="2363">
        <v>3.7</v>
      </c>
      <c r="BC4" s="2364">
        <v>43194</v>
      </c>
      <c r="BD4" s="2363">
        <v>48</v>
      </c>
      <c r="BE4" s="2364">
        <v>43193</v>
      </c>
      <c r="BF4" s="2358"/>
      <c r="BG4" s="2358"/>
      <c r="BH4" s="2358"/>
      <c r="BI4" s="2358"/>
      <c r="BJ4" s="2358"/>
    </row>
    <row r="5" spans="1:62">
      <c r="A5" s="2350">
        <v>3</v>
      </c>
      <c r="B5" s="2351">
        <f t="shared" si="0"/>
        <v>170000</v>
      </c>
      <c r="C5" s="1462"/>
      <c r="D5" s="1463"/>
      <c r="E5" s="2361"/>
      <c r="F5" s="2362"/>
      <c r="G5" s="2362"/>
      <c r="H5" s="1462"/>
      <c r="I5" s="1475"/>
      <c r="J5" s="2361"/>
      <c r="K5" s="2362"/>
      <c r="L5" s="2362"/>
      <c r="M5" s="1462"/>
      <c r="N5" s="1475"/>
      <c r="O5" s="2361"/>
      <c r="P5" s="2362"/>
      <c r="Q5" s="2362"/>
      <c r="R5" s="1462">
        <v>120000</v>
      </c>
      <c r="S5" s="1463">
        <v>1</v>
      </c>
      <c r="T5" s="2361">
        <v>41964</v>
      </c>
      <c r="U5" s="2362">
        <v>48</v>
      </c>
      <c r="V5" s="2593">
        <v>41977</v>
      </c>
      <c r="W5" s="1462">
        <v>25000</v>
      </c>
      <c r="X5" s="1463">
        <v>3.5</v>
      </c>
      <c r="Y5" s="2352">
        <v>42360</v>
      </c>
      <c r="Z5" s="2362">
        <v>48</v>
      </c>
      <c r="AA5" s="2361">
        <v>42380</v>
      </c>
      <c r="AB5" s="2365">
        <v>25000</v>
      </c>
      <c r="AC5" s="2358">
        <v>6</v>
      </c>
      <c r="AD5" s="2361">
        <v>42488</v>
      </c>
      <c r="AE5" s="2362">
        <v>48</v>
      </c>
      <c r="AF5" s="2361">
        <v>42570</v>
      </c>
      <c r="AG5" s="1462"/>
      <c r="AH5" s="2358"/>
      <c r="AI5" s="2352"/>
      <c r="AJ5" s="2362"/>
      <c r="AK5" s="2362"/>
      <c r="AL5" s="1462"/>
      <c r="AM5" s="2355"/>
      <c r="AN5" s="2352"/>
      <c r="AO5" s="2362"/>
      <c r="AP5" s="2362"/>
      <c r="AQ5" s="2358"/>
      <c r="AR5" s="2358"/>
      <c r="AS5" s="2358"/>
      <c r="AT5" s="2362"/>
      <c r="AU5" s="2362"/>
      <c r="AV5" s="1462"/>
      <c r="AW5" s="1463"/>
      <c r="AX5" s="2352"/>
      <c r="AY5" s="2353"/>
      <c r="AZ5" s="2361"/>
      <c r="BA5" s="1462"/>
      <c r="BB5" s="1463"/>
      <c r="BC5" s="2352"/>
      <c r="BD5" s="2353"/>
      <c r="BE5" s="2361"/>
      <c r="BF5" s="2358"/>
      <c r="BG5" s="2358"/>
      <c r="BH5" s="2358"/>
      <c r="BI5" s="2358"/>
      <c r="BJ5" s="2358"/>
    </row>
    <row r="6" spans="1:62">
      <c r="A6" s="2360">
        <v>4</v>
      </c>
      <c r="B6" s="2351">
        <f t="shared" si="0"/>
        <v>149500</v>
      </c>
      <c r="C6" s="1462">
        <v>50000</v>
      </c>
      <c r="D6" s="1463">
        <v>1</v>
      </c>
      <c r="E6" s="2361">
        <v>40483</v>
      </c>
      <c r="F6" s="2362">
        <v>48</v>
      </c>
      <c r="G6" s="2361">
        <v>41529</v>
      </c>
      <c r="H6" s="1462">
        <v>20000</v>
      </c>
      <c r="I6" s="1463">
        <v>1</v>
      </c>
      <c r="J6" s="2361">
        <v>41214</v>
      </c>
      <c r="K6" s="2362">
        <v>48</v>
      </c>
      <c r="L6" s="2361">
        <v>41358</v>
      </c>
      <c r="M6" s="1462">
        <v>10000</v>
      </c>
      <c r="N6" s="1463">
        <v>1</v>
      </c>
      <c r="O6" s="2361">
        <v>41518</v>
      </c>
      <c r="P6" s="2362">
        <v>48</v>
      </c>
      <c r="Q6" s="2361">
        <v>41358</v>
      </c>
      <c r="R6" s="1462">
        <v>30000</v>
      </c>
      <c r="S6" s="1463">
        <v>1</v>
      </c>
      <c r="T6" s="2361">
        <v>41964</v>
      </c>
      <c r="U6" s="2362">
        <v>48</v>
      </c>
      <c r="V6" s="2593">
        <v>41977</v>
      </c>
      <c r="W6" s="1462">
        <v>20000</v>
      </c>
      <c r="X6" s="1463">
        <v>3.5</v>
      </c>
      <c r="Y6" s="2352">
        <v>42360</v>
      </c>
      <c r="Z6" s="2362">
        <v>48</v>
      </c>
      <c r="AA6" s="2361">
        <v>42380</v>
      </c>
      <c r="AB6" s="2358"/>
      <c r="AC6" s="2358"/>
      <c r="AD6" s="2358"/>
      <c r="AE6" s="2358"/>
      <c r="AF6" s="2358"/>
      <c r="AG6" s="1462"/>
      <c r="AH6" s="2358"/>
      <c r="AI6" s="2352"/>
      <c r="AJ6" s="2362"/>
      <c r="AK6" s="2362"/>
      <c r="AL6" s="1462"/>
      <c r="AM6" s="2355"/>
      <c r="AN6" s="2352"/>
      <c r="AO6" s="2362"/>
      <c r="AP6" s="2362"/>
      <c r="AQ6" s="2358"/>
      <c r="AR6" s="2358"/>
      <c r="AS6" s="2358"/>
      <c r="AT6" s="2362"/>
      <c r="AU6" s="2362"/>
      <c r="AV6" s="1462">
        <v>5000</v>
      </c>
      <c r="AW6" s="2601">
        <v>11</v>
      </c>
      <c r="AX6" s="2352">
        <v>43098</v>
      </c>
      <c r="AY6" s="2353">
        <v>48</v>
      </c>
      <c r="AZ6" s="2361">
        <v>43107</v>
      </c>
      <c r="BA6" s="2366">
        <v>14500</v>
      </c>
      <c r="BB6" s="2363">
        <v>7</v>
      </c>
      <c r="BC6" s="2364">
        <v>43194</v>
      </c>
      <c r="BD6" s="2363">
        <v>48</v>
      </c>
      <c r="BE6" s="2364">
        <v>43193</v>
      </c>
      <c r="BF6" s="2358"/>
      <c r="BG6" s="2358"/>
      <c r="BH6" s="2358"/>
      <c r="BI6" s="2358"/>
      <c r="BJ6" s="2358"/>
    </row>
    <row r="7" spans="1:62">
      <c r="A7" s="2350">
        <v>5</v>
      </c>
      <c r="B7" s="2351">
        <f t="shared" si="0"/>
        <v>190000</v>
      </c>
      <c r="C7" s="1462"/>
      <c r="D7" s="1463"/>
      <c r="E7" s="2361"/>
      <c r="F7" s="2362"/>
      <c r="G7" s="2362"/>
      <c r="H7" s="1462">
        <v>10000</v>
      </c>
      <c r="I7" s="1463">
        <v>1</v>
      </c>
      <c r="J7" s="2361">
        <v>41214</v>
      </c>
      <c r="K7" s="2362">
        <v>48</v>
      </c>
      <c r="L7" s="2361">
        <v>41358</v>
      </c>
      <c r="M7" s="1462">
        <v>10000</v>
      </c>
      <c r="N7" s="1463">
        <v>1</v>
      </c>
      <c r="O7" s="2361">
        <v>41518</v>
      </c>
      <c r="P7" s="2362">
        <v>48</v>
      </c>
      <c r="Q7" s="2361">
        <v>41358</v>
      </c>
      <c r="R7" s="1462">
        <v>20000</v>
      </c>
      <c r="S7" s="1463">
        <v>1</v>
      </c>
      <c r="T7" s="2361">
        <v>41964</v>
      </c>
      <c r="U7" s="2362">
        <v>48</v>
      </c>
      <c r="V7" s="2593">
        <v>41977</v>
      </c>
      <c r="W7" s="1462">
        <v>30000</v>
      </c>
      <c r="X7" s="1463">
        <v>3.5</v>
      </c>
      <c r="Y7" s="2352">
        <v>42360</v>
      </c>
      <c r="Z7" s="2362">
        <v>48</v>
      </c>
      <c r="AA7" s="2361">
        <v>42380</v>
      </c>
      <c r="AB7" s="2358"/>
      <c r="AC7" s="2358"/>
      <c r="AD7" s="2358"/>
      <c r="AE7" s="2358"/>
      <c r="AF7" s="2358"/>
      <c r="AG7" s="1462"/>
      <c r="AH7" s="2358"/>
      <c r="AI7" s="2352"/>
      <c r="AJ7" s="2362"/>
      <c r="AK7" s="2362"/>
      <c r="AL7" s="1462">
        <v>40000</v>
      </c>
      <c r="AM7" s="2355">
        <v>7</v>
      </c>
      <c r="AN7" s="2352">
        <v>42734</v>
      </c>
      <c r="AO7" s="2362">
        <v>48</v>
      </c>
      <c r="AP7" s="2361">
        <v>42800</v>
      </c>
      <c r="AQ7" s="2358"/>
      <c r="AR7" s="2358"/>
      <c r="AS7" s="2358"/>
      <c r="AT7" s="2362"/>
      <c r="AU7" s="2362"/>
      <c r="AV7" s="1462">
        <v>30000</v>
      </c>
      <c r="AW7" s="1463">
        <v>1</v>
      </c>
      <c r="AX7" s="2352">
        <v>43098</v>
      </c>
      <c r="AY7" s="2353">
        <v>48</v>
      </c>
      <c r="AZ7" s="2361">
        <v>43107</v>
      </c>
      <c r="BA7" s="2366">
        <v>50000</v>
      </c>
      <c r="BB7" s="2363">
        <v>3.7</v>
      </c>
      <c r="BC7" s="2364">
        <v>43194</v>
      </c>
      <c r="BD7" s="2363">
        <v>48</v>
      </c>
      <c r="BE7" s="2364">
        <v>43193</v>
      </c>
      <c r="BF7" s="2358"/>
      <c r="BG7" s="2358"/>
      <c r="BH7" s="2358"/>
      <c r="BI7" s="2358"/>
      <c r="BJ7" s="2358"/>
    </row>
    <row r="8" spans="1:62">
      <c r="A8" s="2360">
        <v>6</v>
      </c>
      <c r="B8" s="2351">
        <f t="shared" si="0"/>
        <v>64888</v>
      </c>
      <c r="C8" s="1462"/>
      <c r="D8" s="1463"/>
      <c r="E8" s="2361"/>
      <c r="F8" s="2362"/>
      <c r="G8" s="2362"/>
      <c r="H8" s="1462">
        <v>5000</v>
      </c>
      <c r="I8" s="1475">
        <v>1</v>
      </c>
      <c r="J8" s="2361">
        <v>41214</v>
      </c>
      <c r="K8" s="2362">
        <v>48</v>
      </c>
      <c r="L8" s="2361">
        <v>41358</v>
      </c>
      <c r="M8" s="1462">
        <v>5000</v>
      </c>
      <c r="N8" s="1475">
        <v>1</v>
      </c>
      <c r="O8" s="2361">
        <v>41518</v>
      </c>
      <c r="P8" s="2362">
        <v>48</v>
      </c>
      <c r="Q8" s="2361">
        <v>41358</v>
      </c>
      <c r="R8" s="1462">
        <v>20000</v>
      </c>
      <c r="S8" s="1463">
        <v>1</v>
      </c>
      <c r="T8" s="2361">
        <v>41964</v>
      </c>
      <c r="U8" s="2362">
        <v>48</v>
      </c>
      <c r="V8" s="2593">
        <v>41977</v>
      </c>
      <c r="W8" s="1462">
        <v>10000</v>
      </c>
      <c r="X8" s="1463">
        <v>3.5</v>
      </c>
      <c r="Y8" s="2352">
        <v>42360</v>
      </c>
      <c r="Z8" s="2362">
        <v>48</v>
      </c>
      <c r="AA8" s="2361">
        <v>42380</v>
      </c>
      <c r="AB8" s="2358"/>
      <c r="AC8" s="2358"/>
      <c r="AD8" s="2358"/>
      <c r="AE8" s="2358"/>
      <c r="AF8" s="2358"/>
      <c r="AG8" s="1462"/>
      <c r="AH8" s="2358"/>
      <c r="AI8" s="2352"/>
      <c r="AJ8" s="2362"/>
      <c r="AK8" s="2362"/>
      <c r="AL8" s="1462">
        <v>1000</v>
      </c>
      <c r="AM8" s="2355">
        <v>7</v>
      </c>
      <c r="AN8" s="2352">
        <v>42734</v>
      </c>
      <c r="AO8" s="2362">
        <v>48</v>
      </c>
      <c r="AP8" s="2361">
        <v>42800</v>
      </c>
      <c r="AQ8" s="2358"/>
      <c r="AR8" s="2358"/>
      <c r="AS8" s="2358"/>
      <c r="AT8" s="2362"/>
      <c r="AU8" s="2362"/>
      <c r="AV8" s="1462">
        <v>5000</v>
      </c>
      <c r="AW8" s="1463">
        <v>1</v>
      </c>
      <c r="AX8" s="2352">
        <v>43098</v>
      </c>
      <c r="AY8" s="2353">
        <v>48</v>
      </c>
      <c r="AZ8" s="2361">
        <v>43107</v>
      </c>
      <c r="BA8" s="2366">
        <v>18888</v>
      </c>
      <c r="BB8" s="2363">
        <v>3.7</v>
      </c>
      <c r="BC8" s="2364">
        <v>43194</v>
      </c>
      <c r="BD8" s="2363">
        <v>48</v>
      </c>
      <c r="BE8" s="2364">
        <v>43193</v>
      </c>
      <c r="BF8" s="2358"/>
      <c r="BG8" s="2358"/>
      <c r="BH8" s="2358"/>
      <c r="BI8" s="2358"/>
      <c r="BJ8" s="2358"/>
    </row>
    <row r="9" spans="1:62">
      <c r="A9" s="2350">
        <v>7</v>
      </c>
      <c r="B9" s="2351">
        <f t="shared" si="0"/>
        <v>35600</v>
      </c>
      <c r="C9" s="1462"/>
      <c r="D9" s="1463"/>
      <c r="E9" s="2361"/>
      <c r="F9" s="2362"/>
      <c r="G9" s="2362"/>
      <c r="H9" s="1462">
        <v>5000</v>
      </c>
      <c r="I9" s="1475">
        <v>1</v>
      </c>
      <c r="J9" s="2361">
        <v>41214</v>
      </c>
      <c r="K9" s="2362">
        <v>48</v>
      </c>
      <c r="L9" s="2361">
        <v>41358</v>
      </c>
      <c r="M9" s="1462">
        <v>5000</v>
      </c>
      <c r="N9" s="1475">
        <v>1</v>
      </c>
      <c r="O9" s="2361">
        <v>41518</v>
      </c>
      <c r="P9" s="2362">
        <v>48</v>
      </c>
      <c r="Q9" s="2361">
        <v>41358</v>
      </c>
      <c r="R9" s="1462">
        <v>10000</v>
      </c>
      <c r="S9" s="1463">
        <v>1</v>
      </c>
      <c r="T9" s="2361">
        <v>41964</v>
      </c>
      <c r="U9" s="2362">
        <v>48</v>
      </c>
      <c r="V9" s="2593">
        <v>41977</v>
      </c>
      <c r="W9" s="1462">
        <v>10000</v>
      </c>
      <c r="X9" s="1463">
        <v>3.5</v>
      </c>
      <c r="Y9" s="2352">
        <v>42360</v>
      </c>
      <c r="Z9" s="2362">
        <v>48</v>
      </c>
      <c r="AA9" s="2361">
        <v>42380</v>
      </c>
      <c r="AB9" s="2358"/>
      <c r="AC9" s="2358"/>
      <c r="AD9" s="2358"/>
      <c r="AE9" s="2358"/>
      <c r="AF9" s="2358"/>
      <c r="AG9" s="1462"/>
      <c r="AH9" s="2358"/>
      <c r="AI9" s="2352"/>
      <c r="AJ9" s="2362"/>
      <c r="AK9" s="2362"/>
      <c r="AL9" s="1462">
        <v>1000</v>
      </c>
      <c r="AM9" s="2355">
        <v>7</v>
      </c>
      <c r="AN9" s="2352">
        <v>42734</v>
      </c>
      <c r="AO9" s="2362">
        <v>48</v>
      </c>
      <c r="AP9" s="2361">
        <v>42800</v>
      </c>
      <c r="AQ9" s="2358"/>
      <c r="AR9" s="2358"/>
      <c r="AS9" s="2358"/>
      <c r="AT9" s="2362"/>
      <c r="AU9" s="2362"/>
      <c r="AV9" s="1462">
        <v>1000</v>
      </c>
      <c r="AW9" s="1463">
        <v>1</v>
      </c>
      <c r="AX9" s="2352">
        <v>43098</v>
      </c>
      <c r="AY9" s="2353">
        <v>48</v>
      </c>
      <c r="AZ9" s="2361">
        <v>43107</v>
      </c>
      <c r="BA9" s="2366">
        <v>3600</v>
      </c>
      <c r="BB9" s="2363">
        <v>3.7</v>
      </c>
      <c r="BC9" s="2364">
        <v>43194</v>
      </c>
      <c r="BD9" s="2363">
        <v>48</v>
      </c>
      <c r="BE9" s="2364">
        <v>43193</v>
      </c>
      <c r="BF9" s="2358"/>
      <c r="BG9" s="2358"/>
      <c r="BH9" s="2358"/>
      <c r="BI9" s="2358"/>
      <c r="BJ9" s="2358"/>
    </row>
    <row r="10" spans="1:62">
      <c r="A10" s="2360">
        <v>8</v>
      </c>
      <c r="B10" s="2351">
        <f t="shared" si="0"/>
        <v>353888</v>
      </c>
      <c r="C10" s="1462">
        <v>50000</v>
      </c>
      <c r="D10" s="1463">
        <v>1</v>
      </c>
      <c r="E10" s="2361">
        <v>41122</v>
      </c>
      <c r="F10" s="2362">
        <v>48</v>
      </c>
      <c r="G10" s="2361">
        <v>41529</v>
      </c>
      <c r="H10" s="1462">
        <v>30000</v>
      </c>
      <c r="I10" s="1475">
        <v>1</v>
      </c>
      <c r="J10" s="2361">
        <v>41214</v>
      </c>
      <c r="K10" s="2362">
        <v>48</v>
      </c>
      <c r="L10" s="2361">
        <v>41358</v>
      </c>
      <c r="M10" s="1462">
        <v>30000</v>
      </c>
      <c r="N10" s="1475">
        <v>1</v>
      </c>
      <c r="O10" s="2361">
        <v>41518</v>
      </c>
      <c r="P10" s="2362">
        <v>48</v>
      </c>
      <c r="Q10" s="2361">
        <v>41358</v>
      </c>
      <c r="R10" s="1462">
        <v>50000</v>
      </c>
      <c r="S10" s="1463">
        <v>1</v>
      </c>
      <c r="T10" s="2361">
        <v>41964</v>
      </c>
      <c r="U10" s="2362">
        <v>48</v>
      </c>
      <c r="V10" s="2593">
        <v>41977</v>
      </c>
      <c r="W10" s="1462">
        <v>50000</v>
      </c>
      <c r="X10" s="1463">
        <v>3.5</v>
      </c>
      <c r="Y10" s="2352">
        <v>42360</v>
      </c>
      <c r="Z10" s="2362">
        <v>48</v>
      </c>
      <c r="AA10" s="2361">
        <v>42380</v>
      </c>
      <c r="AB10" s="2358"/>
      <c r="AC10" s="2358"/>
      <c r="AD10" s="2358"/>
      <c r="AE10" s="2358"/>
      <c r="AF10" s="2358"/>
      <c r="AG10" s="1462"/>
      <c r="AH10" s="2358"/>
      <c r="AI10" s="2352"/>
      <c r="AJ10" s="2362"/>
      <c r="AK10" s="2362"/>
      <c r="AL10" s="1462">
        <v>40000</v>
      </c>
      <c r="AM10" s="2355">
        <v>7</v>
      </c>
      <c r="AN10" s="2352">
        <v>42734</v>
      </c>
      <c r="AO10" s="2362">
        <v>48</v>
      </c>
      <c r="AP10" s="2361">
        <v>42800</v>
      </c>
      <c r="AQ10" s="2358"/>
      <c r="AR10" s="2358"/>
      <c r="AS10" s="2358"/>
      <c r="AT10" s="2362"/>
      <c r="AU10" s="2362"/>
      <c r="AV10" s="1462">
        <v>30000</v>
      </c>
      <c r="AW10" s="1463">
        <v>1</v>
      </c>
      <c r="AX10" s="2352">
        <v>43098</v>
      </c>
      <c r="AY10" s="2353">
        <v>48</v>
      </c>
      <c r="AZ10" s="2361">
        <v>43107</v>
      </c>
      <c r="BA10" s="2366">
        <v>48888</v>
      </c>
      <c r="BB10" s="2363">
        <v>3.7</v>
      </c>
      <c r="BC10" s="2364">
        <v>43194</v>
      </c>
      <c r="BD10" s="2363">
        <v>48</v>
      </c>
      <c r="BE10" s="2364">
        <v>43193</v>
      </c>
      <c r="BF10" s="2358">
        <v>25000</v>
      </c>
      <c r="BG10" s="2363">
        <v>3.7</v>
      </c>
      <c r="BH10" s="2367">
        <v>43252</v>
      </c>
      <c r="BI10" s="2358">
        <v>48</v>
      </c>
      <c r="BJ10" s="2367">
        <v>43252</v>
      </c>
    </row>
    <row r="11" spans="1:62">
      <c r="A11" s="2350">
        <v>9</v>
      </c>
      <c r="B11" s="2351">
        <f t="shared" si="0"/>
        <v>648888</v>
      </c>
      <c r="C11" s="1462">
        <v>50000</v>
      </c>
      <c r="D11" s="1463">
        <v>1</v>
      </c>
      <c r="E11" s="2361">
        <v>41306</v>
      </c>
      <c r="F11" s="2362">
        <v>48</v>
      </c>
      <c r="G11" s="2361">
        <v>41529</v>
      </c>
      <c r="H11" s="1462"/>
      <c r="I11" s="1475"/>
      <c r="J11" s="2361"/>
      <c r="K11" s="2362"/>
      <c r="L11" s="2362"/>
      <c r="M11" s="1462">
        <v>50000</v>
      </c>
      <c r="N11" s="1475">
        <v>1</v>
      </c>
      <c r="O11" s="2361">
        <v>41518</v>
      </c>
      <c r="P11" s="2362">
        <v>48</v>
      </c>
      <c r="Q11" s="2361">
        <v>41358</v>
      </c>
      <c r="R11" s="1462">
        <v>100000</v>
      </c>
      <c r="S11" s="1475">
        <v>1</v>
      </c>
      <c r="T11" s="2361">
        <v>41964</v>
      </c>
      <c r="U11" s="2362">
        <v>48</v>
      </c>
      <c r="V11" s="2593">
        <v>41977</v>
      </c>
      <c r="W11" s="1462">
        <v>225000</v>
      </c>
      <c r="X11" s="1463">
        <v>3.5</v>
      </c>
      <c r="Y11" s="2352">
        <v>42360</v>
      </c>
      <c r="Z11" s="2362">
        <v>48</v>
      </c>
      <c r="AA11" s="2361">
        <v>42380</v>
      </c>
      <c r="AB11" s="2358"/>
      <c r="AC11" s="2358"/>
      <c r="AD11" s="2358"/>
      <c r="AE11" s="2358"/>
      <c r="AF11" s="2358"/>
      <c r="AG11" s="1462"/>
      <c r="AH11" s="2358"/>
      <c r="AI11" s="2352"/>
      <c r="AJ11" s="2362"/>
      <c r="AK11" s="2362"/>
      <c r="AL11" s="1462">
        <v>80000</v>
      </c>
      <c r="AM11" s="2355">
        <v>7</v>
      </c>
      <c r="AN11" s="2352">
        <v>42734</v>
      </c>
      <c r="AO11" s="2362">
        <v>48</v>
      </c>
      <c r="AP11" s="2361">
        <v>42800</v>
      </c>
      <c r="AQ11" s="2358"/>
      <c r="AR11" s="2358"/>
      <c r="AS11" s="2358"/>
      <c r="AT11" s="2362"/>
      <c r="AU11" s="2362"/>
      <c r="AV11" s="1462">
        <v>30000</v>
      </c>
      <c r="AW11" s="1463">
        <v>1</v>
      </c>
      <c r="AX11" s="2352">
        <v>43098</v>
      </c>
      <c r="AY11" s="2353">
        <v>48</v>
      </c>
      <c r="AZ11" s="2361">
        <v>43107</v>
      </c>
      <c r="BA11" s="2366">
        <v>88888</v>
      </c>
      <c r="BB11" s="2363">
        <v>3.7</v>
      </c>
      <c r="BC11" s="2364">
        <v>43194</v>
      </c>
      <c r="BD11" s="2363">
        <v>48</v>
      </c>
      <c r="BE11" s="2364">
        <v>43193</v>
      </c>
      <c r="BF11" s="2358">
        <v>25000</v>
      </c>
      <c r="BG11" s="2363">
        <v>3.7</v>
      </c>
      <c r="BH11" s="2367">
        <v>43252</v>
      </c>
      <c r="BI11" s="2358">
        <v>48</v>
      </c>
      <c r="BJ11" s="2367">
        <v>43252</v>
      </c>
    </row>
    <row r="12" spans="1:62" s="2368" customFormat="1">
      <c r="A12" s="2360">
        <v>10</v>
      </c>
      <c r="B12" s="2351">
        <f t="shared" si="0"/>
        <v>115000</v>
      </c>
      <c r="C12" s="1462"/>
      <c r="D12" s="1463"/>
      <c r="E12" s="2361"/>
      <c r="F12" s="2362"/>
      <c r="G12" s="2362"/>
      <c r="H12" s="1462"/>
      <c r="I12" s="1475"/>
      <c r="J12" s="2361"/>
      <c r="K12" s="2362"/>
      <c r="L12" s="2362"/>
      <c r="M12" s="1462">
        <v>10000</v>
      </c>
      <c r="N12" s="1475">
        <v>1</v>
      </c>
      <c r="O12" s="2361">
        <v>41518</v>
      </c>
      <c r="P12" s="2362">
        <v>48</v>
      </c>
      <c r="Q12" s="2361">
        <v>41358</v>
      </c>
      <c r="R12" s="1462">
        <v>30000</v>
      </c>
      <c r="S12" s="1475">
        <v>1</v>
      </c>
      <c r="T12" s="2361">
        <v>41964</v>
      </c>
      <c r="U12" s="2362">
        <v>48</v>
      </c>
      <c r="V12" s="2593">
        <v>41977</v>
      </c>
      <c r="W12" s="1462">
        <v>20000</v>
      </c>
      <c r="X12" s="1463">
        <v>3.5</v>
      </c>
      <c r="Y12" s="2352">
        <v>42360</v>
      </c>
      <c r="Z12" s="2362">
        <v>48</v>
      </c>
      <c r="AA12" s="2361">
        <v>42380</v>
      </c>
      <c r="AB12" s="2358"/>
      <c r="AC12" s="2358"/>
      <c r="AD12" s="2358"/>
      <c r="AE12" s="2358"/>
      <c r="AF12" s="2358"/>
      <c r="AG12" s="1462"/>
      <c r="AH12" s="2358"/>
      <c r="AI12" s="2352"/>
      <c r="AJ12" s="2362"/>
      <c r="AK12" s="2362"/>
      <c r="AL12" s="1462">
        <v>25000</v>
      </c>
      <c r="AM12" s="2355">
        <v>7</v>
      </c>
      <c r="AN12" s="2352">
        <v>42734</v>
      </c>
      <c r="AO12" s="2362">
        <v>48</v>
      </c>
      <c r="AP12" s="2361">
        <v>42800</v>
      </c>
      <c r="AQ12" s="2358"/>
      <c r="AR12" s="2358"/>
      <c r="AS12" s="2358"/>
      <c r="AT12" s="2362"/>
      <c r="AU12" s="2362"/>
      <c r="AV12" s="1462">
        <v>20000</v>
      </c>
      <c r="AW12" s="1463">
        <v>1</v>
      </c>
      <c r="AX12" s="2352">
        <v>43098</v>
      </c>
      <c r="AY12" s="2353">
        <v>48</v>
      </c>
      <c r="AZ12" s="2361">
        <v>43107</v>
      </c>
      <c r="BA12" s="2366">
        <v>10000</v>
      </c>
      <c r="BB12" s="2363">
        <v>3.7</v>
      </c>
      <c r="BC12" s="2364">
        <v>43194</v>
      </c>
      <c r="BD12" s="2363">
        <v>48</v>
      </c>
      <c r="BE12" s="2364">
        <v>43193</v>
      </c>
      <c r="BF12" s="2358"/>
      <c r="BG12" s="2358"/>
      <c r="BH12" s="2358"/>
      <c r="BI12" s="2358"/>
      <c r="BJ12" s="2358"/>
    </row>
    <row r="13" spans="1:62">
      <c r="A13" s="2350">
        <v>11</v>
      </c>
      <c r="B13" s="2351">
        <f t="shared" si="0"/>
        <v>173888</v>
      </c>
      <c r="C13" s="1462"/>
      <c r="D13" s="1463"/>
      <c r="E13" s="2361"/>
      <c r="F13" s="2362"/>
      <c r="G13" s="2362"/>
      <c r="H13" s="1462"/>
      <c r="I13" s="1475"/>
      <c r="J13" s="2361"/>
      <c r="K13" s="2362"/>
      <c r="L13" s="2362"/>
      <c r="M13" s="1462"/>
      <c r="N13" s="1475"/>
      <c r="O13" s="2361"/>
      <c r="P13" s="2362"/>
      <c r="Q13" s="2362"/>
      <c r="R13" s="1462">
        <v>30000</v>
      </c>
      <c r="S13" s="1475">
        <v>1</v>
      </c>
      <c r="T13" s="2361">
        <v>41964</v>
      </c>
      <c r="U13" s="2362">
        <v>48</v>
      </c>
      <c r="V13" s="2593">
        <v>41977</v>
      </c>
      <c r="W13" s="1462">
        <v>30000</v>
      </c>
      <c r="X13" s="1463">
        <v>3.5</v>
      </c>
      <c r="Y13" s="2352">
        <v>42360</v>
      </c>
      <c r="Z13" s="2362">
        <v>48</v>
      </c>
      <c r="AA13" s="2361">
        <v>42380</v>
      </c>
      <c r="AB13" s="2358"/>
      <c r="AC13" s="2358"/>
      <c r="AD13" s="2358"/>
      <c r="AE13" s="2358"/>
      <c r="AF13" s="2358"/>
      <c r="AG13" s="1462"/>
      <c r="AH13" s="2358"/>
      <c r="AI13" s="2352"/>
      <c r="AJ13" s="2362"/>
      <c r="AK13" s="2362"/>
      <c r="AL13" s="1462">
        <v>40000</v>
      </c>
      <c r="AM13" s="2355">
        <v>7</v>
      </c>
      <c r="AN13" s="2352">
        <v>42734</v>
      </c>
      <c r="AO13" s="2362">
        <v>48</v>
      </c>
      <c r="AP13" s="2361">
        <v>42800</v>
      </c>
      <c r="AQ13" s="2358"/>
      <c r="AR13" s="2358"/>
      <c r="AS13" s="2358"/>
      <c r="AT13" s="2362"/>
      <c r="AU13" s="2362"/>
      <c r="AV13" s="1462">
        <v>25000</v>
      </c>
      <c r="AW13" s="1463">
        <v>1</v>
      </c>
      <c r="AX13" s="2352">
        <v>43098</v>
      </c>
      <c r="AY13" s="2353">
        <v>48</v>
      </c>
      <c r="AZ13" s="2361">
        <v>43107</v>
      </c>
      <c r="BA13" s="1462">
        <v>48888</v>
      </c>
      <c r="BB13" s="2363">
        <v>3.7</v>
      </c>
      <c r="BC13" s="2364">
        <v>43194</v>
      </c>
      <c r="BD13" s="2363">
        <v>48</v>
      </c>
      <c r="BE13" s="2364">
        <v>43193</v>
      </c>
      <c r="BF13" s="2358"/>
      <c r="BG13" s="2358"/>
      <c r="BH13" s="2358"/>
      <c r="BI13" s="2358"/>
      <c r="BJ13" s="2358"/>
    </row>
    <row r="14" spans="1:62">
      <c r="A14" s="2360">
        <v>12</v>
      </c>
      <c r="B14" s="2351">
        <f t="shared" si="0"/>
        <v>39000</v>
      </c>
      <c r="C14" s="1462"/>
      <c r="D14" s="1463"/>
      <c r="E14" s="2361"/>
      <c r="F14" s="2362"/>
      <c r="G14" s="2362"/>
      <c r="H14" s="1462"/>
      <c r="I14" s="1475"/>
      <c r="J14" s="2361"/>
      <c r="K14" s="2362"/>
      <c r="L14" s="2362"/>
      <c r="M14" s="1462"/>
      <c r="N14" s="1475"/>
      <c r="O14" s="2361"/>
      <c r="P14" s="2362"/>
      <c r="Q14" s="2362"/>
      <c r="R14" s="1462">
        <v>10000</v>
      </c>
      <c r="S14" s="1475">
        <v>1</v>
      </c>
      <c r="T14" s="2361">
        <v>41964</v>
      </c>
      <c r="U14" s="2362">
        <v>48</v>
      </c>
      <c r="V14" s="2593">
        <v>41977</v>
      </c>
      <c r="W14" s="1462">
        <v>10000</v>
      </c>
      <c r="X14" s="1463">
        <v>3.5</v>
      </c>
      <c r="Y14" s="2352">
        <v>42360</v>
      </c>
      <c r="Z14" s="2362">
        <v>48</v>
      </c>
      <c r="AA14" s="2361">
        <v>42380</v>
      </c>
      <c r="AB14" s="2358"/>
      <c r="AC14" s="2358"/>
      <c r="AD14" s="2358"/>
      <c r="AE14" s="2358"/>
      <c r="AF14" s="2358"/>
      <c r="AG14" s="1462"/>
      <c r="AH14" s="2358"/>
      <c r="AI14" s="2352"/>
      <c r="AJ14" s="2362"/>
      <c r="AK14" s="2362"/>
      <c r="AL14" s="1462">
        <v>4000</v>
      </c>
      <c r="AM14" s="2355">
        <v>7</v>
      </c>
      <c r="AN14" s="2352">
        <v>42734</v>
      </c>
      <c r="AO14" s="2362">
        <v>48</v>
      </c>
      <c r="AP14" s="2361">
        <v>42800</v>
      </c>
      <c r="AQ14" s="2358"/>
      <c r="AR14" s="2358"/>
      <c r="AS14" s="2358"/>
      <c r="AT14" s="2362"/>
      <c r="AU14" s="2362"/>
      <c r="AV14" s="1462">
        <v>5000</v>
      </c>
      <c r="AW14" s="1463">
        <v>1</v>
      </c>
      <c r="AX14" s="2352">
        <v>43098</v>
      </c>
      <c r="AY14" s="2353">
        <v>48</v>
      </c>
      <c r="AZ14" s="2361">
        <v>43107</v>
      </c>
      <c r="BA14" s="1462">
        <v>10000</v>
      </c>
      <c r="BB14" s="2363">
        <v>3.7</v>
      </c>
      <c r="BC14" s="2364">
        <v>43194</v>
      </c>
      <c r="BD14" s="2363">
        <v>48</v>
      </c>
      <c r="BE14" s="2364">
        <v>43193</v>
      </c>
      <c r="BF14" s="2358"/>
      <c r="BG14" s="2358"/>
      <c r="BH14" s="2358"/>
      <c r="BI14" s="2358"/>
      <c r="BJ14" s="2358"/>
    </row>
    <row r="15" spans="1:62">
      <c r="A15" s="2350">
        <v>13</v>
      </c>
      <c r="B15" s="2351">
        <f t="shared" si="0"/>
        <v>43000</v>
      </c>
      <c r="C15" s="1462"/>
      <c r="D15" s="1463"/>
      <c r="E15" s="2361"/>
      <c r="F15" s="2362"/>
      <c r="G15" s="2362"/>
      <c r="H15" s="1462"/>
      <c r="I15" s="1475"/>
      <c r="J15" s="2361"/>
      <c r="K15" s="2362"/>
      <c r="L15" s="2362"/>
      <c r="M15" s="1462"/>
      <c r="N15" s="1475"/>
      <c r="O15" s="2361"/>
      <c r="P15" s="2362"/>
      <c r="Q15" s="2362"/>
      <c r="R15" s="1462">
        <v>10000</v>
      </c>
      <c r="S15" s="1475">
        <v>1</v>
      </c>
      <c r="T15" s="2361">
        <v>41964</v>
      </c>
      <c r="U15" s="2362">
        <v>48</v>
      </c>
      <c r="V15" s="2593">
        <v>41977</v>
      </c>
      <c r="W15" s="1462">
        <v>10000</v>
      </c>
      <c r="X15" s="1463">
        <v>3.5</v>
      </c>
      <c r="Y15" s="2352">
        <v>42360</v>
      </c>
      <c r="Z15" s="2362">
        <v>48</v>
      </c>
      <c r="AA15" s="2361">
        <v>42380</v>
      </c>
      <c r="AB15" s="2358"/>
      <c r="AC15" s="2358"/>
      <c r="AD15" s="2358"/>
      <c r="AE15" s="2358"/>
      <c r="AF15" s="2358"/>
      <c r="AG15" s="1462"/>
      <c r="AH15" s="2358"/>
      <c r="AI15" s="2352"/>
      <c r="AJ15" s="2362"/>
      <c r="AK15" s="2362"/>
      <c r="AL15" s="1462">
        <v>3000</v>
      </c>
      <c r="AM15" s="2355">
        <v>7</v>
      </c>
      <c r="AN15" s="2352">
        <v>42734</v>
      </c>
      <c r="AO15" s="2362">
        <v>48</v>
      </c>
      <c r="AP15" s="2361">
        <v>42800</v>
      </c>
      <c r="AQ15" s="2358"/>
      <c r="AR15" s="2358"/>
      <c r="AS15" s="2358"/>
      <c r="AT15" s="2362"/>
      <c r="AU15" s="2362"/>
      <c r="AV15" s="1462">
        <v>10000</v>
      </c>
      <c r="AW15" s="1463">
        <v>1</v>
      </c>
      <c r="AX15" s="2352">
        <v>43098</v>
      </c>
      <c r="AY15" s="2353">
        <v>48</v>
      </c>
      <c r="AZ15" s="2361">
        <v>43107</v>
      </c>
      <c r="BA15" s="1462">
        <v>10000</v>
      </c>
      <c r="BB15" s="2363">
        <v>3.7</v>
      </c>
      <c r="BC15" s="2364">
        <v>43194</v>
      </c>
      <c r="BD15" s="2363">
        <v>48</v>
      </c>
      <c r="BE15" s="2364">
        <v>43193</v>
      </c>
      <c r="BF15" s="2358"/>
      <c r="BG15" s="2358"/>
      <c r="BH15" s="2358"/>
      <c r="BI15" s="2358"/>
      <c r="BJ15" s="2358"/>
    </row>
    <row r="16" spans="1:62">
      <c r="A16" s="2360">
        <v>14</v>
      </c>
      <c r="B16" s="2351">
        <f t="shared" si="0"/>
        <v>136120</v>
      </c>
      <c r="C16" s="1462"/>
      <c r="D16" s="1463"/>
      <c r="E16" s="2361"/>
      <c r="F16" s="2362"/>
      <c r="G16" s="2362"/>
      <c r="H16" s="1462"/>
      <c r="I16" s="1475"/>
      <c r="J16" s="2361"/>
      <c r="K16" s="2362"/>
      <c r="L16" s="2362"/>
      <c r="M16" s="1462"/>
      <c r="N16" s="1475"/>
      <c r="O16" s="2361"/>
      <c r="P16" s="2362"/>
      <c r="Q16" s="2362"/>
      <c r="R16" s="1462">
        <v>20000</v>
      </c>
      <c r="S16" s="1475">
        <v>1</v>
      </c>
      <c r="T16" s="2361">
        <v>41964</v>
      </c>
      <c r="U16" s="2362">
        <v>48</v>
      </c>
      <c r="V16" s="2593">
        <v>41977</v>
      </c>
      <c r="W16" s="1462">
        <v>20000</v>
      </c>
      <c r="X16" s="1463">
        <v>3.5</v>
      </c>
      <c r="Y16" s="2352">
        <v>42360</v>
      </c>
      <c r="Z16" s="2362">
        <v>48</v>
      </c>
      <c r="AA16" s="2361">
        <v>42380</v>
      </c>
      <c r="AB16" s="2358"/>
      <c r="AC16" s="2358"/>
      <c r="AD16" s="2358"/>
      <c r="AE16" s="2358"/>
      <c r="AF16" s="2358"/>
      <c r="AG16" s="1462"/>
      <c r="AH16" s="2358"/>
      <c r="AI16" s="2352"/>
      <c r="AJ16" s="2362"/>
      <c r="AK16" s="2362"/>
      <c r="AL16" s="1462">
        <v>40000</v>
      </c>
      <c r="AM16" s="2355">
        <v>7</v>
      </c>
      <c r="AN16" s="2352">
        <v>42734</v>
      </c>
      <c r="AO16" s="2362">
        <v>48</v>
      </c>
      <c r="AP16" s="2361">
        <v>42800</v>
      </c>
      <c r="AQ16" s="2358"/>
      <c r="AR16" s="2358"/>
      <c r="AS16" s="2358"/>
      <c r="AT16" s="2362"/>
      <c r="AU16" s="2362"/>
      <c r="AV16" s="1462">
        <v>20000</v>
      </c>
      <c r="AW16" s="1463">
        <v>1</v>
      </c>
      <c r="AX16" s="2352">
        <v>43098</v>
      </c>
      <c r="AY16" s="2353">
        <v>48</v>
      </c>
      <c r="AZ16" s="2361">
        <v>43107</v>
      </c>
      <c r="BA16" s="1462">
        <v>36120</v>
      </c>
      <c r="BB16" s="2363">
        <v>3.7</v>
      </c>
      <c r="BC16" s="2364">
        <v>43194</v>
      </c>
      <c r="BD16" s="2363">
        <v>48</v>
      </c>
      <c r="BE16" s="2364">
        <v>43193</v>
      </c>
      <c r="BF16" s="2358"/>
      <c r="BG16" s="2358"/>
      <c r="BH16" s="2358"/>
      <c r="BI16" s="2358"/>
      <c r="BJ16" s="2358"/>
    </row>
    <row r="17" spans="1:62">
      <c r="A17" s="2350">
        <v>15</v>
      </c>
      <c r="B17" s="2351">
        <f t="shared" si="0"/>
        <v>22893</v>
      </c>
      <c r="C17" s="1462"/>
      <c r="D17" s="1463"/>
      <c r="E17" s="2361"/>
      <c r="F17" s="2362"/>
      <c r="G17" s="2362"/>
      <c r="H17" s="1462"/>
      <c r="I17" s="1475"/>
      <c r="J17" s="2361"/>
      <c r="K17" s="2362"/>
      <c r="L17" s="2362"/>
      <c r="M17" s="1462"/>
      <c r="N17" s="1475"/>
      <c r="O17" s="2361"/>
      <c r="P17" s="2362"/>
      <c r="Q17" s="2362"/>
      <c r="R17" s="1462">
        <v>10000</v>
      </c>
      <c r="S17" s="1475">
        <v>1</v>
      </c>
      <c r="T17" s="2361">
        <v>41964</v>
      </c>
      <c r="U17" s="2362">
        <v>48</v>
      </c>
      <c r="V17" s="2593">
        <v>41977</v>
      </c>
      <c r="W17" s="1462">
        <v>10000</v>
      </c>
      <c r="X17" s="1463">
        <v>3.5</v>
      </c>
      <c r="Y17" s="2352">
        <v>42360</v>
      </c>
      <c r="Z17" s="2362">
        <v>48</v>
      </c>
      <c r="AA17" s="2361">
        <v>42380</v>
      </c>
      <c r="AB17" s="2358"/>
      <c r="AC17" s="2358"/>
      <c r="AD17" s="2358"/>
      <c r="AE17" s="2358"/>
      <c r="AF17" s="2358"/>
      <c r="AG17" s="1462"/>
      <c r="AH17" s="2358"/>
      <c r="AI17" s="2352"/>
      <c r="AJ17" s="2362"/>
      <c r="AK17" s="2362"/>
      <c r="AL17" s="1462">
        <v>1000</v>
      </c>
      <c r="AM17" s="2355">
        <v>7</v>
      </c>
      <c r="AN17" s="2352">
        <v>42734</v>
      </c>
      <c r="AO17" s="2362">
        <v>48</v>
      </c>
      <c r="AP17" s="2361">
        <v>42800</v>
      </c>
      <c r="AQ17" s="2358"/>
      <c r="AR17" s="2358"/>
      <c r="AS17" s="2358"/>
      <c r="AT17" s="2362"/>
      <c r="AU17" s="2362"/>
      <c r="AV17" s="1462">
        <v>1000</v>
      </c>
      <c r="AW17" s="2601">
        <v>11</v>
      </c>
      <c r="AX17" s="2352">
        <v>43098</v>
      </c>
      <c r="AY17" s="2353">
        <v>48</v>
      </c>
      <c r="AZ17" s="2361">
        <v>43107</v>
      </c>
      <c r="BA17" s="1462">
        <v>893</v>
      </c>
      <c r="BB17" s="2363">
        <v>7</v>
      </c>
      <c r="BC17" s="2364">
        <v>43194</v>
      </c>
      <c r="BD17" s="2363">
        <v>48</v>
      </c>
      <c r="BE17" s="2364">
        <v>43193</v>
      </c>
      <c r="BF17" s="2358"/>
      <c r="BG17" s="2358"/>
      <c r="BH17" s="2358"/>
      <c r="BI17" s="2358"/>
      <c r="BJ17" s="2358"/>
    </row>
    <row r="18" spans="1:62">
      <c r="A18" s="2360">
        <v>16</v>
      </c>
      <c r="B18" s="2369"/>
      <c r="C18" s="1462"/>
      <c r="D18" s="1463"/>
      <c r="E18" s="2361"/>
      <c r="F18" s="2362"/>
      <c r="G18" s="2362"/>
      <c r="H18" s="1462"/>
      <c r="I18" s="1475"/>
      <c r="J18" s="2361"/>
      <c r="K18" s="2362"/>
      <c r="L18" s="2362"/>
      <c r="M18" s="1462"/>
      <c r="N18" s="1475"/>
      <c r="O18" s="2361"/>
      <c r="P18" s="2362"/>
      <c r="Q18" s="2362"/>
      <c r="R18" s="1462"/>
      <c r="S18" s="1475"/>
      <c r="T18" s="2361"/>
      <c r="U18" s="2362"/>
      <c r="V18" s="2593"/>
      <c r="W18" s="1462">
        <v>10000</v>
      </c>
      <c r="X18" s="1463">
        <v>3.5</v>
      </c>
      <c r="Y18" s="2352">
        <v>42360</v>
      </c>
      <c r="Z18" s="2362">
        <v>48</v>
      </c>
      <c r="AA18" s="2361">
        <v>42380</v>
      </c>
      <c r="AB18" s="2358"/>
      <c r="AC18" s="2358"/>
      <c r="AD18" s="2358"/>
      <c r="AE18" s="2358"/>
      <c r="AF18" s="2358"/>
      <c r="AG18" s="1462"/>
      <c r="AH18" s="2358"/>
      <c r="AI18" s="2352"/>
      <c r="AJ18" s="2362"/>
      <c r="AK18" s="2362"/>
      <c r="AL18" s="1462">
        <v>1000</v>
      </c>
      <c r="AM18" s="2355">
        <v>7</v>
      </c>
      <c r="AN18" s="2352">
        <v>42734</v>
      </c>
      <c r="AO18" s="2362">
        <v>48</v>
      </c>
      <c r="AP18" s="2361">
        <v>42800</v>
      </c>
      <c r="AQ18" s="2358"/>
      <c r="AR18" s="2358"/>
      <c r="AS18" s="2358"/>
      <c r="AT18" s="2362"/>
      <c r="AU18" s="2362"/>
      <c r="AV18" s="1462">
        <v>0</v>
      </c>
      <c r="AW18" s="1463"/>
      <c r="AX18" s="2352"/>
      <c r="AY18" s="2353"/>
      <c r="AZ18" s="2361"/>
      <c r="BA18" s="1462"/>
      <c r="BB18" s="1463"/>
      <c r="BC18" s="2352"/>
      <c r="BD18" s="2353"/>
      <c r="BE18" s="2361"/>
      <c r="BF18" s="2358"/>
      <c r="BG18" s="2358"/>
      <c r="BH18" s="2358"/>
      <c r="BI18" s="2358"/>
      <c r="BJ18" s="2358"/>
    </row>
    <row r="19" spans="1:62">
      <c r="A19" s="2350">
        <v>17</v>
      </c>
      <c r="B19" s="2351">
        <f>C19+H19+M19+R19+W19+AB19+AG19+AL19+AQ19+AV19+BA19+BF19</f>
        <v>26000</v>
      </c>
      <c r="C19" s="1462"/>
      <c r="D19" s="1463"/>
      <c r="E19" s="2361"/>
      <c r="F19" s="2362"/>
      <c r="G19" s="2362"/>
      <c r="H19" s="1462"/>
      <c r="I19" s="1475"/>
      <c r="J19" s="2361"/>
      <c r="K19" s="2362"/>
      <c r="L19" s="2362"/>
      <c r="M19" s="1462"/>
      <c r="N19" s="1475"/>
      <c r="O19" s="2361"/>
      <c r="P19" s="2362"/>
      <c r="Q19" s="2362"/>
      <c r="R19" s="1462"/>
      <c r="S19" s="1475"/>
      <c r="T19" s="2361"/>
      <c r="U19" s="2362"/>
      <c r="V19" s="2593"/>
      <c r="W19" s="1462">
        <v>10000</v>
      </c>
      <c r="X19" s="1463">
        <v>3.5</v>
      </c>
      <c r="Y19" s="2352">
        <v>42360</v>
      </c>
      <c r="Z19" s="2362">
        <v>48</v>
      </c>
      <c r="AA19" s="2361">
        <v>42380</v>
      </c>
      <c r="AB19" s="2358"/>
      <c r="AC19" s="2358"/>
      <c r="AD19" s="2358"/>
      <c r="AE19" s="2358"/>
      <c r="AF19" s="2358"/>
      <c r="AG19" s="1462"/>
      <c r="AH19" s="2358"/>
      <c r="AI19" s="2352"/>
      <c r="AJ19" s="2362"/>
      <c r="AK19" s="2362"/>
      <c r="AL19" s="1462">
        <v>1000</v>
      </c>
      <c r="AM19" s="2355">
        <v>7</v>
      </c>
      <c r="AN19" s="2352">
        <v>42734</v>
      </c>
      <c r="AO19" s="2362">
        <v>48</v>
      </c>
      <c r="AP19" s="2361">
        <v>42800</v>
      </c>
      <c r="AQ19" s="2358"/>
      <c r="AR19" s="2358"/>
      <c r="AS19" s="2358"/>
      <c r="AT19" s="2362"/>
      <c r="AU19" s="2362"/>
      <c r="AV19" s="1462">
        <v>5000</v>
      </c>
      <c r="AW19" s="1463">
        <v>1</v>
      </c>
      <c r="AX19" s="2352">
        <v>43098</v>
      </c>
      <c r="AY19" s="2353">
        <v>48</v>
      </c>
      <c r="AZ19" s="2361">
        <v>43107</v>
      </c>
      <c r="BA19" s="2366">
        <v>10000</v>
      </c>
      <c r="BB19" s="2363">
        <v>3.7</v>
      </c>
      <c r="BC19" s="2364">
        <v>43194</v>
      </c>
      <c r="BD19" s="2363">
        <v>48</v>
      </c>
      <c r="BE19" s="2364">
        <v>43193</v>
      </c>
      <c r="BF19" s="2358"/>
      <c r="BG19" s="2358"/>
      <c r="BH19" s="2358"/>
      <c r="BI19" s="2358"/>
      <c r="BJ19" s="2358"/>
    </row>
    <row r="20" spans="1:62">
      <c r="A20" s="2360">
        <v>18</v>
      </c>
      <c r="B20" s="2351">
        <f>C20+H20+M20+R20+W20+AB20+AG20+AL20+AQ20+AV20+BA20+BF20</f>
        <v>40000</v>
      </c>
      <c r="C20" s="1462"/>
      <c r="D20" s="1463"/>
      <c r="E20" s="2361"/>
      <c r="F20" s="2362"/>
      <c r="G20" s="2362"/>
      <c r="H20" s="1462"/>
      <c r="I20" s="1475"/>
      <c r="J20" s="2361"/>
      <c r="K20" s="2362"/>
      <c r="L20" s="2362"/>
      <c r="M20" s="1462"/>
      <c r="N20" s="1475"/>
      <c r="O20" s="2361"/>
      <c r="P20" s="2362"/>
      <c r="Q20" s="2362"/>
      <c r="R20" s="1462"/>
      <c r="S20" s="1475"/>
      <c r="T20" s="2361"/>
      <c r="U20" s="2362"/>
      <c r="V20" s="2593"/>
      <c r="W20" s="1462">
        <v>10000</v>
      </c>
      <c r="X20" s="1463">
        <v>3.5</v>
      </c>
      <c r="Y20" s="2352">
        <v>42360</v>
      </c>
      <c r="Z20" s="2362">
        <v>48</v>
      </c>
      <c r="AA20" s="2361">
        <v>42380</v>
      </c>
      <c r="AB20" s="2358"/>
      <c r="AC20" s="2358"/>
      <c r="AD20" s="2358"/>
      <c r="AE20" s="2358"/>
      <c r="AF20" s="2358"/>
      <c r="AG20" s="1462"/>
      <c r="AH20" s="2358"/>
      <c r="AI20" s="2352"/>
      <c r="AJ20" s="2362"/>
      <c r="AK20" s="2362"/>
      <c r="AL20" s="1462">
        <v>5000</v>
      </c>
      <c r="AM20" s="2355">
        <v>7</v>
      </c>
      <c r="AN20" s="2352">
        <v>42734</v>
      </c>
      <c r="AO20" s="2362">
        <v>48</v>
      </c>
      <c r="AP20" s="2361">
        <v>42800</v>
      </c>
      <c r="AQ20" s="2358"/>
      <c r="AR20" s="2358"/>
      <c r="AS20" s="2358"/>
      <c r="AT20" s="2362"/>
      <c r="AU20" s="2362"/>
      <c r="AV20" s="1462">
        <v>15000</v>
      </c>
      <c r="AW20" s="1463">
        <v>1</v>
      </c>
      <c r="AX20" s="2352">
        <v>43098</v>
      </c>
      <c r="AY20" s="2353">
        <v>48</v>
      </c>
      <c r="AZ20" s="2361">
        <v>43107</v>
      </c>
      <c r="BA20" s="2366">
        <v>10000</v>
      </c>
      <c r="BB20" s="2363">
        <v>3.7</v>
      </c>
      <c r="BC20" s="2364">
        <v>43194</v>
      </c>
      <c r="BD20" s="2363">
        <v>48</v>
      </c>
      <c r="BE20" s="2364">
        <v>43193</v>
      </c>
      <c r="BF20" s="2358"/>
      <c r="BG20" s="2358"/>
      <c r="BH20" s="2358"/>
      <c r="BI20" s="2358"/>
      <c r="BJ20" s="2358"/>
    </row>
    <row r="21" spans="1:62">
      <c r="A21" s="2350">
        <v>19</v>
      </c>
      <c r="B21" s="2351">
        <f>C21+H21+M21+R21+W21+AB21+AG21+AL21+AQ21+AV21+BA21+BF21</f>
        <v>260000</v>
      </c>
      <c r="C21" s="1462"/>
      <c r="D21" s="1463"/>
      <c r="E21" s="2361"/>
      <c r="F21" s="2362"/>
      <c r="G21" s="2362"/>
      <c r="H21" s="1462"/>
      <c r="I21" s="1475"/>
      <c r="J21" s="2361"/>
      <c r="K21" s="2362"/>
      <c r="L21" s="2362"/>
      <c r="M21" s="1462"/>
      <c r="N21" s="1475"/>
      <c r="O21" s="2361"/>
      <c r="P21" s="2362"/>
      <c r="Q21" s="2362"/>
      <c r="R21" s="1462"/>
      <c r="S21" s="1475"/>
      <c r="T21" s="2361"/>
      <c r="U21" s="2362"/>
      <c r="V21" s="2593"/>
      <c r="W21" s="1462">
        <v>50000</v>
      </c>
      <c r="X21" s="1463">
        <v>3.5</v>
      </c>
      <c r="Y21" s="2352">
        <v>42360</v>
      </c>
      <c r="Z21" s="2362">
        <v>48</v>
      </c>
      <c r="AA21" s="2361">
        <v>42380</v>
      </c>
      <c r="AB21" s="2358"/>
      <c r="AC21" s="2358"/>
      <c r="AD21" s="2358"/>
      <c r="AE21" s="2358"/>
      <c r="AF21" s="2358"/>
      <c r="AG21" s="1462"/>
      <c r="AH21" s="2358"/>
      <c r="AI21" s="2352"/>
      <c r="AJ21" s="2362"/>
      <c r="AK21" s="2362"/>
      <c r="AL21" s="1462">
        <v>40000</v>
      </c>
      <c r="AM21" s="2355">
        <v>7</v>
      </c>
      <c r="AN21" s="2352">
        <v>42734</v>
      </c>
      <c r="AO21" s="2362">
        <v>48</v>
      </c>
      <c r="AP21" s="2361">
        <v>42800</v>
      </c>
      <c r="AQ21" s="2358"/>
      <c r="AR21" s="2358"/>
      <c r="AS21" s="2358"/>
      <c r="AT21" s="2362"/>
      <c r="AU21" s="2362"/>
      <c r="AV21" s="1462">
        <v>20000</v>
      </c>
      <c r="AW21" s="1463">
        <v>1</v>
      </c>
      <c r="AX21" s="2352">
        <v>43098</v>
      </c>
      <c r="AY21" s="2353">
        <v>48</v>
      </c>
      <c r="AZ21" s="2361">
        <v>43107</v>
      </c>
      <c r="BA21" s="2366">
        <v>50000</v>
      </c>
      <c r="BB21" s="2363">
        <v>3.7</v>
      </c>
      <c r="BC21" s="2364">
        <v>43194</v>
      </c>
      <c r="BD21" s="2363">
        <v>48</v>
      </c>
      <c r="BE21" s="2364">
        <v>43193</v>
      </c>
      <c r="BF21" s="2358">
        <v>100000</v>
      </c>
      <c r="BG21" s="2363">
        <v>3.7</v>
      </c>
      <c r="BH21" s="2367">
        <v>43252</v>
      </c>
      <c r="BI21" s="2358">
        <v>48</v>
      </c>
      <c r="BJ21" s="2367">
        <v>43252</v>
      </c>
    </row>
    <row r="22" spans="1:62">
      <c r="A22" s="2360">
        <v>20</v>
      </c>
      <c r="B22" s="2370">
        <v>9582</v>
      </c>
      <c r="C22" s="1462"/>
      <c r="D22" s="1463"/>
      <c r="E22" s="2361"/>
      <c r="F22" s="2362"/>
      <c r="G22" s="2362"/>
      <c r="H22" s="1462"/>
      <c r="I22" s="1475"/>
      <c r="J22" s="2361"/>
      <c r="K22" s="2362"/>
      <c r="L22" s="2362"/>
      <c r="M22" s="1462"/>
      <c r="N22" s="1475"/>
      <c r="O22" s="2361"/>
      <c r="P22" s="2362"/>
      <c r="Q22" s="2362"/>
      <c r="R22" s="1462"/>
      <c r="S22" s="1475"/>
      <c r="T22" s="2361"/>
      <c r="U22" s="2362"/>
      <c r="V22" s="2593"/>
      <c r="W22" s="1462">
        <v>10000</v>
      </c>
      <c r="X22" s="1463">
        <v>3.5</v>
      </c>
      <c r="Y22" s="2352">
        <v>42360</v>
      </c>
      <c r="Z22" s="2362">
        <v>48</v>
      </c>
      <c r="AA22" s="2361">
        <v>42380</v>
      </c>
      <c r="AB22" s="2358"/>
      <c r="AC22" s="2358"/>
      <c r="AD22" s="2358"/>
      <c r="AE22" s="2358"/>
      <c r="AF22" s="2358"/>
      <c r="AG22" s="1462"/>
      <c r="AH22" s="2358"/>
      <c r="AI22" s="2352"/>
      <c r="AJ22" s="2362"/>
      <c r="AK22" s="2362"/>
      <c r="AL22" s="1462">
        <v>10000</v>
      </c>
      <c r="AM22" s="2355">
        <v>7</v>
      </c>
      <c r="AN22" s="2352">
        <v>42734</v>
      </c>
      <c r="AO22" s="2362">
        <v>48</v>
      </c>
      <c r="AP22" s="2361">
        <v>42800</v>
      </c>
      <c r="AQ22" s="2358"/>
      <c r="AR22" s="2358"/>
      <c r="AS22" s="2358"/>
      <c r="AT22" s="2362"/>
      <c r="AU22" s="2362"/>
      <c r="AV22" s="1462">
        <v>15000</v>
      </c>
      <c r="AW22" s="1463">
        <v>1</v>
      </c>
      <c r="AX22" s="2352">
        <v>43098</v>
      </c>
      <c r="AY22" s="2353">
        <v>48</v>
      </c>
      <c r="AZ22" s="2361">
        <v>43107</v>
      </c>
      <c r="BA22" s="2366">
        <v>18888</v>
      </c>
      <c r="BB22" s="2363">
        <v>3.7</v>
      </c>
      <c r="BC22" s="2364">
        <v>43194</v>
      </c>
      <c r="BD22" s="2363">
        <v>48</v>
      </c>
      <c r="BE22" s="2364">
        <v>43193</v>
      </c>
      <c r="BF22" s="2358"/>
      <c r="BG22" s="2358"/>
      <c r="BH22" s="2358"/>
      <c r="BI22" s="2358"/>
      <c r="BJ22" s="2358"/>
    </row>
    <row r="23" spans="1:62" s="2368" customFormat="1">
      <c r="A23" s="2353">
        <v>21</v>
      </c>
      <c r="B23" s="2351"/>
      <c r="C23" s="1462"/>
      <c r="D23" s="1463"/>
      <c r="E23" s="2361"/>
      <c r="F23" s="2362"/>
      <c r="G23" s="2362"/>
      <c r="H23" s="1462"/>
      <c r="I23" s="1475"/>
      <c r="J23" s="2361"/>
      <c r="K23" s="2362"/>
      <c r="L23" s="2362"/>
      <c r="M23" s="1462"/>
      <c r="N23" s="1475"/>
      <c r="O23" s="2361"/>
      <c r="P23" s="2362"/>
      <c r="Q23" s="2362"/>
      <c r="R23" s="1462"/>
      <c r="S23" s="1475"/>
      <c r="T23" s="2361"/>
      <c r="U23" s="2362"/>
      <c r="V23" s="2593"/>
      <c r="W23" s="1462">
        <v>10000</v>
      </c>
      <c r="X23" s="1463">
        <v>3.5</v>
      </c>
      <c r="Y23" s="2352">
        <v>42360</v>
      </c>
      <c r="Z23" s="2362">
        <v>48</v>
      </c>
      <c r="AA23" s="2361">
        <v>42380</v>
      </c>
      <c r="AB23" s="2358"/>
      <c r="AC23" s="2358"/>
      <c r="AD23" s="2358"/>
      <c r="AE23" s="2358"/>
      <c r="AF23" s="2358"/>
      <c r="AG23" s="1462"/>
      <c r="AH23" s="2358"/>
      <c r="AI23" s="2352"/>
      <c r="AJ23" s="2362"/>
      <c r="AK23" s="2362"/>
      <c r="AL23" s="1462">
        <v>1000</v>
      </c>
      <c r="AM23" s="2355">
        <v>7</v>
      </c>
      <c r="AN23" s="2352">
        <v>42734</v>
      </c>
      <c r="AO23" s="2362">
        <v>48</v>
      </c>
      <c r="AP23" s="2361">
        <v>42800</v>
      </c>
      <c r="AQ23" s="2358"/>
      <c r="AR23" s="2358"/>
      <c r="AS23" s="2358"/>
      <c r="AT23" s="2362"/>
      <c r="AU23" s="2362"/>
      <c r="AV23" s="1462">
        <v>0</v>
      </c>
      <c r="AW23" s="1463"/>
      <c r="AX23" s="2352"/>
      <c r="AY23" s="2353"/>
      <c r="AZ23" s="2361"/>
      <c r="BA23" s="1462"/>
      <c r="BB23" s="1463"/>
      <c r="BC23" s="2352"/>
      <c r="BD23" s="2353"/>
      <c r="BE23" s="2361"/>
      <c r="BF23" s="2358"/>
      <c r="BG23" s="2358"/>
      <c r="BH23" s="2358"/>
      <c r="BI23" s="2358"/>
      <c r="BJ23" s="2358"/>
    </row>
    <row r="24" spans="1:62" s="2368" customFormat="1">
      <c r="A24" s="2362">
        <v>22</v>
      </c>
      <c r="B24" s="2351"/>
      <c r="C24" s="1462"/>
      <c r="D24" s="1463"/>
      <c r="E24" s="2361"/>
      <c r="F24" s="2362"/>
      <c r="G24" s="2362"/>
      <c r="H24" s="1462"/>
      <c r="I24" s="1475"/>
      <c r="J24" s="2361"/>
      <c r="K24" s="2362"/>
      <c r="L24" s="2362"/>
      <c r="M24" s="1462"/>
      <c r="N24" s="1475"/>
      <c r="O24" s="2361"/>
      <c r="P24" s="2362"/>
      <c r="Q24" s="2362"/>
      <c r="R24" s="1462"/>
      <c r="S24" s="1475"/>
      <c r="T24" s="2361"/>
      <c r="U24" s="2362"/>
      <c r="V24" s="2593"/>
      <c r="W24" s="1462">
        <v>10000</v>
      </c>
      <c r="X24" s="1463">
        <v>3.5</v>
      </c>
      <c r="Y24" s="2352">
        <v>42360</v>
      </c>
      <c r="Z24" s="2362">
        <v>48</v>
      </c>
      <c r="AA24" s="2361">
        <v>42380</v>
      </c>
      <c r="AB24" s="2358"/>
      <c r="AC24" s="2358"/>
      <c r="AD24" s="2358"/>
      <c r="AE24" s="2358"/>
      <c r="AF24" s="2358"/>
      <c r="AG24" s="1462"/>
      <c r="AH24" s="2358"/>
      <c r="AI24" s="2352"/>
      <c r="AJ24" s="2362"/>
      <c r="AK24" s="2362"/>
      <c r="AL24" s="1462">
        <v>1000</v>
      </c>
      <c r="AM24" s="2355">
        <v>7</v>
      </c>
      <c r="AN24" s="2352">
        <v>42734</v>
      </c>
      <c r="AO24" s="2362">
        <v>48</v>
      </c>
      <c r="AP24" s="2361">
        <v>42800</v>
      </c>
      <c r="AQ24" s="2358"/>
      <c r="AR24" s="2358"/>
      <c r="AS24" s="2358"/>
      <c r="AT24" s="2362"/>
      <c r="AU24" s="2362"/>
      <c r="AV24" s="1462">
        <v>0</v>
      </c>
      <c r="AW24" s="1463"/>
      <c r="AX24" s="2352"/>
      <c r="AY24" s="2353"/>
      <c r="AZ24" s="2361"/>
      <c r="BA24" s="1462"/>
      <c r="BB24" s="1463"/>
      <c r="BC24" s="2352"/>
      <c r="BD24" s="2353"/>
      <c r="BE24" s="2361"/>
      <c r="BF24" s="2358"/>
      <c r="BG24" s="2358"/>
      <c r="BH24" s="2358"/>
      <c r="BI24" s="2358"/>
      <c r="BJ24" s="2358"/>
    </row>
    <row r="25" spans="1:62" s="2368" customFormat="1">
      <c r="A25" s="2353">
        <v>23</v>
      </c>
      <c r="B25" s="2351"/>
      <c r="C25" s="1462"/>
      <c r="D25" s="1463"/>
      <c r="E25" s="2361"/>
      <c r="F25" s="2362"/>
      <c r="G25" s="2362"/>
      <c r="H25" s="1462"/>
      <c r="I25" s="1475"/>
      <c r="J25" s="2361"/>
      <c r="K25" s="2362"/>
      <c r="L25" s="2362"/>
      <c r="M25" s="1462"/>
      <c r="N25" s="1475"/>
      <c r="O25" s="2361"/>
      <c r="P25" s="2362"/>
      <c r="Q25" s="2362"/>
      <c r="R25" s="1462"/>
      <c r="S25" s="1475"/>
      <c r="T25" s="2361"/>
      <c r="U25" s="2362"/>
      <c r="V25" s="2593"/>
      <c r="W25" s="1462">
        <v>10000</v>
      </c>
      <c r="X25" s="1463">
        <v>3.5</v>
      </c>
      <c r="Y25" s="2352">
        <v>42360</v>
      </c>
      <c r="Z25" s="2362">
        <v>48</v>
      </c>
      <c r="AA25" s="2361">
        <v>42380</v>
      </c>
      <c r="AB25" s="2358"/>
      <c r="AC25" s="2358"/>
      <c r="AD25" s="2358"/>
      <c r="AE25" s="2358"/>
      <c r="AF25" s="2358"/>
      <c r="AG25" s="1462"/>
      <c r="AH25" s="2358"/>
      <c r="AI25" s="2352"/>
      <c r="AJ25" s="2362"/>
      <c r="AK25" s="2362"/>
      <c r="AL25" s="1462">
        <v>10000</v>
      </c>
      <c r="AM25" s="2355">
        <v>7</v>
      </c>
      <c r="AN25" s="2352">
        <v>42734</v>
      </c>
      <c r="AO25" s="2362">
        <v>48</v>
      </c>
      <c r="AP25" s="2361">
        <v>42800</v>
      </c>
      <c r="AQ25" s="2358"/>
      <c r="AR25" s="2358"/>
      <c r="AS25" s="2358"/>
      <c r="AT25" s="2362"/>
      <c r="AU25" s="2362"/>
      <c r="AV25" s="1462">
        <v>0</v>
      </c>
      <c r="AW25" s="1463"/>
      <c r="AX25" s="2352"/>
      <c r="AY25" s="2353"/>
      <c r="AZ25" s="2361"/>
      <c r="BA25" s="1462"/>
      <c r="BB25" s="1463"/>
      <c r="BC25" s="2352"/>
      <c r="BD25" s="2353"/>
      <c r="BE25" s="2361"/>
      <c r="BF25" s="2358"/>
      <c r="BG25" s="2358"/>
      <c r="BH25" s="2358"/>
      <c r="BI25" s="2358"/>
      <c r="BJ25" s="2358"/>
    </row>
    <row r="26" spans="1:62">
      <c r="A26" s="2360">
        <v>24</v>
      </c>
      <c r="B26" s="2351">
        <f>C26+H26+M26+R26+W26+AB26+AG26+AL26+AQ26+AV26+BA26+BF26</f>
        <v>143888</v>
      </c>
      <c r="C26" s="1462"/>
      <c r="D26" s="1463"/>
      <c r="E26" s="2361"/>
      <c r="F26" s="2362"/>
      <c r="G26" s="2362"/>
      <c r="H26" s="1462"/>
      <c r="I26" s="1475"/>
      <c r="J26" s="2361"/>
      <c r="K26" s="2362"/>
      <c r="L26" s="2362"/>
      <c r="M26" s="1462"/>
      <c r="N26" s="1475"/>
      <c r="O26" s="2361"/>
      <c r="P26" s="2362"/>
      <c r="Q26" s="2362"/>
      <c r="R26" s="1462"/>
      <c r="S26" s="1475"/>
      <c r="T26" s="2361"/>
      <c r="U26" s="2362"/>
      <c r="V26" s="2593"/>
      <c r="W26" s="1462">
        <v>10000</v>
      </c>
      <c r="X26" s="1463">
        <v>3.5</v>
      </c>
      <c r="Y26" s="2352">
        <v>42360</v>
      </c>
      <c r="Z26" s="2362">
        <v>48</v>
      </c>
      <c r="AA26" s="2361">
        <v>42380</v>
      </c>
      <c r="AB26" s="2358"/>
      <c r="AC26" s="2358"/>
      <c r="AD26" s="2358"/>
      <c r="AE26" s="2358"/>
      <c r="AF26" s="2358"/>
      <c r="AG26" s="1462"/>
      <c r="AH26" s="2358"/>
      <c r="AI26" s="2352"/>
      <c r="AJ26" s="2362"/>
      <c r="AK26" s="2362"/>
      <c r="AL26" s="1462">
        <v>40000</v>
      </c>
      <c r="AM26" s="2355">
        <v>7</v>
      </c>
      <c r="AN26" s="2352">
        <v>42734</v>
      </c>
      <c r="AO26" s="2362">
        <v>48</v>
      </c>
      <c r="AP26" s="2361">
        <v>42800</v>
      </c>
      <c r="AQ26" s="2358"/>
      <c r="AR26" s="2358"/>
      <c r="AS26" s="2358"/>
      <c r="AT26" s="2362"/>
      <c r="AU26" s="2362"/>
      <c r="AV26" s="1462">
        <v>25000</v>
      </c>
      <c r="AW26" s="1463">
        <v>1</v>
      </c>
      <c r="AX26" s="2352">
        <v>43098</v>
      </c>
      <c r="AY26" s="2353">
        <v>48</v>
      </c>
      <c r="AZ26" s="2361">
        <v>43107</v>
      </c>
      <c r="BA26" s="2366">
        <v>68888</v>
      </c>
      <c r="BB26" s="2363">
        <v>3.7</v>
      </c>
      <c r="BC26" s="2364">
        <v>43194</v>
      </c>
      <c r="BD26" s="2363">
        <v>48</v>
      </c>
      <c r="BE26" s="2364">
        <v>43193</v>
      </c>
      <c r="BF26" s="2358"/>
      <c r="BG26" s="2358"/>
      <c r="BH26" s="2358"/>
      <c r="BI26" s="2358"/>
      <c r="BJ26" s="2358"/>
    </row>
    <row r="27" spans="1:62">
      <c r="A27" s="2350">
        <v>25</v>
      </c>
      <c r="B27" s="2351">
        <f>C27+H27+M27+R27+W27+AB27+AG27+AL27+AQ27+AV27+BA27+BF27</f>
        <v>5600</v>
      </c>
      <c r="C27" s="1462"/>
      <c r="D27" s="1463"/>
      <c r="E27" s="2361"/>
      <c r="F27" s="2362"/>
      <c r="G27" s="2362"/>
      <c r="H27" s="1462"/>
      <c r="I27" s="1475"/>
      <c r="J27" s="2361"/>
      <c r="K27" s="2362"/>
      <c r="L27" s="2362"/>
      <c r="M27" s="1462"/>
      <c r="N27" s="1475"/>
      <c r="O27" s="2361"/>
      <c r="P27" s="2362"/>
      <c r="Q27" s="2362"/>
      <c r="R27" s="1462"/>
      <c r="S27" s="1475"/>
      <c r="T27" s="2361"/>
      <c r="U27" s="2362"/>
      <c r="V27" s="2593"/>
      <c r="W27" s="1462"/>
      <c r="X27" s="1463"/>
      <c r="Y27" s="2352"/>
      <c r="Z27" s="2362"/>
      <c r="AA27" s="2362"/>
      <c r="AB27" s="2358"/>
      <c r="AC27" s="2358"/>
      <c r="AD27" s="2358"/>
      <c r="AE27" s="2358"/>
      <c r="AF27" s="2358"/>
      <c r="AG27" s="1462"/>
      <c r="AH27" s="2358"/>
      <c r="AI27" s="2352"/>
      <c r="AJ27" s="2362"/>
      <c r="AK27" s="2362"/>
      <c r="AL27" s="1462">
        <v>1000</v>
      </c>
      <c r="AM27" s="2355">
        <v>7</v>
      </c>
      <c r="AN27" s="2352">
        <v>42734</v>
      </c>
      <c r="AO27" s="2362">
        <v>48</v>
      </c>
      <c r="AP27" s="2361">
        <v>42800</v>
      </c>
      <c r="AQ27" s="2358"/>
      <c r="AR27" s="2358"/>
      <c r="AS27" s="2355"/>
      <c r="AT27" s="2362"/>
      <c r="AU27" s="2362"/>
      <c r="AV27" s="1462">
        <v>1000</v>
      </c>
      <c r="AW27" s="1463">
        <v>1</v>
      </c>
      <c r="AX27" s="2352">
        <v>43098</v>
      </c>
      <c r="AY27" s="2353">
        <v>48</v>
      </c>
      <c r="AZ27" s="2361">
        <v>43107</v>
      </c>
      <c r="BA27" s="2366">
        <v>3600</v>
      </c>
      <c r="BB27" s="2363">
        <v>3.7</v>
      </c>
      <c r="BC27" s="2364">
        <v>43194</v>
      </c>
      <c r="BD27" s="2363">
        <v>48</v>
      </c>
      <c r="BE27" s="2364">
        <v>43193</v>
      </c>
      <c r="BF27" s="2358"/>
      <c r="BG27" s="2358"/>
      <c r="BH27" s="2358"/>
      <c r="BI27" s="2358"/>
      <c r="BJ27" s="2358"/>
    </row>
    <row r="28" spans="1:62">
      <c r="A28" s="2360">
        <v>26</v>
      </c>
      <c r="B28" s="2369"/>
      <c r="C28" s="1462"/>
      <c r="D28" s="1463"/>
      <c r="E28" s="2361"/>
      <c r="F28" s="2362"/>
      <c r="G28" s="2362"/>
      <c r="H28" s="1462"/>
      <c r="I28" s="1475"/>
      <c r="J28" s="2361"/>
      <c r="K28" s="2362"/>
      <c r="L28" s="2362"/>
      <c r="M28" s="1462"/>
      <c r="N28" s="1475"/>
      <c r="O28" s="2361"/>
      <c r="P28" s="2362"/>
      <c r="Q28" s="2362"/>
      <c r="R28" s="1462"/>
      <c r="S28" s="1475"/>
      <c r="T28" s="2361"/>
      <c r="U28" s="2362"/>
      <c r="V28" s="2593"/>
      <c r="W28" s="1462"/>
      <c r="X28" s="1463"/>
      <c r="Y28" s="2352"/>
      <c r="Z28" s="2362"/>
      <c r="AA28" s="2362"/>
      <c r="AB28" s="2358"/>
      <c r="AC28" s="2358"/>
      <c r="AD28" s="2358"/>
      <c r="AE28" s="2358"/>
      <c r="AF28" s="2358"/>
      <c r="AG28" s="1462"/>
      <c r="AH28" s="2358"/>
      <c r="AI28" s="2352"/>
      <c r="AJ28" s="2362"/>
      <c r="AK28" s="2362"/>
      <c r="AL28" s="1462">
        <v>5000</v>
      </c>
      <c r="AM28" s="2355">
        <v>7</v>
      </c>
      <c r="AN28" s="2352">
        <v>42734</v>
      </c>
      <c r="AO28" s="2362">
        <v>48</v>
      </c>
      <c r="AP28" s="2361">
        <v>42800</v>
      </c>
      <c r="AQ28" s="2358"/>
      <c r="AR28" s="2358"/>
      <c r="AS28" s="2355"/>
      <c r="AT28" s="2362"/>
      <c r="AU28" s="2362"/>
      <c r="AV28" s="1462">
        <v>0</v>
      </c>
      <c r="AW28" s="1463"/>
      <c r="AX28" s="2352"/>
      <c r="AY28" s="2353"/>
      <c r="AZ28" s="2361"/>
      <c r="BA28" s="1462"/>
      <c r="BB28" s="1463"/>
      <c r="BC28" s="2352"/>
      <c r="BD28" s="2353"/>
      <c r="BE28" s="2361"/>
      <c r="BF28" s="2358"/>
      <c r="BG28" s="2358"/>
      <c r="BH28" s="2358"/>
      <c r="BI28" s="2358"/>
      <c r="BJ28" s="2358"/>
    </row>
    <row r="29" spans="1:62">
      <c r="A29" s="2350">
        <v>27</v>
      </c>
      <c r="B29" s="2369"/>
      <c r="C29" s="1462"/>
      <c r="D29" s="1463"/>
      <c r="E29" s="2361"/>
      <c r="F29" s="2362"/>
      <c r="G29" s="2362"/>
      <c r="H29" s="1462"/>
      <c r="I29" s="1475"/>
      <c r="J29" s="2361"/>
      <c r="K29" s="2362"/>
      <c r="L29" s="2362"/>
      <c r="M29" s="1462"/>
      <c r="N29" s="1475"/>
      <c r="O29" s="2361"/>
      <c r="P29" s="2362"/>
      <c r="Q29" s="2362"/>
      <c r="R29" s="1462"/>
      <c r="S29" s="1475"/>
      <c r="T29" s="2361"/>
      <c r="U29" s="2362"/>
      <c r="V29" s="2593"/>
      <c r="W29" s="1462">
        <v>50000</v>
      </c>
      <c r="X29" s="1463">
        <v>3.5</v>
      </c>
      <c r="Y29" s="2352">
        <v>42360</v>
      </c>
      <c r="Z29" s="2362">
        <v>48</v>
      </c>
      <c r="AA29" s="2361">
        <v>42380</v>
      </c>
      <c r="AB29" s="2358"/>
      <c r="AC29" s="2358"/>
      <c r="AD29" s="2358"/>
      <c r="AE29" s="2358"/>
      <c r="AF29" s="2358"/>
      <c r="AG29" s="1462"/>
      <c r="AH29" s="2358"/>
      <c r="AI29" s="2352"/>
      <c r="AJ29" s="2362"/>
      <c r="AK29" s="2362"/>
      <c r="AL29" s="1462"/>
      <c r="AM29" s="2355">
        <v>7</v>
      </c>
      <c r="AN29" s="2352">
        <v>42734</v>
      </c>
      <c r="AO29" s="2362">
        <v>48</v>
      </c>
      <c r="AP29" s="2361">
        <v>42800</v>
      </c>
      <c r="AQ29" s="2358"/>
      <c r="AR29" s="2358"/>
      <c r="AS29" s="2355"/>
      <c r="AT29" s="2362"/>
      <c r="AU29" s="2362"/>
      <c r="AV29" s="1462">
        <v>0</v>
      </c>
      <c r="AW29" s="1463"/>
      <c r="AX29" s="2352"/>
      <c r="AY29" s="2353"/>
      <c r="AZ29" s="2361"/>
      <c r="BA29" s="1462"/>
      <c r="BB29" s="1463"/>
      <c r="BC29" s="2352"/>
      <c r="BD29" s="2353"/>
      <c r="BE29" s="2361"/>
      <c r="BF29" s="2358"/>
      <c r="BG29" s="2358"/>
      <c r="BH29" s="2358"/>
      <c r="BI29" s="2358"/>
      <c r="BJ29" s="2358"/>
    </row>
    <row r="30" spans="1:62">
      <c r="A30" s="2360">
        <v>28</v>
      </c>
      <c r="B30" s="2351">
        <f>C30+H30+M30+R30+W30+AB30+AG30+AL30+AQ30+AV30+BA30+BF30</f>
        <v>53888</v>
      </c>
      <c r="C30" s="1462"/>
      <c r="D30" s="1463"/>
      <c r="E30" s="2361"/>
      <c r="F30" s="2362"/>
      <c r="G30" s="2362"/>
      <c r="H30" s="1462"/>
      <c r="I30" s="1475"/>
      <c r="J30" s="2361"/>
      <c r="K30" s="2362"/>
      <c r="L30" s="2362"/>
      <c r="M30" s="1462"/>
      <c r="N30" s="1475"/>
      <c r="O30" s="2361"/>
      <c r="P30" s="2362"/>
      <c r="Q30" s="2362"/>
      <c r="R30" s="1462"/>
      <c r="S30" s="1475"/>
      <c r="T30" s="2361"/>
      <c r="U30" s="2362"/>
      <c r="V30" s="2593"/>
      <c r="W30" s="1462"/>
      <c r="X30" s="1463"/>
      <c r="Y30" s="2352"/>
      <c r="Z30" s="2362"/>
      <c r="AA30" s="2362"/>
      <c r="AB30" s="2358"/>
      <c r="AC30" s="2358"/>
      <c r="AD30" s="2358"/>
      <c r="AE30" s="2358"/>
      <c r="AF30" s="2358"/>
      <c r="AG30" s="1462">
        <v>10000</v>
      </c>
      <c r="AH30" s="2358">
        <v>7</v>
      </c>
      <c r="AI30" s="2352">
        <v>42734</v>
      </c>
      <c r="AJ30" s="2362">
        <v>48</v>
      </c>
      <c r="AK30" s="2361">
        <v>42800</v>
      </c>
      <c r="AL30" s="1462"/>
      <c r="AM30" s="2355">
        <v>7</v>
      </c>
      <c r="AN30" s="2352">
        <v>42734</v>
      </c>
      <c r="AO30" s="2362">
        <v>48</v>
      </c>
      <c r="AP30" s="2361">
        <v>42800</v>
      </c>
      <c r="AQ30" s="2358"/>
      <c r="AR30" s="2358"/>
      <c r="AS30" s="2355"/>
      <c r="AT30" s="2362"/>
      <c r="AU30" s="2362"/>
      <c r="AV30" s="1462">
        <v>25000</v>
      </c>
      <c r="AW30" s="1463">
        <v>1</v>
      </c>
      <c r="AX30" s="2352">
        <v>43098</v>
      </c>
      <c r="AY30" s="2353">
        <v>48</v>
      </c>
      <c r="AZ30" s="2361">
        <v>43107</v>
      </c>
      <c r="BA30" s="2366">
        <v>18888</v>
      </c>
      <c r="BB30" s="2363">
        <v>3.7</v>
      </c>
      <c r="BC30" s="2364">
        <v>43194</v>
      </c>
      <c r="BD30" s="2363">
        <v>48</v>
      </c>
      <c r="BE30" s="2364">
        <v>43193</v>
      </c>
      <c r="BF30" s="2358"/>
      <c r="BG30" s="2358"/>
      <c r="BH30" s="2358"/>
      <c r="BI30" s="2358"/>
      <c r="BJ30" s="2358"/>
    </row>
    <row r="31" spans="1:62">
      <c r="A31" s="2350">
        <v>29</v>
      </c>
      <c r="B31" s="2351">
        <f t="shared" ref="B31:B44" si="1">C31+H31+M31+R31+W31+AB31+AG31+AL31+AQ31+AV31+BA31+BF31</f>
        <v>3000</v>
      </c>
      <c r="C31" s="1462"/>
      <c r="D31" s="1463"/>
      <c r="E31" s="2361"/>
      <c r="F31" s="2362"/>
      <c r="G31" s="2362"/>
      <c r="H31" s="1462"/>
      <c r="I31" s="1475"/>
      <c r="J31" s="2361"/>
      <c r="K31" s="2362"/>
      <c r="L31" s="2362"/>
      <c r="M31" s="1462"/>
      <c r="N31" s="1475"/>
      <c r="O31" s="2361"/>
      <c r="P31" s="2362"/>
      <c r="Q31" s="2362"/>
      <c r="R31" s="1462"/>
      <c r="S31" s="1475"/>
      <c r="T31" s="2361"/>
      <c r="U31" s="2362"/>
      <c r="V31" s="2593"/>
      <c r="W31" s="1462"/>
      <c r="X31" s="1463"/>
      <c r="Y31" s="2352"/>
      <c r="Z31" s="2362"/>
      <c r="AA31" s="2362"/>
      <c r="AB31" s="2358"/>
      <c r="AC31" s="2358"/>
      <c r="AD31" s="2358"/>
      <c r="AE31" s="2358"/>
      <c r="AF31" s="2358"/>
      <c r="AG31" s="1462"/>
      <c r="AH31" s="2358"/>
      <c r="AI31" s="2352"/>
      <c r="AJ31" s="2362"/>
      <c r="AK31" s="2362"/>
      <c r="AL31" s="1462">
        <v>1000</v>
      </c>
      <c r="AM31" s="2355">
        <v>7</v>
      </c>
      <c r="AN31" s="2352">
        <v>42734</v>
      </c>
      <c r="AO31" s="2362">
        <v>48</v>
      </c>
      <c r="AP31" s="2361">
        <v>42800</v>
      </c>
      <c r="AQ31" s="2358"/>
      <c r="AR31" s="2358"/>
      <c r="AS31" s="2355"/>
      <c r="AT31" s="2362"/>
      <c r="AU31" s="2362"/>
      <c r="AV31" s="1462">
        <v>1000</v>
      </c>
      <c r="AW31" s="1463">
        <v>1</v>
      </c>
      <c r="AX31" s="2352">
        <v>43098</v>
      </c>
      <c r="AY31" s="2353">
        <v>48</v>
      </c>
      <c r="AZ31" s="2361">
        <v>43107</v>
      </c>
      <c r="BA31" s="2366">
        <v>1000</v>
      </c>
      <c r="BB31" s="2363">
        <v>3.7</v>
      </c>
      <c r="BC31" s="2364">
        <v>43194</v>
      </c>
      <c r="BD31" s="2363">
        <v>48</v>
      </c>
      <c r="BE31" s="2364">
        <v>43193</v>
      </c>
      <c r="BF31" s="2358"/>
      <c r="BG31" s="2358"/>
      <c r="BH31" s="2358"/>
      <c r="BI31" s="2358"/>
      <c r="BJ31" s="2358"/>
    </row>
    <row r="32" spans="1:62">
      <c r="A32" s="2360">
        <v>30</v>
      </c>
      <c r="B32" s="2351">
        <f t="shared" si="1"/>
        <v>10600</v>
      </c>
      <c r="C32" s="1462"/>
      <c r="D32" s="1463"/>
      <c r="E32" s="2361"/>
      <c r="F32" s="2362"/>
      <c r="G32" s="2362"/>
      <c r="H32" s="1462"/>
      <c r="I32" s="1475"/>
      <c r="J32" s="2361"/>
      <c r="K32" s="2362"/>
      <c r="L32" s="2362"/>
      <c r="M32" s="1462"/>
      <c r="N32" s="1475"/>
      <c r="O32" s="2361"/>
      <c r="P32" s="2362"/>
      <c r="Q32" s="2362"/>
      <c r="R32" s="1462"/>
      <c r="S32" s="1475"/>
      <c r="T32" s="2361"/>
      <c r="U32" s="2362"/>
      <c r="V32" s="2593"/>
      <c r="W32" s="1462"/>
      <c r="X32" s="1463"/>
      <c r="Y32" s="2352"/>
      <c r="Z32" s="2362"/>
      <c r="AA32" s="2362"/>
      <c r="AB32" s="2358"/>
      <c r="AC32" s="2358"/>
      <c r="AD32" s="2358"/>
      <c r="AE32" s="2358"/>
      <c r="AF32" s="2358"/>
      <c r="AG32" s="1462"/>
      <c r="AH32" s="2358"/>
      <c r="AI32" s="2352"/>
      <c r="AJ32" s="2362"/>
      <c r="AK32" s="2362"/>
      <c r="AL32" s="1462">
        <v>5000</v>
      </c>
      <c r="AM32" s="2355">
        <v>7</v>
      </c>
      <c r="AN32" s="2352">
        <v>42734</v>
      </c>
      <c r="AO32" s="2362">
        <v>48</v>
      </c>
      <c r="AP32" s="2361">
        <v>42800</v>
      </c>
      <c r="AQ32" s="2358"/>
      <c r="AR32" s="2358"/>
      <c r="AS32" s="2355"/>
      <c r="AT32" s="2362"/>
      <c r="AU32" s="2362"/>
      <c r="AV32" s="1462">
        <v>2000</v>
      </c>
      <c r="AW32" s="1463">
        <v>1</v>
      </c>
      <c r="AX32" s="2352">
        <v>43098</v>
      </c>
      <c r="AY32" s="2353">
        <v>48</v>
      </c>
      <c r="AZ32" s="2361">
        <v>43107</v>
      </c>
      <c r="BA32" s="2366">
        <v>3600</v>
      </c>
      <c r="BB32" s="2363">
        <v>3.7</v>
      </c>
      <c r="BC32" s="2364">
        <v>43194</v>
      </c>
      <c r="BD32" s="2363">
        <v>48</v>
      </c>
      <c r="BE32" s="2364">
        <v>43193</v>
      </c>
      <c r="BF32" s="2358"/>
      <c r="BG32" s="2358"/>
      <c r="BH32" s="2358"/>
      <c r="BI32" s="2358"/>
      <c r="BJ32" s="2358"/>
    </row>
    <row r="33" spans="1:62">
      <c r="A33" s="2350">
        <v>31</v>
      </c>
      <c r="B33" s="2351">
        <f t="shared" si="1"/>
        <v>9600</v>
      </c>
      <c r="C33" s="1462"/>
      <c r="D33" s="1463"/>
      <c r="E33" s="2361"/>
      <c r="F33" s="2362"/>
      <c r="G33" s="2362"/>
      <c r="H33" s="1462"/>
      <c r="I33" s="1475"/>
      <c r="J33" s="2361"/>
      <c r="K33" s="2362"/>
      <c r="L33" s="2362"/>
      <c r="M33" s="1462"/>
      <c r="N33" s="1475"/>
      <c r="O33" s="2361"/>
      <c r="P33" s="2362"/>
      <c r="Q33" s="2362"/>
      <c r="R33" s="1462"/>
      <c r="S33" s="1475"/>
      <c r="T33" s="2361"/>
      <c r="U33" s="2362"/>
      <c r="V33" s="2593"/>
      <c r="W33" s="1462"/>
      <c r="X33" s="1463"/>
      <c r="Y33" s="2352"/>
      <c r="Z33" s="2362"/>
      <c r="AA33" s="2362"/>
      <c r="AB33" s="2358"/>
      <c r="AC33" s="2358"/>
      <c r="AD33" s="2358"/>
      <c r="AE33" s="2358"/>
      <c r="AF33" s="2358"/>
      <c r="AG33" s="1462"/>
      <c r="AH33" s="2358"/>
      <c r="AI33" s="2352"/>
      <c r="AJ33" s="2362"/>
      <c r="AK33" s="2362"/>
      <c r="AL33" s="1462">
        <v>1000</v>
      </c>
      <c r="AM33" s="2355">
        <v>7</v>
      </c>
      <c r="AN33" s="2352">
        <v>42734</v>
      </c>
      <c r="AO33" s="2362">
        <v>48</v>
      </c>
      <c r="AP33" s="2361">
        <v>42800</v>
      </c>
      <c r="AQ33" s="2358"/>
      <c r="AR33" s="2358"/>
      <c r="AS33" s="2355"/>
      <c r="AT33" s="2362"/>
      <c r="AU33" s="2362"/>
      <c r="AV33" s="1462">
        <v>5000</v>
      </c>
      <c r="AW33" s="1463">
        <v>1</v>
      </c>
      <c r="AX33" s="2352">
        <v>43098</v>
      </c>
      <c r="AY33" s="2353">
        <v>48</v>
      </c>
      <c r="AZ33" s="2361">
        <v>43107</v>
      </c>
      <c r="BA33" s="2366">
        <v>3600</v>
      </c>
      <c r="BB33" s="2363">
        <v>3.7</v>
      </c>
      <c r="BC33" s="2364">
        <v>43194</v>
      </c>
      <c r="BD33" s="2363">
        <v>48</v>
      </c>
      <c r="BE33" s="2364">
        <v>43193</v>
      </c>
      <c r="BF33" s="2358"/>
      <c r="BG33" s="2358"/>
      <c r="BH33" s="2358"/>
      <c r="BI33" s="2358"/>
      <c r="BJ33" s="2358"/>
    </row>
    <row r="34" spans="1:62">
      <c r="A34" s="2360">
        <v>32</v>
      </c>
      <c r="B34" s="2351">
        <f t="shared" si="1"/>
        <v>7600</v>
      </c>
      <c r="C34" s="1462"/>
      <c r="D34" s="1463"/>
      <c r="E34" s="2361"/>
      <c r="F34" s="2362"/>
      <c r="G34" s="2362"/>
      <c r="H34" s="1462"/>
      <c r="I34" s="1475"/>
      <c r="J34" s="2361"/>
      <c r="K34" s="2362"/>
      <c r="L34" s="2362"/>
      <c r="M34" s="1462"/>
      <c r="N34" s="1475"/>
      <c r="O34" s="2361"/>
      <c r="P34" s="2362"/>
      <c r="Q34" s="2362"/>
      <c r="R34" s="1462"/>
      <c r="S34" s="1475"/>
      <c r="T34" s="2361"/>
      <c r="U34" s="2362"/>
      <c r="V34" s="2593"/>
      <c r="W34" s="1462"/>
      <c r="X34" s="1463"/>
      <c r="Y34" s="2352"/>
      <c r="Z34" s="2362"/>
      <c r="AA34" s="2362"/>
      <c r="AB34" s="2358"/>
      <c r="AC34" s="2358"/>
      <c r="AD34" s="2358"/>
      <c r="AE34" s="2358"/>
      <c r="AF34" s="2358"/>
      <c r="AG34" s="1462"/>
      <c r="AH34" s="2358"/>
      <c r="AI34" s="2352"/>
      <c r="AJ34" s="2362"/>
      <c r="AK34" s="2362"/>
      <c r="AL34" s="1462">
        <v>1000</v>
      </c>
      <c r="AM34" s="2355">
        <v>7</v>
      </c>
      <c r="AN34" s="2352">
        <v>42734</v>
      </c>
      <c r="AO34" s="2362">
        <v>48</v>
      </c>
      <c r="AP34" s="2361">
        <v>42800</v>
      </c>
      <c r="AQ34" s="2358"/>
      <c r="AR34" s="2358"/>
      <c r="AS34" s="2355"/>
      <c r="AT34" s="2362"/>
      <c r="AU34" s="2362"/>
      <c r="AV34" s="1462">
        <v>3000</v>
      </c>
      <c r="AW34" s="1463">
        <v>1</v>
      </c>
      <c r="AX34" s="2352">
        <v>43098</v>
      </c>
      <c r="AY34" s="2353">
        <v>48</v>
      </c>
      <c r="AZ34" s="2361">
        <v>43107</v>
      </c>
      <c r="BA34" s="2366">
        <v>3600</v>
      </c>
      <c r="BB34" s="2363">
        <v>3.7</v>
      </c>
      <c r="BC34" s="2364">
        <v>43194</v>
      </c>
      <c r="BD34" s="2363">
        <v>48</v>
      </c>
      <c r="BE34" s="2364">
        <v>43193</v>
      </c>
      <c r="BF34" s="2358"/>
      <c r="BG34" s="2358"/>
      <c r="BH34" s="2358"/>
      <c r="BI34" s="2358"/>
      <c r="BJ34" s="2358"/>
    </row>
    <row r="35" spans="1:62">
      <c r="A35" s="2350">
        <v>33</v>
      </c>
      <c r="B35" s="2351">
        <f t="shared" si="1"/>
        <v>7600</v>
      </c>
      <c r="C35" s="1462"/>
      <c r="D35" s="1463"/>
      <c r="E35" s="2361"/>
      <c r="F35" s="2362"/>
      <c r="G35" s="2362"/>
      <c r="H35" s="1462"/>
      <c r="I35" s="1475"/>
      <c r="J35" s="2361"/>
      <c r="K35" s="2362"/>
      <c r="L35" s="2362"/>
      <c r="M35" s="1462"/>
      <c r="N35" s="1475"/>
      <c r="O35" s="2361"/>
      <c r="P35" s="2362"/>
      <c r="Q35" s="2362"/>
      <c r="R35" s="1462"/>
      <c r="S35" s="1475"/>
      <c r="T35" s="2361"/>
      <c r="U35" s="2362"/>
      <c r="V35" s="2593"/>
      <c r="W35" s="1462"/>
      <c r="X35" s="1463"/>
      <c r="Y35" s="2352"/>
      <c r="Z35" s="2362"/>
      <c r="AA35" s="2362"/>
      <c r="AB35" s="2358"/>
      <c r="AC35" s="2358"/>
      <c r="AD35" s="2358"/>
      <c r="AE35" s="2358"/>
      <c r="AF35" s="2358"/>
      <c r="AG35" s="1462"/>
      <c r="AH35" s="2358"/>
      <c r="AI35" s="2352"/>
      <c r="AJ35" s="2362"/>
      <c r="AK35" s="2362"/>
      <c r="AL35" s="1462">
        <v>1000</v>
      </c>
      <c r="AM35" s="2355">
        <v>7</v>
      </c>
      <c r="AN35" s="2352">
        <v>42734</v>
      </c>
      <c r="AO35" s="2362">
        <v>48</v>
      </c>
      <c r="AP35" s="2361">
        <v>42800</v>
      </c>
      <c r="AQ35" s="2358"/>
      <c r="AR35" s="2358"/>
      <c r="AS35" s="2355"/>
      <c r="AT35" s="2362"/>
      <c r="AU35" s="2362"/>
      <c r="AV35" s="1462">
        <v>3000</v>
      </c>
      <c r="AW35" s="1463">
        <v>1</v>
      </c>
      <c r="AX35" s="2352">
        <v>43098</v>
      </c>
      <c r="AY35" s="2353">
        <v>48</v>
      </c>
      <c r="AZ35" s="2361">
        <v>43107</v>
      </c>
      <c r="BA35" s="2366">
        <v>3600</v>
      </c>
      <c r="BB35" s="2363">
        <v>3.7</v>
      </c>
      <c r="BC35" s="2364">
        <v>43194</v>
      </c>
      <c r="BD35" s="2363">
        <v>48</v>
      </c>
      <c r="BE35" s="2364">
        <v>43193</v>
      </c>
      <c r="BF35" s="2358"/>
      <c r="BG35" s="2358"/>
      <c r="BH35" s="2358"/>
      <c r="BI35" s="2358"/>
      <c r="BJ35" s="2358"/>
    </row>
    <row r="36" spans="1:62">
      <c r="A36" s="2360">
        <v>34</v>
      </c>
      <c r="B36" s="2351">
        <f t="shared" si="1"/>
        <v>8600</v>
      </c>
      <c r="C36" s="1462"/>
      <c r="D36" s="1463"/>
      <c r="E36" s="2361"/>
      <c r="F36" s="2362"/>
      <c r="G36" s="2362"/>
      <c r="H36" s="1462"/>
      <c r="I36" s="1475"/>
      <c r="J36" s="2361"/>
      <c r="K36" s="2362"/>
      <c r="L36" s="2362"/>
      <c r="M36" s="1462"/>
      <c r="N36" s="1475"/>
      <c r="O36" s="2361"/>
      <c r="P36" s="2362"/>
      <c r="Q36" s="2362"/>
      <c r="R36" s="1462"/>
      <c r="S36" s="1475"/>
      <c r="T36" s="2361"/>
      <c r="U36" s="2362"/>
      <c r="V36" s="2593"/>
      <c r="W36" s="1462"/>
      <c r="X36" s="1463"/>
      <c r="Y36" s="2352"/>
      <c r="Z36" s="2362"/>
      <c r="AA36" s="2362"/>
      <c r="AB36" s="2358"/>
      <c r="AC36" s="2358"/>
      <c r="AD36" s="2358"/>
      <c r="AE36" s="2358"/>
      <c r="AF36" s="2358"/>
      <c r="AG36" s="1462"/>
      <c r="AH36" s="2358"/>
      <c r="AI36" s="2352"/>
      <c r="AJ36" s="2362"/>
      <c r="AK36" s="2362"/>
      <c r="AL36" s="1462"/>
      <c r="AM36" s="2355"/>
      <c r="AN36" s="2352"/>
      <c r="AO36" s="2362"/>
      <c r="AP36" s="2361"/>
      <c r="AQ36" s="2358"/>
      <c r="AR36" s="2358"/>
      <c r="AS36" s="2355"/>
      <c r="AT36" s="2362"/>
      <c r="AU36" s="2362"/>
      <c r="AV36" s="1462">
        <v>5000</v>
      </c>
      <c r="AW36" s="1463">
        <v>1</v>
      </c>
      <c r="AX36" s="2352">
        <v>43098</v>
      </c>
      <c r="AY36" s="2353">
        <v>48</v>
      </c>
      <c r="AZ36" s="2361">
        <v>43107</v>
      </c>
      <c r="BA36" s="2366">
        <v>3600</v>
      </c>
      <c r="BB36" s="2363">
        <v>3.7</v>
      </c>
      <c r="BC36" s="2364">
        <v>43194</v>
      </c>
      <c r="BD36" s="2363">
        <v>48</v>
      </c>
      <c r="BE36" s="2364">
        <v>43193</v>
      </c>
      <c r="BF36" s="2358"/>
      <c r="BG36" s="2358"/>
      <c r="BH36" s="2358"/>
      <c r="BI36" s="2358"/>
      <c r="BJ36" s="2358"/>
    </row>
    <row r="37" spans="1:62">
      <c r="A37" s="2350">
        <v>35</v>
      </c>
      <c r="B37" s="2351">
        <f t="shared" si="1"/>
        <v>6600</v>
      </c>
      <c r="C37" s="1462"/>
      <c r="D37" s="1463"/>
      <c r="E37" s="2361"/>
      <c r="F37" s="2362"/>
      <c r="G37" s="2362"/>
      <c r="H37" s="1462"/>
      <c r="I37" s="1475"/>
      <c r="J37" s="2361"/>
      <c r="K37" s="2362"/>
      <c r="L37" s="2362"/>
      <c r="M37" s="1462"/>
      <c r="N37" s="1475"/>
      <c r="O37" s="2361"/>
      <c r="P37" s="2362"/>
      <c r="Q37" s="2362"/>
      <c r="R37" s="1462"/>
      <c r="S37" s="1475"/>
      <c r="T37" s="2361"/>
      <c r="U37" s="2362"/>
      <c r="V37" s="2593"/>
      <c r="W37" s="1462"/>
      <c r="X37" s="1463"/>
      <c r="Y37" s="2352"/>
      <c r="Z37" s="2362"/>
      <c r="AA37" s="2362"/>
      <c r="AB37" s="2358"/>
      <c r="AC37" s="2358"/>
      <c r="AD37" s="2358"/>
      <c r="AE37" s="2358"/>
      <c r="AF37" s="2358"/>
      <c r="AG37" s="1462"/>
      <c r="AH37" s="2358"/>
      <c r="AI37" s="2352"/>
      <c r="AJ37" s="2362"/>
      <c r="AK37" s="2362"/>
      <c r="AL37" s="1462"/>
      <c r="AM37" s="2355"/>
      <c r="AN37" s="2352"/>
      <c r="AO37" s="2362"/>
      <c r="AP37" s="2361"/>
      <c r="AQ37" s="2358"/>
      <c r="AR37" s="2358"/>
      <c r="AS37" s="2355"/>
      <c r="AT37" s="2362"/>
      <c r="AU37" s="2362"/>
      <c r="AV37" s="1462">
        <v>3000</v>
      </c>
      <c r="AW37" s="1463">
        <v>1</v>
      </c>
      <c r="AX37" s="2352">
        <v>43098</v>
      </c>
      <c r="AY37" s="2353">
        <v>48</v>
      </c>
      <c r="AZ37" s="2361">
        <v>43107</v>
      </c>
      <c r="BA37" s="2366">
        <v>3600</v>
      </c>
      <c r="BB37" s="2363">
        <v>3.7</v>
      </c>
      <c r="BC37" s="2364">
        <v>43194</v>
      </c>
      <c r="BD37" s="2363">
        <v>48</v>
      </c>
      <c r="BE37" s="2364">
        <v>43193</v>
      </c>
      <c r="BF37" s="2358"/>
      <c r="BG37" s="2358"/>
      <c r="BH37" s="2358"/>
      <c r="BI37" s="2358"/>
      <c r="BJ37" s="2358"/>
    </row>
    <row r="38" spans="1:62">
      <c r="A38" s="2360">
        <v>36</v>
      </c>
      <c r="B38" s="2351">
        <f t="shared" si="1"/>
        <v>18000</v>
      </c>
      <c r="C38" s="1462"/>
      <c r="D38" s="1463"/>
      <c r="E38" s="2361"/>
      <c r="F38" s="2362"/>
      <c r="G38" s="2362"/>
      <c r="H38" s="1462"/>
      <c r="I38" s="1475"/>
      <c r="J38" s="2361"/>
      <c r="K38" s="2362"/>
      <c r="L38" s="2362"/>
      <c r="M38" s="1462"/>
      <c r="N38" s="1475"/>
      <c r="O38" s="2361"/>
      <c r="P38" s="2362"/>
      <c r="Q38" s="2362"/>
      <c r="R38" s="1462"/>
      <c r="S38" s="1475"/>
      <c r="T38" s="2361"/>
      <c r="U38" s="2362"/>
      <c r="V38" s="2593"/>
      <c r="W38" s="1462"/>
      <c r="X38" s="1463"/>
      <c r="Y38" s="2352"/>
      <c r="Z38" s="2362"/>
      <c r="AA38" s="2362"/>
      <c r="AB38" s="2358"/>
      <c r="AC38" s="2358"/>
      <c r="AD38" s="2358"/>
      <c r="AE38" s="2358"/>
      <c r="AF38" s="2358"/>
      <c r="AG38" s="1462"/>
      <c r="AH38" s="2358"/>
      <c r="AI38" s="2352"/>
      <c r="AJ38" s="2362"/>
      <c r="AK38" s="2362"/>
      <c r="AL38" s="1462"/>
      <c r="AM38" s="2355"/>
      <c r="AN38" s="2352"/>
      <c r="AO38" s="2362"/>
      <c r="AP38" s="2361"/>
      <c r="AQ38" s="2358"/>
      <c r="AR38" s="2358"/>
      <c r="AS38" s="2355"/>
      <c r="AT38" s="2362"/>
      <c r="AU38" s="2362"/>
      <c r="AV38" s="1462">
        <v>8000</v>
      </c>
      <c r="AW38" s="1463">
        <v>1</v>
      </c>
      <c r="AX38" s="2352">
        <v>43098</v>
      </c>
      <c r="AY38" s="2353">
        <v>48</v>
      </c>
      <c r="AZ38" s="2361">
        <v>43107</v>
      </c>
      <c r="BA38" s="2366">
        <v>10000</v>
      </c>
      <c r="BB38" s="2363">
        <v>3.7</v>
      </c>
      <c r="BC38" s="2364">
        <v>43194</v>
      </c>
      <c r="BD38" s="2363">
        <v>48</v>
      </c>
      <c r="BE38" s="2364">
        <v>43193</v>
      </c>
      <c r="BF38" s="2358"/>
      <c r="BG38" s="2358"/>
      <c r="BH38" s="2358"/>
      <c r="BI38" s="2358"/>
      <c r="BJ38" s="2358"/>
    </row>
    <row r="39" spans="1:62">
      <c r="A39" s="2350">
        <v>37</v>
      </c>
      <c r="B39" s="2351">
        <f t="shared" si="1"/>
        <v>8600</v>
      </c>
      <c r="C39" s="1462"/>
      <c r="D39" s="1463"/>
      <c r="E39" s="2361"/>
      <c r="F39" s="2362"/>
      <c r="G39" s="2362"/>
      <c r="H39" s="1462"/>
      <c r="I39" s="1475"/>
      <c r="J39" s="2361"/>
      <c r="K39" s="2362"/>
      <c r="L39" s="2362"/>
      <c r="M39" s="1462"/>
      <c r="N39" s="1475"/>
      <c r="O39" s="2361"/>
      <c r="P39" s="2362"/>
      <c r="Q39" s="2362"/>
      <c r="R39" s="1462"/>
      <c r="S39" s="1475"/>
      <c r="T39" s="2361"/>
      <c r="U39" s="2362"/>
      <c r="V39" s="2593"/>
      <c r="W39" s="1462"/>
      <c r="X39" s="1463"/>
      <c r="Y39" s="2352"/>
      <c r="Z39" s="2362"/>
      <c r="AA39" s="2362"/>
      <c r="AB39" s="2358"/>
      <c r="AC39" s="2358"/>
      <c r="AD39" s="2358"/>
      <c r="AE39" s="2358"/>
      <c r="AF39" s="2358"/>
      <c r="AG39" s="1462"/>
      <c r="AH39" s="2358"/>
      <c r="AI39" s="2352"/>
      <c r="AJ39" s="2362"/>
      <c r="AK39" s="2362"/>
      <c r="AL39" s="1462"/>
      <c r="AM39" s="2355"/>
      <c r="AN39" s="2352"/>
      <c r="AO39" s="2362"/>
      <c r="AP39" s="2361"/>
      <c r="AQ39" s="2358"/>
      <c r="AR39" s="2358"/>
      <c r="AS39" s="2355"/>
      <c r="AT39" s="2362"/>
      <c r="AU39" s="2362"/>
      <c r="AV39" s="1462">
        <v>5000</v>
      </c>
      <c r="AW39" s="1463">
        <v>1</v>
      </c>
      <c r="AX39" s="2352">
        <v>43098</v>
      </c>
      <c r="AY39" s="2353">
        <v>48</v>
      </c>
      <c r="AZ39" s="2361">
        <v>43107</v>
      </c>
      <c r="BA39" s="2366">
        <v>3600</v>
      </c>
      <c r="BB39" s="2363">
        <v>3.7</v>
      </c>
      <c r="BC39" s="2364">
        <v>43194</v>
      </c>
      <c r="BD39" s="2363">
        <v>48</v>
      </c>
      <c r="BE39" s="2364">
        <v>43193</v>
      </c>
      <c r="BF39" s="2358"/>
      <c r="BG39" s="2358"/>
      <c r="BH39" s="2358"/>
      <c r="BI39" s="2358"/>
      <c r="BJ39" s="2358"/>
    </row>
    <row r="40" spans="1:62">
      <c r="A40" s="2360">
        <v>38</v>
      </c>
      <c r="B40" s="2351">
        <f t="shared" si="1"/>
        <v>6600</v>
      </c>
      <c r="C40" s="1462"/>
      <c r="D40" s="1463"/>
      <c r="E40" s="2361"/>
      <c r="F40" s="2362"/>
      <c r="G40" s="2362"/>
      <c r="H40" s="1462"/>
      <c r="I40" s="1475"/>
      <c r="J40" s="2361"/>
      <c r="K40" s="2362"/>
      <c r="L40" s="2362"/>
      <c r="M40" s="1462"/>
      <c r="N40" s="1475"/>
      <c r="O40" s="2361"/>
      <c r="P40" s="2362"/>
      <c r="Q40" s="2362"/>
      <c r="R40" s="1462"/>
      <c r="S40" s="1475"/>
      <c r="T40" s="2361"/>
      <c r="U40" s="2362"/>
      <c r="V40" s="2593"/>
      <c r="W40" s="1462"/>
      <c r="X40" s="1463"/>
      <c r="Y40" s="2352"/>
      <c r="Z40" s="2362"/>
      <c r="AA40" s="2362"/>
      <c r="AB40" s="2358"/>
      <c r="AC40" s="2358"/>
      <c r="AD40" s="2358"/>
      <c r="AE40" s="2358"/>
      <c r="AF40" s="2358"/>
      <c r="AG40" s="1462"/>
      <c r="AH40" s="2358"/>
      <c r="AI40" s="2352"/>
      <c r="AJ40" s="2362"/>
      <c r="AK40" s="2362"/>
      <c r="AL40" s="1462"/>
      <c r="AM40" s="2355"/>
      <c r="AN40" s="2352"/>
      <c r="AO40" s="2362"/>
      <c r="AP40" s="2361"/>
      <c r="AQ40" s="2358"/>
      <c r="AR40" s="2358"/>
      <c r="AS40" s="2355"/>
      <c r="AT40" s="2362"/>
      <c r="AU40" s="2362"/>
      <c r="AV40" s="1462">
        <v>3000</v>
      </c>
      <c r="AW40" s="1463">
        <v>1</v>
      </c>
      <c r="AX40" s="2352">
        <v>43098</v>
      </c>
      <c r="AY40" s="2353">
        <v>48</v>
      </c>
      <c r="AZ40" s="2361">
        <v>43107</v>
      </c>
      <c r="BA40" s="2366">
        <v>3600</v>
      </c>
      <c r="BB40" s="2363">
        <v>3.7</v>
      </c>
      <c r="BC40" s="2364">
        <v>43194</v>
      </c>
      <c r="BD40" s="2363">
        <v>48</v>
      </c>
      <c r="BE40" s="2364">
        <v>43193</v>
      </c>
      <c r="BF40" s="2358"/>
      <c r="BG40" s="2358"/>
      <c r="BH40" s="2358"/>
      <c r="BI40" s="2358"/>
      <c r="BJ40" s="2358"/>
    </row>
    <row r="41" spans="1:62">
      <c r="A41" s="2350">
        <v>39</v>
      </c>
      <c r="B41" s="2351">
        <f t="shared" si="1"/>
        <v>2000</v>
      </c>
      <c r="C41" s="1462"/>
      <c r="D41" s="1463"/>
      <c r="E41" s="2361"/>
      <c r="F41" s="2362"/>
      <c r="G41" s="2362"/>
      <c r="H41" s="1462"/>
      <c r="I41" s="1475"/>
      <c r="J41" s="2361"/>
      <c r="K41" s="2362"/>
      <c r="L41" s="2362"/>
      <c r="M41" s="1462"/>
      <c r="N41" s="1475"/>
      <c r="O41" s="2361"/>
      <c r="P41" s="2362"/>
      <c r="Q41" s="2362"/>
      <c r="R41" s="1462"/>
      <c r="S41" s="1475"/>
      <c r="T41" s="2361"/>
      <c r="U41" s="2362"/>
      <c r="V41" s="2593"/>
      <c r="W41" s="1462"/>
      <c r="X41" s="1463"/>
      <c r="Y41" s="2352"/>
      <c r="Z41" s="2362"/>
      <c r="AA41" s="2362"/>
      <c r="AB41" s="2358"/>
      <c r="AC41" s="2358"/>
      <c r="AD41" s="2358"/>
      <c r="AE41" s="2358"/>
      <c r="AF41" s="2358"/>
      <c r="AG41" s="1462"/>
      <c r="AH41" s="2358"/>
      <c r="AI41" s="2352"/>
      <c r="AJ41" s="2362"/>
      <c r="AK41" s="2362"/>
      <c r="AL41" s="1462"/>
      <c r="AM41" s="2355"/>
      <c r="AN41" s="2352"/>
      <c r="AO41" s="2362"/>
      <c r="AP41" s="2361"/>
      <c r="AQ41" s="2358"/>
      <c r="AR41" s="2358"/>
      <c r="AS41" s="2355"/>
      <c r="AT41" s="2362"/>
      <c r="AU41" s="2362"/>
      <c r="AV41" s="1462">
        <v>1000</v>
      </c>
      <c r="AW41" s="1463">
        <v>1</v>
      </c>
      <c r="AX41" s="2352">
        <v>43098</v>
      </c>
      <c r="AY41" s="2353">
        <v>48</v>
      </c>
      <c r="AZ41" s="2361">
        <v>43107</v>
      </c>
      <c r="BA41" s="2366">
        <v>1000</v>
      </c>
      <c r="BB41" s="2363">
        <v>3.7</v>
      </c>
      <c r="BC41" s="2364">
        <v>43194</v>
      </c>
      <c r="BD41" s="2363">
        <v>48</v>
      </c>
      <c r="BE41" s="2364">
        <v>43193</v>
      </c>
      <c r="BF41" s="2358"/>
      <c r="BG41" s="2358"/>
      <c r="BH41" s="2358"/>
      <c r="BI41" s="2358"/>
      <c r="BJ41" s="2358"/>
    </row>
    <row r="42" spans="1:62">
      <c r="A42" s="2360">
        <v>40</v>
      </c>
      <c r="B42" s="2351">
        <f t="shared" si="1"/>
        <v>2000</v>
      </c>
      <c r="C42" s="1462"/>
      <c r="D42" s="1463"/>
      <c r="E42" s="2361"/>
      <c r="F42" s="2362"/>
      <c r="G42" s="2362"/>
      <c r="H42" s="1462"/>
      <c r="I42" s="1475"/>
      <c r="J42" s="2361"/>
      <c r="K42" s="2362"/>
      <c r="L42" s="2362"/>
      <c r="M42" s="1462"/>
      <c r="N42" s="1475"/>
      <c r="O42" s="2361"/>
      <c r="P42" s="2362"/>
      <c r="Q42" s="2362"/>
      <c r="R42" s="1462"/>
      <c r="S42" s="1475"/>
      <c r="T42" s="2361"/>
      <c r="U42" s="2362"/>
      <c r="V42" s="2593"/>
      <c r="W42" s="1462"/>
      <c r="X42" s="1463"/>
      <c r="Y42" s="2352"/>
      <c r="Z42" s="2362"/>
      <c r="AA42" s="2362"/>
      <c r="AB42" s="2358"/>
      <c r="AC42" s="2358"/>
      <c r="AD42" s="2358"/>
      <c r="AE42" s="2358"/>
      <c r="AF42" s="2358"/>
      <c r="AG42" s="1462"/>
      <c r="AH42" s="2358"/>
      <c r="AI42" s="2352"/>
      <c r="AJ42" s="2362"/>
      <c r="AK42" s="2362"/>
      <c r="AL42" s="1462"/>
      <c r="AM42" s="2355"/>
      <c r="AN42" s="2352"/>
      <c r="AO42" s="2362"/>
      <c r="AP42" s="2361"/>
      <c r="AQ42" s="2358"/>
      <c r="AR42" s="2358"/>
      <c r="AS42" s="2355"/>
      <c r="AT42" s="2362"/>
      <c r="AU42" s="2362"/>
      <c r="AV42" s="1462">
        <v>1000</v>
      </c>
      <c r="AW42" s="1463">
        <v>1</v>
      </c>
      <c r="AX42" s="2352">
        <v>43098</v>
      </c>
      <c r="AY42" s="2353">
        <v>48</v>
      </c>
      <c r="AZ42" s="2361">
        <v>43107</v>
      </c>
      <c r="BA42" s="2366">
        <v>1000</v>
      </c>
      <c r="BB42" s="2363">
        <v>3.7</v>
      </c>
      <c r="BC42" s="2364">
        <v>43194</v>
      </c>
      <c r="BD42" s="2363">
        <v>48</v>
      </c>
      <c r="BE42" s="2364">
        <v>43193</v>
      </c>
      <c r="BF42" s="2358"/>
      <c r="BG42" s="2358"/>
      <c r="BH42" s="2358"/>
      <c r="BI42" s="2358"/>
      <c r="BJ42" s="2358"/>
    </row>
    <row r="43" spans="1:62">
      <c r="A43" s="2350">
        <v>41</v>
      </c>
      <c r="B43" s="2351">
        <f t="shared" si="1"/>
        <v>6600</v>
      </c>
      <c r="C43" s="1462"/>
      <c r="D43" s="1463"/>
      <c r="E43" s="2361"/>
      <c r="F43" s="2362"/>
      <c r="G43" s="2362"/>
      <c r="H43" s="1462"/>
      <c r="I43" s="1475"/>
      <c r="J43" s="2361"/>
      <c r="K43" s="2362"/>
      <c r="L43" s="2362"/>
      <c r="M43" s="1462"/>
      <c r="N43" s="1475"/>
      <c r="O43" s="2361"/>
      <c r="P43" s="2362"/>
      <c r="Q43" s="2362"/>
      <c r="R43" s="1462"/>
      <c r="S43" s="1475"/>
      <c r="T43" s="2361"/>
      <c r="U43" s="2362"/>
      <c r="V43" s="2593"/>
      <c r="W43" s="1462"/>
      <c r="X43" s="1463"/>
      <c r="Y43" s="2352"/>
      <c r="Z43" s="2362"/>
      <c r="AA43" s="2362"/>
      <c r="AB43" s="2358"/>
      <c r="AC43" s="2358"/>
      <c r="AD43" s="2358"/>
      <c r="AE43" s="2358"/>
      <c r="AF43" s="2358"/>
      <c r="AG43" s="1462"/>
      <c r="AH43" s="2358"/>
      <c r="AI43" s="2352"/>
      <c r="AJ43" s="2362"/>
      <c r="AK43" s="2362"/>
      <c r="AL43" s="1462"/>
      <c r="AM43" s="2355"/>
      <c r="AN43" s="2352"/>
      <c r="AO43" s="2362"/>
      <c r="AP43" s="2361"/>
      <c r="AQ43" s="2358"/>
      <c r="AR43" s="2358"/>
      <c r="AS43" s="2355"/>
      <c r="AT43" s="2362"/>
      <c r="AU43" s="2362"/>
      <c r="AV43" s="1462">
        <v>3000</v>
      </c>
      <c r="AW43" s="1463">
        <v>1</v>
      </c>
      <c r="AX43" s="2352">
        <v>43098</v>
      </c>
      <c r="AY43" s="2353">
        <v>48</v>
      </c>
      <c r="AZ43" s="2361">
        <v>43107</v>
      </c>
      <c r="BA43" s="2366">
        <v>3600</v>
      </c>
      <c r="BB43" s="2363">
        <v>3.7</v>
      </c>
      <c r="BC43" s="2364">
        <v>43194</v>
      </c>
      <c r="BD43" s="2363">
        <v>48</v>
      </c>
      <c r="BE43" s="2364">
        <v>43193</v>
      </c>
      <c r="BF43" s="2358"/>
      <c r="BG43" s="2358"/>
      <c r="BH43" s="2358"/>
      <c r="BI43" s="2358"/>
      <c r="BJ43" s="2358"/>
    </row>
    <row r="44" spans="1:62">
      <c r="A44" s="2360">
        <v>42</v>
      </c>
      <c r="B44" s="2351">
        <f t="shared" si="1"/>
        <v>33888</v>
      </c>
      <c r="C44" s="1462"/>
      <c r="D44" s="1463"/>
      <c r="E44" s="2361"/>
      <c r="F44" s="2362"/>
      <c r="G44" s="2362"/>
      <c r="H44" s="1462"/>
      <c r="I44" s="1475"/>
      <c r="J44" s="2361"/>
      <c r="K44" s="2362"/>
      <c r="L44" s="2362"/>
      <c r="M44" s="1462"/>
      <c r="N44" s="1475"/>
      <c r="O44" s="2361"/>
      <c r="P44" s="2362"/>
      <c r="Q44" s="2362"/>
      <c r="R44" s="1462"/>
      <c r="S44" s="1475"/>
      <c r="T44" s="2361"/>
      <c r="U44" s="2362"/>
      <c r="V44" s="2593"/>
      <c r="W44" s="1462"/>
      <c r="X44" s="1463"/>
      <c r="Y44" s="2352"/>
      <c r="Z44" s="2362"/>
      <c r="AA44" s="2362"/>
      <c r="AB44" s="2358"/>
      <c r="AC44" s="2358"/>
      <c r="AD44" s="2358"/>
      <c r="AE44" s="2358"/>
      <c r="AF44" s="2358"/>
      <c r="AG44" s="1462"/>
      <c r="AH44" s="2358"/>
      <c r="AI44" s="2352"/>
      <c r="AJ44" s="2362"/>
      <c r="AK44" s="2362"/>
      <c r="AL44" s="1462"/>
      <c r="AM44" s="2355"/>
      <c r="AN44" s="2352"/>
      <c r="AO44" s="2362"/>
      <c r="AP44" s="2361"/>
      <c r="AQ44" s="2358"/>
      <c r="AR44" s="2358"/>
      <c r="AS44" s="2355"/>
      <c r="AT44" s="2362"/>
      <c r="AU44" s="2362"/>
      <c r="AV44" s="1462">
        <v>5000</v>
      </c>
      <c r="AW44" s="1463">
        <v>1</v>
      </c>
      <c r="AX44" s="2352">
        <v>43098</v>
      </c>
      <c r="AY44" s="2353">
        <v>48</v>
      </c>
      <c r="AZ44" s="2361">
        <v>43107</v>
      </c>
      <c r="BA44" s="2366">
        <v>28888</v>
      </c>
      <c r="BB44" s="2363">
        <v>3.7</v>
      </c>
      <c r="BC44" s="2364">
        <v>43194</v>
      </c>
      <c r="BD44" s="2363">
        <v>48</v>
      </c>
      <c r="BE44" s="2364">
        <v>43193</v>
      </c>
      <c r="BF44" s="2358"/>
      <c r="BG44" s="2358"/>
      <c r="BH44" s="2358"/>
      <c r="BI44" s="2358"/>
      <c r="BJ44" s="2358"/>
    </row>
    <row r="45" spans="1:62">
      <c r="A45" s="2350">
        <v>43</v>
      </c>
      <c r="B45" s="2369"/>
      <c r="C45" s="1462"/>
      <c r="D45" s="1463"/>
      <c r="E45" s="2361"/>
      <c r="F45" s="2362"/>
      <c r="G45" s="2362"/>
      <c r="H45" s="1462"/>
      <c r="I45" s="1475"/>
      <c r="J45" s="2361"/>
      <c r="K45" s="2362"/>
      <c r="L45" s="2362"/>
      <c r="M45" s="1462"/>
      <c r="N45" s="1475"/>
      <c r="O45" s="2361"/>
      <c r="P45" s="2362"/>
      <c r="Q45" s="2362"/>
      <c r="R45" s="1462"/>
      <c r="S45" s="1475"/>
      <c r="T45" s="2361"/>
      <c r="U45" s="2362"/>
      <c r="V45" s="2593"/>
      <c r="W45" s="1462"/>
      <c r="X45" s="1463"/>
      <c r="Y45" s="2352"/>
      <c r="Z45" s="2362"/>
      <c r="AA45" s="2362"/>
      <c r="AB45" s="2358"/>
      <c r="AC45" s="2358"/>
      <c r="AD45" s="2358"/>
      <c r="AE45" s="2358"/>
      <c r="AF45" s="2358"/>
      <c r="AG45" s="1462"/>
      <c r="AH45" s="2358"/>
      <c r="AI45" s="2352"/>
      <c r="AJ45" s="2362"/>
      <c r="AK45" s="2362"/>
      <c r="AL45" s="1462"/>
      <c r="AM45" s="2355"/>
      <c r="AN45" s="2352"/>
      <c r="AO45" s="2362"/>
      <c r="AP45" s="2361"/>
      <c r="AQ45" s="2358"/>
      <c r="AR45" s="2358"/>
      <c r="AS45" s="2355"/>
      <c r="AT45" s="2362"/>
      <c r="AU45" s="2362"/>
      <c r="AV45" s="1462">
        <v>2000</v>
      </c>
      <c r="AW45" s="1463">
        <v>1</v>
      </c>
      <c r="AX45" s="2352">
        <v>43098</v>
      </c>
      <c r="AY45" s="2353">
        <v>48</v>
      </c>
      <c r="AZ45" s="2361">
        <v>43107</v>
      </c>
      <c r="BA45" s="2366">
        <v>3600</v>
      </c>
      <c r="BB45" s="2363">
        <v>3.7</v>
      </c>
      <c r="BC45" s="2364">
        <v>43194</v>
      </c>
      <c r="BD45" s="2363">
        <v>48</v>
      </c>
      <c r="BE45" s="2364">
        <v>43193</v>
      </c>
      <c r="BF45" s="2358"/>
      <c r="BG45" s="2358"/>
      <c r="BH45" s="2358"/>
      <c r="BI45" s="2358"/>
      <c r="BJ45" s="2358"/>
    </row>
    <row r="46" spans="1:62">
      <c r="A46" s="2360">
        <v>44</v>
      </c>
      <c r="B46" s="2351">
        <f>C46+H46+M46+R46+W46+AB46+AG46+AL46+AQ46+AV46+BA46+BF46</f>
        <v>38888</v>
      </c>
      <c r="C46" s="1462"/>
      <c r="D46" s="1463"/>
      <c r="E46" s="2361"/>
      <c r="F46" s="2362"/>
      <c r="G46" s="2362"/>
      <c r="H46" s="1462"/>
      <c r="I46" s="1475"/>
      <c r="J46" s="2361"/>
      <c r="K46" s="2362"/>
      <c r="L46" s="2362"/>
      <c r="M46" s="1462"/>
      <c r="N46" s="1475"/>
      <c r="O46" s="2361"/>
      <c r="P46" s="2362"/>
      <c r="Q46" s="2362"/>
      <c r="R46" s="1462"/>
      <c r="S46" s="1475"/>
      <c r="T46" s="2361"/>
      <c r="U46" s="2362"/>
      <c r="V46" s="2593"/>
      <c r="W46" s="1462"/>
      <c r="X46" s="1463"/>
      <c r="Y46" s="2352"/>
      <c r="Z46" s="2362"/>
      <c r="AA46" s="2362"/>
      <c r="AB46" s="2358"/>
      <c r="AC46" s="2358"/>
      <c r="AD46" s="2358"/>
      <c r="AE46" s="2358"/>
      <c r="AF46" s="2358"/>
      <c r="AG46" s="1462"/>
      <c r="AH46" s="2358"/>
      <c r="AI46" s="2352"/>
      <c r="AJ46" s="2362"/>
      <c r="AK46" s="2362"/>
      <c r="AL46" s="1462"/>
      <c r="AM46" s="2355"/>
      <c r="AN46" s="2352"/>
      <c r="AO46" s="2362"/>
      <c r="AP46" s="2361"/>
      <c r="AQ46" s="2358"/>
      <c r="AR46" s="2358"/>
      <c r="AS46" s="2355"/>
      <c r="AT46" s="2362"/>
      <c r="AU46" s="2362"/>
      <c r="AV46" s="1462">
        <v>10000</v>
      </c>
      <c r="AW46" s="1463">
        <v>1</v>
      </c>
      <c r="AX46" s="2352">
        <v>43098</v>
      </c>
      <c r="AY46" s="2353">
        <v>48</v>
      </c>
      <c r="AZ46" s="2361">
        <v>43107</v>
      </c>
      <c r="BA46" s="2366">
        <v>28888</v>
      </c>
      <c r="BB46" s="2363">
        <v>3.7</v>
      </c>
      <c r="BC46" s="2364">
        <v>43194</v>
      </c>
      <c r="BD46" s="2363">
        <v>48</v>
      </c>
      <c r="BE46" s="2364">
        <v>43193</v>
      </c>
      <c r="BF46" s="2358"/>
      <c r="BG46" s="2358"/>
      <c r="BH46" s="2358"/>
      <c r="BI46" s="2358"/>
      <c r="BJ46" s="2358"/>
    </row>
    <row r="47" spans="1:62">
      <c r="A47" s="2350">
        <v>45</v>
      </c>
      <c r="B47" s="2351">
        <f t="shared" ref="B47:B54" si="2">C47+H47+M47+R47+W47+AB47+AG47+AL47+AQ47+AV47+BA47+BF47</f>
        <v>6600</v>
      </c>
      <c r="C47" s="1462"/>
      <c r="D47" s="1463"/>
      <c r="E47" s="2361"/>
      <c r="F47" s="2362"/>
      <c r="G47" s="2362"/>
      <c r="H47" s="1462"/>
      <c r="I47" s="1475"/>
      <c r="J47" s="2361"/>
      <c r="K47" s="2362"/>
      <c r="L47" s="2362"/>
      <c r="M47" s="1462"/>
      <c r="N47" s="1475"/>
      <c r="O47" s="2361"/>
      <c r="P47" s="2362"/>
      <c r="Q47" s="2362"/>
      <c r="R47" s="1462"/>
      <c r="S47" s="1475"/>
      <c r="T47" s="2361"/>
      <c r="U47" s="2362"/>
      <c r="V47" s="2593"/>
      <c r="W47" s="1462"/>
      <c r="X47" s="1463"/>
      <c r="Y47" s="2352"/>
      <c r="Z47" s="2362"/>
      <c r="AA47" s="2362"/>
      <c r="AB47" s="2358"/>
      <c r="AC47" s="2358"/>
      <c r="AD47" s="2358"/>
      <c r="AE47" s="2358"/>
      <c r="AF47" s="2358"/>
      <c r="AG47" s="1462"/>
      <c r="AH47" s="2358"/>
      <c r="AI47" s="2352"/>
      <c r="AJ47" s="2362"/>
      <c r="AK47" s="2362"/>
      <c r="AL47" s="1462"/>
      <c r="AM47" s="2355"/>
      <c r="AN47" s="2352"/>
      <c r="AO47" s="2362"/>
      <c r="AP47" s="2361"/>
      <c r="AQ47" s="2358"/>
      <c r="AR47" s="2358"/>
      <c r="AS47" s="2355"/>
      <c r="AT47" s="2362"/>
      <c r="AU47" s="2362"/>
      <c r="AV47" s="1462">
        <v>3000</v>
      </c>
      <c r="AW47" s="1463">
        <v>1</v>
      </c>
      <c r="AX47" s="2352">
        <v>43098</v>
      </c>
      <c r="AY47" s="2353">
        <v>48</v>
      </c>
      <c r="AZ47" s="2361">
        <v>43107</v>
      </c>
      <c r="BA47" s="2366">
        <v>3600</v>
      </c>
      <c r="BB47" s="2363">
        <v>3.7</v>
      </c>
      <c r="BC47" s="2364">
        <v>43194</v>
      </c>
      <c r="BD47" s="2363">
        <v>48</v>
      </c>
      <c r="BE47" s="2364">
        <v>43193</v>
      </c>
      <c r="BF47" s="2358"/>
      <c r="BG47" s="2358"/>
      <c r="BH47" s="2358"/>
      <c r="BI47" s="2358"/>
      <c r="BJ47" s="2358"/>
    </row>
    <row r="48" spans="1:62">
      <c r="A48" s="2360">
        <v>46</v>
      </c>
      <c r="B48" s="2351">
        <f t="shared" si="2"/>
        <v>5600</v>
      </c>
      <c r="C48" s="1462"/>
      <c r="D48" s="1463"/>
      <c r="E48" s="2361"/>
      <c r="F48" s="2362"/>
      <c r="G48" s="2362"/>
      <c r="H48" s="1462"/>
      <c r="I48" s="1475"/>
      <c r="J48" s="2361"/>
      <c r="K48" s="2362"/>
      <c r="L48" s="2362"/>
      <c r="M48" s="1462"/>
      <c r="N48" s="1475"/>
      <c r="O48" s="2361"/>
      <c r="P48" s="2362"/>
      <c r="Q48" s="2362"/>
      <c r="R48" s="1462"/>
      <c r="S48" s="1475"/>
      <c r="T48" s="2361"/>
      <c r="U48" s="2362"/>
      <c r="V48" s="2593"/>
      <c r="W48" s="1462"/>
      <c r="X48" s="1463"/>
      <c r="Y48" s="2352"/>
      <c r="Z48" s="2362"/>
      <c r="AA48" s="2362"/>
      <c r="AB48" s="2358"/>
      <c r="AC48" s="2358"/>
      <c r="AD48" s="2358"/>
      <c r="AE48" s="2358"/>
      <c r="AF48" s="2358"/>
      <c r="AG48" s="1462"/>
      <c r="AH48" s="2358"/>
      <c r="AI48" s="2352"/>
      <c r="AJ48" s="2362"/>
      <c r="AK48" s="2362"/>
      <c r="AL48" s="1462"/>
      <c r="AM48" s="2355"/>
      <c r="AN48" s="2352"/>
      <c r="AO48" s="2362"/>
      <c r="AP48" s="2361"/>
      <c r="AQ48" s="2358"/>
      <c r="AR48" s="2358"/>
      <c r="AS48" s="2355"/>
      <c r="AT48" s="2362"/>
      <c r="AU48" s="2362"/>
      <c r="AV48" s="1462">
        <v>2000</v>
      </c>
      <c r="AW48" s="1463">
        <v>1</v>
      </c>
      <c r="AX48" s="2352">
        <v>43098</v>
      </c>
      <c r="AY48" s="2353">
        <v>48</v>
      </c>
      <c r="AZ48" s="2361">
        <v>43107</v>
      </c>
      <c r="BA48" s="2366">
        <v>3600</v>
      </c>
      <c r="BB48" s="2363">
        <v>3.7</v>
      </c>
      <c r="BC48" s="2364">
        <v>43194</v>
      </c>
      <c r="BD48" s="2363">
        <v>48</v>
      </c>
      <c r="BE48" s="2364">
        <v>43193</v>
      </c>
      <c r="BF48" s="2358"/>
      <c r="BG48" s="2358"/>
      <c r="BH48" s="2358"/>
      <c r="BI48" s="2358"/>
      <c r="BJ48" s="2358"/>
    </row>
    <row r="49" spans="1:62">
      <c r="A49" s="2350">
        <v>47</v>
      </c>
      <c r="B49" s="2351">
        <f t="shared" si="2"/>
        <v>5600</v>
      </c>
      <c r="C49" s="1462"/>
      <c r="D49" s="1463"/>
      <c r="E49" s="2361"/>
      <c r="F49" s="2362"/>
      <c r="G49" s="2362"/>
      <c r="H49" s="1462"/>
      <c r="I49" s="1475"/>
      <c r="J49" s="2361"/>
      <c r="K49" s="2362"/>
      <c r="L49" s="2362"/>
      <c r="M49" s="1462"/>
      <c r="N49" s="1475"/>
      <c r="O49" s="2361"/>
      <c r="P49" s="2362"/>
      <c r="Q49" s="2362"/>
      <c r="R49" s="1462"/>
      <c r="S49" s="1475"/>
      <c r="T49" s="2361"/>
      <c r="U49" s="2362"/>
      <c r="V49" s="2593"/>
      <c r="W49" s="1462"/>
      <c r="X49" s="1463"/>
      <c r="Y49" s="2352"/>
      <c r="Z49" s="2362"/>
      <c r="AA49" s="2362"/>
      <c r="AB49" s="2358"/>
      <c r="AC49" s="2358"/>
      <c r="AD49" s="2358"/>
      <c r="AE49" s="2358"/>
      <c r="AF49" s="2358"/>
      <c r="AG49" s="1462"/>
      <c r="AH49" s="2358"/>
      <c r="AI49" s="2352"/>
      <c r="AJ49" s="2362"/>
      <c r="AK49" s="2362"/>
      <c r="AL49" s="1462"/>
      <c r="AM49" s="2355"/>
      <c r="AN49" s="2352"/>
      <c r="AO49" s="2362"/>
      <c r="AP49" s="2361"/>
      <c r="AQ49" s="2358"/>
      <c r="AR49" s="2358"/>
      <c r="AS49" s="2355"/>
      <c r="AT49" s="2362"/>
      <c r="AU49" s="2362"/>
      <c r="AV49" s="1462">
        <v>2000</v>
      </c>
      <c r="AW49" s="1463">
        <v>1</v>
      </c>
      <c r="AX49" s="2352">
        <v>43098</v>
      </c>
      <c r="AY49" s="2353">
        <v>48</v>
      </c>
      <c r="AZ49" s="2361">
        <v>43107</v>
      </c>
      <c r="BA49" s="2366">
        <v>3600</v>
      </c>
      <c r="BB49" s="2363">
        <v>3.7</v>
      </c>
      <c r="BC49" s="2364">
        <v>43194</v>
      </c>
      <c r="BD49" s="2363">
        <v>48</v>
      </c>
      <c r="BE49" s="2364">
        <v>43193</v>
      </c>
      <c r="BF49" s="2358"/>
      <c r="BG49" s="2358"/>
      <c r="BH49" s="2358"/>
      <c r="BI49" s="2358"/>
      <c r="BJ49" s="2358"/>
    </row>
    <row r="50" spans="1:62">
      <c r="A50" s="2360">
        <v>48</v>
      </c>
      <c r="B50" s="2351">
        <f t="shared" si="2"/>
        <v>6600</v>
      </c>
      <c r="C50" s="1462"/>
      <c r="D50" s="1463"/>
      <c r="E50" s="2361"/>
      <c r="F50" s="2362"/>
      <c r="G50" s="2362"/>
      <c r="H50" s="1462"/>
      <c r="I50" s="1475"/>
      <c r="J50" s="2361"/>
      <c r="K50" s="2362"/>
      <c r="L50" s="2362"/>
      <c r="M50" s="1462"/>
      <c r="N50" s="1475"/>
      <c r="O50" s="2361"/>
      <c r="P50" s="2362"/>
      <c r="Q50" s="2362"/>
      <c r="R50" s="1462"/>
      <c r="S50" s="1475"/>
      <c r="T50" s="2361"/>
      <c r="U50" s="2362"/>
      <c r="V50" s="2593"/>
      <c r="W50" s="1462"/>
      <c r="X50" s="1463"/>
      <c r="Y50" s="2352"/>
      <c r="Z50" s="2362"/>
      <c r="AA50" s="2362"/>
      <c r="AB50" s="2358"/>
      <c r="AC50" s="2358"/>
      <c r="AD50" s="2358"/>
      <c r="AE50" s="2358"/>
      <c r="AF50" s="2358"/>
      <c r="AG50" s="1462"/>
      <c r="AH50" s="2358"/>
      <c r="AI50" s="2352"/>
      <c r="AJ50" s="2362"/>
      <c r="AK50" s="2362"/>
      <c r="AL50" s="1462"/>
      <c r="AM50" s="2355"/>
      <c r="AN50" s="2352"/>
      <c r="AO50" s="2362"/>
      <c r="AP50" s="2361"/>
      <c r="AQ50" s="2358"/>
      <c r="AR50" s="2358"/>
      <c r="AS50" s="2355"/>
      <c r="AT50" s="2362"/>
      <c r="AU50" s="2362"/>
      <c r="AV50" s="1462">
        <v>3000</v>
      </c>
      <c r="AW50" s="1463">
        <v>1</v>
      </c>
      <c r="AX50" s="2352">
        <v>43098</v>
      </c>
      <c r="AY50" s="2353">
        <v>48</v>
      </c>
      <c r="AZ50" s="2361">
        <v>43107</v>
      </c>
      <c r="BA50" s="2366">
        <v>3600</v>
      </c>
      <c r="BB50" s="2363">
        <v>3.7</v>
      </c>
      <c r="BC50" s="2364">
        <v>43194</v>
      </c>
      <c r="BD50" s="2363">
        <v>48</v>
      </c>
      <c r="BE50" s="2364">
        <v>43193</v>
      </c>
      <c r="BF50" s="2358"/>
      <c r="BG50" s="2358"/>
      <c r="BH50" s="2358"/>
      <c r="BI50" s="2358"/>
      <c r="BJ50" s="2358"/>
    </row>
    <row r="51" spans="1:62">
      <c r="A51" s="2350">
        <v>49</v>
      </c>
      <c r="B51" s="2351">
        <f t="shared" si="2"/>
        <v>5600</v>
      </c>
      <c r="C51" s="1462"/>
      <c r="D51" s="1463"/>
      <c r="E51" s="2361"/>
      <c r="F51" s="2362"/>
      <c r="G51" s="2362"/>
      <c r="H51" s="1462"/>
      <c r="I51" s="1475"/>
      <c r="J51" s="2361"/>
      <c r="K51" s="2362"/>
      <c r="L51" s="2362"/>
      <c r="M51" s="1462"/>
      <c r="N51" s="1475"/>
      <c r="O51" s="2361"/>
      <c r="P51" s="2362"/>
      <c r="Q51" s="2362"/>
      <c r="R51" s="1462"/>
      <c r="S51" s="1475"/>
      <c r="T51" s="2361"/>
      <c r="U51" s="2362"/>
      <c r="V51" s="2593"/>
      <c r="W51" s="1462"/>
      <c r="X51" s="1463"/>
      <c r="Y51" s="2352"/>
      <c r="Z51" s="2362"/>
      <c r="AA51" s="2362"/>
      <c r="AB51" s="2358"/>
      <c r="AC51" s="2358"/>
      <c r="AD51" s="2358"/>
      <c r="AE51" s="2358"/>
      <c r="AF51" s="2358"/>
      <c r="AG51" s="1462"/>
      <c r="AH51" s="2358"/>
      <c r="AI51" s="2352"/>
      <c r="AJ51" s="2362"/>
      <c r="AK51" s="2362"/>
      <c r="AL51" s="1462"/>
      <c r="AM51" s="2355"/>
      <c r="AN51" s="2352"/>
      <c r="AO51" s="2362"/>
      <c r="AP51" s="2361"/>
      <c r="AQ51" s="2358"/>
      <c r="AR51" s="2358"/>
      <c r="AS51" s="2355"/>
      <c r="AT51" s="2362"/>
      <c r="AU51" s="2362"/>
      <c r="AV51" s="1462">
        <v>2000</v>
      </c>
      <c r="AW51" s="1463">
        <v>1</v>
      </c>
      <c r="AX51" s="2352">
        <v>43098</v>
      </c>
      <c r="AY51" s="2353">
        <v>48</v>
      </c>
      <c r="AZ51" s="2361">
        <v>43107</v>
      </c>
      <c r="BA51" s="2366">
        <v>3600</v>
      </c>
      <c r="BB51" s="2363">
        <v>3.7</v>
      </c>
      <c r="BC51" s="2364">
        <v>43194</v>
      </c>
      <c r="BD51" s="2363">
        <v>48</v>
      </c>
      <c r="BE51" s="2364">
        <v>43193</v>
      </c>
      <c r="BF51" s="2358"/>
      <c r="BG51" s="2358"/>
      <c r="BH51" s="2358"/>
      <c r="BI51" s="2358"/>
      <c r="BJ51" s="2358"/>
    </row>
    <row r="52" spans="1:62">
      <c r="A52" s="2360">
        <v>50</v>
      </c>
      <c r="B52" s="2351">
        <f t="shared" si="2"/>
        <v>5600</v>
      </c>
      <c r="C52" s="1462"/>
      <c r="D52" s="1463"/>
      <c r="E52" s="2361"/>
      <c r="F52" s="2362"/>
      <c r="G52" s="2362"/>
      <c r="H52" s="1462"/>
      <c r="I52" s="1475"/>
      <c r="J52" s="2361"/>
      <c r="K52" s="2362"/>
      <c r="L52" s="2362"/>
      <c r="M52" s="1462"/>
      <c r="N52" s="1475"/>
      <c r="O52" s="2361"/>
      <c r="P52" s="2362"/>
      <c r="Q52" s="2362"/>
      <c r="R52" s="1462"/>
      <c r="S52" s="1475"/>
      <c r="T52" s="2361"/>
      <c r="U52" s="2362"/>
      <c r="V52" s="2593"/>
      <c r="W52" s="1462"/>
      <c r="X52" s="1463"/>
      <c r="Y52" s="2352"/>
      <c r="Z52" s="2362"/>
      <c r="AA52" s="2362"/>
      <c r="AB52" s="2358"/>
      <c r="AC52" s="2358"/>
      <c r="AD52" s="2358"/>
      <c r="AE52" s="2358"/>
      <c r="AF52" s="2358"/>
      <c r="AG52" s="1462"/>
      <c r="AH52" s="2358"/>
      <c r="AI52" s="2352"/>
      <c r="AJ52" s="2362"/>
      <c r="AK52" s="2362"/>
      <c r="AL52" s="1462"/>
      <c r="AM52" s="2355"/>
      <c r="AN52" s="2352"/>
      <c r="AO52" s="2362"/>
      <c r="AP52" s="2361"/>
      <c r="AQ52" s="2358"/>
      <c r="AR52" s="2358"/>
      <c r="AS52" s="2355"/>
      <c r="AT52" s="2362"/>
      <c r="AU52" s="2362"/>
      <c r="AV52" s="1462">
        <v>2000</v>
      </c>
      <c r="AW52" s="1463">
        <v>1</v>
      </c>
      <c r="AX52" s="2352">
        <v>43098</v>
      </c>
      <c r="AY52" s="2353">
        <v>48</v>
      </c>
      <c r="AZ52" s="2361">
        <v>43107</v>
      </c>
      <c r="BA52" s="2366">
        <v>3600</v>
      </c>
      <c r="BB52" s="2363">
        <v>3.7</v>
      </c>
      <c r="BC52" s="2364">
        <v>43194</v>
      </c>
      <c r="BD52" s="2363">
        <v>48</v>
      </c>
      <c r="BE52" s="2364">
        <v>43193</v>
      </c>
      <c r="BF52" s="2358"/>
      <c r="BG52" s="2358"/>
      <c r="BH52" s="2358"/>
      <c r="BI52" s="2358"/>
      <c r="BJ52" s="2358"/>
    </row>
    <row r="53" spans="1:62">
      <c r="A53" s="2350">
        <v>51</v>
      </c>
      <c r="B53" s="2351">
        <f t="shared" si="2"/>
        <v>2000</v>
      </c>
      <c r="C53" s="1462"/>
      <c r="D53" s="1463"/>
      <c r="E53" s="2361"/>
      <c r="F53" s="2362"/>
      <c r="G53" s="2362"/>
      <c r="H53" s="1462"/>
      <c r="I53" s="1475"/>
      <c r="J53" s="2361"/>
      <c r="K53" s="2362"/>
      <c r="L53" s="2362"/>
      <c r="M53" s="1462"/>
      <c r="N53" s="1475"/>
      <c r="O53" s="2361"/>
      <c r="P53" s="2362"/>
      <c r="Q53" s="2362"/>
      <c r="R53" s="1462"/>
      <c r="S53" s="1475"/>
      <c r="T53" s="2361"/>
      <c r="U53" s="2362"/>
      <c r="V53" s="2593"/>
      <c r="W53" s="1462"/>
      <c r="X53" s="1463"/>
      <c r="Y53" s="2352"/>
      <c r="Z53" s="2362"/>
      <c r="AA53" s="2362"/>
      <c r="AB53" s="2358"/>
      <c r="AC53" s="2358"/>
      <c r="AD53" s="2358"/>
      <c r="AE53" s="2358"/>
      <c r="AF53" s="2358"/>
      <c r="AG53" s="1462"/>
      <c r="AH53" s="2358"/>
      <c r="AI53" s="2352"/>
      <c r="AJ53" s="2362"/>
      <c r="AK53" s="2362"/>
      <c r="AL53" s="1462"/>
      <c r="AM53" s="2355"/>
      <c r="AN53" s="2352"/>
      <c r="AO53" s="2362"/>
      <c r="AP53" s="2361"/>
      <c r="AQ53" s="2358"/>
      <c r="AR53" s="2358"/>
      <c r="AS53" s="2355"/>
      <c r="AT53" s="2362"/>
      <c r="AU53" s="2362"/>
      <c r="AV53" s="1462">
        <v>1000</v>
      </c>
      <c r="AW53" s="1463">
        <v>1</v>
      </c>
      <c r="AX53" s="2352">
        <v>43098</v>
      </c>
      <c r="AY53" s="2353">
        <v>48</v>
      </c>
      <c r="AZ53" s="2361">
        <v>43107</v>
      </c>
      <c r="BA53" s="2366">
        <v>1000</v>
      </c>
      <c r="BB53" s="2363">
        <v>3.7</v>
      </c>
      <c r="BC53" s="2364">
        <v>43194</v>
      </c>
      <c r="BD53" s="2363">
        <v>48</v>
      </c>
      <c r="BE53" s="2364">
        <v>43193</v>
      </c>
      <c r="BF53" s="2358"/>
      <c r="BG53" s="2358"/>
      <c r="BH53" s="2358"/>
      <c r="BI53" s="2358"/>
      <c r="BJ53" s="2358"/>
    </row>
    <row r="54" spans="1:62">
      <c r="A54" s="2360">
        <v>52</v>
      </c>
      <c r="B54" s="2351">
        <f t="shared" si="2"/>
        <v>2000</v>
      </c>
      <c r="C54" s="1462"/>
      <c r="D54" s="1463"/>
      <c r="E54" s="2361"/>
      <c r="F54" s="2362"/>
      <c r="G54" s="2362"/>
      <c r="H54" s="1462"/>
      <c r="I54" s="1475"/>
      <c r="J54" s="2361"/>
      <c r="K54" s="2362"/>
      <c r="L54" s="2362"/>
      <c r="M54" s="1462"/>
      <c r="N54" s="1475"/>
      <c r="O54" s="2361"/>
      <c r="P54" s="2362"/>
      <c r="Q54" s="2362"/>
      <c r="R54" s="1462"/>
      <c r="S54" s="1475"/>
      <c r="T54" s="2361"/>
      <c r="U54" s="2362"/>
      <c r="V54" s="2593"/>
      <c r="W54" s="1462"/>
      <c r="X54" s="1463"/>
      <c r="Y54" s="2352"/>
      <c r="Z54" s="2362"/>
      <c r="AA54" s="2362"/>
      <c r="AB54" s="2358"/>
      <c r="AC54" s="2358"/>
      <c r="AD54" s="2358"/>
      <c r="AE54" s="2358"/>
      <c r="AF54" s="2358"/>
      <c r="AG54" s="1462"/>
      <c r="AH54" s="2358"/>
      <c r="AI54" s="2352"/>
      <c r="AJ54" s="2362"/>
      <c r="AK54" s="2362"/>
      <c r="AL54" s="1462"/>
      <c r="AM54" s="2355"/>
      <c r="AN54" s="2352"/>
      <c r="AO54" s="2362"/>
      <c r="AP54" s="2361"/>
      <c r="AQ54" s="2358"/>
      <c r="AR54" s="2358"/>
      <c r="AS54" s="2355"/>
      <c r="AT54" s="2362"/>
      <c r="AU54" s="2362"/>
      <c r="AV54" s="1462">
        <v>1000</v>
      </c>
      <c r="AW54" s="1463">
        <v>1</v>
      </c>
      <c r="AX54" s="2352">
        <v>43098</v>
      </c>
      <c r="AY54" s="2353">
        <v>48</v>
      </c>
      <c r="AZ54" s="2361">
        <v>43107</v>
      </c>
      <c r="BA54" s="2366">
        <v>1000</v>
      </c>
      <c r="BB54" s="2363">
        <v>3.7</v>
      </c>
      <c r="BC54" s="2364">
        <v>43194</v>
      </c>
      <c r="BD54" s="2363">
        <v>48</v>
      </c>
      <c r="BE54" s="2364">
        <v>43193</v>
      </c>
      <c r="BF54" s="2358"/>
      <c r="BG54" s="2358"/>
      <c r="BH54" s="2358"/>
      <c r="BI54" s="2358"/>
      <c r="BJ54" s="2358"/>
    </row>
    <row r="55" spans="1:62">
      <c r="A55" s="2350">
        <v>53</v>
      </c>
      <c r="B55" s="2371"/>
      <c r="C55" s="1462"/>
      <c r="D55" s="1463"/>
      <c r="E55" s="2361"/>
      <c r="F55" s="2362"/>
      <c r="G55" s="2362"/>
      <c r="H55" s="1462"/>
      <c r="I55" s="1475"/>
      <c r="J55" s="2361"/>
      <c r="K55" s="2362"/>
      <c r="L55" s="2362"/>
      <c r="M55" s="1462"/>
      <c r="N55" s="1475"/>
      <c r="O55" s="2361"/>
      <c r="P55" s="2362"/>
      <c r="Q55" s="2362"/>
      <c r="R55" s="1462"/>
      <c r="S55" s="1475"/>
      <c r="T55" s="2361"/>
      <c r="U55" s="2362"/>
      <c r="V55" s="2593"/>
      <c r="W55" s="1462"/>
      <c r="X55" s="1463"/>
      <c r="Y55" s="2352"/>
      <c r="Z55" s="2362"/>
      <c r="AA55" s="2362"/>
      <c r="AB55" s="2358"/>
      <c r="AC55" s="2358"/>
      <c r="AD55" s="2358"/>
      <c r="AE55" s="2358"/>
      <c r="AF55" s="2358"/>
      <c r="AG55" s="1462"/>
      <c r="AH55" s="2358"/>
      <c r="AI55" s="2352"/>
      <c r="AJ55" s="2362"/>
      <c r="AK55" s="2362"/>
      <c r="AL55" s="1462"/>
      <c r="AM55" s="2355"/>
      <c r="AN55" s="2352"/>
      <c r="AO55" s="2362"/>
      <c r="AP55" s="2361"/>
      <c r="AQ55" s="2358"/>
      <c r="AR55" s="2358"/>
      <c r="AS55" s="2355"/>
      <c r="AT55" s="2362"/>
      <c r="AU55" s="2362"/>
      <c r="AV55" s="1462">
        <v>1000</v>
      </c>
      <c r="AW55" s="1463">
        <v>1</v>
      </c>
      <c r="AX55" s="2352">
        <v>43098</v>
      </c>
      <c r="AY55" s="2353">
        <v>48</v>
      </c>
      <c r="AZ55" s="2361">
        <v>43107</v>
      </c>
      <c r="BA55" s="2366">
        <v>893</v>
      </c>
      <c r="BB55" s="2363">
        <v>3.7</v>
      </c>
      <c r="BC55" s="2364">
        <v>43194</v>
      </c>
      <c r="BD55" s="2363">
        <v>48</v>
      </c>
      <c r="BE55" s="2364">
        <v>43193</v>
      </c>
      <c r="BF55" s="2358"/>
      <c r="BG55" s="2358"/>
      <c r="BH55" s="2358"/>
      <c r="BI55" s="2358"/>
      <c r="BJ55" s="2358"/>
    </row>
    <row r="56" spans="1:62">
      <c r="A56" s="2360">
        <v>54</v>
      </c>
      <c r="B56" s="2351">
        <f>C56+H56+M56+R56+W56+AB56+AG56+AL56+AQ56+AV56+BA56+BF56</f>
        <v>228888</v>
      </c>
      <c r="C56" s="1462"/>
      <c r="D56" s="1463"/>
      <c r="E56" s="2361"/>
      <c r="F56" s="2362"/>
      <c r="G56" s="2362"/>
      <c r="H56" s="1462"/>
      <c r="I56" s="1475"/>
      <c r="J56" s="2361"/>
      <c r="K56" s="2362"/>
      <c r="L56" s="2362"/>
      <c r="M56" s="1462"/>
      <c r="N56" s="1475"/>
      <c r="O56" s="2361"/>
      <c r="P56" s="2362"/>
      <c r="Q56" s="2362"/>
      <c r="R56" s="1462"/>
      <c r="S56" s="1475"/>
      <c r="T56" s="2361"/>
      <c r="U56" s="2362"/>
      <c r="V56" s="2593"/>
      <c r="W56" s="1462"/>
      <c r="X56" s="1463"/>
      <c r="Y56" s="2352"/>
      <c r="Z56" s="2362"/>
      <c r="AA56" s="2362"/>
      <c r="AB56" s="2358"/>
      <c r="AC56" s="2358"/>
      <c r="AD56" s="2358"/>
      <c r="AE56" s="2358"/>
      <c r="AF56" s="2358"/>
      <c r="AG56" s="1462"/>
      <c r="AH56" s="2358"/>
      <c r="AI56" s="2352"/>
      <c r="AJ56" s="2362"/>
      <c r="AK56" s="2362"/>
      <c r="AL56" s="1462"/>
      <c r="AM56" s="2355"/>
      <c r="AN56" s="2352"/>
      <c r="AO56" s="2362"/>
      <c r="AP56" s="2362"/>
      <c r="AQ56" s="2365">
        <v>50000</v>
      </c>
      <c r="AR56" s="2358">
        <v>1</v>
      </c>
      <c r="AS56" s="2352">
        <v>42933</v>
      </c>
      <c r="AT56" s="2362">
        <v>48</v>
      </c>
      <c r="AU56" s="2361">
        <v>42940</v>
      </c>
      <c r="AV56" s="1462">
        <v>20000</v>
      </c>
      <c r="AW56" s="1463">
        <v>1</v>
      </c>
      <c r="AX56" s="2352">
        <v>43098</v>
      </c>
      <c r="AY56" s="2353">
        <v>48</v>
      </c>
      <c r="AZ56" s="2361">
        <v>43107</v>
      </c>
      <c r="BA56" s="2366">
        <v>58888</v>
      </c>
      <c r="BB56" s="2363">
        <v>3.7</v>
      </c>
      <c r="BC56" s="2364">
        <v>43194</v>
      </c>
      <c r="BD56" s="2363">
        <v>48</v>
      </c>
      <c r="BE56" s="2364">
        <v>43193</v>
      </c>
      <c r="BF56" s="2358">
        <v>100000</v>
      </c>
      <c r="BG56" s="2363">
        <v>3.7</v>
      </c>
      <c r="BH56" s="2367">
        <v>43252</v>
      </c>
      <c r="BI56" s="2358">
        <v>48</v>
      </c>
      <c r="BJ56" s="2367">
        <v>43252</v>
      </c>
    </row>
    <row r="57" spans="1:62">
      <c r="A57" s="2350">
        <v>55</v>
      </c>
      <c r="B57" s="2351">
        <f t="shared" ref="B57:B64" si="3">C57+H57+M57+R57+W57+AB57+AG57+AL57+AQ57+AV57+BA57+BF57</f>
        <v>5600</v>
      </c>
      <c r="C57" s="1462"/>
      <c r="D57" s="1463"/>
      <c r="E57" s="2361"/>
      <c r="F57" s="2362"/>
      <c r="G57" s="2362"/>
      <c r="H57" s="1462"/>
      <c r="I57" s="1475"/>
      <c r="J57" s="2361"/>
      <c r="K57" s="2362"/>
      <c r="L57" s="2362"/>
      <c r="M57" s="1462"/>
      <c r="N57" s="1475"/>
      <c r="O57" s="2361"/>
      <c r="P57" s="2362"/>
      <c r="Q57" s="2362"/>
      <c r="R57" s="1462"/>
      <c r="S57" s="1475"/>
      <c r="T57" s="2361"/>
      <c r="U57" s="2362"/>
      <c r="V57" s="2593"/>
      <c r="W57" s="1462"/>
      <c r="X57" s="1463"/>
      <c r="Y57" s="2352"/>
      <c r="Z57" s="2362"/>
      <c r="AA57" s="2362"/>
      <c r="AB57" s="2358"/>
      <c r="AC57" s="2358"/>
      <c r="AD57" s="2358"/>
      <c r="AE57" s="2358"/>
      <c r="AF57" s="2358"/>
      <c r="AG57" s="1462"/>
      <c r="AH57" s="2358"/>
      <c r="AI57" s="2352"/>
      <c r="AJ57" s="2362"/>
      <c r="AK57" s="2362"/>
      <c r="AL57" s="1462"/>
      <c r="AM57" s="2355"/>
      <c r="AN57" s="2352"/>
      <c r="AO57" s="2362"/>
      <c r="AP57" s="2362"/>
      <c r="AQ57" s="2365"/>
      <c r="AR57" s="2358"/>
      <c r="AS57" s="2352"/>
      <c r="AT57" s="2362"/>
      <c r="AU57" s="2361"/>
      <c r="AV57" s="1462">
        <v>2000</v>
      </c>
      <c r="AW57" s="1463">
        <v>1</v>
      </c>
      <c r="AX57" s="2352">
        <v>43098</v>
      </c>
      <c r="AY57" s="2353">
        <v>48</v>
      </c>
      <c r="AZ57" s="2361">
        <v>43107</v>
      </c>
      <c r="BA57" s="2366">
        <v>3600</v>
      </c>
      <c r="BB57" s="2363">
        <v>3.7</v>
      </c>
      <c r="BC57" s="2364">
        <v>43194</v>
      </c>
      <c r="BD57" s="2363">
        <v>48</v>
      </c>
      <c r="BE57" s="2364">
        <v>43193</v>
      </c>
      <c r="BF57" s="2358"/>
      <c r="BG57" s="2358"/>
      <c r="BH57" s="2358"/>
      <c r="BI57" s="2358"/>
      <c r="BJ57" s="2358"/>
    </row>
    <row r="58" spans="1:62">
      <c r="A58" s="2360">
        <v>56</v>
      </c>
      <c r="B58" s="2351">
        <f t="shared" si="3"/>
        <v>4600</v>
      </c>
      <c r="C58" s="1462"/>
      <c r="D58" s="1463"/>
      <c r="E58" s="2361"/>
      <c r="F58" s="2362"/>
      <c r="G58" s="2362"/>
      <c r="H58" s="1462"/>
      <c r="I58" s="1475"/>
      <c r="J58" s="2361"/>
      <c r="K58" s="2362"/>
      <c r="L58" s="2362"/>
      <c r="M58" s="1462"/>
      <c r="N58" s="1475"/>
      <c r="O58" s="2361"/>
      <c r="P58" s="2362"/>
      <c r="Q58" s="2362"/>
      <c r="R58" s="1462"/>
      <c r="S58" s="1475"/>
      <c r="T58" s="2361"/>
      <c r="U58" s="2362"/>
      <c r="V58" s="2593"/>
      <c r="W58" s="1462"/>
      <c r="X58" s="1463"/>
      <c r="Y58" s="2352"/>
      <c r="Z58" s="2362"/>
      <c r="AA58" s="2362"/>
      <c r="AB58" s="2358"/>
      <c r="AC58" s="2358"/>
      <c r="AD58" s="2358"/>
      <c r="AE58" s="2358"/>
      <c r="AF58" s="2358"/>
      <c r="AG58" s="1462"/>
      <c r="AH58" s="2358"/>
      <c r="AI58" s="2352"/>
      <c r="AJ58" s="2362"/>
      <c r="AK58" s="2362"/>
      <c r="AL58" s="1462"/>
      <c r="AM58" s="2355"/>
      <c r="AN58" s="2352"/>
      <c r="AO58" s="2362"/>
      <c r="AP58" s="2362"/>
      <c r="AQ58" s="2365"/>
      <c r="AR58" s="2358"/>
      <c r="AS58" s="2352"/>
      <c r="AT58" s="2362"/>
      <c r="AU58" s="2361"/>
      <c r="AV58" s="1462">
        <v>1000</v>
      </c>
      <c r="AW58" s="1463">
        <v>1</v>
      </c>
      <c r="AX58" s="2352">
        <v>43098</v>
      </c>
      <c r="AY58" s="2353">
        <v>48</v>
      </c>
      <c r="AZ58" s="2361">
        <v>43107</v>
      </c>
      <c r="BA58" s="2366">
        <v>3600</v>
      </c>
      <c r="BB58" s="2363">
        <v>3.7</v>
      </c>
      <c r="BC58" s="2364">
        <v>43194</v>
      </c>
      <c r="BD58" s="2363">
        <v>48</v>
      </c>
      <c r="BE58" s="2364">
        <v>43193</v>
      </c>
      <c r="BF58" s="2358"/>
      <c r="BG58" s="2358"/>
      <c r="BH58" s="2358"/>
      <c r="BI58" s="2358"/>
      <c r="BJ58" s="2358"/>
    </row>
    <row r="59" spans="1:62">
      <c r="A59" s="2350">
        <v>57</v>
      </c>
      <c r="B59" s="2351">
        <f t="shared" si="3"/>
        <v>5600</v>
      </c>
      <c r="C59" s="1462"/>
      <c r="D59" s="1463"/>
      <c r="E59" s="2361"/>
      <c r="F59" s="2362"/>
      <c r="G59" s="2362"/>
      <c r="H59" s="1462"/>
      <c r="I59" s="1475"/>
      <c r="J59" s="2361"/>
      <c r="K59" s="2362"/>
      <c r="L59" s="2362"/>
      <c r="M59" s="1462"/>
      <c r="N59" s="1475"/>
      <c r="O59" s="2361"/>
      <c r="P59" s="2362"/>
      <c r="Q59" s="2362"/>
      <c r="R59" s="1462"/>
      <c r="S59" s="1475"/>
      <c r="T59" s="2361"/>
      <c r="U59" s="2362"/>
      <c r="V59" s="2593"/>
      <c r="W59" s="1462"/>
      <c r="X59" s="1463"/>
      <c r="Y59" s="2352"/>
      <c r="Z59" s="2362"/>
      <c r="AA59" s="2362"/>
      <c r="AB59" s="2358"/>
      <c r="AC59" s="2358"/>
      <c r="AD59" s="2358"/>
      <c r="AE59" s="2358"/>
      <c r="AF59" s="2358"/>
      <c r="AG59" s="1462"/>
      <c r="AH59" s="2358"/>
      <c r="AI59" s="2352"/>
      <c r="AJ59" s="2362"/>
      <c r="AK59" s="2362"/>
      <c r="AL59" s="1462"/>
      <c r="AM59" s="2355"/>
      <c r="AN59" s="2352"/>
      <c r="AO59" s="2362"/>
      <c r="AP59" s="2362"/>
      <c r="AQ59" s="2365"/>
      <c r="AR59" s="2358"/>
      <c r="AS59" s="2352"/>
      <c r="AT59" s="2362"/>
      <c r="AU59" s="2361"/>
      <c r="AV59" s="1462">
        <v>2000</v>
      </c>
      <c r="AW59" s="1463">
        <v>1</v>
      </c>
      <c r="AX59" s="2352">
        <v>43098</v>
      </c>
      <c r="AY59" s="2353">
        <v>48</v>
      </c>
      <c r="AZ59" s="2361">
        <v>43107</v>
      </c>
      <c r="BA59" s="2366">
        <v>3600</v>
      </c>
      <c r="BB59" s="2363">
        <v>3.7</v>
      </c>
      <c r="BC59" s="2364">
        <v>43194</v>
      </c>
      <c r="BD59" s="2363">
        <v>48</v>
      </c>
      <c r="BE59" s="2364">
        <v>43193</v>
      </c>
      <c r="BF59" s="2358"/>
      <c r="BG59" s="2358"/>
      <c r="BH59" s="2358"/>
      <c r="BI59" s="2358"/>
      <c r="BJ59" s="2358"/>
    </row>
    <row r="60" spans="1:62">
      <c r="A60" s="2360">
        <v>58</v>
      </c>
      <c r="B60" s="2351">
        <f t="shared" si="3"/>
        <v>4600</v>
      </c>
      <c r="C60" s="1462"/>
      <c r="D60" s="1463"/>
      <c r="E60" s="2361"/>
      <c r="F60" s="2362"/>
      <c r="G60" s="2362"/>
      <c r="H60" s="1462"/>
      <c r="I60" s="1475"/>
      <c r="J60" s="2361"/>
      <c r="K60" s="2362"/>
      <c r="L60" s="2362"/>
      <c r="M60" s="1462"/>
      <c r="N60" s="1475"/>
      <c r="O60" s="2361"/>
      <c r="P60" s="2362"/>
      <c r="Q60" s="2362"/>
      <c r="R60" s="1462"/>
      <c r="S60" s="1475"/>
      <c r="T60" s="2361"/>
      <c r="U60" s="2362"/>
      <c r="V60" s="2593"/>
      <c r="W60" s="1462"/>
      <c r="X60" s="1463"/>
      <c r="Y60" s="2352"/>
      <c r="Z60" s="2362"/>
      <c r="AA60" s="2362"/>
      <c r="AB60" s="2358"/>
      <c r="AC60" s="2358"/>
      <c r="AD60" s="2358"/>
      <c r="AE60" s="2358"/>
      <c r="AF60" s="2358"/>
      <c r="AG60" s="1462"/>
      <c r="AH60" s="2358"/>
      <c r="AI60" s="2352"/>
      <c r="AJ60" s="2362"/>
      <c r="AK60" s="2362"/>
      <c r="AL60" s="1462"/>
      <c r="AM60" s="2355"/>
      <c r="AN60" s="2352"/>
      <c r="AO60" s="2362"/>
      <c r="AP60" s="2362"/>
      <c r="AQ60" s="2365"/>
      <c r="AR60" s="2358"/>
      <c r="AS60" s="2352"/>
      <c r="AT60" s="2362"/>
      <c r="AU60" s="2361"/>
      <c r="AV60" s="1462">
        <v>1000</v>
      </c>
      <c r="AW60" s="1463">
        <v>1</v>
      </c>
      <c r="AX60" s="2352">
        <v>43098</v>
      </c>
      <c r="AY60" s="2353">
        <v>48</v>
      </c>
      <c r="AZ60" s="2361">
        <v>43107</v>
      </c>
      <c r="BA60" s="2366">
        <v>3600</v>
      </c>
      <c r="BB60" s="2363">
        <v>3.7</v>
      </c>
      <c r="BC60" s="2364">
        <v>43194</v>
      </c>
      <c r="BD60" s="2363">
        <v>48</v>
      </c>
      <c r="BE60" s="2364">
        <v>43193</v>
      </c>
      <c r="BF60" s="2358"/>
      <c r="BG60" s="2358"/>
      <c r="BH60" s="2358"/>
      <c r="BI60" s="2358"/>
      <c r="BJ60" s="2358"/>
    </row>
    <row r="61" spans="1:62">
      <c r="A61" s="2350">
        <v>59</v>
      </c>
      <c r="B61" s="2351">
        <f t="shared" si="3"/>
        <v>4600</v>
      </c>
      <c r="C61" s="1462"/>
      <c r="D61" s="1463"/>
      <c r="E61" s="2361"/>
      <c r="F61" s="2362"/>
      <c r="G61" s="2362"/>
      <c r="H61" s="1462"/>
      <c r="I61" s="1475"/>
      <c r="J61" s="2361"/>
      <c r="K61" s="2362"/>
      <c r="L61" s="2362"/>
      <c r="M61" s="1462"/>
      <c r="N61" s="1475"/>
      <c r="O61" s="2361"/>
      <c r="P61" s="2362"/>
      <c r="Q61" s="2362"/>
      <c r="R61" s="1462"/>
      <c r="S61" s="1475"/>
      <c r="T61" s="2361"/>
      <c r="U61" s="2362"/>
      <c r="V61" s="2593"/>
      <c r="W61" s="1462"/>
      <c r="X61" s="1463"/>
      <c r="Y61" s="2352"/>
      <c r="Z61" s="2362"/>
      <c r="AA61" s="2362"/>
      <c r="AB61" s="2358"/>
      <c r="AC61" s="2358"/>
      <c r="AD61" s="2358"/>
      <c r="AE61" s="2358"/>
      <c r="AF61" s="2358"/>
      <c r="AG61" s="1462"/>
      <c r="AH61" s="2358"/>
      <c r="AI61" s="2352"/>
      <c r="AJ61" s="2362"/>
      <c r="AK61" s="2362"/>
      <c r="AL61" s="1462"/>
      <c r="AM61" s="2355"/>
      <c r="AN61" s="2352"/>
      <c r="AO61" s="2362"/>
      <c r="AP61" s="2362"/>
      <c r="AQ61" s="2365"/>
      <c r="AR61" s="2358"/>
      <c r="AS61" s="2352"/>
      <c r="AT61" s="2362"/>
      <c r="AU61" s="2361"/>
      <c r="AV61" s="1462">
        <v>1000</v>
      </c>
      <c r="AW61" s="1463">
        <v>1</v>
      </c>
      <c r="AX61" s="2352">
        <v>43098</v>
      </c>
      <c r="AY61" s="2353">
        <v>48</v>
      </c>
      <c r="AZ61" s="2361">
        <v>43107</v>
      </c>
      <c r="BA61" s="2366">
        <v>3600</v>
      </c>
      <c r="BB61" s="2363">
        <v>3.7</v>
      </c>
      <c r="BC61" s="2364">
        <v>43194</v>
      </c>
      <c r="BD61" s="2363">
        <v>48</v>
      </c>
      <c r="BE61" s="2364">
        <v>43193</v>
      </c>
      <c r="BF61" s="2358"/>
      <c r="BG61" s="2358"/>
      <c r="BH61" s="2358"/>
      <c r="BI61" s="2358"/>
      <c r="BJ61" s="2358"/>
    </row>
    <row r="62" spans="1:62">
      <c r="A62" s="2360">
        <v>60</v>
      </c>
      <c r="B62" s="2351">
        <f t="shared" si="3"/>
        <v>253888</v>
      </c>
      <c r="C62" s="1462"/>
      <c r="D62" s="1475"/>
      <c r="E62" s="2361"/>
      <c r="F62" s="2362"/>
      <c r="G62" s="2362"/>
      <c r="H62" s="1462"/>
      <c r="I62" s="1475"/>
      <c r="J62" s="2361"/>
      <c r="K62" s="2362"/>
      <c r="L62" s="2362"/>
      <c r="M62" s="1462"/>
      <c r="N62" s="1475"/>
      <c r="O62" s="2361"/>
      <c r="P62" s="2362"/>
      <c r="Q62" s="2362"/>
      <c r="R62" s="1462"/>
      <c r="S62" s="1475"/>
      <c r="T62" s="2361"/>
      <c r="U62" s="2362"/>
      <c r="V62" s="2593"/>
      <c r="W62" s="1462"/>
      <c r="X62" s="1475"/>
      <c r="Y62" s="2361"/>
      <c r="Z62" s="2362"/>
      <c r="AA62" s="2362"/>
      <c r="AB62" s="2358"/>
      <c r="AC62" s="2358"/>
      <c r="AD62" s="2358"/>
      <c r="AE62" s="2358"/>
      <c r="AF62" s="2358"/>
      <c r="AG62" s="1462"/>
      <c r="AH62" s="2358"/>
      <c r="AI62" s="2361"/>
      <c r="AJ62" s="2362"/>
      <c r="AK62" s="2362"/>
      <c r="AL62" s="1462"/>
      <c r="AM62" s="2358"/>
      <c r="AN62" s="2361"/>
      <c r="AO62" s="2362"/>
      <c r="AP62" s="2362"/>
      <c r="AQ62" s="2365">
        <v>100000</v>
      </c>
      <c r="AR62" s="2600">
        <v>10</v>
      </c>
      <c r="AS62" s="2361">
        <v>42962</v>
      </c>
      <c r="AT62" s="2362">
        <v>48</v>
      </c>
      <c r="AU62" s="2361">
        <v>42940</v>
      </c>
      <c r="AV62" s="1462"/>
      <c r="AW62" s="1463"/>
      <c r="AX62" s="2352"/>
      <c r="AY62" s="2353"/>
      <c r="AZ62" s="2361"/>
      <c r="BA62" s="2366">
        <v>53888</v>
      </c>
      <c r="BB62" s="2599">
        <v>3.7</v>
      </c>
      <c r="BC62" s="2364">
        <v>43194</v>
      </c>
      <c r="BD62" s="2363">
        <v>48</v>
      </c>
      <c r="BE62" s="2364">
        <v>43193</v>
      </c>
      <c r="BF62" s="2358">
        <v>100000</v>
      </c>
      <c r="BG62" s="2363">
        <v>7</v>
      </c>
      <c r="BH62" s="2367">
        <v>43252</v>
      </c>
      <c r="BI62" s="2358">
        <v>48</v>
      </c>
      <c r="BJ62" s="2367">
        <v>43252</v>
      </c>
    </row>
    <row r="63" spans="1:62">
      <c r="A63" s="2350">
        <v>61</v>
      </c>
      <c r="B63" s="2351">
        <f t="shared" si="3"/>
        <v>4600</v>
      </c>
      <c r="C63" s="1462"/>
      <c r="D63" s="1475"/>
      <c r="E63" s="2361"/>
      <c r="F63" s="2362"/>
      <c r="G63" s="2362"/>
      <c r="H63" s="1462"/>
      <c r="I63" s="1475"/>
      <c r="J63" s="2361"/>
      <c r="K63" s="2362"/>
      <c r="L63" s="2362"/>
      <c r="M63" s="1462"/>
      <c r="N63" s="1475"/>
      <c r="O63" s="2361"/>
      <c r="P63" s="2362"/>
      <c r="Q63" s="2362"/>
      <c r="R63" s="1462"/>
      <c r="S63" s="1475"/>
      <c r="T63" s="2361"/>
      <c r="U63" s="2362"/>
      <c r="V63" s="2593"/>
      <c r="W63" s="1462"/>
      <c r="X63" s="1475"/>
      <c r="Y63" s="2361"/>
      <c r="Z63" s="2362"/>
      <c r="AA63" s="2362"/>
      <c r="AB63" s="2358"/>
      <c r="AC63" s="2358"/>
      <c r="AD63" s="2358"/>
      <c r="AE63" s="2358"/>
      <c r="AF63" s="2358"/>
      <c r="AG63" s="1462"/>
      <c r="AH63" s="2358"/>
      <c r="AI63" s="2361"/>
      <c r="AJ63" s="2362"/>
      <c r="AK63" s="2362"/>
      <c r="AL63" s="1462"/>
      <c r="AM63" s="2358"/>
      <c r="AN63" s="2361"/>
      <c r="AO63" s="2362"/>
      <c r="AP63" s="2362"/>
      <c r="AQ63" s="2365"/>
      <c r="AR63" s="2358"/>
      <c r="AS63" s="2361"/>
      <c r="AT63" s="2362"/>
      <c r="AU63" s="2361"/>
      <c r="AV63" s="1462">
        <v>1000</v>
      </c>
      <c r="AW63" s="1463">
        <v>1</v>
      </c>
      <c r="AX63" s="2352">
        <v>43098</v>
      </c>
      <c r="AY63" s="2353">
        <v>48</v>
      </c>
      <c r="AZ63" s="2361">
        <v>43107</v>
      </c>
      <c r="BA63" s="2366">
        <v>3600</v>
      </c>
      <c r="BB63" s="2363">
        <v>3.7</v>
      </c>
      <c r="BC63" s="2364">
        <v>43194</v>
      </c>
      <c r="BD63" s="2363">
        <v>48</v>
      </c>
      <c r="BE63" s="2364">
        <v>43193</v>
      </c>
      <c r="BF63" s="2358"/>
      <c r="BG63" s="2358"/>
      <c r="BH63" s="2358"/>
      <c r="BI63" s="2358"/>
      <c r="BJ63" s="2358"/>
    </row>
    <row r="64" spans="1:62">
      <c r="A64" s="2360">
        <v>62</v>
      </c>
      <c r="B64" s="2351">
        <f t="shared" si="3"/>
        <v>4600</v>
      </c>
      <c r="C64" s="1462"/>
      <c r="D64" s="1475"/>
      <c r="E64" s="2361"/>
      <c r="F64" s="2362"/>
      <c r="G64" s="2362"/>
      <c r="H64" s="1462"/>
      <c r="I64" s="1475"/>
      <c r="J64" s="2361"/>
      <c r="K64" s="2362"/>
      <c r="L64" s="2362"/>
      <c r="M64" s="1462"/>
      <c r="N64" s="1475"/>
      <c r="O64" s="2361"/>
      <c r="P64" s="2362"/>
      <c r="Q64" s="2362"/>
      <c r="R64" s="1462"/>
      <c r="S64" s="1475"/>
      <c r="T64" s="2361"/>
      <c r="U64" s="2362"/>
      <c r="V64" s="2593"/>
      <c r="W64" s="1462"/>
      <c r="X64" s="1475"/>
      <c r="Y64" s="2361"/>
      <c r="Z64" s="2362"/>
      <c r="AA64" s="2362"/>
      <c r="AB64" s="2358"/>
      <c r="AC64" s="2358"/>
      <c r="AD64" s="2358"/>
      <c r="AE64" s="2358"/>
      <c r="AF64" s="2358"/>
      <c r="AG64" s="1462"/>
      <c r="AH64" s="2358"/>
      <c r="AI64" s="2361"/>
      <c r="AJ64" s="2362"/>
      <c r="AK64" s="2362"/>
      <c r="AL64" s="1462"/>
      <c r="AM64" s="2358"/>
      <c r="AN64" s="2361"/>
      <c r="AO64" s="2362"/>
      <c r="AP64" s="2362"/>
      <c r="AQ64" s="2365"/>
      <c r="AR64" s="2358"/>
      <c r="AS64" s="2361"/>
      <c r="AT64" s="2362"/>
      <c r="AU64" s="2361"/>
      <c r="AV64" s="1462">
        <v>1000</v>
      </c>
      <c r="AW64" s="1463">
        <v>1</v>
      </c>
      <c r="AX64" s="2352">
        <v>43098</v>
      </c>
      <c r="AY64" s="2353">
        <v>48</v>
      </c>
      <c r="AZ64" s="2361">
        <v>43107</v>
      </c>
      <c r="BA64" s="2366">
        <v>3600</v>
      </c>
      <c r="BB64" s="2363">
        <v>3.7</v>
      </c>
      <c r="BC64" s="2364">
        <v>43194</v>
      </c>
      <c r="BD64" s="2363">
        <v>48</v>
      </c>
      <c r="BE64" s="2364">
        <v>43193</v>
      </c>
      <c r="BF64" s="2358"/>
      <c r="BG64" s="2358"/>
      <c r="BH64" s="2358"/>
      <c r="BI64" s="2358"/>
      <c r="BJ64" s="2358"/>
    </row>
    <row r="65" spans="1:62">
      <c r="A65" s="2350">
        <v>63</v>
      </c>
      <c r="B65" s="2372">
        <v>12500</v>
      </c>
      <c r="C65" s="1462"/>
      <c r="D65" s="1463"/>
      <c r="E65" s="2361"/>
      <c r="F65" s="2362"/>
      <c r="G65" s="2362"/>
      <c r="H65" s="1462"/>
      <c r="I65" s="1475"/>
      <c r="J65" s="2361"/>
      <c r="K65" s="2362"/>
      <c r="L65" s="2362"/>
      <c r="M65" s="1462"/>
      <c r="N65" s="1475"/>
      <c r="O65" s="2361"/>
      <c r="P65" s="2362"/>
      <c r="Q65" s="2362"/>
      <c r="R65" s="1462"/>
      <c r="S65" s="1475"/>
      <c r="T65" s="2361"/>
      <c r="U65" s="2362"/>
      <c r="V65" s="2593"/>
      <c r="W65" s="1462"/>
      <c r="X65" s="1463"/>
      <c r="Y65" s="2352"/>
      <c r="Z65" s="2362"/>
      <c r="AA65" s="2362"/>
      <c r="AB65" s="2358"/>
      <c r="AC65" s="2358"/>
      <c r="AD65" s="2358"/>
      <c r="AE65" s="2358"/>
      <c r="AF65" s="2358"/>
      <c r="AG65" s="1462"/>
      <c r="AH65" s="2358"/>
      <c r="AI65" s="2352"/>
      <c r="AJ65" s="2362"/>
      <c r="AK65" s="2362"/>
      <c r="AL65" s="1462"/>
      <c r="AM65" s="2358"/>
      <c r="AN65" s="2352"/>
      <c r="AO65" s="2362"/>
      <c r="AP65" s="2362"/>
      <c r="AQ65" s="2365">
        <v>100000</v>
      </c>
      <c r="AR65" s="2358">
        <v>1</v>
      </c>
      <c r="AS65" s="2361">
        <v>43006</v>
      </c>
      <c r="AT65" s="2362">
        <v>48</v>
      </c>
      <c r="AU65" s="2361">
        <v>43107</v>
      </c>
      <c r="AV65" s="1462"/>
      <c r="AW65" s="1463"/>
      <c r="AX65" s="2352"/>
      <c r="AY65" s="2353"/>
      <c r="AZ65" s="2361"/>
      <c r="BA65" s="2366"/>
      <c r="BB65" s="2363"/>
      <c r="BC65" s="2364"/>
      <c r="BD65" s="2363"/>
      <c r="BE65" s="2364"/>
      <c r="BF65" s="2358"/>
      <c r="BG65" s="2358"/>
      <c r="BH65" s="2358"/>
      <c r="BI65" s="2358"/>
      <c r="BJ65" s="2358"/>
    </row>
    <row r="66" spans="1:62">
      <c r="A66" s="2360">
        <v>64</v>
      </c>
      <c r="B66" s="2351">
        <f>C66+H66+M66+R66+W66+AB66+AG66+AL66+AQ66+AV66+BA66+BF66</f>
        <v>4600</v>
      </c>
      <c r="C66" s="1462"/>
      <c r="D66" s="1463"/>
      <c r="E66" s="2361"/>
      <c r="F66" s="2362"/>
      <c r="G66" s="2362"/>
      <c r="H66" s="1462"/>
      <c r="I66" s="1475"/>
      <c r="J66" s="2361"/>
      <c r="K66" s="2362"/>
      <c r="L66" s="2362"/>
      <c r="M66" s="1462"/>
      <c r="N66" s="1475"/>
      <c r="O66" s="2361"/>
      <c r="P66" s="2362"/>
      <c r="Q66" s="2362"/>
      <c r="R66" s="1462"/>
      <c r="S66" s="1475"/>
      <c r="T66" s="2361"/>
      <c r="U66" s="2362"/>
      <c r="V66" s="2593"/>
      <c r="W66" s="1462"/>
      <c r="X66" s="1463"/>
      <c r="Y66" s="2352"/>
      <c r="Z66" s="2362"/>
      <c r="AA66" s="2362"/>
      <c r="AB66" s="2358"/>
      <c r="AC66" s="2358"/>
      <c r="AD66" s="2358"/>
      <c r="AE66" s="2358"/>
      <c r="AF66" s="2358"/>
      <c r="AG66" s="1462"/>
      <c r="AH66" s="2358"/>
      <c r="AI66" s="2352"/>
      <c r="AJ66" s="2362"/>
      <c r="AK66" s="2362"/>
      <c r="AL66" s="1462"/>
      <c r="AM66" s="2358"/>
      <c r="AN66" s="2352"/>
      <c r="AO66" s="2362"/>
      <c r="AP66" s="2362"/>
      <c r="AQ66" s="2365"/>
      <c r="AR66" s="2358"/>
      <c r="AS66" s="2361"/>
      <c r="AT66" s="2362"/>
      <c r="AU66" s="2361"/>
      <c r="AV66" s="1462">
        <v>1000</v>
      </c>
      <c r="AW66" s="1463">
        <v>1</v>
      </c>
      <c r="AX66" s="2352">
        <v>43098</v>
      </c>
      <c r="AY66" s="2353">
        <v>48</v>
      </c>
      <c r="AZ66" s="2361">
        <v>43107</v>
      </c>
      <c r="BA66" s="2366">
        <v>3600</v>
      </c>
      <c r="BB66" s="2363">
        <v>3.7</v>
      </c>
      <c r="BC66" s="2364">
        <v>43194</v>
      </c>
      <c r="BD66" s="2363">
        <v>48</v>
      </c>
      <c r="BE66" s="2364">
        <v>43193</v>
      </c>
      <c r="BF66" s="2358"/>
      <c r="BG66" s="2358"/>
      <c r="BH66" s="2358"/>
      <c r="BI66" s="2358"/>
      <c r="BJ66" s="2358"/>
    </row>
    <row r="67" spans="1:62">
      <c r="A67" s="2350">
        <v>65</v>
      </c>
      <c r="B67" s="2351">
        <f t="shared" ref="B67:B74" si="4">C67+H67+M67+R67+W67+AB67+AG67+AL67+AQ67+AV67+BA67+BF67</f>
        <v>4600</v>
      </c>
      <c r="C67" s="1462"/>
      <c r="D67" s="1463"/>
      <c r="E67" s="2361"/>
      <c r="F67" s="2362"/>
      <c r="G67" s="2362"/>
      <c r="H67" s="1462"/>
      <c r="I67" s="1475"/>
      <c r="J67" s="2361"/>
      <c r="K67" s="2362"/>
      <c r="L67" s="2362"/>
      <c r="M67" s="1462"/>
      <c r="N67" s="1475"/>
      <c r="O67" s="2361"/>
      <c r="P67" s="2362"/>
      <c r="Q67" s="2362"/>
      <c r="R67" s="1462"/>
      <c r="S67" s="1463"/>
      <c r="T67" s="2361"/>
      <c r="U67" s="2362"/>
      <c r="V67" s="2593"/>
      <c r="W67" s="1462"/>
      <c r="X67" s="1463"/>
      <c r="Y67" s="2352"/>
      <c r="Z67" s="2362"/>
      <c r="AA67" s="2362"/>
      <c r="AB67" s="2358"/>
      <c r="AC67" s="2358"/>
      <c r="AD67" s="2358"/>
      <c r="AE67" s="2358"/>
      <c r="AF67" s="2358"/>
      <c r="AG67" s="1462"/>
      <c r="AH67" s="2358"/>
      <c r="AI67" s="2352"/>
      <c r="AJ67" s="2362"/>
      <c r="AK67" s="2362"/>
      <c r="AL67" s="1462"/>
      <c r="AM67" s="2358"/>
      <c r="AN67" s="2352"/>
      <c r="AO67" s="2362"/>
      <c r="AP67" s="2362"/>
      <c r="AQ67" s="2365"/>
      <c r="AR67" s="2358"/>
      <c r="AS67" s="2361"/>
      <c r="AT67" s="2362"/>
      <c r="AU67" s="2361"/>
      <c r="AV67" s="1462">
        <v>1000</v>
      </c>
      <c r="AW67" s="1463">
        <v>1</v>
      </c>
      <c r="AX67" s="2352">
        <v>43098</v>
      </c>
      <c r="AY67" s="2353">
        <v>48</v>
      </c>
      <c r="AZ67" s="2361">
        <v>43107</v>
      </c>
      <c r="BA67" s="2366">
        <v>3600</v>
      </c>
      <c r="BB67" s="2363">
        <v>3.7</v>
      </c>
      <c r="BC67" s="2364">
        <v>43194</v>
      </c>
      <c r="BD67" s="2363">
        <v>48</v>
      </c>
      <c r="BE67" s="2364">
        <v>43193</v>
      </c>
      <c r="BF67" s="2358"/>
      <c r="BG67" s="2358"/>
      <c r="BH67" s="2358"/>
      <c r="BI67" s="2358"/>
      <c r="BJ67" s="2358"/>
    </row>
    <row r="68" spans="1:62">
      <c r="A68" s="2360">
        <v>66</v>
      </c>
      <c r="B68" s="2351">
        <f t="shared" si="4"/>
        <v>15000</v>
      </c>
      <c r="C68" s="1462"/>
      <c r="D68" s="1463"/>
      <c r="E68" s="2361"/>
      <c r="F68" s="2362"/>
      <c r="G68" s="2362"/>
      <c r="H68" s="1462"/>
      <c r="I68" s="1475"/>
      <c r="J68" s="2361"/>
      <c r="K68" s="2362"/>
      <c r="L68" s="2362"/>
      <c r="M68" s="1462"/>
      <c r="N68" s="1475"/>
      <c r="O68" s="2361"/>
      <c r="P68" s="2362"/>
      <c r="Q68" s="2362"/>
      <c r="R68" s="1462"/>
      <c r="S68" s="1463"/>
      <c r="T68" s="2361"/>
      <c r="U68" s="2362"/>
      <c r="V68" s="2593"/>
      <c r="W68" s="1462"/>
      <c r="X68" s="1463"/>
      <c r="Y68" s="2352"/>
      <c r="Z68" s="2362"/>
      <c r="AA68" s="2362"/>
      <c r="AB68" s="2358"/>
      <c r="AC68" s="2358"/>
      <c r="AD68" s="2358"/>
      <c r="AE68" s="2358"/>
      <c r="AF68" s="2358"/>
      <c r="AG68" s="1462"/>
      <c r="AH68" s="2358"/>
      <c r="AI68" s="2352"/>
      <c r="AJ68" s="2362"/>
      <c r="AK68" s="2362"/>
      <c r="AL68" s="1462"/>
      <c r="AM68" s="2358"/>
      <c r="AN68" s="2352"/>
      <c r="AO68" s="2362"/>
      <c r="AP68" s="2362"/>
      <c r="AQ68" s="2365"/>
      <c r="AR68" s="2358"/>
      <c r="AS68" s="2361"/>
      <c r="AT68" s="2362"/>
      <c r="AU68" s="2361"/>
      <c r="AV68" s="1462">
        <v>5000</v>
      </c>
      <c r="AW68" s="1463">
        <v>1</v>
      </c>
      <c r="AX68" s="2352">
        <v>43098</v>
      </c>
      <c r="AY68" s="2353">
        <v>48</v>
      </c>
      <c r="AZ68" s="2361">
        <v>43107</v>
      </c>
      <c r="BA68" s="2366">
        <v>10000</v>
      </c>
      <c r="BB68" s="2363">
        <v>3.7</v>
      </c>
      <c r="BC68" s="2364">
        <v>43194</v>
      </c>
      <c r="BD68" s="2363">
        <v>48</v>
      </c>
      <c r="BE68" s="2364">
        <v>43193</v>
      </c>
      <c r="BF68" s="2358"/>
      <c r="BG68" s="2358"/>
      <c r="BH68" s="2358"/>
      <c r="BI68" s="2358"/>
      <c r="BJ68" s="2358"/>
    </row>
    <row r="69" spans="1:62">
      <c r="A69" s="2350">
        <v>67</v>
      </c>
      <c r="B69" s="2351">
        <f t="shared" si="4"/>
        <v>4600</v>
      </c>
      <c r="C69" s="1462"/>
      <c r="D69" s="1463"/>
      <c r="E69" s="2361"/>
      <c r="F69" s="2362"/>
      <c r="G69" s="2362"/>
      <c r="H69" s="1462"/>
      <c r="I69" s="1475"/>
      <c r="J69" s="2361"/>
      <c r="K69" s="2362"/>
      <c r="L69" s="2362"/>
      <c r="M69" s="1462"/>
      <c r="N69" s="1475"/>
      <c r="O69" s="2361"/>
      <c r="P69" s="2362"/>
      <c r="Q69" s="2362"/>
      <c r="R69" s="1462"/>
      <c r="S69" s="1463"/>
      <c r="T69" s="2361"/>
      <c r="U69" s="2362"/>
      <c r="V69" s="2593"/>
      <c r="W69" s="1462"/>
      <c r="X69" s="1463"/>
      <c r="Y69" s="2352"/>
      <c r="Z69" s="2362"/>
      <c r="AA69" s="2362"/>
      <c r="AB69" s="2358"/>
      <c r="AC69" s="2358"/>
      <c r="AD69" s="2358"/>
      <c r="AE69" s="2358"/>
      <c r="AF69" s="2358"/>
      <c r="AG69" s="1462"/>
      <c r="AH69" s="2358"/>
      <c r="AI69" s="2352"/>
      <c r="AJ69" s="2362"/>
      <c r="AK69" s="2362"/>
      <c r="AL69" s="1462"/>
      <c r="AM69" s="2358"/>
      <c r="AN69" s="2352"/>
      <c r="AO69" s="2362"/>
      <c r="AP69" s="2362"/>
      <c r="AQ69" s="2365"/>
      <c r="AR69" s="2358"/>
      <c r="AS69" s="2361"/>
      <c r="AT69" s="2362"/>
      <c r="AU69" s="2361"/>
      <c r="AV69" s="1462">
        <v>1000</v>
      </c>
      <c r="AW69" s="1463">
        <v>1</v>
      </c>
      <c r="AX69" s="2352">
        <v>43098</v>
      </c>
      <c r="AY69" s="2353">
        <v>48</v>
      </c>
      <c r="AZ69" s="2361">
        <v>43107</v>
      </c>
      <c r="BA69" s="2366">
        <v>3600</v>
      </c>
      <c r="BB69" s="2363">
        <v>3.7</v>
      </c>
      <c r="BC69" s="2364">
        <v>43194</v>
      </c>
      <c r="BD69" s="2363">
        <v>48</v>
      </c>
      <c r="BE69" s="2364">
        <v>43193</v>
      </c>
      <c r="BF69" s="2358"/>
      <c r="BG69" s="2358"/>
      <c r="BH69" s="2358"/>
      <c r="BI69" s="2358"/>
      <c r="BJ69" s="2358"/>
    </row>
    <row r="70" spans="1:62">
      <c r="A70" s="2360">
        <v>68</v>
      </c>
      <c r="B70" s="2351">
        <f t="shared" si="4"/>
        <v>4600</v>
      </c>
      <c r="C70" s="1462"/>
      <c r="D70" s="1463"/>
      <c r="E70" s="2361"/>
      <c r="F70" s="2362"/>
      <c r="G70" s="2362"/>
      <c r="H70" s="1462"/>
      <c r="I70" s="1475"/>
      <c r="J70" s="2361"/>
      <c r="K70" s="2362"/>
      <c r="L70" s="2362"/>
      <c r="M70" s="1462"/>
      <c r="N70" s="1475"/>
      <c r="O70" s="2361"/>
      <c r="P70" s="2362"/>
      <c r="Q70" s="2362"/>
      <c r="R70" s="1462"/>
      <c r="S70" s="1463"/>
      <c r="T70" s="2361"/>
      <c r="U70" s="2362"/>
      <c r="V70" s="2593"/>
      <c r="W70" s="1462"/>
      <c r="X70" s="1463"/>
      <c r="Y70" s="2352"/>
      <c r="Z70" s="2362"/>
      <c r="AA70" s="2362"/>
      <c r="AB70" s="2358"/>
      <c r="AC70" s="2358"/>
      <c r="AD70" s="2358"/>
      <c r="AE70" s="2358"/>
      <c r="AF70" s="2358"/>
      <c r="AG70" s="1462"/>
      <c r="AH70" s="2358"/>
      <c r="AI70" s="2352"/>
      <c r="AJ70" s="2362"/>
      <c r="AK70" s="2362"/>
      <c r="AL70" s="1462"/>
      <c r="AM70" s="2358"/>
      <c r="AN70" s="2352"/>
      <c r="AO70" s="2362"/>
      <c r="AP70" s="2362"/>
      <c r="AQ70" s="2365"/>
      <c r="AR70" s="2358"/>
      <c r="AS70" s="2361"/>
      <c r="AT70" s="2362"/>
      <c r="AU70" s="2361"/>
      <c r="AV70" s="1462">
        <v>1000</v>
      </c>
      <c r="AW70" s="1463">
        <v>1</v>
      </c>
      <c r="AX70" s="2352">
        <v>43098</v>
      </c>
      <c r="AY70" s="2353">
        <v>48</v>
      </c>
      <c r="AZ70" s="2361">
        <v>43107</v>
      </c>
      <c r="BA70" s="2366">
        <v>3600</v>
      </c>
      <c r="BB70" s="2363">
        <v>3.7</v>
      </c>
      <c r="BC70" s="2364">
        <v>43194</v>
      </c>
      <c r="BD70" s="2363">
        <v>48</v>
      </c>
      <c r="BE70" s="2364">
        <v>43193</v>
      </c>
      <c r="BF70" s="2358"/>
      <c r="BG70" s="2358"/>
      <c r="BH70" s="2358"/>
      <c r="BI70" s="2358"/>
      <c r="BJ70" s="2358"/>
    </row>
    <row r="71" spans="1:62">
      <c r="A71" s="2350">
        <v>69</v>
      </c>
      <c r="B71" s="2351">
        <f t="shared" si="4"/>
        <v>3600</v>
      </c>
      <c r="C71" s="1462"/>
      <c r="D71" s="1463"/>
      <c r="E71" s="2361"/>
      <c r="F71" s="2362"/>
      <c r="G71" s="2362"/>
      <c r="H71" s="1462"/>
      <c r="I71" s="1475"/>
      <c r="J71" s="2361"/>
      <c r="K71" s="2362"/>
      <c r="L71" s="2362"/>
      <c r="M71" s="1462"/>
      <c r="N71" s="1475"/>
      <c r="O71" s="2361"/>
      <c r="P71" s="2362"/>
      <c r="Q71" s="2362"/>
      <c r="R71" s="1462"/>
      <c r="S71" s="1463"/>
      <c r="T71" s="2361"/>
      <c r="U71" s="2362"/>
      <c r="V71" s="2593"/>
      <c r="W71" s="1462"/>
      <c r="X71" s="1463"/>
      <c r="Y71" s="2352"/>
      <c r="Z71" s="2362"/>
      <c r="AA71" s="2362"/>
      <c r="AB71" s="2358"/>
      <c r="AC71" s="2358"/>
      <c r="AD71" s="2358"/>
      <c r="AE71" s="2358"/>
      <c r="AF71" s="2358"/>
      <c r="AG71" s="1462"/>
      <c r="AH71" s="2358"/>
      <c r="AI71" s="2352"/>
      <c r="AJ71" s="2362"/>
      <c r="AK71" s="2362"/>
      <c r="AL71" s="1462"/>
      <c r="AM71" s="2358"/>
      <c r="AN71" s="2352"/>
      <c r="AO71" s="2362"/>
      <c r="AP71" s="2362"/>
      <c r="AQ71" s="2365"/>
      <c r="AR71" s="2358"/>
      <c r="AS71" s="2361"/>
      <c r="AT71" s="2362"/>
      <c r="AU71" s="2361"/>
      <c r="AV71" s="1462"/>
      <c r="AW71" s="1463"/>
      <c r="AX71" s="2352"/>
      <c r="AY71" s="2353"/>
      <c r="AZ71" s="2361"/>
      <c r="BA71" s="2366">
        <v>3600</v>
      </c>
      <c r="BB71" s="2363">
        <v>3.7</v>
      </c>
      <c r="BC71" s="2364">
        <v>43194</v>
      </c>
      <c r="BD71" s="2363">
        <v>48</v>
      </c>
      <c r="BE71" s="2364">
        <v>43193</v>
      </c>
      <c r="BF71" s="2358"/>
      <c r="BG71" s="2358"/>
      <c r="BH71" s="2358"/>
      <c r="BI71" s="2358"/>
      <c r="BJ71" s="2358"/>
    </row>
    <row r="72" spans="1:62">
      <c r="A72" s="2360">
        <v>70</v>
      </c>
      <c r="B72" s="2351">
        <f t="shared" si="4"/>
        <v>3600</v>
      </c>
      <c r="C72" s="1462"/>
      <c r="D72" s="1463"/>
      <c r="E72" s="2361"/>
      <c r="F72" s="2362"/>
      <c r="G72" s="2362"/>
      <c r="H72" s="1462"/>
      <c r="I72" s="1475"/>
      <c r="J72" s="2361"/>
      <c r="K72" s="2362"/>
      <c r="L72" s="2362"/>
      <c r="M72" s="1462"/>
      <c r="N72" s="1475"/>
      <c r="O72" s="2361"/>
      <c r="P72" s="2362"/>
      <c r="Q72" s="2362"/>
      <c r="R72" s="1462"/>
      <c r="S72" s="1463"/>
      <c r="T72" s="2361"/>
      <c r="U72" s="2362"/>
      <c r="V72" s="2593"/>
      <c r="W72" s="1462"/>
      <c r="X72" s="1463"/>
      <c r="Y72" s="2352"/>
      <c r="Z72" s="2362"/>
      <c r="AA72" s="2362"/>
      <c r="AB72" s="2358"/>
      <c r="AC72" s="2358"/>
      <c r="AD72" s="2358"/>
      <c r="AE72" s="2358"/>
      <c r="AF72" s="2358"/>
      <c r="AG72" s="1462"/>
      <c r="AH72" s="2358"/>
      <c r="AI72" s="2352"/>
      <c r="AJ72" s="2362"/>
      <c r="AK72" s="2362"/>
      <c r="AL72" s="1462"/>
      <c r="AM72" s="2358"/>
      <c r="AN72" s="2352"/>
      <c r="AO72" s="2362"/>
      <c r="AP72" s="2362"/>
      <c r="AQ72" s="2365"/>
      <c r="AR72" s="2358"/>
      <c r="AS72" s="2361"/>
      <c r="AT72" s="2362"/>
      <c r="AU72" s="2361"/>
      <c r="AV72" s="1462"/>
      <c r="AW72" s="1463"/>
      <c r="AX72" s="2352"/>
      <c r="AY72" s="2353"/>
      <c r="AZ72" s="2361"/>
      <c r="BA72" s="2366">
        <v>3600</v>
      </c>
      <c r="BB72" s="2363">
        <v>3.7</v>
      </c>
      <c r="BC72" s="2364">
        <v>43194</v>
      </c>
      <c r="BD72" s="2363">
        <v>48</v>
      </c>
      <c r="BE72" s="2364">
        <v>43193</v>
      </c>
      <c r="BF72" s="2358"/>
      <c r="BG72" s="2358"/>
      <c r="BH72" s="2358"/>
      <c r="BI72" s="2358"/>
      <c r="BJ72" s="2358"/>
    </row>
    <row r="73" spans="1:62">
      <c r="A73" s="2350">
        <v>71</v>
      </c>
      <c r="B73" s="2351">
        <f t="shared" si="4"/>
        <v>3600</v>
      </c>
      <c r="C73" s="1462"/>
      <c r="D73" s="1463"/>
      <c r="E73" s="2361"/>
      <c r="F73" s="2362"/>
      <c r="G73" s="2362"/>
      <c r="H73" s="1462"/>
      <c r="I73" s="1475"/>
      <c r="J73" s="2361"/>
      <c r="K73" s="2362"/>
      <c r="L73" s="2362"/>
      <c r="M73" s="1462"/>
      <c r="N73" s="1475"/>
      <c r="O73" s="2361"/>
      <c r="P73" s="2362"/>
      <c r="Q73" s="2362"/>
      <c r="R73" s="1462"/>
      <c r="S73" s="1463"/>
      <c r="T73" s="2361"/>
      <c r="U73" s="2362"/>
      <c r="V73" s="2593"/>
      <c r="W73" s="1462"/>
      <c r="X73" s="1463"/>
      <c r="Y73" s="2352"/>
      <c r="Z73" s="2362"/>
      <c r="AA73" s="2362"/>
      <c r="AB73" s="2358"/>
      <c r="AC73" s="2358"/>
      <c r="AD73" s="2358"/>
      <c r="AE73" s="2358"/>
      <c r="AF73" s="2358"/>
      <c r="AG73" s="1462"/>
      <c r="AH73" s="2358"/>
      <c r="AI73" s="2352"/>
      <c r="AJ73" s="2362"/>
      <c r="AK73" s="2362"/>
      <c r="AL73" s="1462"/>
      <c r="AM73" s="2358"/>
      <c r="AN73" s="2352"/>
      <c r="AO73" s="2362"/>
      <c r="AP73" s="2362"/>
      <c r="AQ73" s="2365"/>
      <c r="AR73" s="2358"/>
      <c r="AS73" s="2361"/>
      <c r="AT73" s="2362"/>
      <c r="AU73" s="2361"/>
      <c r="AV73" s="1462"/>
      <c r="AW73" s="1463"/>
      <c r="AX73" s="2352"/>
      <c r="AY73" s="2353"/>
      <c r="AZ73" s="2361"/>
      <c r="BA73" s="2366">
        <v>3600</v>
      </c>
      <c r="BB73" s="2363">
        <v>3.7</v>
      </c>
      <c r="BC73" s="2364">
        <v>43194</v>
      </c>
      <c r="BD73" s="2363">
        <v>48</v>
      </c>
      <c r="BE73" s="2364">
        <v>43193</v>
      </c>
      <c r="BF73" s="2358"/>
      <c r="BG73" s="2358"/>
      <c r="BH73" s="2358"/>
      <c r="BI73" s="2358"/>
      <c r="BJ73" s="2358"/>
    </row>
    <row r="74" spans="1:62">
      <c r="A74" s="2360">
        <v>72</v>
      </c>
      <c r="B74" s="2351">
        <f t="shared" si="4"/>
        <v>3600</v>
      </c>
      <c r="C74" s="1462"/>
      <c r="D74" s="1463"/>
      <c r="E74" s="2361"/>
      <c r="F74" s="2362"/>
      <c r="G74" s="2362"/>
      <c r="H74" s="1462"/>
      <c r="I74" s="1475"/>
      <c r="J74" s="2361"/>
      <c r="K74" s="2362"/>
      <c r="L74" s="2362"/>
      <c r="M74" s="1462"/>
      <c r="N74" s="1475"/>
      <c r="O74" s="2361"/>
      <c r="P74" s="2362"/>
      <c r="Q74" s="2362"/>
      <c r="R74" s="1462"/>
      <c r="S74" s="1463"/>
      <c r="T74" s="2361"/>
      <c r="U74" s="2362"/>
      <c r="V74" s="2593"/>
      <c r="W74" s="1462"/>
      <c r="X74" s="1463"/>
      <c r="Y74" s="2352"/>
      <c r="Z74" s="2362"/>
      <c r="AA74" s="2362"/>
      <c r="AB74" s="2358"/>
      <c r="AC74" s="2358"/>
      <c r="AD74" s="2358"/>
      <c r="AE74" s="2358"/>
      <c r="AF74" s="2358"/>
      <c r="AG74" s="1462"/>
      <c r="AH74" s="2358"/>
      <c r="AI74" s="2352"/>
      <c r="AJ74" s="2362"/>
      <c r="AK74" s="2362"/>
      <c r="AL74" s="1462"/>
      <c r="AM74" s="2358"/>
      <c r="AN74" s="2352"/>
      <c r="AO74" s="2362"/>
      <c r="AP74" s="2362"/>
      <c r="AQ74" s="2365"/>
      <c r="AR74" s="2358"/>
      <c r="AS74" s="2361"/>
      <c r="AT74" s="2362"/>
      <c r="AU74" s="2361"/>
      <c r="AV74" s="1462"/>
      <c r="AW74" s="1463"/>
      <c r="AX74" s="2352"/>
      <c r="AY74" s="2353"/>
      <c r="AZ74" s="2361"/>
      <c r="BA74" s="2366">
        <v>3600</v>
      </c>
      <c r="BB74" s="2363">
        <v>3.7</v>
      </c>
      <c r="BC74" s="2364">
        <v>43194</v>
      </c>
      <c r="BD74" s="2363">
        <v>48</v>
      </c>
      <c r="BE74" s="2364">
        <v>43193</v>
      </c>
      <c r="BF74" s="2358"/>
      <c r="BG74" s="2358"/>
      <c r="BH74" s="2358"/>
      <c r="BI74" s="2358"/>
      <c r="BJ74" s="2358"/>
    </row>
    <row r="75" spans="1:62">
      <c r="A75" s="2350">
        <v>73</v>
      </c>
      <c r="B75" s="2369"/>
      <c r="C75" s="1462"/>
      <c r="D75" s="1463"/>
      <c r="E75" s="2361"/>
      <c r="F75" s="2362"/>
      <c r="G75" s="2362"/>
      <c r="H75" s="1462"/>
      <c r="I75" s="1475"/>
      <c r="J75" s="2361"/>
      <c r="K75" s="2362"/>
      <c r="L75" s="2362"/>
      <c r="M75" s="1462"/>
      <c r="N75" s="1475"/>
      <c r="O75" s="2361"/>
      <c r="P75" s="2362"/>
      <c r="Q75" s="2362"/>
      <c r="R75" s="1462"/>
      <c r="S75" s="1463"/>
      <c r="T75" s="2361"/>
      <c r="U75" s="2362"/>
      <c r="V75" s="2593"/>
      <c r="W75" s="1462"/>
      <c r="X75" s="1463"/>
      <c r="Y75" s="2352"/>
      <c r="Z75" s="2362"/>
      <c r="AA75" s="2362"/>
      <c r="AB75" s="2358"/>
      <c r="AC75" s="2358"/>
      <c r="AD75" s="2358"/>
      <c r="AE75" s="2358"/>
      <c r="AF75" s="2358"/>
      <c r="AG75" s="1462"/>
      <c r="AH75" s="2358"/>
      <c r="AI75" s="2352"/>
      <c r="AJ75" s="2362"/>
      <c r="AK75" s="2362"/>
      <c r="AL75" s="1462"/>
      <c r="AM75" s="2358"/>
      <c r="AN75" s="2352"/>
      <c r="AO75" s="2362"/>
      <c r="AP75" s="2362"/>
      <c r="AQ75" s="2365"/>
      <c r="AR75" s="2358"/>
      <c r="AS75" s="2361"/>
      <c r="AT75" s="2362"/>
      <c r="AU75" s="2361"/>
      <c r="AV75" s="1462"/>
      <c r="AW75" s="1463"/>
      <c r="AX75" s="2352"/>
      <c r="AY75" s="2353"/>
      <c r="AZ75" s="2361"/>
      <c r="BA75" s="2366">
        <v>3600</v>
      </c>
      <c r="BB75" s="2363">
        <v>3.7</v>
      </c>
      <c r="BC75" s="2364">
        <v>43194</v>
      </c>
      <c r="BD75" s="2363">
        <v>48</v>
      </c>
      <c r="BE75" s="2364">
        <v>43193</v>
      </c>
      <c r="BF75" s="2358"/>
      <c r="BG75" s="2358"/>
      <c r="BH75" s="2358"/>
      <c r="BI75" s="2358"/>
      <c r="BJ75" s="2358"/>
    </row>
    <row r="76" spans="1:62">
      <c r="A76" s="2360">
        <v>74</v>
      </c>
      <c r="B76" s="2351">
        <f>C76+H76+M76+R76+W76+AB76+AG76+AL76+AQ76+AV76+BA76+BF76</f>
        <v>3600</v>
      </c>
      <c r="C76" s="1462"/>
      <c r="D76" s="1463"/>
      <c r="E76" s="2361"/>
      <c r="F76" s="2362"/>
      <c r="G76" s="2362"/>
      <c r="H76" s="1462"/>
      <c r="I76" s="1475"/>
      <c r="J76" s="2361"/>
      <c r="K76" s="2362"/>
      <c r="L76" s="2362"/>
      <c r="M76" s="1462"/>
      <c r="N76" s="1475"/>
      <c r="O76" s="2361"/>
      <c r="P76" s="2362"/>
      <c r="Q76" s="2362"/>
      <c r="R76" s="1462"/>
      <c r="S76" s="1463"/>
      <c r="T76" s="2361"/>
      <c r="U76" s="2362"/>
      <c r="V76" s="2593"/>
      <c r="W76" s="1462"/>
      <c r="X76" s="1463"/>
      <c r="Y76" s="2352"/>
      <c r="Z76" s="2362"/>
      <c r="AA76" s="2362"/>
      <c r="AB76" s="2358"/>
      <c r="AC76" s="2358"/>
      <c r="AD76" s="2358"/>
      <c r="AE76" s="2358"/>
      <c r="AF76" s="2358"/>
      <c r="AG76" s="1462"/>
      <c r="AH76" s="2358"/>
      <c r="AI76" s="2352"/>
      <c r="AJ76" s="2362"/>
      <c r="AK76" s="2362"/>
      <c r="AL76" s="1462"/>
      <c r="AM76" s="2358"/>
      <c r="AN76" s="2352"/>
      <c r="AO76" s="2362"/>
      <c r="AP76" s="2362"/>
      <c r="AQ76" s="2365"/>
      <c r="AR76" s="2358"/>
      <c r="AS76" s="2361"/>
      <c r="AT76" s="2362"/>
      <c r="AU76" s="2361"/>
      <c r="AV76" s="1462"/>
      <c r="AW76" s="1463"/>
      <c r="AX76" s="2352"/>
      <c r="AY76" s="2353"/>
      <c r="AZ76" s="2361"/>
      <c r="BA76" s="2366">
        <v>3600</v>
      </c>
      <c r="BB76" s="2363">
        <v>3.7</v>
      </c>
      <c r="BC76" s="2364">
        <v>43194</v>
      </c>
      <c r="BD76" s="2363">
        <v>48</v>
      </c>
      <c r="BE76" s="2364">
        <v>43193</v>
      </c>
      <c r="BF76" s="2358"/>
      <c r="BG76" s="2358"/>
      <c r="BH76" s="2358"/>
      <c r="BI76" s="2358"/>
      <c r="BJ76" s="2358"/>
    </row>
    <row r="77" spans="1:62">
      <c r="A77" s="2350">
        <v>75</v>
      </c>
      <c r="B77" s="2351">
        <f t="shared" ref="B77:B102" si="5">C77+H77+M77+R77+W77+AB77+AG77+AL77+AQ77+AV77+BA77+BF77</f>
        <v>3600</v>
      </c>
      <c r="C77" s="1462"/>
      <c r="D77" s="1463"/>
      <c r="E77" s="2361"/>
      <c r="F77" s="2362"/>
      <c r="G77" s="2362"/>
      <c r="H77" s="1462"/>
      <c r="I77" s="1475"/>
      <c r="J77" s="2361"/>
      <c r="K77" s="2362"/>
      <c r="L77" s="2362"/>
      <c r="M77" s="1462"/>
      <c r="N77" s="1475"/>
      <c r="O77" s="2361"/>
      <c r="P77" s="2362"/>
      <c r="Q77" s="2362"/>
      <c r="R77" s="1462"/>
      <c r="S77" s="1463"/>
      <c r="T77" s="2361"/>
      <c r="U77" s="2362"/>
      <c r="V77" s="2593"/>
      <c r="W77" s="1462"/>
      <c r="X77" s="1463"/>
      <c r="Y77" s="2352"/>
      <c r="Z77" s="2362"/>
      <c r="AA77" s="2362"/>
      <c r="AB77" s="2358"/>
      <c r="AC77" s="2358"/>
      <c r="AD77" s="2358"/>
      <c r="AE77" s="2358"/>
      <c r="AF77" s="2358"/>
      <c r="AG77" s="1462"/>
      <c r="AH77" s="2358"/>
      <c r="AI77" s="2352"/>
      <c r="AJ77" s="2362"/>
      <c r="AK77" s="2362"/>
      <c r="AL77" s="1462"/>
      <c r="AM77" s="2358"/>
      <c r="AN77" s="2352"/>
      <c r="AO77" s="2362"/>
      <c r="AP77" s="2362"/>
      <c r="AQ77" s="2365"/>
      <c r="AR77" s="2358"/>
      <c r="AS77" s="2361"/>
      <c r="AT77" s="2362"/>
      <c r="AU77" s="2361"/>
      <c r="AV77" s="1462"/>
      <c r="AW77" s="1463"/>
      <c r="AX77" s="2352"/>
      <c r="AY77" s="2353"/>
      <c r="AZ77" s="2361"/>
      <c r="BA77" s="2366">
        <v>3600</v>
      </c>
      <c r="BB77" s="2363">
        <v>3.7</v>
      </c>
      <c r="BC77" s="2364">
        <v>43194</v>
      </c>
      <c r="BD77" s="2363">
        <v>48</v>
      </c>
      <c r="BE77" s="2364">
        <v>43193</v>
      </c>
      <c r="BF77" s="2358"/>
      <c r="BG77" s="2358"/>
      <c r="BH77" s="2358"/>
      <c r="BI77" s="2358"/>
      <c r="BJ77" s="2358"/>
    </row>
    <row r="78" spans="1:62">
      <c r="A78" s="2360">
        <v>76</v>
      </c>
      <c r="B78" s="2351">
        <f t="shared" si="5"/>
        <v>3600</v>
      </c>
      <c r="C78" s="1462"/>
      <c r="D78" s="1463"/>
      <c r="E78" s="2361"/>
      <c r="F78" s="2362"/>
      <c r="G78" s="2362"/>
      <c r="H78" s="1462"/>
      <c r="I78" s="1475"/>
      <c r="J78" s="2361"/>
      <c r="K78" s="2362"/>
      <c r="L78" s="2362"/>
      <c r="M78" s="1462"/>
      <c r="N78" s="1475"/>
      <c r="O78" s="2361"/>
      <c r="P78" s="2362"/>
      <c r="Q78" s="2362"/>
      <c r="R78" s="1462"/>
      <c r="S78" s="1463"/>
      <c r="T78" s="2361"/>
      <c r="U78" s="2362"/>
      <c r="V78" s="2593"/>
      <c r="W78" s="1462"/>
      <c r="X78" s="1463"/>
      <c r="Y78" s="2352"/>
      <c r="Z78" s="2362"/>
      <c r="AA78" s="2362"/>
      <c r="AB78" s="2358"/>
      <c r="AC78" s="2358"/>
      <c r="AD78" s="2358"/>
      <c r="AE78" s="2358"/>
      <c r="AF78" s="2358"/>
      <c r="AG78" s="1462"/>
      <c r="AH78" s="2358"/>
      <c r="AI78" s="2352"/>
      <c r="AJ78" s="2362"/>
      <c r="AK78" s="2362"/>
      <c r="AL78" s="1462"/>
      <c r="AM78" s="2358"/>
      <c r="AN78" s="2352"/>
      <c r="AO78" s="2362"/>
      <c r="AP78" s="2362"/>
      <c r="AQ78" s="2365"/>
      <c r="AR78" s="2358"/>
      <c r="AS78" s="2361"/>
      <c r="AT78" s="2362"/>
      <c r="AU78" s="2361"/>
      <c r="AV78" s="1462"/>
      <c r="AW78" s="1463"/>
      <c r="AX78" s="2352"/>
      <c r="AY78" s="2353"/>
      <c r="AZ78" s="2361"/>
      <c r="BA78" s="2366">
        <v>3600</v>
      </c>
      <c r="BB78" s="2363">
        <v>3.7</v>
      </c>
      <c r="BC78" s="2364">
        <v>43194</v>
      </c>
      <c r="BD78" s="2363">
        <v>48</v>
      </c>
      <c r="BE78" s="2364">
        <v>43193</v>
      </c>
      <c r="BF78" s="2358"/>
      <c r="BG78" s="2358"/>
      <c r="BH78" s="2358"/>
      <c r="BI78" s="2358"/>
      <c r="BJ78" s="2358"/>
    </row>
    <row r="79" spans="1:62">
      <c r="A79" s="2350">
        <v>77</v>
      </c>
      <c r="B79" s="2351">
        <f t="shared" si="5"/>
        <v>3600</v>
      </c>
      <c r="C79" s="1462"/>
      <c r="D79" s="1463"/>
      <c r="E79" s="2361"/>
      <c r="F79" s="2362"/>
      <c r="G79" s="2362"/>
      <c r="H79" s="1462"/>
      <c r="I79" s="1475"/>
      <c r="J79" s="2361"/>
      <c r="K79" s="2362"/>
      <c r="L79" s="2362"/>
      <c r="M79" s="1462"/>
      <c r="N79" s="1475"/>
      <c r="O79" s="2361"/>
      <c r="P79" s="2362"/>
      <c r="Q79" s="2362"/>
      <c r="R79" s="1462"/>
      <c r="S79" s="1463"/>
      <c r="T79" s="2361"/>
      <c r="U79" s="2362"/>
      <c r="V79" s="2593"/>
      <c r="W79" s="1462"/>
      <c r="X79" s="1463"/>
      <c r="Y79" s="2352"/>
      <c r="Z79" s="2362"/>
      <c r="AA79" s="2362"/>
      <c r="AB79" s="2358"/>
      <c r="AC79" s="2358"/>
      <c r="AD79" s="2358"/>
      <c r="AE79" s="2358"/>
      <c r="AF79" s="2358"/>
      <c r="AG79" s="1462"/>
      <c r="AH79" s="2358"/>
      <c r="AI79" s="2352"/>
      <c r="AJ79" s="2362"/>
      <c r="AK79" s="2362"/>
      <c r="AL79" s="1462"/>
      <c r="AM79" s="2358"/>
      <c r="AN79" s="2352"/>
      <c r="AO79" s="2362"/>
      <c r="AP79" s="2362"/>
      <c r="AQ79" s="2365"/>
      <c r="AR79" s="2358"/>
      <c r="AS79" s="2361"/>
      <c r="AT79" s="2362"/>
      <c r="AU79" s="2361"/>
      <c r="AV79" s="1462"/>
      <c r="AW79" s="1463"/>
      <c r="AX79" s="2352"/>
      <c r="AY79" s="2353"/>
      <c r="AZ79" s="2361"/>
      <c r="BA79" s="2366">
        <v>3600</v>
      </c>
      <c r="BB79" s="2363">
        <v>3.7</v>
      </c>
      <c r="BC79" s="2364">
        <v>43194</v>
      </c>
      <c r="BD79" s="2363">
        <v>48</v>
      </c>
      <c r="BE79" s="2364">
        <v>43193</v>
      </c>
      <c r="BF79" s="2358"/>
      <c r="BG79" s="2358"/>
      <c r="BH79" s="2358"/>
      <c r="BI79" s="2358"/>
      <c r="BJ79" s="2358"/>
    </row>
    <row r="80" spans="1:62">
      <c r="A80" s="2360">
        <v>78</v>
      </c>
      <c r="B80" s="2351">
        <f t="shared" si="5"/>
        <v>3600</v>
      </c>
      <c r="C80" s="1462"/>
      <c r="D80" s="1463"/>
      <c r="E80" s="2361"/>
      <c r="F80" s="2362"/>
      <c r="G80" s="2362"/>
      <c r="H80" s="1462"/>
      <c r="I80" s="1475"/>
      <c r="J80" s="2361"/>
      <c r="K80" s="2362"/>
      <c r="L80" s="2362"/>
      <c r="M80" s="1462"/>
      <c r="N80" s="1475"/>
      <c r="O80" s="2361"/>
      <c r="P80" s="2362"/>
      <c r="Q80" s="2362"/>
      <c r="R80" s="1462"/>
      <c r="S80" s="1463"/>
      <c r="T80" s="2361"/>
      <c r="U80" s="2362"/>
      <c r="V80" s="2593"/>
      <c r="W80" s="1462"/>
      <c r="X80" s="1463"/>
      <c r="Y80" s="2352"/>
      <c r="Z80" s="2362"/>
      <c r="AA80" s="2362"/>
      <c r="AB80" s="2358"/>
      <c r="AC80" s="2358"/>
      <c r="AD80" s="2358"/>
      <c r="AE80" s="2358"/>
      <c r="AF80" s="2358"/>
      <c r="AG80" s="1462"/>
      <c r="AH80" s="2358"/>
      <c r="AI80" s="2352"/>
      <c r="AJ80" s="2362"/>
      <c r="AK80" s="2362"/>
      <c r="AL80" s="1462"/>
      <c r="AM80" s="2358"/>
      <c r="AN80" s="2352"/>
      <c r="AO80" s="2362"/>
      <c r="AP80" s="2362"/>
      <c r="AQ80" s="2365"/>
      <c r="AR80" s="2358"/>
      <c r="AS80" s="2361"/>
      <c r="AT80" s="2362"/>
      <c r="AU80" s="2361"/>
      <c r="AV80" s="1462"/>
      <c r="AW80" s="1463"/>
      <c r="AX80" s="2352"/>
      <c r="AY80" s="2353"/>
      <c r="AZ80" s="2361"/>
      <c r="BA80" s="2366">
        <v>3600</v>
      </c>
      <c r="BB80" s="2363">
        <v>3.7</v>
      </c>
      <c r="BC80" s="2364">
        <v>43194</v>
      </c>
      <c r="BD80" s="2363">
        <v>48</v>
      </c>
      <c r="BE80" s="2364">
        <v>43193</v>
      </c>
      <c r="BF80" s="2358"/>
      <c r="BG80" s="2358"/>
      <c r="BH80" s="2358"/>
      <c r="BI80" s="2358"/>
      <c r="BJ80" s="2358"/>
    </row>
    <row r="81" spans="1:63">
      <c r="A81" s="2350">
        <v>79</v>
      </c>
      <c r="B81" s="2351">
        <f t="shared" si="5"/>
        <v>1000</v>
      </c>
      <c r="C81" s="1462"/>
      <c r="D81" s="1463"/>
      <c r="E81" s="2361"/>
      <c r="F81" s="2362"/>
      <c r="G81" s="2362"/>
      <c r="H81" s="1462"/>
      <c r="I81" s="1475"/>
      <c r="J81" s="2361"/>
      <c r="K81" s="2362"/>
      <c r="L81" s="2362"/>
      <c r="M81" s="1462"/>
      <c r="N81" s="1475"/>
      <c r="O81" s="2361"/>
      <c r="P81" s="2362"/>
      <c r="Q81" s="2362"/>
      <c r="R81" s="1462"/>
      <c r="S81" s="1463"/>
      <c r="T81" s="2361"/>
      <c r="U81" s="2362"/>
      <c r="V81" s="2593"/>
      <c r="W81" s="1462"/>
      <c r="X81" s="1463"/>
      <c r="Y81" s="2352"/>
      <c r="Z81" s="2362"/>
      <c r="AA81" s="2362"/>
      <c r="AB81" s="2358"/>
      <c r="AC81" s="2358"/>
      <c r="AD81" s="2358"/>
      <c r="AE81" s="2358"/>
      <c r="AF81" s="2358"/>
      <c r="AG81" s="1462"/>
      <c r="AH81" s="2358"/>
      <c r="AI81" s="2352"/>
      <c r="AJ81" s="2362"/>
      <c r="AK81" s="2362"/>
      <c r="AL81" s="1462"/>
      <c r="AM81" s="2358"/>
      <c r="AN81" s="2352"/>
      <c r="AO81" s="2362"/>
      <c r="AP81" s="2362"/>
      <c r="AQ81" s="2365"/>
      <c r="AR81" s="2358"/>
      <c r="AS81" s="2361"/>
      <c r="AT81" s="2362"/>
      <c r="AU81" s="2361"/>
      <c r="AV81" s="1462"/>
      <c r="AW81" s="1463"/>
      <c r="AX81" s="2352"/>
      <c r="AY81" s="2353"/>
      <c r="AZ81" s="2361"/>
      <c r="BA81" s="2366">
        <v>1000</v>
      </c>
      <c r="BB81" s="2363">
        <v>3.7</v>
      </c>
      <c r="BC81" s="2364">
        <v>43194</v>
      </c>
      <c r="BD81" s="2363">
        <v>48</v>
      </c>
      <c r="BE81" s="2364">
        <v>43193</v>
      </c>
      <c r="BF81" s="2358"/>
      <c r="BG81" s="2358"/>
      <c r="BH81" s="2358"/>
      <c r="BI81" s="2358"/>
      <c r="BJ81" s="2358"/>
    </row>
    <row r="82" spans="1:63">
      <c r="A82" s="2360">
        <v>80</v>
      </c>
      <c r="B82" s="2351">
        <f t="shared" si="5"/>
        <v>78888</v>
      </c>
      <c r="C82" s="1462"/>
      <c r="D82" s="1463"/>
      <c r="E82" s="2361"/>
      <c r="F82" s="2362"/>
      <c r="G82" s="2362"/>
      <c r="H82" s="1462"/>
      <c r="I82" s="1475"/>
      <c r="J82" s="2361"/>
      <c r="K82" s="2362"/>
      <c r="L82" s="2362"/>
      <c r="M82" s="1462"/>
      <c r="N82" s="1475"/>
      <c r="O82" s="2361"/>
      <c r="P82" s="2362"/>
      <c r="Q82" s="2362"/>
      <c r="R82" s="1462"/>
      <c r="S82" s="1475"/>
      <c r="T82" s="2361"/>
      <c r="U82" s="2362"/>
      <c r="V82" s="2593"/>
      <c r="W82" s="1462"/>
      <c r="X82" s="1463"/>
      <c r="Y82" s="2352"/>
      <c r="Z82" s="2362"/>
      <c r="AA82" s="2362"/>
      <c r="AB82" s="2358"/>
      <c r="AC82" s="2358"/>
      <c r="AD82" s="2358"/>
      <c r="AE82" s="2358"/>
      <c r="AF82" s="2358"/>
      <c r="AG82" s="1462"/>
      <c r="AH82" s="2358"/>
      <c r="AI82" s="2352"/>
      <c r="AJ82" s="2362"/>
      <c r="AK82" s="2362"/>
      <c r="AL82" s="1462"/>
      <c r="AM82" s="2358"/>
      <c r="AN82" s="2352"/>
      <c r="AO82" s="2362"/>
      <c r="AP82" s="2362"/>
      <c r="AQ82" s="2365">
        <v>60000</v>
      </c>
      <c r="AR82" s="2358">
        <v>1</v>
      </c>
      <c r="AS82" s="2361">
        <v>43087</v>
      </c>
      <c r="AT82" s="2362">
        <v>48</v>
      </c>
      <c r="AU82" s="2361">
        <v>43107</v>
      </c>
      <c r="AV82" s="1462"/>
      <c r="AW82" s="2358"/>
      <c r="AX82" s="2358"/>
      <c r="AY82" s="2358"/>
      <c r="AZ82" s="2358"/>
      <c r="BA82" s="2366">
        <v>18888</v>
      </c>
      <c r="BB82" s="2363">
        <v>3.7</v>
      </c>
      <c r="BC82" s="2364">
        <v>43194</v>
      </c>
      <c r="BD82" s="2363">
        <v>48</v>
      </c>
      <c r="BE82" s="2364">
        <v>43193</v>
      </c>
      <c r="BF82" s="2358"/>
      <c r="BG82" s="2358"/>
      <c r="BH82" s="2358"/>
      <c r="BI82" s="2358"/>
      <c r="BJ82" s="2358"/>
    </row>
    <row r="83" spans="1:63">
      <c r="A83" s="2350">
        <v>81</v>
      </c>
      <c r="B83" s="2351">
        <f t="shared" si="5"/>
        <v>2226892</v>
      </c>
      <c r="C83" s="1462"/>
      <c r="D83" s="1463"/>
      <c r="E83" s="2361"/>
      <c r="F83" s="2362"/>
      <c r="G83" s="2362"/>
      <c r="H83" s="1462"/>
      <c r="I83" s="1475"/>
      <c r="J83" s="2361"/>
      <c r="K83" s="2362"/>
      <c r="L83" s="2362"/>
      <c r="M83" s="1462"/>
      <c r="N83" s="1475"/>
      <c r="O83" s="2361"/>
      <c r="P83" s="2362"/>
      <c r="Q83" s="2362"/>
      <c r="R83" s="1462"/>
      <c r="S83" s="1475"/>
      <c r="T83" s="2361"/>
      <c r="U83" s="2362"/>
      <c r="V83" s="2593"/>
      <c r="W83" s="1462"/>
      <c r="X83" s="1463"/>
      <c r="Y83" s="2352"/>
      <c r="Z83" s="2362"/>
      <c r="AA83" s="2362"/>
      <c r="AB83" s="2358"/>
      <c r="AC83" s="2358"/>
      <c r="AD83" s="2358"/>
      <c r="AE83" s="2358"/>
      <c r="AF83" s="2358"/>
      <c r="AG83" s="1462"/>
      <c r="AH83" s="2358"/>
      <c r="AI83" s="2352"/>
      <c r="AJ83" s="2362"/>
      <c r="AK83" s="2362"/>
      <c r="AL83" s="1462"/>
      <c r="AM83" s="2358"/>
      <c r="AN83" s="2352"/>
      <c r="AO83" s="2362"/>
      <c r="AP83" s="2362"/>
      <c r="AQ83" s="1476">
        <v>2226892</v>
      </c>
      <c r="AR83" s="2358"/>
      <c r="AS83" s="2361"/>
      <c r="AT83" s="2362"/>
      <c r="AU83" s="2361"/>
      <c r="AV83" s="1462"/>
      <c r="AW83" s="1463"/>
      <c r="AX83" s="2352"/>
      <c r="AY83" s="2353"/>
      <c r="AZ83" s="2361"/>
      <c r="BA83" s="2366"/>
      <c r="BB83" s="2363"/>
      <c r="BC83" s="2364"/>
      <c r="BD83" s="2363"/>
      <c r="BE83" s="2364"/>
      <c r="BF83" s="2358"/>
      <c r="BG83" s="2358"/>
      <c r="BH83" s="2358"/>
      <c r="BI83" s="2358"/>
      <c r="BJ83" s="2358"/>
      <c r="BK83" s="2373" t="s">
        <v>3133</v>
      </c>
    </row>
    <row r="84" spans="1:63">
      <c r="A84" s="2360">
        <v>82</v>
      </c>
      <c r="B84" s="2351">
        <f t="shared" si="5"/>
        <v>3600</v>
      </c>
      <c r="C84" s="1462"/>
      <c r="D84" s="1463"/>
      <c r="E84" s="2361"/>
      <c r="F84" s="2362"/>
      <c r="G84" s="2362"/>
      <c r="H84" s="1462"/>
      <c r="I84" s="1475"/>
      <c r="J84" s="2361"/>
      <c r="K84" s="2362"/>
      <c r="L84" s="2362"/>
      <c r="M84" s="1462"/>
      <c r="N84" s="1475"/>
      <c r="O84" s="2361"/>
      <c r="P84" s="2362"/>
      <c r="Q84" s="2362"/>
      <c r="R84" s="1462"/>
      <c r="S84" s="1475"/>
      <c r="T84" s="2361"/>
      <c r="U84" s="2362"/>
      <c r="V84" s="2593"/>
      <c r="W84" s="1462"/>
      <c r="X84" s="1463"/>
      <c r="Y84" s="2352"/>
      <c r="Z84" s="2362"/>
      <c r="AA84" s="2362"/>
      <c r="AB84" s="2358"/>
      <c r="AC84" s="2358"/>
      <c r="AD84" s="2358"/>
      <c r="AE84" s="2358"/>
      <c r="AF84" s="2358"/>
      <c r="AG84" s="1462"/>
      <c r="AH84" s="2358"/>
      <c r="AI84" s="2352"/>
      <c r="AJ84" s="2362"/>
      <c r="AK84" s="2362"/>
      <c r="AL84" s="1462"/>
      <c r="AM84" s="2358"/>
      <c r="AN84" s="2352"/>
      <c r="AO84" s="2362"/>
      <c r="AP84" s="2362"/>
      <c r="AQ84" s="2365"/>
      <c r="AR84" s="2358"/>
      <c r="AS84" s="2361"/>
      <c r="AT84" s="2362"/>
      <c r="AU84" s="2361"/>
      <c r="AV84" s="1462"/>
      <c r="AW84" s="1463"/>
      <c r="AX84" s="2352"/>
      <c r="AY84" s="2353"/>
      <c r="AZ84" s="2361"/>
      <c r="BA84" s="2366">
        <v>3600</v>
      </c>
      <c r="BB84" s="2363">
        <v>3.7</v>
      </c>
      <c r="BC84" s="2364">
        <v>43194</v>
      </c>
      <c r="BD84" s="2363">
        <v>48</v>
      </c>
      <c r="BE84" s="2364">
        <v>43193</v>
      </c>
      <c r="BF84" s="2358"/>
      <c r="BG84" s="2358"/>
      <c r="BH84" s="2358"/>
      <c r="BI84" s="2358"/>
      <c r="BJ84" s="2358"/>
    </row>
    <row r="85" spans="1:63">
      <c r="A85" s="2350">
        <v>83</v>
      </c>
      <c r="B85" s="2351">
        <f t="shared" si="5"/>
        <v>3600</v>
      </c>
      <c r="C85" s="1462"/>
      <c r="D85" s="1463"/>
      <c r="E85" s="2361"/>
      <c r="F85" s="2362"/>
      <c r="G85" s="2362"/>
      <c r="H85" s="1462"/>
      <c r="I85" s="1475"/>
      <c r="J85" s="2361"/>
      <c r="K85" s="2362"/>
      <c r="L85" s="2362"/>
      <c r="M85" s="1462"/>
      <c r="N85" s="1475"/>
      <c r="O85" s="2361"/>
      <c r="P85" s="2362"/>
      <c r="Q85" s="2362"/>
      <c r="R85" s="1462"/>
      <c r="S85" s="1475"/>
      <c r="T85" s="2361"/>
      <c r="U85" s="2362"/>
      <c r="V85" s="2593"/>
      <c r="W85" s="1462"/>
      <c r="X85" s="1463"/>
      <c r="Y85" s="2352"/>
      <c r="Z85" s="2362"/>
      <c r="AA85" s="2362"/>
      <c r="AB85" s="2358"/>
      <c r="AC85" s="2358"/>
      <c r="AD85" s="2358"/>
      <c r="AE85" s="2358"/>
      <c r="AF85" s="2358"/>
      <c r="AG85" s="1462"/>
      <c r="AH85" s="2358"/>
      <c r="AI85" s="2352"/>
      <c r="AJ85" s="2362"/>
      <c r="AK85" s="2362"/>
      <c r="AL85" s="1462"/>
      <c r="AM85" s="2358"/>
      <c r="AN85" s="2352"/>
      <c r="AO85" s="2362"/>
      <c r="AP85" s="2362"/>
      <c r="AQ85" s="2365"/>
      <c r="AR85" s="2358"/>
      <c r="AS85" s="2361"/>
      <c r="AT85" s="2362"/>
      <c r="AU85" s="2361"/>
      <c r="AV85" s="1462"/>
      <c r="AW85" s="1463"/>
      <c r="AX85" s="2352"/>
      <c r="AY85" s="2353"/>
      <c r="AZ85" s="2361"/>
      <c r="BA85" s="2366">
        <v>3600</v>
      </c>
      <c r="BB85" s="2363">
        <v>3.7</v>
      </c>
      <c r="BC85" s="2364">
        <v>43194</v>
      </c>
      <c r="BD85" s="2363">
        <v>48</v>
      </c>
      <c r="BE85" s="2364">
        <v>43193</v>
      </c>
      <c r="BF85" s="2358"/>
      <c r="BG85" s="2358"/>
      <c r="BH85" s="2358"/>
      <c r="BI85" s="2358"/>
      <c r="BJ85" s="2358"/>
    </row>
    <row r="86" spans="1:63">
      <c r="A86" s="2360">
        <v>84</v>
      </c>
      <c r="B86" s="2351">
        <f>C86+H86+M86+R86+W86+AB86+AG86+AL86+AQ86+AV86+BA86+BF86</f>
        <v>98888</v>
      </c>
      <c r="C86" s="1462"/>
      <c r="D86" s="1463"/>
      <c r="E86" s="2361"/>
      <c r="F86" s="2362"/>
      <c r="G86" s="2362"/>
      <c r="H86" s="1462"/>
      <c r="I86" s="1475"/>
      <c r="J86" s="2361"/>
      <c r="K86" s="2362"/>
      <c r="L86" s="2362"/>
      <c r="M86" s="1462"/>
      <c r="N86" s="1475"/>
      <c r="O86" s="2361"/>
      <c r="P86" s="2362"/>
      <c r="Q86" s="2362"/>
      <c r="R86" s="1462"/>
      <c r="S86" s="1475"/>
      <c r="T86" s="2361"/>
      <c r="U86" s="2362"/>
      <c r="V86" s="2593"/>
      <c r="W86" s="1462"/>
      <c r="X86" s="1463"/>
      <c r="Y86" s="2352"/>
      <c r="Z86" s="2362"/>
      <c r="AA86" s="2362"/>
      <c r="AB86" s="2358"/>
      <c r="AC86" s="2358"/>
      <c r="AD86" s="2358"/>
      <c r="AE86" s="2358"/>
      <c r="AF86" s="2358"/>
      <c r="AG86" s="1462"/>
      <c r="AH86" s="2358"/>
      <c r="AI86" s="2352"/>
      <c r="AJ86" s="2362"/>
      <c r="AK86" s="2362"/>
      <c r="AL86" s="1462"/>
      <c r="AM86" s="2358"/>
      <c r="AN86" s="2352"/>
      <c r="AO86" s="2362"/>
      <c r="AP86" s="2362"/>
      <c r="AQ86" s="2365">
        <v>80000</v>
      </c>
      <c r="AR86" s="2358">
        <v>1</v>
      </c>
      <c r="AS86" s="2361">
        <v>43129</v>
      </c>
      <c r="AT86" s="2362">
        <v>48</v>
      </c>
      <c r="AU86" s="2361">
        <v>43107</v>
      </c>
      <c r="AV86" s="1462"/>
      <c r="AW86" s="2358"/>
      <c r="AX86" s="2358"/>
      <c r="AY86" s="2358"/>
      <c r="AZ86" s="2358"/>
      <c r="BA86" s="2366">
        <v>18888</v>
      </c>
      <c r="BB86" s="2363">
        <v>3.7</v>
      </c>
      <c r="BC86" s="2364">
        <v>43194</v>
      </c>
      <c r="BD86" s="2363">
        <v>48</v>
      </c>
      <c r="BE86" s="2364">
        <v>43193</v>
      </c>
      <c r="BF86" s="2358"/>
      <c r="BG86" s="2358"/>
      <c r="BH86" s="2358"/>
      <c r="BI86" s="2358"/>
      <c r="BJ86" s="2358"/>
    </row>
    <row r="87" spans="1:63">
      <c r="A87" s="2350">
        <v>85</v>
      </c>
      <c r="B87" s="2351">
        <f t="shared" si="5"/>
        <v>3600</v>
      </c>
      <c r="C87" s="1478"/>
      <c r="D87" s="1463"/>
      <c r="E87" s="2352"/>
      <c r="F87" s="2353"/>
      <c r="G87" s="2353"/>
      <c r="H87" s="1478"/>
      <c r="I87" s="1463"/>
      <c r="J87" s="2352"/>
      <c r="K87" s="2362"/>
      <c r="L87" s="2353"/>
      <c r="M87" s="1478"/>
      <c r="N87" s="1463"/>
      <c r="O87" s="2352"/>
      <c r="P87" s="2353"/>
      <c r="Q87" s="2353"/>
      <c r="R87" s="1478"/>
      <c r="S87" s="1463"/>
      <c r="T87" s="2352"/>
      <c r="U87" s="2362"/>
      <c r="V87" s="2593"/>
      <c r="W87" s="1478"/>
      <c r="X87" s="1463"/>
      <c r="Y87" s="2352"/>
      <c r="Z87" s="2362"/>
      <c r="AA87" s="2362"/>
      <c r="AB87" s="2355"/>
      <c r="AC87" s="2355"/>
      <c r="AD87" s="2355"/>
      <c r="AE87" s="2358"/>
      <c r="AF87" s="2358"/>
      <c r="AG87" s="1478"/>
      <c r="AH87" s="2355"/>
      <c r="AI87" s="2352"/>
      <c r="AJ87" s="2362"/>
      <c r="AK87" s="2353"/>
      <c r="AL87" s="1478"/>
      <c r="AM87" s="2355"/>
      <c r="AN87" s="2352"/>
      <c r="AO87" s="2362"/>
      <c r="AP87" s="2362"/>
      <c r="AQ87" s="2354"/>
      <c r="AR87" s="2355"/>
      <c r="AS87" s="2352"/>
      <c r="AT87" s="2353"/>
      <c r="AU87" s="2352"/>
      <c r="AV87" s="1462"/>
      <c r="AW87" s="2358"/>
      <c r="AX87" s="2358"/>
      <c r="AY87" s="2358"/>
      <c r="AZ87" s="2358"/>
      <c r="BA87" s="2366">
        <v>3600</v>
      </c>
      <c r="BB87" s="2363">
        <v>3.7</v>
      </c>
      <c r="BC87" s="2364">
        <v>43194</v>
      </c>
      <c r="BD87" s="2363">
        <v>48</v>
      </c>
      <c r="BE87" s="2364">
        <v>43193</v>
      </c>
      <c r="BF87" s="2358"/>
      <c r="BG87" s="2358"/>
      <c r="BH87" s="2358"/>
      <c r="BI87" s="2358"/>
      <c r="BJ87" s="2358"/>
    </row>
    <row r="88" spans="1:63">
      <c r="A88" s="2360">
        <v>86</v>
      </c>
      <c r="B88" s="2351">
        <f t="shared" si="5"/>
        <v>3600</v>
      </c>
      <c r="C88" s="1478"/>
      <c r="D88" s="1463"/>
      <c r="E88" s="2352"/>
      <c r="F88" s="2353"/>
      <c r="G88" s="2353"/>
      <c r="H88" s="1478"/>
      <c r="I88" s="1463"/>
      <c r="J88" s="2352"/>
      <c r="K88" s="2362"/>
      <c r="L88" s="2353"/>
      <c r="M88" s="1478"/>
      <c r="N88" s="1463"/>
      <c r="O88" s="2352"/>
      <c r="P88" s="2353"/>
      <c r="Q88" s="2353"/>
      <c r="R88" s="1478"/>
      <c r="S88" s="1463"/>
      <c r="T88" s="2352"/>
      <c r="U88" s="2362"/>
      <c r="V88" s="2593"/>
      <c r="W88" s="1478"/>
      <c r="X88" s="1463"/>
      <c r="Y88" s="2352"/>
      <c r="Z88" s="2362"/>
      <c r="AA88" s="2362"/>
      <c r="AB88" s="2355"/>
      <c r="AC88" s="2355"/>
      <c r="AD88" s="2355"/>
      <c r="AE88" s="2358"/>
      <c r="AF88" s="2358"/>
      <c r="AG88" s="1478"/>
      <c r="AH88" s="2355"/>
      <c r="AI88" s="2352"/>
      <c r="AJ88" s="2362"/>
      <c r="AK88" s="2353"/>
      <c r="AL88" s="1478"/>
      <c r="AM88" s="2355"/>
      <c r="AN88" s="2352"/>
      <c r="AO88" s="2362"/>
      <c r="AP88" s="2362"/>
      <c r="AQ88" s="2354"/>
      <c r="AR88" s="2355"/>
      <c r="AS88" s="2352"/>
      <c r="AT88" s="2353"/>
      <c r="AU88" s="2352"/>
      <c r="AV88" s="1462"/>
      <c r="AW88" s="2358"/>
      <c r="AX88" s="2358"/>
      <c r="AY88" s="2358"/>
      <c r="AZ88" s="2358"/>
      <c r="BA88" s="2366">
        <v>3600</v>
      </c>
      <c r="BB88" s="2363">
        <v>3.7</v>
      </c>
      <c r="BC88" s="2364">
        <v>43194</v>
      </c>
      <c r="BD88" s="2363">
        <v>48</v>
      </c>
      <c r="BE88" s="2364">
        <v>43193</v>
      </c>
      <c r="BF88" s="2358"/>
      <c r="BG88" s="2358"/>
      <c r="BH88" s="2358"/>
      <c r="BI88" s="2358"/>
      <c r="BJ88" s="2358"/>
    </row>
    <row r="89" spans="1:63">
      <c r="A89" s="2350">
        <v>87</v>
      </c>
      <c r="B89" s="2351">
        <f t="shared" si="5"/>
        <v>3600</v>
      </c>
      <c r="C89" s="1478"/>
      <c r="D89" s="1463"/>
      <c r="E89" s="2352"/>
      <c r="F89" s="2353"/>
      <c r="G89" s="2353"/>
      <c r="H89" s="1478"/>
      <c r="I89" s="1463"/>
      <c r="J89" s="2352"/>
      <c r="K89" s="2362"/>
      <c r="L89" s="2353"/>
      <c r="M89" s="1478"/>
      <c r="N89" s="1463"/>
      <c r="O89" s="2352"/>
      <c r="P89" s="2353"/>
      <c r="Q89" s="2353"/>
      <c r="R89" s="1478"/>
      <c r="S89" s="1463"/>
      <c r="T89" s="2352"/>
      <c r="U89" s="2362"/>
      <c r="V89" s="2593"/>
      <c r="W89" s="1478"/>
      <c r="X89" s="1463"/>
      <c r="Y89" s="2352"/>
      <c r="Z89" s="2362"/>
      <c r="AA89" s="2362"/>
      <c r="AB89" s="2355"/>
      <c r="AC89" s="2355"/>
      <c r="AD89" s="2355"/>
      <c r="AE89" s="2358"/>
      <c r="AF89" s="2358"/>
      <c r="AG89" s="1478"/>
      <c r="AH89" s="2355"/>
      <c r="AI89" s="2352"/>
      <c r="AJ89" s="2362"/>
      <c r="AK89" s="2353"/>
      <c r="AL89" s="1478"/>
      <c r="AM89" s="2355"/>
      <c r="AN89" s="2352"/>
      <c r="AO89" s="2362"/>
      <c r="AP89" s="2362"/>
      <c r="AQ89" s="2354"/>
      <c r="AR89" s="2355"/>
      <c r="AS89" s="2352"/>
      <c r="AT89" s="2353"/>
      <c r="AU89" s="2352"/>
      <c r="AV89" s="1462"/>
      <c r="AW89" s="2358"/>
      <c r="AX89" s="2358"/>
      <c r="AY89" s="2358"/>
      <c r="AZ89" s="2358"/>
      <c r="BA89" s="2366">
        <v>3600</v>
      </c>
      <c r="BB89" s="2363">
        <v>3.7</v>
      </c>
      <c r="BC89" s="2364">
        <v>43194</v>
      </c>
      <c r="BD89" s="2363">
        <v>48</v>
      </c>
      <c r="BE89" s="2364">
        <v>43193</v>
      </c>
      <c r="BF89" s="2358"/>
      <c r="BG89" s="2358"/>
      <c r="BH89" s="2358"/>
      <c r="BI89" s="2358"/>
      <c r="BJ89" s="2358"/>
    </row>
    <row r="90" spans="1:63">
      <c r="A90" s="2360">
        <v>88</v>
      </c>
      <c r="B90" s="2351">
        <f t="shared" si="5"/>
        <v>3600</v>
      </c>
      <c r="C90" s="1478"/>
      <c r="D90" s="1463"/>
      <c r="E90" s="2352"/>
      <c r="F90" s="2353"/>
      <c r="G90" s="2353"/>
      <c r="H90" s="1478"/>
      <c r="I90" s="1463"/>
      <c r="J90" s="2352"/>
      <c r="K90" s="2362"/>
      <c r="L90" s="2353"/>
      <c r="M90" s="1478"/>
      <c r="N90" s="1463"/>
      <c r="O90" s="2352"/>
      <c r="P90" s="2353"/>
      <c r="Q90" s="2353"/>
      <c r="R90" s="1478"/>
      <c r="S90" s="1463"/>
      <c r="T90" s="2352"/>
      <c r="U90" s="2362"/>
      <c r="V90" s="2593"/>
      <c r="W90" s="1478"/>
      <c r="X90" s="1463"/>
      <c r="Y90" s="2352"/>
      <c r="Z90" s="2362"/>
      <c r="AA90" s="2362"/>
      <c r="AB90" s="2355"/>
      <c r="AC90" s="2355"/>
      <c r="AD90" s="2355"/>
      <c r="AE90" s="2358"/>
      <c r="AF90" s="2358"/>
      <c r="AG90" s="1478"/>
      <c r="AH90" s="2355"/>
      <c r="AI90" s="2352"/>
      <c r="AJ90" s="2362"/>
      <c r="AK90" s="2353"/>
      <c r="AL90" s="1478"/>
      <c r="AM90" s="2355"/>
      <c r="AN90" s="2352"/>
      <c r="AO90" s="2362"/>
      <c r="AP90" s="2362"/>
      <c r="AQ90" s="2354"/>
      <c r="AR90" s="2355"/>
      <c r="AS90" s="2352"/>
      <c r="AT90" s="2353"/>
      <c r="AU90" s="2352"/>
      <c r="AV90" s="1462"/>
      <c r="AW90" s="2358"/>
      <c r="AX90" s="2358"/>
      <c r="AY90" s="2358"/>
      <c r="AZ90" s="2358"/>
      <c r="BA90" s="2366">
        <v>3600</v>
      </c>
      <c r="BB90" s="2363">
        <v>3.7</v>
      </c>
      <c r="BC90" s="2364">
        <v>43194</v>
      </c>
      <c r="BD90" s="2363">
        <v>48</v>
      </c>
      <c r="BE90" s="2364">
        <v>43193</v>
      </c>
      <c r="BF90" s="2358"/>
      <c r="BG90" s="2358"/>
      <c r="BH90" s="2358"/>
      <c r="BI90" s="2358"/>
      <c r="BJ90" s="2358"/>
    </row>
    <row r="91" spans="1:63">
      <c r="A91" s="2350">
        <v>89</v>
      </c>
      <c r="B91" s="2351">
        <f t="shared" si="5"/>
        <v>3600</v>
      </c>
      <c r="C91" s="1478"/>
      <c r="D91" s="1463"/>
      <c r="E91" s="2352"/>
      <c r="F91" s="2353"/>
      <c r="G91" s="2353"/>
      <c r="H91" s="1478"/>
      <c r="I91" s="1463"/>
      <c r="J91" s="2352"/>
      <c r="K91" s="2362"/>
      <c r="L91" s="2353"/>
      <c r="M91" s="1478"/>
      <c r="N91" s="1463"/>
      <c r="O91" s="2352"/>
      <c r="P91" s="2353"/>
      <c r="Q91" s="2353"/>
      <c r="R91" s="1478"/>
      <c r="S91" s="1463"/>
      <c r="T91" s="2352"/>
      <c r="U91" s="2362"/>
      <c r="V91" s="2593"/>
      <c r="W91" s="1478"/>
      <c r="X91" s="1463"/>
      <c r="Y91" s="2352"/>
      <c r="Z91" s="2362"/>
      <c r="AA91" s="2362"/>
      <c r="AB91" s="2355"/>
      <c r="AC91" s="2355"/>
      <c r="AD91" s="2355"/>
      <c r="AE91" s="2358"/>
      <c r="AF91" s="2358"/>
      <c r="AG91" s="1478"/>
      <c r="AH91" s="2355"/>
      <c r="AI91" s="2352"/>
      <c r="AJ91" s="2362"/>
      <c r="AK91" s="2353"/>
      <c r="AL91" s="1478"/>
      <c r="AM91" s="2355"/>
      <c r="AN91" s="2352"/>
      <c r="AO91" s="2362"/>
      <c r="AP91" s="2362"/>
      <c r="AQ91" s="2354"/>
      <c r="AR91" s="2355"/>
      <c r="AS91" s="2352"/>
      <c r="AT91" s="2353"/>
      <c r="AU91" s="2352"/>
      <c r="AV91" s="1462"/>
      <c r="AW91" s="2358"/>
      <c r="AX91" s="2358"/>
      <c r="AY91" s="2358"/>
      <c r="AZ91" s="2358"/>
      <c r="BA91" s="2366">
        <v>3600</v>
      </c>
      <c r="BB91" s="2363">
        <v>3.7</v>
      </c>
      <c r="BC91" s="2364">
        <v>43194</v>
      </c>
      <c r="BD91" s="2363">
        <v>48</v>
      </c>
      <c r="BE91" s="2364">
        <v>43193</v>
      </c>
      <c r="BF91" s="2358"/>
      <c r="BG91" s="2358"/>
      <c r="BH91" s="2358"/>
      <c r="BI91" s="2358"/>
      <c r="BJ91" s="2358"/>
    </row>
    <row r="92" spans="1:63">
      <c r="A92" s="2360">
        <v>90</v>
      </c>
      <c r="B92" s="2351">
        <f t="shared" si="5"/>
        <v>3600</v>
      </c>
      <c r="C92" s="1478"/>
      <c r="D92" s="1463"/>
      <c r="E92" s="2352"/>
      <c r="F92" s="2353"/>
      <c r="G92" s="2353"/>
      <c r="H92" s="1478"/>
      <c r="I92" s="1463"/>
      <c r="J92" s="2352"/>
      <c r="K92" s="2362"/>
      <c r="L92" s="2353"/>
      <c r="M92" s="1478"/>
      <c r="N92" s="1463"/>
      <c r="O92" s="2352"/>
      <c r="P92" s="2353"/>
      <c r="Q92" s="2353"/>
      <c r="R92" s="1478"/>
      <c r="S92" s="1463"/>
      <c r="T92" s="2352"/>
      <c r="U92" s="2362"/>
      <c r="V92" s="2593"/>
      <c r="W92" s="1478"/>
      <c r="X92" s="1463"/>
      <c r="Y92" s="2352"/>
      <c r="Z92" s="2362"/>
      <c r="AA92" s="2362"/>
      <c r="AB92" s="2355"/>
      <c r="AC92" s="2355"/>
      <c r="AD92" s="2355"/>
      <c r="AE92" s="2358"/>
      <c r="AF92" s="2358"/>
      <c r="AG92" s="1478"/>
      <c r="AH92" s="2355"/>
      <c r="AI92" s="2352"/>
      <c r="AJ92" s="2362"/>
      <c r="AK92" s="2353"/>
      <c r="AL92" s="1478"/>
      <c r="AM92" s="2355"/>
      <c r="AN92" s="2352"/>
      <c r="AO92" s="2362"/>
      <c r="AP92" s="2362"/>
      <c r="AQ92" s="2354"/>
      <c r="AR92" s="2355"/>
      <c r="AS92" s="2352"/>
      <c r="AT92" s="2353"/>
      <c r="AU92" s="2352"/>
      <c r="AV92" s="1462"/>
      <c r="AW92" s="2358"/>
      <c r="AX92" s="2358"/>
      <c r="AY92" s="2358"/>
      <c r="AZ92" s="2358"/>
      <c r="BA92" s="2366">
        <v>3600</v>
      </c>
      <c r="BB92" s="2363">
        <v>3.7</v>
      </c>
      <c r="BC92" s="2364">
        <v>43194</v>
      </c>
      <c r="BD92" s="2363">
        <v>48</v>
      </c>
      <c r="BE92" s="2364">
        <v>43193</v>
      </c>
      <c r="BF92" s="2358"/>
      <c r="BG92" s="2358"/>
      <c r="BH92" s="2358"/>
      <c r="BI92" s="2358"/>
      <c r="BJ92" s="2358"/>
    </row>
    <row r="93" spans="1:63">
      <c r="A93" s="2350">
        <v>91</v>
      </c>
      <c r="B93" s="2351">
        <f t="shared" si="5"/>
        <v>85000</v>
      </c>
      <c r="C93" s="1478">
        <v>30000</v>
      </c>
      <c r="D93" s="1463">
        <v>1</v>
      </c>
      <c r="E93" s="2352">
        <v>40391</v>
      </c>
      <c r="F93" s="2353">
        <v>36</v>
      </c>
      <c r="G93" s="2352">
        <v>41529</v>
      </c>
      <c r="H93" s="2351"/>
      <c r="I93" s="2355"/>
      <c r="J93" s="2352"/>
      <c r="K93" s="2362"/>
      <c r="L93" s="2353"/>
      <c r="M93" s="2351"/>
      <c r="N93" s="2355"/>
      <c r="O93" s="2352"/>
      <c r="P93" s="2353"/>
      <c r="Q93" s="2353"/>
      <c r="R93" s="2351"/>
      <c r="S93" s="2355"/>
      <c r="T93" s="2352"/>
      <c r="U93" s="2362"/>
      <c r="V93" s="2593"/>
      <c r="W93" s="1478">
        <v>40000</v>
      </c>
      <c r="X93" s="1463">
        <v>3.5</v>
      </c>
      <c r="Y93" s="2352">
        <v>42360</v>
      </c>
      <c r="Z93" s="2362">
        <v>48</v>
      </c>
      <c r="AA93" s="2361">
        <v>42380</v>
      </c>
      <c r="AB93" s="2355"/>
      <c r="AC93" s="2355"/>
      <c r="AD93" s="2355"/>
      <c r="AE93" s="2358"/>
      <c r="AF93" s="2358"/>
      <c r="AG93" s="1478"/>
      <c r="AH93" s="2355"/>
      <c r="AI93" s="2352"/>
      <c r="AJ93" s="2362"/>
      <c r="AK93" s="2353"/>
      <c r="AL93" s="1478"/>
      <c r="AM93" s="2355"/>
      <c r="AN93" s="2352"/>
      <c r="AO93" s="2362"/>
      <c r="AP93" s="2362"/>
      <c r="AQ93" s="2355"/>
      <c r="AR93" s="2355"/>
      <c r="AS93" s="2355"/>
      <c r="AT93" s="2353"/>
      <c r="AU93" s="2353"/>
      <c r="AV93" s="1462"/>
      <c r="AW93" s="2358"/>
      <c r="AX93" s="2358"/>
      <c r="AY93" s="2358"/>
      <c r="AZ93" s="2358"/>
      <c r="BA93" s="1462"/>
      <c r="BB93" s="2358"/>
      <c r="BC93" s="2358"/>
      <c r="BD93" s="2358"/>
      <c r="BE93" s="2358"/>
      <c r="BF93" s="2358">
        <v>15000</v>
      </c>
      <c r="BG93" s="2358">
        <v>7</v>
      </c>
      <c r="BH93" s="2358"/>
      <c r="BI93" s="2358">
        <v>48</v>
      </c>
      <c r="BJ93" s="2367">
        <v>43231</v>
      </c>
    </row>
    <row r="94" spans="1:63">
      <c r="A94" s="2360">
        <v>92</v>
      </c>
      <c r="B94" s="2351">
        <f t="shared" si="5"/>
        <v>95000</v>
      </c>
      <c r="C94" s="1462">
        <v>30000</v>
      </c>
      <c r="D94" s="1463">
        <v>1</v>
      </c>
      <c r="E94" s="2361">
        <v>40391</v>
      </c>
      <c r="F94" s="2362">
        <v>36</v>
      </c>
      <c r="G94" s="2361">
        <v>41529</v>
      </c>
      <c r="H94" s="2374"/>
      <c r="I94" s="2358"/>
      <c r="J94" s="2361"/>
      <c r="K94" s="2362"/>
      <c r="L94" s="2362"/>
      <c r="M94" s="2374"/>
      <c r="N94" s="2355"/>
      <c r="O94" s="2361"/>
      <c r="P94" s="2362"/>
      <c r="Q94" s="2362"/>
      <c r="R94" s="2374"/>
      <c r="S94" s="2355"/>
      <c r="T94" s="2361"/>
      <c r="U94" s="2362"/>
      <c r="V94" s="2593"/>
      <c r="W94" s="1462">
        <v>50000</v>
      </c>
      <c r="X94" s="1463">
        <v>3.5</v>
      </c>
      <c r="Y94" s="2352">
        <v>42360</v>
      </c>
      <c r="Z94" s="2362">
        <v>48</v>
      </c>
      <c r="AA94" s="2361">
        <v>42380</v>
      </c>
      <c r="AB94" s="2358"/>
      <c r="AC94" s="2358"/>
      <c r="AD94" s="2358"/>
      <c r="AE94" s="2358"/>
      <c r="AF94" s="2358"/>
      <c r="AG94" s="1462"/>
      <c r="AH94" s="2358"/>
      <c r="AI94" s="2352"/>
      <c r="AJ94" s="2362"/>
      <c r="AK94" s="2362"/>
      <c r="AL94" s="1462"/>
      <c r="AM94" s="2358"/>
      <c r="AN94" s="2352"/>
      <c r="AO94" s="2362"/>
      <c r="AP94" s="2362"/>
      <c r="AQ94" s="2358"/>
      <c r="AR94" s="2358"/>
      <c r="AS94" s="2358"/>
      <c r="AT94" s="2362"/>
      <c r="AU94" s="2362"/>
      <c r="AV94" s="1462"/>
      <c r="AW94" s="2358"/>
      <c r="AX94" s="2358"/>
      <c r="AY94" s="2358"/>
      <c r="AZ94" s="2358"/>
      <c r="BA94" s="1462"/>
      <c r="BB94" s="2358"/>
      <c r="BC94" s="2358"/>
      <c r="BD94" s="2358"/>
      <c r="BE94" s="2358"/>
      <c r="BF94" s="2358">
        <v>15000</v>
      </c>
      <c r="BG94" s="2358">
        <v>7</v>
      </c>
      <c r="BH94" s="2358"/>
      <c r="BI94" s="2358">
        <v>48</v>
      </c>
      <c r="BJ94" s="2367">
        <v>43231</v>
      </c>
    </row>
    <row r="95" spans="1:63">
      <c r="A95" s="2350">
        <v>93</v>
      </c>
      <c r="B95" s="2351">
        <f t="shared" si="5"/>
        <v>85000</v>
      </c>
      <c r="C95" s="1462">
        <v>30000</v>
      </c>
      <c r="D95" s="1463">
        <v>1</v>
      </c>
      <c r="E95" s="2361">
        <v>40391</v>
      </c>
      <c r="F95" s="2362">
        <v>36</v>
      </c>
      <c r="G95" s="2361">
        <v>41529</v>
      </c>
      <c r="H95" s="2374"/>
      <c r="I95" s="2358"/>
      <c r="J95" s="2361"/>
      <c r="K95" s="2362"/>
      <c r="L95" s="2362"/>
      <c r="M95" s="2374"/>
      <c r="N95" s="2355"/>
      <c r="O95" s="2361"/>
      <c r="P95" s="2362"/>
      <c r="Q95" s="2362"/>
      <c r="R95" s="2374"/>
      <c r="S95" s="2355"/>
      <c r="T95" s="2361"/>
      <c r="U95" s="2362"/>
      <c r="V95" s="2593"/>
      <c r="W95" s="1462">
        <v>40000</v>
      </c>
      <c r="X95" s="1463">
        <v>3.5</v>
      </c>
      <c r="Y95" s="2352">
        <v>42360</v>
      </c>
      <c r="Z95" s="2362">
        <v>48</v>
      </c>
      <c r="AA95" s="2361">
        <v>42380</v>
      </c>
      <c r="AB95" s="2358"/>
      <c r="AC95" s="2358"/>
      <c r="AD95" s="2358"/>
      <c r="AE95" s="2358"/>
      <c r="AF95" s="2358"/>
      <c r="AG95" s="1462"/>
      <c r="AH95" s="2358"/>
      <c r="AI95" s="2352"/>
      <c r="AJ95" s="2362"/>
      <c r="AK95" s="2362"/>
      <c r="AL95" s="1462"/>
      <c r="AM95" s="2355"/>
      <c r="AN95" s="2352"/>
      <c r="AO95" s="2362"/>
      <c r="AP95" s="2362"/>
      <c r="AQ95" s="2358"/>
      <c r="AR95" s="2358"/>
      <c r="AS95" s="2358"/>
      <c r="AT95" s="2362"/>
      <c r="AU95" s="2362"/>
      <c r="AV95" s="1462"/>
      <c r="AW95" s="2358"/>
      <c r="AX95" s="2358"/>
      <c r="AY95" s="2358"/>
      <c r="AZ95" s="2358"/>
      <c r="BA95" s="1462"/>
      <c r="BB95" s="2358"/>
      <c r="BC95" s="2358"/>
      <c r="BD95" s="2358"/>
      <c r="BE95" s="2358"/>
      <c r="BF95" s="2358">
        <v>15000</v>
      </c>
      <c r="BG95" s="2358">
        <v>7</v>
      </c>
      <c r="BH95" s="2358"/>
      <c r="BI95" s="2358">
        <v>48</v>
      </c>
      <c r="BJ95" s="2367">
        <v>43231</v>
      </c>
    </row>
    <row r="96" spans="1:63">
      <c r="A96" s="2360">
        <v>94</v>
      </c>
      <c r="B96" s="2351">
        <f t="shared" si="5"/>
        <v>85000</v>
      </c>
      <c r="C96" s="1462">
        <v>30000</v>
      </c>
      <c r="D96" s="1463">
        <v>1</v>
      </c>
      <c r="E96" s="2361">
        <v>40940</v>
      </c>
      <c r="F96" s="2362">
        <v>36</v>
      </c>
      <c r="G96" s="2361">
        <v>41529</v>
      </c>
      <c r="H96" s="2374"/>
      <c r="I96" s="2355"/>
      <c r="J96" s="2361"/>
      <c r="K96" s="2362"/>
      <c r="L96" s="2362"/>
      <c r="M96" s="2374"/>
      <c r="N96" s="2355"/>
      <c r="O96" s="2361"/>
      <c r="P96" s="2362"/>
      <c r="Q96" s="2362"/>
      <c r="R96" s="2374"/>
      <c r="S96" s="1463"/>
      <c r="T96" s="2361"/>
      <c r="U96" s="2362"/>
      <c r="V96" s="2593"/>
      <c r="W96" s="1462">
        <v>40000</v>
      </c>
      <c r="X96" s="1463">
        <v>3.5</v>
      </c>
      <c r="Y96" s="2352">
        <v>42360</v>
      </c>
      <c r="Z96" s="2362">
        <v>48</v>
      </c>
      <c r="AA96" s="2361">
        <v>42380</v>
      </c>
      <c r="AB96" s="2358"/>
      <c r="AC96" s="2358"/>
      <c r="AD96" s="2358"/>
      <c r="AE96" s="2358"/>
      <c r="AF96" s="2358"/>
      <c r="AG96" s="1462"/>
      <c r="AH96" s="2358"/>
      <c r="AI96" s="2352"/>
      <c r="AJ96" s="2362"/>
      <c r="AK96" s="2362"/>
      <c r="AL96" s="1462"/>
      <c r="AM96" s="2355"/>
      <c r="AN96" s="2352"/>
      <c r="AO96" s="2362"/>
      <c r="AP96" s="2362"/>
      <c r="AQ96" s="2358"/>
      <c r="AR96" s="2358"/>
      <c r="AS96" s="2358"/>
      <c r="AT96" s="2362"/>
      <c r="AU96" s="2362"/>
      <c r="AV96" s="1462"/>
      <c r="AW96" s="2358"/>
      <c r="AX96" s="2358"/>
      <c r="AY96" s="2358"/>
      <c r="AZ96" s="2358"/>
      <c r="BA96" s="1462"/>
      <c r="BB96" s="2358"/>
      <c r="BC96" s="2358"/>
      <c r="BD96" s="2358"/>
      <c r="BE96" s="2358"/>
      <c r="BF96" s="2358">
        <v>15000</v>
      </c>
      <c r="BG96" s="2358">
        <v>7</v>
      </c>
      <c r="BH96" s="2358"/>
      <c r="BI96" s="2358">
        <v>48</v>
      </c>
      <c r="BJ96" s="2367">
        <v>43231</v>
      </c>
    </row>
    <row r="97" spans="1:62">
      <c r="A97" s="2350">
        <v>95</v>
      </c>
      <c r="B97" s="2351">
        <f t="shared" si="5"/>
        <v>75000</v>
      </c>
      <c r="C97" s="2374"/>
      <c r="D97" s="1463"/>
      <c r="E97" s="2358"/>
      <c r="F97" s="2362"/>
      <c r="G97" s="2362"/>
      <c r="H97" s="2374"/>
      <c r="I97" s="2355"/>
      <c r="J97" s="2358"/>
      <c r="K97" s="2362"/>
      <c r="L97" s="2362"/>
      <c r="M97" s="2374"/>
      <c r="N97" s="2355"/>
      <c r="O97" s="2358"/>
      <c r="P97" s="2362"/>
      <c r="Q97" s="2362"/>
      <c r="R97" s="2374">
        <v>10000</v>
      </c>
      <c r="S97" s="1463">
        <v>1</v>
      </c>
      <c r="T97" s="2361">
        <v>41964</v>
      </c>
      <c r="U97" s="2362">
        <v>48</v>
      </c>
      <c r="V97" s="2593">
        <v>41977</v>
      </c>
      <c r="W97" s="1462">
        <v>50000</v>
      </c>
      <c r="X97" s="1463">
        <v>3.5</v>
      </c>
      <c r="Y97" s="2352">
        <v>42360</v>
      </c>
      <c r="Z97" s="2362">
        <v>48</v>
      </c>
      <c r="AA97" s="2361">
        <v>42380</v>
      </c>
      <c r="AB97" s="2358"/>
      <c r="AC97" s="2358"/>
      <c r="AD97" s="2358"/>
      <c r="AE97" s="2358"/>
      <c r="AF97" s="2358"/>
      <c r="AG97" s="1462"/>
      <c r="AH97" s="2358"/>
      <c r="AI97" s="2352"/>
      <c r="AJ97" s="2362"/>
      <c r="AK97" s="2362"/>
      <c r="AL97" s="1462"/>
      <c r="AM97" s="2355"/>
      <c r="AN97" s="2352"/>
      <c r="AO97" s="2362"/>
      <c r="AP97" s="2362"/>
      <c r="AQ97" s="2358"/>
      <c r="AR97" s="2358"/>
      <c r="AS97" s="2358"/>
      <c r="AT97" s="2362"/>
      <c r="AU97" s="2362"/>
      <c r="AV97" s="1462"/>
      <c r="AW97" s="2358"/>
      <c r="AX97" s="2358"/>
      <c r="AY97" s="2358"/>
      <c r="AZ97" s="2358"/>
      <c r="BA97" s="1462"/>
      <c r="BB97" s="2358"/>
      <c r="BC97" s="2358"/>
      <c r="BD97" s="2358"/>
      <c r="BE97" s="2358"/>
      <c r="BF97" s="2358">
        <v>15000</v>
      </c>
      <c r="BG97" s="2358">
        <v>7</v>
      </c>
      <c r="BH97" s="2358"/>
      <c r="BI97" s="2358">
        <v>48</v>
      </c>
      <c r="BJ97" s="2367">
        <v>43231</v>
      </c>
    </row>
    <row r="98" spans="1:62">
      <c r="A98" s="2360">
        <v>96</v>
      </c>
      <c r="B98" s="2351">
        <f t="shared" si="5"/>
        <v>45000</v>
      </c>
      <c r="C98" s="2374"/>
      <c r="D98" s="1463"/>
      <c r="E98" s="2358"/>
      <c r="F98" s="2362"/>
      <c r="G98" s="2362"/>
      <c r="H98" s="2374"/>
      <c r="I98" s="2355"/>
      <c r="J98" s="2358"/>
      <c r="K98" s="2362"/>
      <c r="L98" s="2362"/>
      <c r="M98" s="2374"/>
      <c r="N98" s="2355"/>
      <c r="O98" s="2358"/>
      <c r="P98" s="2362"/>
      <c r="Q98" s="2362"/>
      <c r="R98" s="2374">
        <v>20000</v>
      </c>
      <c r="S98" s="1463">
        <v>1</v>
      </c>
      <c r="T98" s="2361">
        <v>41964</v>
      </c>
      <c r="U98" s="2362">
        <v>48</v>
      </c>
      <c r="V98" s="2593">
        <v>41977</v>
      </c>
      <c r="W98" s="1462">
        <v>10000</v>
      </c>
      <c r="X98" s="1463">
        <v>3.5</v>
      </c>
      <c r="Y98" s="2352">
        <v>42360</v>
      </c>
      <c r="Z98" s="2362">
        <v>48</v>
      </c>
      <c r="AA98" s="2361">
        <v>42380</v>
      </c>
      <c r="AB98" s="2358"/>
      <c r="AC98" s="2358"/>
      <c r="AD98" s="2358"/>
      <c r="AE98" s="2358"/>
      <c r="AF98" s="2358"/>
      <c r="AG98" s="1462"/>
      <c r="AH98" s="2358"/>
      <c r="AI98" s="2352"/>
      <c r="AJ98" s="2362"/>
      <c r="AK98" s="2362"/>
      <c r="AL98" s="1462"/>
      <c r="AM98" s="2355"/>
      <c r="AN98" s="2352"/>
      <c r="AO98" s="2362"/>
      <c r="AP98" s="2362"/>
      <c r="AQ98" s="2358"/>
      <c r="AR98" s="2358"/>
      <c r="AS98" s="2358"/>
      <c r="AT98" s="2362"/>
      <c r="AU98" s="2362"/>
      <c r="AV98" s="1462"/>
      <c r="AW98" s="2358"/>
      <c r="AX98" s="2358"/>
      <c r="AY98" s="2358"/>
      <c r="AZ98" s="2358"/>
      <c r="BA98" s="1462"/>
      <c r="BB98" s="2358"/>
      <c r="BC98" s="2358"/>
      <c r="BD98" s="2358"/>
      <c r="BE98" s="2358"/>
      <c r="BF98" s="2358">
        <v>15000</v>
      </c>
      <c r="BG98" s="2363">
        <v>3.7</v>
      </c>
      <c r="BH98" s="2367">
        <v>43252</v>
      </c>
      <c r="BI98" s="2358">
        <v>48</v>
      </c>
      <c r="BJ98" s="2367">
        <v>43252</v>
      </c>
    </row>
    <row r="99" spans="1:62">
      <c r="A99" s="2350">
        <v>97</v>
      </c>
      <c r="B99" s="2351">
        <f t="shared" si="5"/>
        <v>45000</v>
      </c>
      <c r="C99" s="2374"/>
      <c r="D99" s="1463"/>
      <c r="E99" s="2358"/>
      <c r="F99" s="2362"/>
      <c r="G99" s="2362"/>
      <c r="H99" s="2374"/>
      <c r="I99" s="2358"/>
      <c r="J99" s="2358"/>
      <c r="K99" s="2362"/>
      <c r="L99" s="2362"/>
      <c r="M99" s="2374"/>
      <c r="N99" s="2355"/>
      <c r="O99" s="2358"/>
      <c r="P99" s="2362"/>
      <c r="Q99" s="2362"/>
      <c r="R99" s="2374">
        <v>20000</v>
      </c>
      <c r="S99" s="1463">
        <v>1</v>
      </c>
      <c r="T99" s="2361">
        <v>41964</v>
      </c>
      <c r="U99" s="2362">
        <v>48</v>
      </c>
      <c r="V99" s="2593">
        <v>41977</v>
      </c>
      <c r="W99" s="1462">
        <v>10000</v>
      </c>
      <c r="X99" s="1463">
        <v>3.5</v>
      </c>
      <c r="Y99" s="2352">
        <v>42360</v>
      </c>
      <c r="Z99" s="2362">
        <v>48</v>
      </c>
      <c r="AA99" s="2361">
        <v>42380</v>
      </c>
      <c r="AB99" s="2358"/>
      <c r="AC99" s="2358"/>
      <c r="AD99" s="2358"/>
      <c r="AE99" s="2358"/>
      <c r="AF99" s="2358"/>
      <c r="AG99" s="1462"/>
      <c r="AH99" s="2358"/>
      <c r="AI99" s="2352"/>
      <c r="AJ99" s="2362"/>
      <c r="AK99" s="2362"/>
      <c r="AL99" s="1462"/>
      <c r="AM99" s="2355"/>
      <c r="AN99" s="2352"/>
      <c r="AO99" s="2362"/>
      <c r="AP99" s="2362"/>
      <c r="AQ99" s="2358"/>
      <c r="AR99" s="2358"/>
      <c r="AS99" s="2358"/>
      <c r="AT99" s="2362"/>
      <c r="AU99" s="2362"/>
      <c r="AV99" s="1462"/>
      <c r="AW99" s="2358"/>
      <c r="AX99" s="2358"/>
      <c r="AY99" s="2358"/>
      <c r="AZ99" s="2358"/>
      <c r="BA99" s="1462"/>
      <c r="BB99" s="2358"/>
      <c r="BC99" s="2358"/>
      <c r="BD99" s="2358"/>
      <c r="BE99" s="2358"/>
      <c r="BF99" s="2358">
        <v>15000</v>
      </c>
      <c r="BG99" s="2363">
        <v>3.7</v>
      </c>
      <c r="BH99" s="2367">
        <v>43252</v>
      </c>
      <c r="BI99" s="2358">
        <v>48</v>
      </c>
      <c r="BJ99" s="2367">
        <v>43252</v>
      </c>
    </row>
    <row r="100" spans="1:62">
      <c r="A100" s="2360">
        <v>98</v>
      </c>
      <c r="B100" s="2351">
        <f t="shared" si="5"/>
        <v>10000</v>
      </c>
      <c r="C100" s="2374"/>
      <c r="D100" s="1463"/>
      <c r="E100" s="2358"/>
      <c r="F100" s="2362"/>
      <c r="G100" s="2362"/>
      <c r="H100" s="2374"/>
      <c r="I100" s="2358"/>
      <c r="J100" s="2358"/>
      <c r="K100" s="2362"/>
      <c r="L100" s="2362"/>
      <c r="M100" s="2374"/>
      <c r="N100" s="2358"/>
      <c r="O100" s="2358"/>
      <c r="P100" s="2362"/>
      <c r="Q100" s="2362"/>
      <c r="R100" s="2374"/>
      <c r="S100" s="1463"/>
      <c r="T100" s="2361"/>
      <c r="U100" s="2362"/>
      <c r="V100" s="2593"/>
      <c r="W100" s="1462">
        <v>10000</v>
      </c>
      <c r="X100" s="1463">
        <v>3.5</v>
      </c>
      <c r="Y100" s="2352">
        <v>42360</v>
      </c>
      <c r="Z100" s="2362">
        <v>48</v>
      </c>
      <c r="AA100" s="2361">
        <v>42380</v>
      </c>
      <c r="AB100" s="2358"/>
      <c r="AC100" s="2358"/>
      <c r="AD100" s="2358"/>
      <c r="AE100" s="2358"/>
      <c r="AF100" s="2358"/>
      <c r="AG100" s="1462"/>
      <c r="AH100" s="2358"/>
      <c r="AI100" s="2352"/>
      <c r="AJ100" s="2362"/>
      <c r="AK100" s="2362"/>
      <c r="AL100" s="1462"/>
      <c r="AM100" s="2355"/>
      <c r="AN100" s="2352"/>
      <c r="AO100" s="2362"/>
      <c r="AP100" s="2362"/>
      <c r="AQ100" s="2358"/>
      <c r="AR100" s="2358"/>
      <c r="AS100" s="2358"/>
      <c r="AT100" s="2362"/>
      <c r="AU100" s="2362"/>
      <c r="AV100" s="1462"/>
      <c r="AW100" s="2358"/>
      <c r="AX100" s="2358"/>
      <c r="AY100" s="2358"/>
      <c r="AZ100" s="2358"/>
      <c r="BA100" s="1462"/>
      <c r="BB100" s="2358"/>
      <c r="BC100" s="2358"/>
      <c r="BD100" s="2358"/>
      <c r="BE100" s="2358"/>
      <c r="BF100" s="2358"/>
      <c r="BG100" s="2358"/>
      <c r="BH100" s="2358"/>
      <c r="BI100" s="2358"/>
      <c r="BJ100" s="2358"/>
    </row>
    <row r="101" spans="1:62">
      <c r="A101" s="2350">
        <v>99</v>
      </c>
      <c r="B101" s="2351">
        <f t="shared" si="5"/>
        <v>70000</v>
      </c>
      <c r="C101" s="2374"/>
      <c r="D101" s="1463"/>
      <c r="E101" s="2358"/>
      <c r="F101" s="2362"/>
      <c r="G101" s="2362"/>
      <c r="H101" s="2374"/>
      <c r="I101" s="2358"/>
      <c r="J101" s="2358"/>
      <c r="K101" s="2362"/>
      <c r="L101" s="2362"/>
      <c r="M101" s="2374"/>
      <c r="N101" s="2358"/>
      <c r="O101" s="2358"/>
      <c r="P101" s="2362"/>
      <c r="Q101" s="2362"/>
      <c r="R101" s="1462"/>
      <c r="S101" s="1475"/>
      <c r="T101" s="2361"/>
      <c r="U101" s="2362"/>
      <c r="V101" s="2593"/>
      <c r="W101" s="1462">
        <v>70000</v>
      </c>
      <c r="X101" s="1463">
        <v>4</v>
      </c>
      <c r="Y101" s="2352">
        <v>42444</v>
      </c>
      <c r="Z101" s="2362">
        <v>12</v>
      </c>
      <c r="AA101" s="2361">
        <v>42444</v>
      </c>
      <c r="AB101" s="2358"/>
      <c r="AC101" s="2358"/>
      <c r="AD101" s="2358"/>
      <c r="AE101" s="2358"/>
      <c r="AF101" s="2358"/>
      <c r="AG101" s="1462"/>
      <c r="AH101" s="2358"/>
      <c r="AI101" s="2352"/>
      <c r="AJ101" s="2362"/>
      <c r="AK101" s="2362"/>
      <c r="AL101" s="1462"/>
      <c r="AM101" s="2355"/>
      <c r="AN101" s="2352"/>
      <c r="AO101" s="2362"/>
      <c r="AP101" s="2362"/>
      <c r="AQ101" s="2358"/>
      <c r="AR101" s="2358"/>
      <c r="AS101" s="2358"/>
      <c r="AT101" s="2362"/>
      <c r="AU101" s="2362"/>
      <c r="AV101" s="1462"/>
      <c r="AW101" s="2358"/>
      <c r="AX101" s="2358"/>
      <c r="AY101" s="2358"/>
      <c r="AZ101" s="2358"/>
      <c r="BA101" s="1462"/>
      <c r="BB101" s="2358"/>
      <c r="BC101" s="2358"/>
      <c r="BD101" s="2358"/>
      <c r="BE101" s="2358"/>
      <c r="BF101" s="2358"/>
      <c r="BG101" s="2358"/>
      <c r="BH101" s="2358"/>
      <c r="BI101" s="2358"/>
      <c r="BJ101" s="2358"/>
    </row>
    <row r="102" spans="1:62">
      <c r="A102" s="2360">
        <v>100</v>
      </c>
      <c r="B102" s="2351">
        <f t="shared" si="5"/>
        <v>15000</v>
      </c>
      <c r="C102" s="2374"/>
      <c r="D102" s="1463"/>
      <c r="E102" s="2358"/>
      <c r="F102" s="2362"/>
      <c r="G102" s="2362"/>
      <c r="H102" s="2374"/>
      <c r="I102" s="2358"/>
      <c r="J102" s="2358"/>
      <c r="K102" s="2362"/>
      <c r="L102" s="2362"/>
      <c r="M102" s="2374"/>
      <c r="N102" s="2358"/>
      <c r="O102" s="2358"/>
      <c r="P102" s="2362"/>
      <c r="Q102" s="2362"/>
      <c r="R102" s="1462"/>
      <c r="S102" s="1475"/>
      <c r="T102" s="2361"/>
      <c r="U102" s="2362"/>
      <c r="V102" s="2593"/>
      <c r="W102" s="1462"/>
      <c r="X102" s="1463"/>
      <c r="Y102" s="2352"/>
      <c r="Z102" s="2362"/>
      <c r="AA102" s="2361"/>
      <c r="AB102" s="2358"/>
      <c r="AC102" s="2358"/>
      <c r="AD102" s="2358"/>
      <c r="AE102" s="2358"/>
      <c r="AF102" s="2358"/>
      <c r="AG102" s="1462"/>
      <c r="AH102" s="2358"/>
      <c r="AI102" s="2352"/>
      <c r="AJ102" s="2362"/>
      <c r="AK102" s="2362"/>
      <c r="AL102" s="1462"/>
      <c r="AM102" s="2355"/>
      <c r="AN102" s="2352"/>
      <c r="AO102" s="2362"/>
      <c r="AP102" s="2362"/>
      <c r="AQ102" s="2358"/>
      <c r="AR102" s="2358"/>
      <c r="AS102" s="2358"/>
      <c r="AT102" s="2362"/>
      <c r="AU102" s="2362"/>
      <c r="AV102" s="1462"/>
      <c r="AW102" s="2358"/>
      <c r="AX102" s="2358"/>
      <c r="AY102" s="2358"/>
      <c r="AZ102" s="2358"/>
      <c r="BA102" s="1462"/>
      <c r="BB102" s="2358"/>
      <c r="BC102" s="2358"/>
      <c r="BD102" s="2358"/>
      <c r="BE102" s="2358"/>
      <c r="BF102" s="2358">
        <v>15000</v>
      </c>
      <c r="BG102" s="2363">
        <v>3.7</v>
      </c>
      <c r="BH102" s="2367">
        <v>43252</v>
      </c>
      <c r="BI102" s="2358">
        <v>48</v>
      </c>
      <c r="BJ102" s="2367">
        <v>43252</v>
      </c>
    </row>
    <row r="103" spans="1:62" s="2379" customFormat="1">
      <c r="A103" s="2375"/>
      <c r="B103" s="2376">
        <f>SUM(B3:B102)</f>
        <v>7344858</v>
      </c>
      <c r="C103" s="2376">
        <f>SUM(C3:C101)</f>
        <v>270000</v>
      </c>
      <c r="D103" s="2376"/>
      <c r="E103" s="2376"/>
      <c r="F103" s="2376"/>
      <c r="G103" s="2376"/>
      <c r="H103" s="2376">
        <f>SUM(H3:H101)</f>
        <v>75000</v>
      </c>
      <c r="I103" s="2376"/>
      <c r="J103" s="2376"/>
      <c r="K103" s="2376"/>
      <c r="L103" s="2376"/>
      <c r="M103" s="2376">
        <f>SUM(M3:M101)</f>
        <v>125000</v>
      </c>
      <c r="N103" s="2376"/>
      <c r="O103" s="2376"/>
      <c r="P103" s="2376"/>
      <c r="Q103" s="2376"/>
      <c r="R103" s="2376">
        <f>SUM(R3:R101)</f>
        <v>700000</v>
      </c>
      <c r="S103" s="2376"/>
      <c r="T103" s="2376"/>
      <c r="U103" s="2376"/>
      <c r="V103" s="2594"/>
      <c r="W103" s="2376">
        <f>SUM(W3:W101)</f>
        <v>1030000</v>
      </c>
      <c r="X103" s="2376"/>
      <c r="Y103" s="2376"/>
      <c r="Z103" s="2376"/>
      <c r="AA103" s="2376"/>
      <c r="AB103" s="2376">
        <f>SUM(AB3:AB101)</f>
        <v>75000</v>
      </c>
      <c r="AC103" s="2376"/>
      <c r="AD103" s="2376"/>
      <c r="AE103" s="2376"/>
      <c r="AF103" s="2376"/>
      <c r="AG103" s="2376">
        <f>SUM(AG3:AG101)</f>
        <v>10000</v>
      </c>
      <c r="AH103" s="2376"/>
      <c r="AI103" s="2376"/>
      <c r="AJ103" s="2376"/>
      <c r="AK103" s="2376"/>
      <c r="AL103" s="2376">
        <f>SUM(AL3:AL101)</f>
        <v>500000</v>
      </c>
      <c r="AM103" s="2376"/>
      <c r="AN103" s="2376"/>
      <c r="AO103" s="2376"/>
      <c r="AP103" s="2376"/>
      <c r="AQ103" s="2376">
        <f>SUM(AQ3:AQ101)</f>
        <v>2616892</v>
      </c>
      <c r="AR103" s="2376"/>
      <c r="AS103" s="2376"/>
      <c r="AT103" s="2376"/>
      <c r="AU103" s="2376"/>
      <c r="AV103" s="2376">
        <f>SUM(AV3:AV101)</f>
        <v>494865</v>
      </c>
      <c r="AW103" s="2377"/>
      <c r="AX103" s="2377"/>
      <c r="AY103" s="2377"/>
      <c r="AZ103" s="2377"/>
      <c r="BA103" s="2378">
        <f>SUM(BA3:BA101)</f>
        <v>1229000</v>
      </c>
      <c r="BB103" s="2377"/>
      <c r="BC103" s="2377"/>
      <c r="BD103" s="2377"/>
      <c r="BE103" s="2377"/>
      <c r="BF103" s="2377">
        <f>SUM(BF3:BF102)</f>
        <v>470000</v>
      </c>
      <c r="BG103" s="2377"/>
      <c r="BH103" s="2377"/>
      <c r="BI103" s="2377"/>
      <c r="BJ103" s="2377"/>
    </row>
    <row r="104" spans="1:62">
      <c r="B104" s="2380"/>
    </row>
    <row r="105" spans="1:62">
      <c r="A105" s="2382">
        <v>1</v>
      </c>
      <c r="B105" s="2383"/>
      <c r="AB105" s="2384"/>
    </row>
    <row r="106" spans="1:62">
      <c r="A106" s="2382">
        <v>2</v>
      </c>
    </row>
    <row r="107" spans="1:62">
      <c r="A107" s="2386" t="s">
        <v>3120</v>
      </c>
      <c r="B107" s="2383"/>
      <c r="BJ107" s="2387"/>
    </row>
    <row r="108" spans="1:62">
      <c r="A108" s="2382">
        <v>4</v>
      </c>
      <c r="BJ108" s="2387"/>
    </row>
    <row r="109" spans="1:62" ht="36">
      <c r="A109" s="2388" t="s">
        <v>3121</v>
      </c>
      <c r="B109" s="2389" t="s">
        <v>3122</v>
      </c>
      <c r="C109" s="2388" t="s">
        <v>3123</v>
      </c>
      <c r="D109" s="2390" t="s">
        <v>3124</v>
      </c>
      <c r="E109" s="2388" t="s">
        <v>3125</v>
      </c>
      <c r="F109" s="2390" t="s">
        <v>3126</v>
      </c>
      <c r="G109" s="2388" t="s">
        <v>3127</v>
      </c>
      <c r="H109" s="2389" t="s">
        <v>3128</v>
      </c>
      <c r="I109" s="2389" t="s">
        <v>3129</v>
      </c>
      <c r="BJ109" s="2387"/>
    </row>
    <row r="110" spans="1:62">
      <c r="A110" s="2391" t="s">
        <v>3130</v>
      </c>
      <c r="B110" s="2392">
        <v>1237162</v>
      </c>
      <c r="C110" s="2393">
        <v>7</v>
      </c>
      <c r="D110" s="2394">
        <v>43091</v>
      </c>
      <c r="E110" s="2393">
        <v>48</v>
      </c>
      <c r="F110" s="2395">
        <v>43193</v>
      </c>
      <c r="G110" s="2393" t="s">
        <v>3131</v>
      </c>
      <c r="H110" s="2392">
        <v>2.2997883069365175</v>
      </c>
      <c r="I110" s="2392">
        <f>B110*H110</f>
        <v>2845210.7013861956</v>
      </c>
      <c r="BJ110" s="2387"/>
    </row>
    <row r="111" spans="1:62">
      <c r="A111" s="2391" t="s">
        <v>3130</v>
      </c>
      <c r="B111" s="2392">
        <v>494865</v>
      </c>
      <c r="C111" s="2393">
        <v>7</v>
      </c>
      <c r="D111" s="2394">
        <v>43008</v>
      </c>
      <c r="E111" s="2393">
        <v>48</v>
      </c>
      <c r="F111" s="2395">
        <v>43193</v>
      </c>
      <c r="G111" s="2393" t="s">
        <v>3131</v>
      </c>
      <c r="H111" s="2392">
        <v>2.2805845258424258</v>
      </c>
      <c r="I111" s="2392">
        <f>B111*H111</f>
        <v>1128581.4613810121</v>
      </c>
      <c r="BJ111" s="2387"/>
    </row>
    <row r="112" spans="1:62">
      <c r="A112" s="2391" t="s">
        <v>3130</v>
      </c>
      <c r="B112" s="2392">
        <v>494865</v>
      </c>
      <c r="C112" s="2393"/>
      <c r="D112" s="2394"/>
      <c r="E112" s="2393"/>
      <c r="F112" s="2395">
        <v>43107</v>
      </c>
      <c r="G112" s="2393" t="s">
        <v>3132</v>
      </c>
      <c r="H112" s="2392">
        <v>3.6542820862499559</v>
      </c>
      <c r="I112" s="2392">
        <f>B112*H112</f>
        <v>1808376.3046120845</v>
      </c>
      <c r="BJ112" s="2387"/>
    </row>
    <row r="113" spans="1:62">
      <c r="A113" s="2382">
        <v>9</v>
      </c>
      <c r="BJ113" s="2387"/>
    </row>
    <row r="114" spans="1:62">
      <c r="A114" s="2382">
        <v>10</v>
      </c>
      <c r="BJ114" s="2387"/>
    </row>
    <row r="115" spans="1:62">
      <c r="A115" s="2382">
        <v>11</v>
      </c>
      <c r="H115" s="2368" t="str">
        <f>C1</f>
        <v>Committed at employment/contract_Granted</v>
      </c>
      <c r="I115" s="2368" t="str">
        <f>H1</f>
        <v>CTA filing in 2012</v>
      </c>
      <c r="J115" s="2368" t="str">
        <f>M1</f>
        <v>CTA approval in 2013</v>
      </c>
      <c r="K115" s="2368" t="str">
        <f>R1</f>
        <v>Achieving both Ph Ib and NDF in 2014</v>
      </c>
      <c r="L115" s="2368" t="str">
        <f>W1</f>
        <v>Ph Ic/Id/PhII&amp;III CTP Milestones in 2015</v>
      </c>
      <c r="M115" s="2368" t="str">
        <f>AB1</f>
        <v>Series C financing in 2016</v>
      </c>
      <c r="N115" s="2368" t="str">
        <f>AG1</f>
        <v>2016 New Hire</v>
      </c>
      <c r="O115" s="2368" t="str">
        <f>AL1</f>
        <v>Enter into Phase III in 2016</v>
      </c>
      <c r="P115" s="2368" t="str">
        <f>AQ1</f>
        <v>2017 New Hire</v>
      </c>
      <c r="Q115" s="2368" t="str">
        <f>AV1</f>
        <v>2017 Year End Award</v>
      </c>
      <c r="R115" s="2368" t="str">
        <f>BA1</f>
        <v>2018 Award</v>
      </c>
      <c r="S115" s="2368" t="str">
        <f>BF1</f>
        <v>New Grant in 2018</v>
      </c>
    </row>
    <row r="116" spans="1:62">
      <c r="A116" s="2382">
        <v>12</v>
      </c>
      <c r="G116" s="1493">
        <v>1</v>
      </c>
      <c r="H116" s="2368">
        <f t="shared" ref="H116:H123" si="6">SUMIF($D$3:$D$102,$G116,$C$3:$C$102)</f>
        <v>270000</v>
      </c>
      <c r="I116" s="2368">
        <f>SUMIF($I$3:$I$102,$G116,$H$3:$H$102)</f>
        <v>75000</v>
      </c>
      <c r="J116" s="2368">
        <f>SUMIF($N$3:$N$102,$G116,$M$3:$M$102)</f>
        <v>125000</v>
      </c>
      <c r="K116" s="2368">
        <f>SUMIF($S$3:$S$102,$G116,$R$3:$R$102)</f>
        <v>700000</v>
      </c>
      <c r="L116" s="2368">
        <f>SUMIF($X$3:$X$102,$G116,$W$3:$W$102)</f>
        <v>0</v>
      </c>
      <c r="M116" s="2368">
        <f>SUMIF($AC$3:$AC$102,$G116,$AB$3:$AB$102)</f>
        <v>0</v>
      </c>
      <c r="N116" s="2368">
        <f>SUMIF($AH$3:$AH$102,$G116,$AG$3:$AG$102)</f>
        <v>0</v>
      </c>
      <c r="O116" s="2368">
        <f>SUMIF($AM$3:$AM$102,$G116,$AL$3:$AL$102)</f>
        <v>0</v>
      </c>
      <c r="P116" s="2368">
        <f>SUMIF($AR$3:$AR$102,$G116,$AQ$3:$AQ$102)</f>
        <v>290000</v>
      </c>
      <c r="Q116" s="2368">
        <f>SUMIF($AW$3:$AW$102,$G116,$AV$3:$AV$102)</f>
        <v>488865</v>
      </c>
      <c r="R116" s="2368">
        <f>SUMIF($BB$3:$BB$102,$G116,$BA$3:$BA$102)</f>
        <v>0</v>
      </c>
      <c r="S116" s="2368">
        <f>SUMIF($BG$3:$BG$102,$G116,$BF$3:$BF$102)</f>
        <v>0</v>
      </c>
      <c r="T116" s="2368">
        <f>SUMIF($C$110:$C$112,$G116,$B$110:$B$112)</f>
        <v>0</v>
      </c>
      <c r="U116" s="2368">
        <f>SUM(H116:T116)</f>
        <v>1948865</v>
      </c>
    </row>
    <row r="117" spans="1:62">
      <c r="A117" s="2382">
        <v>13</v>
      </c>
      <c r="G117" s="1493">
        <v>3.5</v>
      </c>
      <c r="H117" s="2368">
        <f t="shared" si="6"/>
        <v>0</v>
      </c>
      <c r="I117" s="2368">
        <f t="shared" ref="I117:I123" si="7">SUMIF($I$3:$I$102,$G117,$H$3:$H$102)</f>
        <v>0</v>
      </c>
      <c r="J117" s="2368">
        <f t="shared" ref="J117:J123" si="8">SUMIF($N$3:$N$102,$G117,$M$3:$M$102)</f>
        <v>0</v>
      </c>
      <c r="K117" s="2368">
        <f t="shared" ref="K117:K123" si="9">SUMIF($S$3:$S$102,$G117,$R$3:$R$102)</f>
        <v>0</v>
      </c>
      <c r="L117" s="2368">
        <f t="shared" ref="L117:L123" si="10">SUMIF($X$3:$X$102,$G117,$W$3:$W$102)</f>
        <v>960000</v>
      </c>
      <c r="M117" s="2368">
        <f t="shared" ref="M117:M122" si="11">SUMIF($AC$3:$AC$102,$G117,$AB$3:$AB$102)</f>
        <v>0</v>
      </c>
      <c r="N117" s="2368">
        <f t="shared" ref="N117:N123" si="12">SUMIF($AH$3:$AH$102,$G117,$AG$3:$AG$102)</f>
        <v>0</v>
      </c>
      <c r="O117" s="2368">
        <f t="shared" ref="O117:O123" si="13">SUMIF($AM$3:$AM$102,$G117,$AL$3:$AL$102)</f>
        <v>0</v>
      </c>
      <c r="P117" s="2368">
        <f t="shared" ref="P117:P123" si="14">SUMIF($AR$3:$AR$102,$G117,$AQ$3:$AQ$102)</f>
        <v>0</v>
      </c>
      <c r="Q117" s="2368">
        <f t="shared" ref="Q117:Q123" si="15">SUMIF($AW$3:$AW$102,$G117,$AV$3:$AV$102)</f>
        <v>0</v>
      </c>
      <c r="R117" s="2368">
        <f t="shared" ref="R117:R123" si="16">SUMIF($BB$3:$BB$102,$G117,$BA$3:$BA$102)</f>
        <v>0</v>
      </c>
      <c r="S117" s="2368">
        <f t="shared" ref="S117:S123" si="17">SUMIF($BG$3:$BG$102,$G117,$BF$3:$BF$102)</f>
        <v>0</v>
      </c>
      <c r="T117" s="2368">
        <f t="shared" ref="T117:T123" si="18">SUMIF($C$110:$C$112,$G117,$B$110:$B$112)</f>
        <v>0</v>
      </c>
      <c r="U117" s="2368">
        <f t="shared" ref="U117:U123" si="19">SUM(H117:T117)</f>
        <v>960000</v>
      </c>
    </row>
    <row r="118" spans="1:62">
      <c r="A118" s="2382">
        <v>14</v>
      </c>
      <c r="G118" s="1493">
        <v>3.7</v>
      </c>
      <c r="H118" s="2368">
        <f t="shared" si="6"/>
        <v>0</v>
      </c>
      <c r="I118" s="2368">
        <f t="shared" si="7"/>
        <v>0</v>
      </c>
      <c r="J118" s="2368">
        <f t="shared" si="8"/>
        <v>0</v>
      </c>
      <c r="K118" s="2368">
        <f t="shared" si="9"/>
        <v>0</v>
      </c>
      <c r="L118" s="2368">
        <f t="shared" si="10"/>
        <v>0</v>
      </c>
      <c r="M118" s="2368">
        <f t="shared" si="11"/>
        <v>0</v>
      </c>
      <c r="N118" s="2368">
        <f t="shared" si="12"/>
        <v>0</v>
      </c>
      <c r="O118" s="2368">
        <f t="shared" si="13"/>
        <v>0</v>
      </c>
      <c r="P118" s="2368">
        <f t="shared" si="14"/>
        <v>0</v>
      </c>
      <c r="Q118" s="2368">
        <f t="shared" si="15"/>
        <v>0</v>
      </c>
      <c r="R118" s="2368">
        <f t="shared" si="16"/>
        <v>906357</v>
      </c>
      <c r="S118" s="2368">
        <f t="shared" si="17"/>
        <v>295000</v>
      </c>
      <c r="T118" s="2368">
        <f t="shared" si="18"/>
        <v>0</v>
      </c>
      <c r="U118" s="2368">
        <f t="shared" si="19"/>
        <v>1201357</v>
      </c>
    </row>
    <row r="119" spans="1:62">
      <c r="A119" s="2382">
        <v>15</v>
      </c>
      <c r="G119" s="1493">
        <v>4</v>
      </c>
      <c r="H119" s="2368">
        <f t="shared" si="6"/>
        <v>0</v>
      </c>
      <c r="I119" s="2368">
        <f t="shared" si="7"/>
        <v>0</v>
      </c>
      <c r="J119" s="2368">
        <f t="shared" si="8"/>
        <v>0</v>
      </c>
      <c r="K119" s="2368">
        <f t="shared" si="9"/>
        <v>0</v>
      </c>
      <c r="L119" s="2368">
        <f t="shared" si="10"/>
        <v>70000</v>
      </c>
      <c r="M119" s="2368">
        <f t="shared" si="11"/>
        <v>0</v>
      </c>
      <c r="N119" s="2368">
        <f t="shared" si="12"/>
        <v>0</v>
      </c>
      <c r="O119" s="2368">
        <f t="shared" si="13"/>
        <v>0</v>
      </c>
      <c r="P119" s="2368">
        <f t="shared" si="14"/>
        <v>0</v>
      </c>
      <c r="Q119" s="2368">
        <f t="shared" si="15"/>
        <v>0</v>
      </c>
      <c r="R119" s="2368">
        <f t="shared" si="16"/>
        <v>0</v>
      </c>
      <c r="S119" s="2368">
        <f t="shared" si="17"/>
        <v>0</v>
      </c>
      <c r="T119" s="2368">
        <f t="shared" si="18"/>
        <v>0</v>
      </c>
      <c r="U119" s="2368">
        <f t="shared" si="19"/>
        <v>70000</v>
      </c>
    </row>
    <row r="120" spans="1:62">
      <c r="G120" s="1493">
        <v>6</v>
      </c>
      <c r="H120" s="2368">
        <f t="shared" si="6"/>
        <v>0</v>
      </c>
      <c r="I120" s="2368">
        <f t="shared" si="7"/>
        <v>0</v>
      </c>
      <c r="J120" s="2368">
        <f t="shared" si="8"/>
        <v>0</v>
      </c>
      <c r="K120" s="2368">
        <f t="shared" si="9"/>
        <v>0</v>
      </c>
      <c r="L120" s="2368">
        <f t="shared" si="10"/>
        <v>0</v>
      </c>
      <c r="M120" s="2368">
        <f t="shared" si="11"/>
        <v>75000</v>
      </c>
      <c r="N120" s="2368">
        <f t="shared" si="12"/>
        <v>0</v>
      </c>
      <c r="O120" s="2368">
        <f t="shared" si="13"/>
        <v>0</v>
      </c>
      <c r="P120" s="2368">
        <f t="shared" si="14"/>
        <v>0</v>
      </c>
      <c r="Q120" s="2368">
        <f t="shared" si="15"/>
        <v>0</v>
      </c>
      <c r="R120" s="2368">
        <f t="shared" si="16"/>
        <v>0</v>
      </c>
      <c r="S120" s="2368">
        <f t="shared" si="17"/>
        <v>0</v>
      </c>
      <c r="T120" s="2368">
        <f t="shared" si="18"/>
        <v>0</v>
      </c>
      <c r="U120" s="2368">
        <f t="shared" si="19"/>
        <v>75000</v>
      </c>
    </row>
    <row r="121" spans="1:62">
      <c r="G121" s="1493">
        <v>7</v>
      </c>
      <c r="H121" s="2368">
        <f t="shared" si="6"/>
        <v>0</v>
      </c>
      <c r="I121" s="2368">
        <f t="shared" si="7"/>
        <v>0</v>
      </c>
      <c r="J121" s="2368">
        <f t="shared" si="8"/>
        <v>0</v>
      </c>
      <c r="K121" s="2368">
        <f t="shared" si="9"/>
        <v>0</v>
      </c>
      <c r="L121" s="2368">
        <f t="shared" si="10"/>
        <v>0</v>
      </c>
      <c r="M121" s="2368">
        <f t="shared" si="11"/>
        <v>0</v>
      </c>
      <c r="N121" s="2368">
        <f t="shared" si="12"/>
        <v>10000</v>
      </c>
      <c r="O121" s="2368">
        <f t="shared" si="13"/>
        <v>500000</v>
      </c>
      <c r="P121" s="2368">
        <f t="shared" si="14"/>
        <v>0</v>
      </c>
      <c r="Q121" s="2368">
        <f t="shared" si="15"/>
        <v>0</v>
      </c>
      <c r="R121" s="2368">
        <f t="shared" si="16"/>
        <v>322643</v>
      </c>
      <c r="S121" s="2368">
        <f t="shared" si="17"/>
        <v>175000</v>
      </c>
      <c r="T121" s="2368">
        <f t="shared" si="18"/>
        <v>1732027</v>
      </c>
      <c r="U121" s="2368">
        <f t="shared" si="19"/>
        <v>2739670</v>
      </c>
    </row>
    <row r="122" spans="1:62">
      <c r="G122" s="1493">
        <v>10</v>
      </c>
      <c r="H122" s="2368">
        <f t="shared" si="6"/>
        <v>0</v>
      </c>
      <c r="I122" s="2368">
        <f t="shared" si="7"/>
        <v>0</v>
      </c>
      <c r="J122" s="2368">
        <f t="shared" si="8"/>
        <v>0</v>
      </c>
      <c r="K122" s="2368">
        <f t="shared" si="9"/>
        <v>0</v>
      </c>
      <c r="L122" s="2368">
        <f t="shared" si="10"/>
        <v>0</v>
      </c>
      <c r="M122" s="2368">
        <f t="shared" si="11"/>
        <v>0</v>
      </c>
      <c r="N122" s="2368">
        <f t="shared" si="12"/>
        <v>0</v>
      </c>
      <c r="O122" s="2368">
        <f t="shared" si="13"/>
        <v>0</v>
      </c>
      <c r="P122" s="2368">
        <f t="shared" si="14"/>
        <v>100000</v>
      </c>
      <c r="Q122" s="2368">
        <f t="shared" si="15"/>
        <v>0</v>
      </c>
      <c r="R122" s="2368">
        <f t="shared" si="16"/>
        <v>0</v>
      </c>
      <c r="S122" s="2368">
        <f t="shared" si="17"/>
        <v>0</v>
      </c>
      <c r="T122" s="2368">
        <f t="shared" si="18"/>
        <v>0</v>
      </c>
      <c r="U122" s="2368">
        <f t="shared" si="19"/>
        <v>100000</v>
      </c>
    </row>
    <row r="123" spans="1:62">
      <c r="G123" s="1493">
        <v>11</v>
      </c>
      <c r="H123" s="2368">
        <f t="shared" si="6"/>
        <v>0</v>
      </c>
      <c r="I123" s="2368">
        <f t="shared" si="7"/>
        <v>0</v>
      </c>
      <c r="J123" s="2368">
        <f t="shared" si="8"/>
        <v>0</v>
      </c>
      <c r="K123" s="2368">
        <f t="shared" si="9"/>
        <v>0</v>
      </c>
      <c r="L123" s="2368">
        <f t="shared" si="10"/>
        <v>0</v>
      </c>
      <c r="M123" s="2368">
        <f>SUMIF($AC$3:$AC$102,$G123,$AB$3:$AB$102)</f>
        <v>0</v>
      </c>
      <c r="N123" s="2368">
        <f t="shared" si="12"/>
        <v>0</v>
      </c>
      <c r="O123" s="2368">
        <f t="shared" si="13"/>
        <v>0</v>
      </c>
      <c r="P123" s="2368">
        <f t="shared" si="14"/>
        <v>0</v>
      </c>
      <c r="Q123" s="2368">
        <f t="shared" si="15"/>
        <v>6000</v>
      </c>
      <c r="R123" s="2368">
        <f t="shared" si="16"/>
        <v>0</v>
      </c>
      <c r="S123" s="2368">
        <f t="shared" si="17"/>
        <v>0</v>
      </c>
      <c r="T123" s="2368">
        <f t="shared" si="18"/>
        <v>0</v>
      </c>
      <c r="U123" s="2368">
        <f t="shared" si="19"/>
        <v>6000</v>
      </c>
    </row>
    <row r="124" spans="1:62">
      <c r="H124" s="2396">
        <f t="shared" ref="H124:R124" si="20">SUM(H116:H123)</f>
        <v>270000</v>
      </c>
      <c r="I124" s="2396">
        <f t="shared" si="20"/>
        <v>75000</v>
      </c>
      <c r="J124" s="2396">
        <f t="shared" si="20"/>
        <v>125000</v>
      </c>
      <c r="K124" s="2396">
        <f t="shared" si="20"/>
        <v>700000</v>
      </c>
      <c r="L124" s="2396">
        <f t="shared" si="20"/>
        <v>1030000</v>
      </c>
      <c r="M124" s="2396">
        <f t="shared" si="20"/>
        <v>75000</v>
      </c>
      <c r="N124" s="2396">
        <f t="shared" si="20"/>
        <v>10000</v>
      </c>
      <c r="O124" s="2396">
        <f t="shared" si="20"/>
        <v>500000</v>
      </c>
      <c r="P124" s="2396">
        <f t="shared" si="20"/>
        <v>390000</v>
      </c>
      <c r="Q124" s="2396">
        <f t="shared" si="20"/>
        <v>494865</v>
      </c>
      <c r="R124" s="2396">
        <f t="shared" si="20"/>
        <v>1229000</v>
      </c>
      <c r="S124" s="2396">
        <f>SUM(S116:S123)</f>
        <v>470000</v>
      </c>
      <c r="T124" s="2396">
        <f>SUM(T116:T123)</f>
        <v>1732027</v>
      </c>
    </row>
    <row r="125" spans="1:62">
      <c r="H125" s="2368" t="b">
        <f>H124=C103</f>
        <v>1</v>
      </c>
      <c r="I125" s="2368" t="b">
        <f>I124=H103</f>
        <v>1</v>
      </c>
      <c r="J125" s="2368" t="b">
        <f>M103=J124</f>
        <v>1</v>
      </c>
      <c r="K125" s="2368" t="b">
        <f>R103=K124</f>
        <v>1</v>
      </c>
      <c r="L125" s="2368" t="b">
        <f>W103=L124</f>
        <v>1</v>
      </c>
      <c r="M125" s="2368" t="b">
        <f>AB103=M124</f>
        <v>1</v>
      </c>
      <c r="N125" s="2368" t="b">
        <f>AG103=N124</f>
        <v>1</v>
      </c>
      <c r="O125" s="2368" t="b">
        <f>AL103=O124</f>
        <v>1</v>
      </c>
      <c r="P125" s="2368" t="b">
        <f>AQ103-AQ83=P124</f>
        <v>1</v>
      </c>
      <c r="Q125" s="2368" t="b">
        <f>AV103=Q124</f>
        <v>1</v>
      </c>
      <c r="R125" s="2368" t="b">
        <f>BA103=R124</f>
        <v>1</v>
      </c>
      <c r="S125" s="2368" t="b">
        <f>BF103=S124</f>
        <v>1</v>
      </c>
    </row>
    <row r="126" spans="1:62">
      <c r="O126" s="1440" t="s">
        <v>2184</v>
      </c>
      <c r="P126" s="2368">
        <f>AQ103-P124</f>
        <v>2226892</v>
      </c>
    </row>
    <row r="127" spans="1:62">
      <c r="G127" s="2590"/>
    </row>
  </sheetData>
  <mergeCells count="13">
    <mergeCell ref="BF1:BJ1"/>
    <mergeCell ref="AB1:AF1"/>
    <mergeCell ref="AG1:AK1"/>
    <mergeCell ref="AL1:AP1"/>
    <mergeCell ref="AQ1:AU1"/>
    <mergeCell ref="AV1:AZ1"/>
    <mergeCell ref="BA1:BE1"/>
    <mergeCell ref="W1:AA1"/>
    <mergeCell ref="B1:B2"/>
    <mergeCell ref="C1:G1"/>
    <mergeCell ref="H1:L1"/>
    <mergeCell ref="M1:Q1"/>
    <mergeCell ref="R1:V1"/>
  </mergeCells>
  <pageMargins left="0.7" right="0.7" top="0.75" bottom="0.75" header="0.3" footer="0.3"/>
  <pageSetup paperSize="9" orientation="landscape" verticalDpi="1200" r:id="rId1"/>
  <legacy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96"/>
  <sheetViews>
    <sheetView topLeftCell="A55" zoomScaleNormal="100" workbookViewId="0">
      <pane xSplit="1" topLeftCell="P1" activePane="topRight" state="frozen"/>
      <selection activeCell="F19" sqref="F19"/>
      <selection pane="topRight" activeCell="A71" sqref="A71:T71"/>
    </sheetView>
  </sheetViews>
  <sheetFormatPr defaultColWidth="10.5" defaultRowHeight="15"/>
  <cols>
    <col min="1" max="1" width="62" style="2152" customWidth="1"/>
    <col min="2" max="2" width="19.33203125" style="2152" customWidth="1"/>
    <col min="3" max="3" width="13.83203125" style="2152" customWidth="1"/>
    <col min="4" max="4" width="17.6640625" style="2152" customWidth="1"/>
    <col min="5" max="5" width="14" style="2262" customWidth="1"/>
    <col min="6" max="7" width="15.33203125" style="2262" customWidth="1"/>
    <col min="8" max="8" width="17.5" style="2152" customWidth="1"/>
    <col min="9" max="9" width="13.33203125" style="2152" customWidth="1"/>
    <col min="10" max="10" width="16.1640625" style="2152" customWidth="1"/>
    <col min="11" max="11" width="13.33203125" style="2152" customWidth="1"/>
    <col min="12" max="12" width="17.33203125" style="2152" customWidth="1"/>
    <col min="13" max="13" width="17" style="2152" customWidth="1"/>
    <col min="14" max="14" width="13.33203125" style="2152" customWidth="1"/>
    <col min="15" max="15" width="14.33203125" style="2152" customWidth="1"/>
    <col min="16" max="18" width="16.83203125" style="2152" customWidth="1"/>
    <col min="19" max="19" width="24.1640625" style="2152" customWidth="1"/>
    <col min="20" max="20" width="20.33203125" style="2169" customWidth="1"/>
    <col min="21" max="22" width="19.83203125" style="2152" customWidth="1"/>
    <col min="23" max="23" width="23.83203125" style="2152" customWidth="1"/>
    <col min="24" max="24" width="18.83203125" style="2152" customWidth="1"/>
    <col min="25" max="25" width="19.1640625" style="2152" customWidth="1"/>
    <col min="26" max="26" width="18.6640625" style="2152" customWidth="1"/>
    <col min="27" max="27" width="18.5" style="2152" customWidth="1"/>
    <col min="28" max="28" width="18.83203125" style="2152" customWidth="1"/>
    <col min="29" max="29" width="13.83203125" style="2152" customWidth="1"/>
    <col min="30" max="30" width="15.33203125" style="2152" customWidth="1"/>
    <col min="31" max="31" width="19.5" style="2152" customWidth="1"/>
    <col min="32" max="32" width="19.33203125" style="2152" customWidth="1"/>
    <col min="33" max="33" width="14.1640625" style="2152" customWidth="1"/>
    <col min="34" max="34" width="11" style="2153" customWidth="1"/>
    <col min="35" max="35" width="15.33203125" style="2153" customWidth="1"/>
    <col min="36" max="36" width="16.83203125" style="2152" customWidth="1"/>
    <col min="37" max="37" width="22.6640625" style="2152" customWidth="1"/>
    <col min="38" max="39" width="19.5" style="2152" customWidth="1"/>
    <col min="40" max="40" width="20.1640625" style="2152" customWidth="1"/>
    <col min="41" max="41" width="18.1640625" style="2152" customWidth="1"/>
    <col min="42" max="42" width="16.6640625" style="2152" customWidth="1"/>
    <col min="43" max="43" width="16.83203125" style="2152" customWidth="1"/>
    <col min="44" max="44" width="16" style="2152" customWidth="1"/>
    <col min="45" max="45" width="16.83203125" style="2152" customWidth="1"/>
    <col min="46" max="46" width="13" style="2155" customWidth="1"/>
    <col min="47" max="48" width="10.5" style="2152"/>
    <col min="49" max="49" width="12.1640625" style="2152" customWidth="1"/>
    <col min="50" max="50" width="12.83203125" style="2152" bestFit="1" customWidth="1"/>
    <col min="51" max="16384" width="10.5" style="2152"/>
  </cols>
  <sheetData>
    <row r="1" spans="1:50">
      <c r="A1" s="2642" t="s">
        <v>1251</v>
      </c>
      <c r="B1" s="2642"/>
      <c r="C1" s="2642"/>
      <c r="D1" s="2642"/>
      <c r="E1" s="2642"/>
      <c r="F1" s="2642"/>
      <c r="G1" s="2642"/>
      <c r="H1" s="2642"/>
      <c r="I1" s="2642"/>
      <c r="J1" s="2642"/>
      <c r="K1" s="2642"/>
      <c r="L1" s="2642"/>
      <c r="M1" s="2642"/>
      <c r="N1" s="2642"/>
      <c r="O1" s="2642"/>
      <c r="P1" s="2642"/>
      <c r="Q1" s="2642"/>
      <c r="R1" s="2642"/>
      <c r="S1" s="2642"/>
      <c r="T1" s="2642"/>
      <c r="U1" s="2151"/>
      <c r="V1" s="2151"/>
      <c r="AO1" s="2154"/>
    </row>
    <row r="2" spans="1:50" ht="33" customHeight="1">
      <c r="A2" s="2643" t="s">
        <v>3056</v>
      </c>
      <c r="B2" s="2642"/>
      <c r="C2" s="2642"/>
      <c r="D2" s="2642"/>
      <c r="E2" s="2642"/>
      <c r="F2" s="2642"/>
      <c r="G2" s="2642"/>
      <c r="H2" s="2642"/>
      <c r="I2" s="2642"/>
      <c r="J2" s="2642"/>
      <c r="K2" s="2642"/>
      <c r="L2" s="2642"/>
      <c r="M2" s="2642"/>
      <c r="N2" s="2642"/>
      <c r="O2" s="2642"/>
      <c r="P2" s="2642"/>
      <c r="Q2" s="2642"/>
      <c r="R2" s="2642"/>
      <c r="S2" s="2642"/>
      <c r="T2" s="2642"/>
      <c r="U2" s="2151"/>
      <c r="V2" s="2151"/>
      <c r="AO2" s="2154"/>
    </row>
    <row r="3" spans="1:50" ht="154.9" customHeight="1">
      <c r="A3" s="2156" t="s">
        <v>3349</v>
      </c>
      <c r="B3" s="2157" t="s">
        <v>1253</v>
      </c>
      <c r="C3" s="2158" t="s">
        <v>1254</v>
      </c>
      <c r="D3" s="2156" t="s">
        <v>2809</v>
      </c>
      <c r="E3" s="2159" t="s">
        <v>1256</v>
      </c>
      <c r="F3" s="2159" t="s">
        <v>1257</v>
      </c>
      <c r="G3" s="2158" t="s">
        <v>1258</v>
      </c>
      <c r="H3" s="2157" t="s">
        <v>2810</v>
      </c>
      <c r="I3" s="2158" t="s">
        <v>1260</v>
      </c>
      <c r="J3" s="2156" t="s">
        <v>2811</v>
      </c>
      <c r="K3" s="2158" t="s">
        <v>1262</v>
      </c>
      <c r="L3" s="2158" t="s">
        <v>1263</v>
      </c>
      <c r="M3" s="2157" t="s">
        <v>3057</v>
      </c>
      <c r="N3" s="2158" t="s">
        <v>1265</v>
      </c>
      <c r="O3" s="2158" t="s">
        <v>1266</v>
      </c>
      <c r="P3" s="2160" t="s">
        <v>1267</v>
      </c>
      <c r="Q3" s="2161" t="s">
        <v>3058</v>
      </c>
      <c r="R3" s="2162" t="s">
        <v>3059</v>
      </c>
      <c r="S3" s="2161" t="s">
        <v>3060</v>
      </c>
      <c r="T3" s="2162" t="s">
        <v>3061</v>
      </c>
      <c r="U3" s="2160" t="s">
        <v>1269</v>
      </c>
      <c r="V3" s="2160" t="s">
        <v>1270</v>
      </c>
      <c r="W3" s="2157" t="s">
        <v>2813</v>
      </c>
      <c r="X3" s="2161" t="s">
        <v>3062</v>
      </c>
      <c r="Y3" s="2161" t="s">
        <v>3063</v>
      </c>
      <c r="Z3" s="2161" t="s">
        <v>3064</v>
      </c>
      <c r="AA3" s="2161" t="s">
        <v>3065</v>
      </c>
      <c r="AB3" s="2158" t="s">
        <v>2814</v>
      </c>
      <c r="AC3" s="2158" t="s">
        <v>2815</v>
      </c>
      <c r="AD3" s="2163" t="s">
        <v>2816</v>
      </c>
      <c r="AE3" s="2163" t="s">
        <v>1275</v>
      </c>
      <c r="AF3" s="2157" t="s">
        <v>2817</v>
      </c>
      <c r="AG3" s="2158" t="s">
        <v>2818</v>
      </c>
      <c r="AH3" s="2158" t="s">
        <v>1278</v>
      </c>
      <c r="AI3" s="2161" t="s">
        <v>3066</v>
      </c>
      <c r="AJ3" s="2161" t="s">
        <v>3067</v>
      </c>
      <c r="AK3" s="2156" t="s">
        <v>1280</v>
      </c>
      <c r="AL3" s="2157" t="s">
        <v>2820</v>
      </c>
      <c r="AM3" s="2164" t="s">
        <v>3068</v>
      </c>
      <c r="AN3" s="2165" t="s">
        <v>3069</v>
      </c>
      <c r="AO3" s="2164" t="s">
        <v>3070</v>
      </c>
      <c r="AP3" s="2165" t="s">
        <v>3071</v>
      </c>
      <c r="AQ3" s="2164" t="s">
        <v>3072</v>
      </c>
      <c r="AR3" s="2165" t="s">
        <v>3073</v>
      </c>
      <c r="AS3" s="2166"/>
    </row>
    <row r="4" spans="1:50">
      <c r="A4" s="2167" t="s">
        <v>1284</v>
      </c>
      <c r="B4" s="2168">
        <v>500000</v>
      </c>
      <c r="C4" s="2169">
        <f>B4/B56</f>
        <v>6.710369964169309E-2</v>
      </c>
      <c r="D4" s="2170">
        <f>E4+F4</f>
        <v>6320717</v>
      </c>
      <c r="E4" s="2171">
        <v>1420444</v>
      </c>
      <c r="F4" s="2171">
        <v>4900273</v>
      </c>
      <c r="G4" s="2169">
        <f>D4/D55</f>
        <v>0.2392723870709447</v>
      </c>
      <c r="H4" s="2168">
        <v>1428571</v>
      </c>
      <c r="I4" s="2169">
        <f>H4/H55</f>
        <v>0.19999994399999887</v>
      </c>
      <c r="K4" s="2169"/>
      <c r="L4" s="2169"/>
      <c r="M4" s="2172"/>
      <c r="N4" s="2169"/>
      <c r="O4" s="2169"/>
      <c r="P4" s="2169">
        <f>(D4+H4)/M57</f>
        <v>0.20217795669054631</v>
      </c>
      <c r="Q4" s="2173">
        <f t="shared" ref="Q4:Q29" si="0">S4</f>
        <v>8249288</v>
      </c>
      <c r="R4" s="2174">
        <f>Q4/$Q$55</f>
        <v>0.19744404247613695</v>
      </c>
      <c r="S4" s="2173">
        <f t="shared" ref="S4:S10" si="1">B4+D4+H4</f>
        <v>8249288</v>
      </c>
      <c r="T4" s="2174">
        <f>S4/$S$55</f>
        <v>0.19604522281379708</v>
      </c>
      <c r="U4" s="2175">
        <v>1000000</v>
      </c>
      <c r="V4" s="2175">
        <f t="shared" ref="V4:V10" si="2">W4*11.1141</f>
        <v>1000002.2616000001</v>
      </c>
      <c r="W4" s="2176">
        <f t="shared" ref="W4:W10" si="3">ROUND(U4/11.1141,0)</f>
        <v>89976</v>
      </c>
      <c r="X4" s="2173">
        <f t="shared" ref="X4:X28" si="4">S4+W4</f>
        <v>8339264</v>
      </c>
      <c r="Y4" s="2174">
        <f t="shared" ref="Y4:Y32" si="5">X4/$X$55</f>
        <v>0.19028630736910468</v>
      </c>
      <c r="Z4" s="2173">
        <f t="shared" ref="Z4:Z28" si="6">X4</f>
        <v>8339264</v>
      </c>
      <c r="AA4" s="2174">
        <f t="shared" ref="AA4:AA32" si="7">Z4/$Z$55</f>
        <v>0.17480646934410968</v>
      </c>
      <c r="AB4" s="2169">
        <f>W4/W55</f>
        <v>3.4003429971663807E-2</v>
      </c>
      <c r="AC4" s="2169"/>
      <c r="AD4" s="2169">
        <f>(D4+H4+W4)/W57</f>
        <v>0.19131760676982337</v>
      </c>
      <c r="AE4" s="2177" t="s">
        <v>1285</v>
      </c>
      <c r="AF4" s="2178">
        <v>0</v>
      </c>
      <c r="AG4" s="2169">
        <f>W4/(W55+AF55)</f>
        <v>2.0000053347701649E-2</v>
      </c>
      <c r="AI4" s="2173">
        <f t="shared" ref="AI4:AI43" si="8">Z4+AF4+AL4</f>
        <v>8339264</v>
      </c>
      <c r="AJ4" s="2174">
        <f t="shared" ref="AJ4:AJ32" si="9">AI4/$AI$55</f>
        <v>0.15588714611437013</v>
      </c>
      <c r="AK4" s="2177" t="s">
        <v>1285</v>
      </c>
      <c r="AL4" s="2179">
        <v>0</v>
      </c>
      <c r="AM4" s="2180">
        <f t="shared" ref="AM4:AM50" si="10">Z4+AF4+AL4</f>
        <v>8339264</v>
      </c>
      <c r="AN4" s="2174">
        <f t="shared" ref="AN4:AN32" si="11">AM4/$AM$55</f>
        <v>0.15266882153744518</v>
      </c>
      <c r="AO4" s="2180">
        <f t="shared" ref="AO4:AO10" si="12">AM4</f>
        <v>8339264</v>
      </c>
      <c r="AP4" s="2174">
        <f t="shared" ref="AP4:AP50" si="13">AO4/$AO$55</f>
        <v>0.15074913022367434</v>
      </c>
      <c r="AQ4" s="2180">
        <f t="shared" ref="AQ4:AQ50" si="14">AO4</f>
        <v>8339264</v>
      </c>
      <c r="AR4" s="2174">
        <f t="shared" ref="AR4:AR51" si="15">AQ4/$AQ$55</f>
        <v>0.15068103358243071</v>
      </c>
      <c r="AS4" s="2181"/>
      <c r="AU4" s="2182"/>
    </row>
    <row r="5" spans="1:50">
      <c r="A5" s="2167" t="s">
        <v>1478</v>
      </c>
      <c r="B5" s="2168">
        <v>250000</v>
      </c>
      <c r="C5" s="2169">
        <f>B5/B56</f>
        <v>3.3551849820846545E-2</v>
      </c>
      <c r="D5" s="2170">
        <f>E5+F5</f>
        <v>2837989</v>
      </c>
      <c r="E5" s="2171">
        <v>645656</v>
      </c>
      <c r="F5" s="2171">
        <v>2192333</v>
      </c>
      <c r="G5" s="2169">
        <f>D5/D55</f>
        <v>0.10743281221277322</v>
      </c>
      <c r="H5" s="2168">
        <v>316210</v>
      </c>
      <c r="I5" s="2169">
        <f>H5/H55</f>
        <v>4.426940088538802E-2</v>
      </c>
      <c r="K5" s="2169"/>
      <c r="L5" s="2169"/>
      <c r="M5" s="2172"/>
      <c r="N5" s="2169"/>
      <c r="O5" s="2169"/>
      <c r="P5" s="2169">
        <f>(D5+H5)/M57</f>
        <v>8.2292658217808456E-2</v>
      </c>
      <c r="Q5" s="2173">
        <f t="shared" si="0"/>
        <v>3404199</v>
      </c>
      <c r="R5" s="2174">
        <f>Q5/$Q$55</f>
        <v>8.1478402978926542E-2</v>
      </c>
      <c r="S5" s="2173">
        <f t="shared" si="1"/>
        <v>3404199</v>
      </c>
      <c r="T5" s="2174">
        <f>S5/$S$55</f>
        <v>8.0901157949329103E-2</v>
      </c>
      <c r="U5" s="2175">
        <f>2060000</f>
        <v>2060000</v>
      </c>
      <c r="V5" s="2175">
        <f t="shared" si="2"/>
        <v>2059998.4350000001</v>
      </c>
      <c r="W5" s="2176">
        <f t="shared" si="3"/>
        <v>185350</v>
      </c>
      <c r="X5" s="2173">
        <f t="shared" si="4"/>
        <v>3589549</v>
      </c>
      <c r="Y5" s="2174">
        <f t="shared" si="5"/>
        <v>8.1906751522731788E-2</v>
      </c>
      <c r="Z5" s="2173">
        <f t="shared" si="6"/>
        <v>3589549</v>
      </c>
      <c r="AA5" s="2174">
        <f t="shared" si="7"/>
        <v>7.5243617089910994E-2</v>
      </c>
      <c r="AB5" s="2169">
        <f>W5/W55</f>
        <v>7.0046854108294282E-2</v>
      </c>
      <c r="AC5" s="2169"/>
      <c r="AD5" s="2169">
        <f>(D5+H5+W5)/W57</f>
        <v>8.1501850476085116E-2</v>
      </c>
      <c r="AE5" s="2177" t="s">
        <v>1285</v>
      </c>
      <c r="AF5" s="2178">
        <v>0</v>
      </c>
      <c r="AG5" s="2169">
        <f>W5/(W55+AF55)</f>
        <v>4.1199985418294886E-2</v>
      </c>
      <c r="AI5" s="2173">
        <f t="shared" si="8"/>
        <v>3589549</v>
      </c>
      <c r="AJ5" s="2174">
        <f t="shared" si="9"/>
        <v>6.709999221126603E-2</v>
      </c>
      <c r="AK5" s="2177" t="s">
        <v>1285</v>
      </c>
      <c r="AL5" s="2179">
        <v>0</v>
      </c>
      <c r="AM5" s="2180">
        <f t="shared" si="10"/>
        <v>3589549</v>
      </c>
      <c r="AN5" s="2174">
        <f t="shared" si="11"/>
        <v>6.5714698045404821E-2</v>
      </c>
      <c r="AO5" s="2180">
        <f t="shared" si="12"/>
        <v>3589549</v>
      </c>
      <c r="AP5" s="2174">
        <f t="shared" si="13"/>
        <v>6.4888386990178029E-2</v>
      </c>
      <c r="AQ5" s="2180">
        <f t="shared" si="14"/>
        <v>3589549</v>
      </c>
      <c r="AR5" s="2174">
        <f t="shared" si="15"/>
        <v>6.485907550291975E-2</v>
      </c>
      <c r="AS5" s="2181"/>
      <c r="AU5" s="2182"/>
    </row>
    <row r="6" spans="1:50" ht="15.75" customHeight="1">
      <c r="A6" s="2183" t="s">
        <v>2821</v>
      </c>
      <c r="B6" s="2168">
        <v>250000</v>
      </c>
      <c r="C6" s="2169">
        <f>B6/B56</f>
        <v>3.3551849820846545E-2</v>
      </c>
      <c r="D6" s="2170">
        <f>E6+F6</f>
        <v>2837989</v>
      </c>
      <c r="E6" s="2171">
        <v>645656</v>
      </c>
      <c r="F6" s="2171">
        <v>2192333</v>
      </c>
      <c r="G6" s="2169">
        <f>D6/D55</f>
        <v>0.10743281221277322</v>
      </c>
      <c r="H6" s="2168">
        <v>316210</v>
      </c>
      <c r="I6" s="2169">
        <f>H6/H55</f>
        <v>4.426940088538802E-2</v>
      </c>
      <c r="K6" s="2169"/>
      <c r="L6" s="2169"/>
      <c r="M6" s="2172"/>
      <c r="N6" s="2169"/>
      <c r="O6" s="2169"/>
      <c r="P6" s="2169">
        <f>(D6+H6)/M57</f>
        <v>8.2292658217808456E-2</v>
      </c>
      <c r="Q6" s="2173">
        <f t="shared" si="0"/>
        <v>3404199</v>
      </c>
      <c r="R6" s="2174">
        <f>Q6/$Q$55</f>
        <v>8.1478402978926542E-2</v>
      </c>
      <c r="S6" s="2173">
        <f t="shared" si="1"/>
        <v>3404199</v>
      </c>
      <c r="T6" s="2174">
        <f>S6/$S$55</f>
        <v>8.0901157949329103E-2</v>
      </c>
      <c r="U6" s="2175">
        <v>500000</v>
      </c>
      <c r="V6" s="2175">
        <f t="shared" si="2"/>
        <v>500001.13080000004</v>
      </c>
      <c r="W6" s="2176">
        <f t="shared" si="3"/>
        <v>44988</v>
      </c>
      <c r="X6" s="2173">
        <f t="shared" si="4"/>
        <v>3449187</v>
      </c>
      <c r="Y6" s="2174">
        <f t="shared" si="5"/>
        <v>7.8703954888047684E-2</v>
      </c>
      <c r="Z6" s="2173">
        <f t="shared" si="6"/>
        <v>3449187</v>
      </c>
      <c r="AA6" s="2174">
        <f t="shared" si="7"/>
        <v>7.2301368751199344E-2</v>
      </c>
      <c r="AB6" s="2169">
        <f>W6/W55</f>
        <v>1.7001714985831903E-2</v>
      </c>
      <c r="AC6" s="2169"/>
      <c r="AD6" s="2169">
        <f>(D6+H6+W6)/W57</f>
        <v>7.8076309261830054E-2</v>
      </c>
      <c r="AE6" s="2177" t="s">
        <v>1285</v>
      </c>
      <c r="AF6" s="2178">
        <v>0</v>
      </c>
      <c r="AG6" s="2169">
        <f>W6/(W55+AF55)</f>
        <v>1.0000026673850824E-2</v>
      </c>
      <c r="AI6" s="2173">
        <f t="shared" si="8"/>
        <v>3449187</v>
      </c>
      <c r="AJ6" s="2174">
        <f t="shared" si="9"/>
        <v>6.4476183730936693E-2</v>
      </c>
      <c r="AK6" s="2177" t="s">
        <v>1285</v>
      </c>
      <c r="AL6" s="2179">
        <v>0</v>
      </c>
      <c r="AM6" s="2180">
        <f t="shared" si="10"/>
        <v>3449187</v>
      </c>
      <c r="AN6" s="2174">
        <f t="shared" si="11"/>
        <v>6.3145058670918186E-2</v>
      </c>
      <c r="AO6" s="2180">
        <f t="shared" si="12"/>
        <v>3449187</v>
      </c>
      <c r="AP6" s="2174">
        <f t="shared" si="13"/>
        <v>6.2351058825911326E-2</v>
      </c>
      <c r="AQ6" s="2180">
        <f t="shared" si="14"/>
        <v>3449187</v>
      </c>
      <c r="AR6" s="2174">
        <f t="shared" si="15"/>
        <v>6.2322893504640625E-2</v>
      </c>
      <c r="AS6" s="2181"/>
      <c r="AU6" s="2182"/>
    </row>
    <row r="7" spans="1:50" ht="15.75" customHeight="1">
      <c r="A7" s="2183" t="s">
        <v>1288</v>
      </c>
      <c r="B7" s="2168"/>
      <c r="C7" s="2169"/>
      <c r="D7" s="2170"/>
      <c r="E7" s="2171"/>
      <c r="F7" s="2171"/>
      <c r="G7" s="2169"/>
      <c r="H7" s="2168"/>
      <c r="I7" s="2169"/>
      <c r="K7" s="2169"/>
      <c r="L7" s="2169"/>
      <c r="M7" s="2172"/>
      <c r="N7" s="2169"/>
      <c r="O7" s="2169"/>
      <c r="P7" s="2169"/>
      <c r="Q7" s="2173">
        <f t="shared" si="0"/>
        <v>0</v>
      </c>
      <c r="R7" s="2174"/>
      <c r="S7" s="2173">
        <f t="shared" si="1"/>
        <v>0</v>
      </c>
      <c r="T7" s="2174"/>
      <c r="U7" s="2175">
        <v>1560000</v>
      </c>
      <c r="V7" s="2175">
        <f t="shared" si="2"/>
        <v>1559997.3042000001</v>
      </c>
      <c r="W7" s="2176">
        <f t="shared" si="3"/>
        <v>140362</v>
      </c>
      <c r="X7" s="2173">
        <f t="shared" si="4"/>
        <v>140362</v>
      </c>
      <c r="Y7" s="2174">
        <f t="shared" si="5"/>
        <v>3.2027966346841004E-3</v>
      </c>
      <c r="Z7" s="2173">
        <f t="shared" si="6"/>
        <v>140362</v>
      </c>
      <c r="AA7" s="2174">
        <f t="shared" si="7"/>
        <v>2.9422483387116566E-3</v>
      </c>
      <c r="AB7" s="2169">
        <f>W7/W55</f>
        <v>5.3045139122462386E-2</v>
      </c>
      <c r="AC7" s="2169"/>
      <c r="AD7" s="2169">
        <f>W7/W57</f>
        <v>3.4255412142550562E-3</v>
      </c>
      <c r="AE7" s="2177" t="s">
        <v>1285</v>
      </c>
      <c r="AF7" s="2178">
        <v>0</v>
      </c>
      <c r="AG7" s="2169">
        <f>W7/(W55+AF55)</f>
        <v>3.1199958744444058E-2</v>
      </c>
      <c r="AI7" s="2173">
        <f t="shared" si="8"/>
        <v>140362</v>
      </c>
      <c r="AJ7" s="2174">
        <f t="shared" si="9"/>
        <v>2.6238084803293458E-3</v>
      </c>
      <c r="AK7" s="2177" t="s">
        <v>1285</v>
      </c>
      <c r="AL7" s="2179">
        <v>0</v>
      </c>
      <c r="AM7" s="2180">
        <f t="shared" si="10"/>
        <v>140362</v>
      </c>
      <c r="AN7" s="2174">
        <f t="shared" si="11"/>
        <v>2.5696393744866308E-3</v>
      </c>
      <c r="AO7" s="2180">
        <f t="shared" si="12"/>
        <v>140362</v>
      </c>
      <c r="AP7" s="2174">
        <f t="shared" si="13"/>
        <v>2.5373281642666998E-3</v>
      </c>
      <c r="AQ7" s="2180">
        <f t="shared" si="14"/>
        <v>140362</v>
      </c>
      <c r="AR7" s="2174">
        <f t="shared" si="15"/>
        <v>2.5361819982791215E-3</v>
      </c>
      <c r="AS7" s="2181"/>
      <c r="AU7" s="2182"/>
      <c r="AV7" s="2169"/>
    </row>
    <row r="8" spans="1:50">
      <c r="A8" s="2167" t="s">
        <v>1289</v>
      </c>
      <c r="B8" s="2168">
        <v>451150</v>
      </c>
      <c r="C8" s="2169">
        <f>B8/B56</f>
        <v>6.0547668186699669E-2</v>
      </c>
      <c r="D8" s="2170">
        <f>E8+F8</f>
        <v>5121436</v>
      </c>
      <c r="E8" s="2171">
        <v>1165151</v>
      </c>
      <c r="F8" s="2171">
        <v>3956285</v>
      </c>
      <c r="G8" s="2169">
        <f>D8/D55</f>
        <v>0.19387329268990697</v>
      </c>
      <c r="H8" s="2168">
        <v>570634</v>
      </c>
      <c r="I8" s="2169">
        <f>H8/H55</f>
        <v>7.9888761597775235E-2</v>
      </c>
      <c r="J8" s="2170"/>
      <c r="K8" s="2169"/>
      <c r="L8" s="2169"/>
      <c r="M8" s="2172"/>
      <c r="N8" s="2169"/>
      <c r="O8" s="2169"/>
      <c r="P8" s="2169">
        <f>(D8+H8)/M57</f>
        <v>0.14850539584276101</v>
      </c>
      <c r="Q8" s="2173">
        <f t="shared" si="0"/>
        <v>6143220</v>
      </c>
      <c r="R8" s="2174">
        <f t="shared" ref="R8:R21" si="16">Q8/$Q$55</f>
        <v>0.14703598548386893</v>
      </c>
      <c r="S8" s="2173">
        <f t="shared" si="1"/>
        <v>6143220</v>
      </c>
      <c r="T8" s="2174">
        <f t="shared" ref="T8:T21" si="17">S8/$S$55</f>
        <v>0.14599428868214739</v>
      </c>
      <c r="U8" s="2175">
        <f>1000000*90.23%</f>
        <v>902300</v>
      </c>
      <c r="V8" s="2175">
        <f t="shared" si="2"/>
        <v>902298.20850000007</v>
      </c>
      <c r="W8" s="2176">
        <f t="shared" si="3"/>
        <v>81185</v>
      </c>
      <c r="X8" s="2173">
        <f t="shared" si="4"/>
        <v>6224405</v>
      </c>
      <c r="Y8" s="2174">
        <f t="shared" si="5"/>
        <v>0.14202920581717907</v>
      </c>
      <c r="Z8" s="2173">
        <f t="shared" si="6"/>
        <v>6224405</v>
      </c>
      <c r="AA8" s="2174">
        <f t="shared" si="7"/>
        <v>0.13047509490259848</v>
      </c>
      <c r="AB8" s="2169">
        <f>W8/W55</f>
        <v>3.0681164557765695E-2</v>
      </c>
      <c r="AC8" s="2169"/>
      <c r="AD8" s="2169">
        <f>(D8+H8+W8)/W57</f>
        <v>0.1408965599158182</v>
      </c>
      <c r="AE8" s="2177" t="s">
        <v>1285</v>
      </c>
      <c r="AF8" s="2178">
        <v>0</v>
      </c>
      <c r="AG8" s="2169">
        <f>W8/(W55+AF55)</f>
        <v>1.8045971492766495E-2</v>
      </c>
      <c r="AI8" s="2173">
        <f t="shared" si="8"/>
        <v>6224405</v>
      </c>
      <c r="AJ8" s="2174">
        <f t="shared" si="9"/>
        <v>0.11635376116045926</v>
      </c>
      <c r="AK8" s="2177" t="s">
        <v>1285</v>
      </c>
      <c r="AL8" s="2179">
        <v>0</v>
      </c>
      <c r="AM8" s="2180">
        <f t="shared" si="10"/>
        <v>6224405</v>
      </c>
      <c r="AN8" s="2174">
        <f t="shared" si="11"/>
        <v>0.11395161205134907</v>
      </c>
      <c r="AO8" s="2180">
        <f t="shared" si="12"/>
        <v>6224405</v>
      </c>
      <c r="AP8" s="2174">
        <f t="shared" si="13"/>
        <v>0.11251875943846959</v>
      </c>
      <c r="AQ8" s="2180">
        <f t="shared" si="14"/>
        <v>6224405</v>
      </c>
      <c r="AR8" s="2174">
        <f t="shared" si="15"/>
        <v>0.11246793228223133</v>
      </c>
      <c r="AS8" s="2181"/>
      <c r="AU8" s="2182"/>
    </row>
    <row r="9" spans="1:50">
      <c r="A9" s="2184" t="s">
        <v>1290</v>
      </c>
      <c r="B9" s="2168">
        <v>38250</v>
      </c>
      <c r="C9" s="2185">
        <f>B9/B56</f>
        <v>5.1334330225895211E-3</v>
      </c>
      <c r="D9" s="2186">
        <f>E9+F9</f>
        <v>434211</v>
      </c>
      <c r="E9" s="2171">
        <v>98785</v>
      </c>
      <c r="F9" s="2171">
        <v>335426</v>
      </c>
      <c r="G9" s="2185">
        <f>D9/D55</f>
        <v>1.6437170413176539E-2</v>
      </c>
      <c r="H9" s="2168">
        <v>48380</v>
      </c>
      <c r="I9" s="2185">
        <f>H9/H55</f>
        <v>6.7732001354640029E-3</v>
      </c>
      <c r="J9" s="2186"/>
      <c r="K9" s="2185"/>
      <c r="L9" s="2185"/>
      <c r="M9" s="2172"/>
      <c r="N9" s="2185"/>
      <c r="O9" s="2185"/>
      <c r="P9" s="2185">
        <f>(D9+H9)/M57</f>
        <v>1.25907389552753E-2</v>
      </c>
      <c r="Q9" s="2173">
        <f t="shared" si="0"/>
        <v>520841</v>
      </c>
      <c r="R9" s="2174">
        <f t="shared" si="16"/>
        <v>1.2466161022298366E-2</v>
      </c>
      <c r="S9" s="2173">
        <f t="shared" si="1"/>
        <v>520841</v>
      </c>
      <c r="T9" s="2174">
        <f t="shared" si="17"/>
        <v>1.2377842778135625E-2</v>
      </c>
      <c r="U9" s="2187">
        <f>1000000*7.65%</f>
        <v>76500</v>
      </c>
      <c r="V9" s="2175">
        <f t="shared" si="2"/>
        <v>76498.350300000006</v>
      </c>
      <c r="W9" s="2176">
        <f t="shared" si="3"/>
        <v>6883</v>
      </c>
      <c r="X9" s="2173">
        <f t="shared" si="4"/>
        <v>527724</v>
      </c>
      <c r="Y9" s="2174">
        <f t="shared" si="5"/>
        <v>1.2041668337883702E-2</v>
      </c>
      <c r="Z9" s="2173">
        <f t="shared" si="6"/>
        <v>527724</v>
      </c>
      <c r="AA9" s="2174">
        <f t="shared" si="7"/>
        <v>1.1062075649379962E-2</v>
      </c>
      <c r="AB9" s="2169">
        <f>W9/W55</f>
        <v>2.6012004144989995E-3</v>
      </c>
      <c r="AC9" s="2185"/>
      <c r="AD9" s="2185">
        <f>(D9+H9)/W57</f>
        <v>1.1777656061673115E-2</v>
      </c>
      <c r="AE9" s="2177" t="s">
        <v>1285</v>
      </c>
      <c r="AF9" s="2178">
        <v>0</v>
      </c>
      <c r="AG9" s="2188">
        <f>W9/(W55+AF55)</f>
        <v>1.5299676268363835E-3</v>
      </c>
      <c r="AH9" s="2189"/>
      <c r="AI9" s="2173">
        <f t="shared" si="8"/>
        <v>527724</v>
      </c>
      <c r="AJ9" s="2174">
        <f t="shared" si="9"/>
        <v>9.864825996162235E-3</v>
      </c>
      <c r="AK9" s="2177" t="s">
        <v>1285</v>
      </c>
      <c r="AL9" s="2179">
        <v>0</v>
      </c>
      <c r="AM9" s="2180">
        <f t="shared" si="10"/>
        <v>527724</v>
      </c>
      <c r="AN9" s="2174">
        <f t="shared" si="11"/>
        <v>9.6611644837034435E-3</v>
      </c>
      <c r="AO9" s="2180">
        <f t="shared" si="12"/>
        <v>527724</v>
      </c>
      <c r="AP9" s="2174">
        <f t="shared" si="13"/>
        <v>9.5396828782681915E-3</v>
      </c>
      <c r="AQ9" s="2180">
        <f t="shared" si="14"/>
        <v>527724</v>
      </c>
      <c r="AR9" s="2174">
        <f t="shared" si="15"/>
        <v>9.5353735972688557E-3</v>
      </c>
      <c r="AS9" s="2181"/>
      <c r="AU9" s="2182"/>
    </row>
    <row r="10" spans="1:50">
      <c r="A10" s="2184" t="s">
        <v>1291</v>
      </c>
      <c r="B10" s="2168">
        <v>10600</v>
      </c>
      <c r="C10" s="2185">
        <f>B10/B56</f>
        <v>1.4225984324038935E-3</v>
      </c>
      <c r="D10" s="2186">
        <f>E10+F10</f>
        <v>120331</v>
      </c>
      <c r="E10" s="2171">
        <v>27376</v>
      </c>
      <c r="F10" s="2171">
        <v>92955</v>
      </c>
      <c r="G10" s="2185">
        <f>D10/D55</f>
        <v>4.5551613224629178E-3</v>
      </c>
      <c r="H10" s="2168">
        <v>13406</v>
      </c>
      <c r="I10" s="2185">
        <f>H10/H55</f>
        <v>1.8768400375368008E-3</v>
      </c>
      <c r="J10" s="2186"/>
      <c r="K10" s="2185"/>
      <c r="L10" s="2185"/>
      <c r="M10" s="2172"/>
      <c r="N10" s="2185"/>
      <c r="O10" s="2185"/>
      <c r="P10" s="2185">
        <f>(D10+H10)/M57</f>
        <v>3.4891816375805869E-3</v>
      </c>
      <c r="Q10" s="2173">
        <f t="shared" si="0"/>
        <v>144337</v>
      </c>
      <c r="R10" s="2174">
        <f t="shared" si="16"/>
        <v>3.4546594516857917E-3</v>
      </c>
      <c r="S10" s="2173">
        <f t="shared" si="1"/>
        <v>144337</v>
      </c>
      <c r="T10" s="2174">
        <f t="shared" si="17"/>
        <v>3.4301844383751697E-3</v>
      </c>
      <c r="U10" s="2187">
        <f>1000000*2.12%</f>
        <v>21200</v>
      </c>
      <c r="V10" s="2175">
        <f t="shared" si="2"/>
        <v>21194.5887</v>
      </c>
      <c r="W10" s="2176">
        <f t="shared" si="3"/>
        <v>1907</v>
      </c>
      <c r="X10" s="2173">
        <f t="shared" si="4"/>
        <v>146244</v>
      </c>
      <c r="Y10" s="2174">
        <f t="shared" si="5"/>
        <v>3.3370128029149028E-3</v>
      </c>
      <c r="Z10" s="2173">
        <f t="shared" si="6"/>
        <v>146244</v>
      </c>
      <c r="AA10" s="2174">
        <f t="shared" si="7"/>
        <v>3.0655459885620575E-3</v>
      </c>
      <c r="AB10" s="2169">
        <f>W10/W55</f>
        <v>7.2068708273276077E-4</v>
      </c>
      <c r="AC10" s="2185"/>
      <c r="AD10" s="2185">
        <f>(D10+H10)/W57</f>
        <v>3.2638577775382831E-3</v>
      </c>
      <c r="AE10" s="2177" t="s">
        <v>1285</v>
      </c>
      <c r="AF10" s="2178">
        <v>0</v>
      </c>
      <c r="AG10" s="2188">
        <f>W10/(W55+AF55)</f>
        <v>4.2389194600856941E-4</v>
      </c>
      <c r="AH10" s="2189"/>
      <c r="AI10" s="2173">
        <f t="shared" si="8"/>
        <v>146244</v>
      </c>
      <c r="AJ10" s="2174">
        <f t="shared" si="9"/>
        <v>2.7337616120978957E-3</v>
      </c>
      <c r="AK10" s="2177" t="s">
        <v>1285</v>
      </c>
      <c r="AL10" s="2179">
        <v>0</v>
      </c>
      <c r="AM10" s="2180">
        <f t="shared" si="10"/>
        <v>146244</v>
      </c>
      <c r="AN10" s="2174">
        <f t="shared" si="11"/>
        <v>2.677322499554173E-3</v>
      </c>
      <c r="AO10" s="2180">
        <f t="shared" si="12"/>
        <v>146244</v>
      </c>
      <c r="AP10" s="2174">
        <f t="shared" si="13"/>
        <v>2.6436572580543112E-3</v>
      </c>
      <c r="AQ10" s="2180">
        <f t="shared" si="14"/>
        <v>146244</v>
      </c>
      <c r="AR10" s="2174">
        <f t="shared" si="15"/>
        <v>2.6424630609162866E-3</v>
      </c>
      <c r="AS10" s="2181"/>
      <c r="AU10" s="2182"/>
      <c r="AV10" s="2169"/>
    </row>
    <row r="11" spans="1:50" ht="13.5" customHeight="1">
      <c r="A11" s="2184" t="s">
        <v>1292</v>
      </c>
      <c r="B11" s="2168">
        <v>150000</v>
      </c>
      <c r="C11" s="2185">
        <f>B11/B56</f>
        <v>2.0131109892507926E-2</v>
      </c>
      <c r="D11" s="2186">
        <f>E11+F11</f>
        <v>1581103</v>
      </c>
      <c r="E11" s="2171">
        <v>734845</v>
      </c>
      <c r="F11" s="2190">
        <f>2709161-F38-F39-F41</f>
        <v>846258</v>
      </c>
      <c r="G11" s="2185">
        <f>D11/D55</f>
        <v>5.9853065564402244E-2</v>
      </c>
      <c r="H11" s="2168">
        <v>383732</v>
      </c>
      <c r="I11" s="2185">
        <f>H11/H55</f>
        <v>5.3722481074449623E-2</v>
      </c>
      <c r="J11" s="2186"/>
      <c r="K11" s="2185"/>
      <c r="L11" s="2185"/>
      <c r="M11" s="2172"/>
      <c r="N11" s="2185"/>
      <c r="O11" s="2185"/>
      <c r="P11" s="2185">
        <f>(D11+H11)/M57</f>
        <v>5.1262299908594121E-2</v>
      </c>
      <c r="Q11" s="2173">
        <f t="shared" si="0"/>
        <v>3977738</v>
      </c>
      <c r="R11" s="2174">
        <f t="shared" si="16"/>
        <v>9.5205873601569499E-2</v>
      </c>
      <c r="S11" s="2173">
        <f>B11+D11+H11+F38+F39+F41</f>
        <v>3977738</v>
      </c>
      <c r="T11" s="2174">
        <f t="shared" si="17"/>
        <v>9.453137440527079E-2</v>
      </c>
      <c r="U11" s="2187" t="s">
        <v>1285</v>
      </c>
      <c r="V11" s="2175" t="s">
        <v>1285</v>
      </c>
      <c r="W11" s="2191">
        <v>0</v>
      </c>
      <c r="X11" s="2173">
        <f t="shared" si="4"/>
        <v>3977738</v>
      </c>
      <c r="Y11" s="2174">
        <f t="shared" si="5"/>
        <v>9.0764493809257954E-2</v>
      </c>
      <c r="Z11" s="2173">
        <f t="shared" si="6"/>
        <v>3977738</v>
      </c>
      <c r="AA11" s="2174">
        <f t="shared" si="7"/>
        <v>8.3380779857299178E-2</v>
      </c>
      <c r="AB11" s="2188" t="s">
        <v>1285</v>
      </c>
      <c r="AC11" s="2185"/>
      <c r="AD11" s="2185">
        <f>(D11+H11)/W57</f>
        <v>4.7951890623607767E-2</v>
      </c>
      <c r="AE11" s="2177" t="s">
        <v>1285</v>
      </c>
      <c r="AF11" s="2178">
        <v>0</v>
      </c>
      <c r="AG11" s="2188" t="s">
        <v>1285</v>
      </c>
      <c r="AH11" s="2189"/>
      <c r="AI11" s="2173">
        <f t="shared" si="8"/>
        <v>3977738</v>
      </c>
      <c r="AJ11" s="2174">
        <f t="shared" si="9"/>
        <v>7.4356468965448563E-2</v>
      </c>
      <c r="AK11" s="2177" t="s">
        <v>1285</v>
      </c>
      <c r="AL11" s="2179">
        <v>0</v>
      </c>
      <c r="AM11" s="2180">
        <f t="shared" si="10"/>
        <v>3977738</v>
      </c>
      <c r="AN11" s="2174">
        <f t="shared" si="11"/>
        <v>7.2821363233579614E-2</v>
      </c>
      <c r="AO11" s="2192">
        <f>AM11-F38-F39-F41</f>
        <v>2114835</v>
      </c>
      <c r="AP11" s="2174">
        <f t="shared" si="13"/>
        <v>3.8229936936471171E-2</v>
      </c>
      <c r="AQ11" s="2180">
        <f t="shared" si="14"/>
        <v>2114835</v>
      </c>
      <c r="AR11" s="2174">
        <f t="shared" si="15"/>
        <v>3.8212667647444645E-2</v>
      </c>
      <c r="AS11" s="2181"/>
      <c r="AU11" s="2182"/>
    </row>
    <row r="12" spans="1:50">
      <c r="A12" s="2184" t="s">
        <v>1293</v>
      </c>
      <c r="B12" s="2193"/>
      <c r="C12" s="2185"/>
      <c r="D12" s="2186">
        <f>E12+F12</f>
        <v>3756921</v>
      </c>
      <c r="E12" s="2171">
        <v>762086</v>
      </c>
      <c r="F12" s="2171">
        <v>2994835</v>
      </c>
      <c r="G12" s="2185">
        <f>D12/D55</f>
        <v>0.14221922223490793</v>
      </c>
      <c r="H12" s="2168">
        <v>922857</v>
      </c>
      <c r="I12" s="2185">
        <f>H12/H55</f>
        <v>0.12919998258399965</v>
      </c>
      <c r="J12" s="2186"/>
      <c r="K12" s="2185"/>
      <c r="L12" s="2185"/>
      <c r="M12" s="2172"/>
      <c r="N12" s="2185"/>
      <c r="O12" s="2185"/>
      <c r="P12" s="2185">
        <f>(D12+H12)/M57</f>
        <v>0.12209482391225766</v>
      </c>
      <c r="Q12" s="2173">
        <f t="shared" si="0"/>
        <v>4679778</v>
      </c>
      <c r="R12" s="2174">
        <f t="shared" si="16"/>
        <v>0.11200897413339082</v>
      </c>
      <c r="S12" s="2173">
        <f t="shared" ref="S12:S24" si="18">B12+D12+H12</f>
        <v>4679778</v>
      </c>
      <c r="T12" s="2174">
        <f t="shared" si="17"/>
        <v>0.11121543104436475</v>
      </c>
      <c r="U12" s="2194">
        <v>2840000</v>
      </c>
      <c r="V12" s="2175">
        <f t="shared" ref="V12:V17" si="19">W12*11.1141</f>
        <v>2839997.0871000001</v>
      </c>
      <c r="W12" s="2176">
        <f>ROUND(U12/11.1141,0)</f>
        <v>255531</v>
      </c>
      <c r="X12" s="2173">
        <f t="shared" si="4"/>
        <v>4935309</v>
      </c>
      <c r="Y12" s="2174">
        <f t="shared" si="5"/>
        <v>0.1126144615802436</v>
      </c>
      <c r="Z12" s="2173">
        <f t="shared" si="6"/>
        <v>4935309</v>
      </c>
      <c r="AA12" s="2174">
        <f t="shared" si="7"/>
        <v>0.10345324736238218</v>
      </c>
      <c r="AB12" s="2185">
        <f>W12/W55</f>
        <v>9.6569423669525478E-2</v>
      </c>
      <c r="AC12" s="2185"/>
      <c r="AD12" s="2185">
        <f>(D12+H12+W12)/W57</f>
        <v>0.12044644835912788</v>
      </c>
      <c r="AE12" s="2177" t="s">
        <v>1285</v>
      </c>
      <c r="AF12" s="2178">
        <v>0</v>
      </c>
      <c r="AG12" s="2185">
        <f>W12/(W55+AF55)</f>
        <v>5.679996479051691E-2</v>
      </c>
      <c r="AH12" s="2189"/>
      <c r="AI12" s="2173">
        <f t="shared" si="8"/>
        <v>4935309</v>
      </c>
      <c r="AJ12" s="2174">
        <f t="shared" si="9"/>
        <v>9.2256491124704285E-2</v>
      </c>
      <c r="AK12" s="2177" t="s">
        <v>1285</v>
      </c>
      <c r="AL12" s="2179">
        <v>0</v>
      </c>
      <c r="AM12" s="2180">
        <f t="shared" si="10"/>
        <v>4935309</v>
      </c>
      <c r="AN12" s="2174">
        <f t="shared" si="11"/>
        <v>9.0351835480103157E-2</v>
      </c>
      <c r="AO12" s="2180">
        <f t="shared" ref="AO12:AO24" si="20">AM12</f>
        <v>4935309</v>
      </c>
      <c r="AP12" s="2174">
        <f t="shared" si="13"/>
        <v>8.9215731644312013E-2</v>
      </c>
      <c r="AQ12" s="2180">
        <f t="shared" si="14"/>
        <v>4935309</v>
      </c>
      <c r="AR12" s="2174">
        <f t="shared" si="15"/>
        <v>8.9175430969528305E-2</v>
      </c>
      <c r="AS12" s="2181"/>
      <c r="AU12" s="2182"/>
    </row>
    <row r="13" spans="1:50">
      <c r="A13" s="2184" t="s">
        <v>1294</v>
      </c>
      <c r="B13" s="2168">
        <v>1000000</v>
      </c>
      <c r="C13" s="2185">
        <f>B13/B56</f>
        <v>0.13420739928338618</v>
      </c>
      <c r="D13" s="2186">
        <v>771404</v>
      </c>
      <c r="E13" s="2195"/>
      <c r="F13" s="2171">
        <v>771404</v>
      </c>
      <c r="G13" s="2185">
        <f>D13/D55</f>
        <v>2.920169918635418E-2</v>
      </c>
      <c r="H13" s="2193"/>
      <c r="I13" s="2185"/>
      <c r="J13" s="2186"/>
      <c r="K13" s="2185"/>
      <c r="L13" s="2185"/>
      <c r="M13" s="2172"/>
      <c r="N13" s="2185"/>
      <c r="O13" s="2185"/>
      <c r="P13" s="2185">
        <f>D13/M57</f>
        <v>2.0125834077003486E-2</v>
      </c>
      <c r="Q13" s="2173">
        <f t="shared" si="0"/>
        <v>1771404</v>
      </c>
      <c r="R13" s="2174">
        <f t="shared" si="16"/>
        <v>4.2397982300823894E-2</v>
      </c>
      <c r="S13" s="2173">
        <f t="shared" si="18"/>
        <v>1771404</v>
      </c>
      <c r="T13" s="2174">
        <f t="shared" si="17"/>
        <v>4.209760792364764E-2</v>
      </c>
      <c r="U13" s="2194">
        <v>1070000</v>
      </c>
      <c r="V13" s="2175">
        <f t="shared" si="19"/>
        <v>1069998.8634000001</v>
      </c>
      <c r="W13" s="2176">
        <f>ROUND(U13/11.1141,0)</f>
        <v>96274</v>
      </c>
      <c r="X13" s="2173">
        <f t="shared" si="4"/>
        <v>1867678</v>
      </c>
      <c r="Y13" s="2174">
        <f t="shared" si="5"/>
        <v>4.2616896404108887E-2</v>
      </c>
      <c r="Z13" s="2173">
        <f t="shared" si="6"/>
        <v>1867678</v>
      </c>
      <c r="AA13" s="2174">
        <f t="shared" si="7"/>
        <v>3.9150001373222873E-2</v>
      </c>
      <c r="AB13" s="2185">
        <f>W13/W55</f>
        <v>3.6383549136347039E-2</v>
      </c>
      <c r="AC13" s="2185"/>
      <c r="AD13" s="2185">
        <f>(D13+W13)/W57</f>
        <v>2.1175722415628151E-2</v>
      </c>
      <c r="AE13" s="2177" t="s">
        <v>1285</v>
      </c>
      <c r="AF13" s="2178">
        <v>0</v>
      </c>
      <c r="AG13" s="2185">
        <f>W13/(W55+AF55)</f>
        <v>2.1399985951771901E-2</v>
      </c>
      <c r="AH13" s="2189"/>
      <c r="AI13" s="2173">
        <f t="shared" si="8"/>
        <v>1867678</v>
      </c>
      <c r="AJ13" s="2174">
        <f t="shared" si="9"/>
        <v>3.4912792457535174E-2</v>
      </c>
      <c r="AK13" s="2177" t="s">
        <v>1285</v>
      </c>
      <c r="AL13" s="2179">
        <v>0</v>
      </c>
      <c r="AM13" s="2180">
        <f t="shared" si="10"/>
        <v>1867678</v>
      </c>
      <c r="AN13" s="2174">
        <f t="shared" si="11"/>
        <v>3.4192010142791079E-2</v>
      </c>
      <c r="AO13" s="2180">
        <f t="shared" si="20"/>
        <v>1867678</v>
      </c>
      <c r="AP13" s="2174">
        <f t="shared" si="13"/>
        <v>3.376207229293756E-2</v>
      </c>
      <c r="AQ13" s="2180">
        <f t="shared" si="14"/>
        <v>1867678</v>
      </c>
      <c r="AR13" s="2174">
        <f t="shared" si="15"/>
        <v>3.3746821234963545E-2</v>
      </c>
      <c r="AS13" s="2181"/>
      <c r="AU13" s="2182"/>
      <c r="AV13" s="2169"/>
    </row>
    <row r="14" spans="1:50">
      <c r="A14" s="2184" t="s">
        <v>1295</v>
      </c>
      <c r="B14" s="2193"/>
      <c r="C14" s="2185"/>
      <c r="D14" s="2186">
        <v>771404</v>
      </c>
      <c r="E14" s="2195"/>
      <c r="F14" s="2171">
        <v>771404</v>
      </c>
      <c r="G14" s="2185">
        <f>D14/D55</f>
        <v>2.920169918635418E-2</v>
      </c>
      <c r="H14" s="2193"/>
      <c r="I14" s="2185"/>
      <c r="J14" s="2186"/>
      <c r="K14" s="2185"/>
      <c r="L14" s="2185"/>
      <c r="M14" s="2172"/>
      <c r="N14" s="2185"/>
      <c r="O14" s="2185"/>
      <c r="P14" s="2185">
        <f>D14/M57</f>
        <v>2.0125834077003486E-2</v>
      </c>
      <c r="Q14" s="2173">
        <f t="shared" si="0"/>
        <v>771404</v>
      </c>
      <c r="R14" s="2174">
        <f t="shared" si="16"/>
        <v>1.8463305456454176E-2</v>
      </c>
      <c r="S14" s="2173">
        <f t="shared" si="18"/>
        <v>771404</v>
      </c>
      <c r="T14" s="2174">
        <f t="shared" si="17"/>
        <v>1.8332499612021585E-2</v>
      </c>
      <c r="U14" s="2194">
        <v>468000</v>
      </c>
      <c r="V14" s="2175">
        <f t="shared" si="19"/>
        <v>467992.52280000004</v>
      </c>
      <c r="W14" s="2176">
        <f>ROUNDDOWN(U14/11.1141,0)</f>
        <v>42108</v>
      </c>
      <c r="X14" s="2173">
        <f t="shared" si="4"/>
        <v>813512</v>
      </c>
      <c r="Y14" s="2174">
        <f t="shared" si="5"/>
        <v>1.8562812555215316E-2</v>
      </c>
      <c r="Z14" s="2173">
        <f t="shared" si="6"/>
        <v>813512</v>
      </c>
      <c r="AA14" s="2174">
        <f t="shared" si="7"/>
        <v>1.7052723176657479E-2</v>
      </c>
      <c r="AB14" s="2185">
        <f>W14/W55</f>
        <v>1.5913314986738904E-2</v>
      </c>
      <c r="AC14" s="2185"/>
      <c r="AD14" s="2185">
        <f>(D14+W14)/W57</f>
        <v>1.9853798637031812E-2</v>
      </c>
      <c r="AE14" s="2177" t="s">
        <v>1285</v>
      </c>
      <c r="AF14" s="2178">
        <v>0</v>
      </c>
      <c r="AG14" s="2185">
        <f>W14/(W55+AF55)</f>
        <v>9.3598542540790988E-3</v>
      </c>
      <c r="AH14" s="2189"/>
      <c r="AI14" s="2173">
        <f t="shared" si="8"/>
        <v>813512</v>
      </c>
      <c r="AJ14" s="2174">
        <f t="shared" si="9"/>
        <v>1.5207105088625744E-2</v>
      </c>
      <c r="AK14" s="2177" t="s">
        <v>1285</v>
      </c>
      <c r="AL14" s="2179">
        <v>0</v>
      </c>
      <c r="AM14" s="2180">
        <f t="shared" si="10"/>
        <v>813512</v>
      </c>
      <c r="AN14" s="2174">
        <f t="shared" si="11"/>
        <v>1.4893151043853522E-2</v>
      </c>
      <c r="AO14" s="2180">
        <f t="shared" si="20"/>
        <v>813512</v>
      </c>
      <c r="AP14" s="2174">
        <f t="shared" si="13"/>
        <v>1.4705881289586437E-2</v>
      </c>
      <c r="AQ14" s="2180">
        <f t="shared" si="14"/>
        <v>813512</v>
      </c>
      <c r="AR14" s="2174">
        <f t="shared" si="15"/>
        <v>1.4699238325074056E-2</v>
      </c>
      <c r="AS14" s="2181"/>
      <c r="AU14" s="2196"/>
      <c r="AV14" s="2196"/>
      <c r="AW14" s="2155"/>
      <c r="AX14" s="2197"/>
    </row>
    <row r="15" spans="1:50">
      <c r="A15" s="2184" t="s">
        <v>1296</v>
      </c>
      <c r="B15" s="2168">
        <v>333333</v>
      </c>
      <c r="C15" s="2185">
        <f>B15/B56</f>
        <v>4.4735755025328963E-2</v>
      </c>
      <c r="D15" s="2154"/>
      <c r="E15" s="2195"/>
      <c r="F15" s="2195"/>
      <c r="G15" s="2185"/>
      <c r="H15" s="2193"/>
      <c r="I15" s="2185"/>
      <c r="J15" s="2186"/>
      <c r="K15" s="2185"/>
      <c r="L15" s="2185"/>
      <c r="M15" s="2172"/>
      <c r="N15" s="2185"/>
      <c r="O15" s="2185"/>
      <c r="P15" s="2185"/>
      <c r="Q15" s="2173">
        <f t="shared" si="0"/>
        <v>333333</v>
      </c>
      <c r="R15" s="2174">
        <f t="shared" si="16"/>
        <v>7.9782176365642901E-3</v>
      </c>
      <c r="S15" s="2173">
        <f t="shared" si="18"/>
        <v>333333</v>
      </c>
      <c r="T15" s="2174">
        <f t="shared" si="17"/>
        <v>7.9216948488392471E-3</v>
      </c>
      <c r="U15" s="2194"/>
      <c r="V15" s="2175">
        <f t="shared" si="19"/>
        <v>0</v>
      </c>
      <c r="W15" s="2176">
        <v>0</v>
      </c>
      <c r="X15" s="2173">
        <f t="shared" si="4"/>
        <v>333333</v>
      </c>
      <c r="Y15" s="2174">
        <f t="shared" si="5"/>
        <v>7.6060316227266299E-3</v>
      </c>
      <c r="Z15" s="2173">
        <f t="shared" si="6"/>
        <v>333333</v>
      </c>
      <c r="AA15" s="2174">
        <f t="shared" si="7"/>
        <v>6.987279074733707E-3</v>
      </c>
      <c r="AB15" s="2185">
        <f>W15/W55</f>
        <v>0</v>
      </c>
      <c r="AC15" s="2185"/>
      <c r="AD15" s="2185">
        <f>W15/W57</f>
        <v>0</v>
      </c>
      <c r="AE15" s="2177" t="s">
        <v>1285</v>
      </c>
      <c r="AF15" s="2178">
        <v>0</v>
      </c>
      <c r="AG15" s="2185">
        <f>W15/(W55+AF55)</f>
        <v>0</v>
      </c>
      <c r="AH15" s="2189"/>
      <c r="AI15" s="2173">
        <f t="shared" si="8"/>
        <v>333333</v>
      </c>
      <c r="AJ15" s="2174">
        <f t="shared" si="9"/>
        <v>6.2310450989129665E-3</v>
      </c>
      <c r="AK15" s="2177" t="s">
        <v>1285</v>
      </c>
      <c r="AL15" s="2179">
        <v>0</v>
      </c>
      <c r="AM15" s="2180">
        <f t="shared" si="10"/>
        <v>333333</v>
      </c>
      <c r="AN15" s="2174">
        <f t="shared" si="11"/>
        <v>6.1024037960114002E-3</v>
      </c>
      <c r="AO15" s="2180">
        <f t="shared" si="20"/>
        <v>333333</v>
      </c>
      <c r="AP15" s="2174">
        <f t="shared" si="13"/>
        <v>6.0256708295657792E-3</v>
      </c>
      <c r="AQ15" s="2180">
        <f t="shared" si="14"/>
        <v>333333</v>
      </c>
      <c r="AR15" s="2174">
        <f t="shared" si="15"/>
        <v>6.0229489037800423E-3</v>
      </c>
      <c r="AS15" s="2181"/>
      <c r="AU15" s="2182"/>
      <c r="AV15" s="2196"/>
      <c r="AW15" s="2155"/>
      <c r="AX15" s="2197"/>
    </row>
    <row r="16" spans="1:50">
      <c r="A16" s="2184" t="s">
        <v>1297</v>
      </c>
      <c r="B16" s="2168">
        <v>333333</v>
      </c>
      <c r="C16" s="2185">
        <f>B16/B56</f>
        <v>4.4735755025328963E-2</v>
      </c>
      <c r="D16" s="2154"/>
      <c r="E16" s="2195"/>
      <c r="F16" s="2195"/>
      <c r="G16" s="2185"/>
      <c r="H16" s="2193"/>
      <c r="I16" s="2185"/>
      <c r="J16" s="2186"/>
      <c r="K16" s="2185"/>
      <c r="L16" s="2185"/>
      <c r="M16" s="2172"/>
      <c r="N16" s="2185"/>
      <c r="O16" s="2185"/>
      <c r="P16" s="2185"/>
      <c r="Q16" s="2173">
        <f t="shared" si="0"/>
        <v>333333</v>
      </c>
      <c r="R16" s="2174">
        <f t="shared" si="16"/>
        <v>7.9782176365642901E-3</v>
      </c>
      <c r="S16" s="2173">
        <f t="shared" si="18"/>
        <v>333333</v>
      </c>
      <c r="T16" s="2174">
        <f t="shared" si="17"/>
        <v>7.9216948488392471E-3</v>
      </c>
      <c r="U16" s="2194"/>
      <c r="V16" s="2175">
        <f t="shared" si="19"/>
        <v>0</v>
      </c>
      <c r="W16" s="2176">
        <v>0</v>
      </c>
      <c r="X16" s="2173">
        <f t="shared" si="4"/>
        <v>333333</v>
      </c>
      <c r="Y16" s="2174">
        <f t="shared" si="5"/>
        <v>7.6060316227266299E-3</v>
      </c>
      <c r="Z16" s="2173">
        <f t="shared" si="6"/>
        <v>333333</v>
      </c>
      <c r="AA16" s="2174">
        <f t="shared" si="7"/>
        <v>6.987279074733707E-3</v>
      </c>
      <c r="AB16" s="2185">
        <f>W16/W55</f>
        <v>0</v>
      </c>
      <c r="AC16" s="2185"/>
      <c r="AD16" s="2185">
        <f>W16/W57</f>
        <v>0</v>
      </c>
      <c r="AE16" s="2177" t="s">
        <v>1285</v>
      </c>
      <c r="AF16" s="2178">
        <v>0</v>
      </c>
      <c r="AG16" s="2185">
        <f>W16/(W55+AF55)</f>
        <v>0</v>
      </c>
      <c r="AH16" s="2189"/>
      <c r="AI16" s="2173">
        <f t="shared" si="8"/>
        <v>333333</v>
      </c>
      <c r="AJ16" s="2174">
        <f t="shared" si="9"/>
        <v>6.2310450989129665E-3</v>
      </c>
      <c r="AK16" s="2177" t="s">
        <v>1285</v>
      </c>
      <c r="AL16" s="2179">
        <v>0</v>
      </c>
      <c r="AM16" s="2180">
        <f t="shared" si="10"/>
        <v>333333</v>
      </c>
      <c r="AN16" s="2174">
        <f t="shared" si="11"/>
        <v>6.1024037960114002E-3</v>
      </c>
      <c r="AO16" s="2180">
        <f t="shared" si="20"/>
        <v>333333</v>
      </c>
      <c r="AP16" s="2174">
        <f t="shared" si="13"/>
        <v>6.0256708295657792E-3</v>
      </c>
      <c r="AQ16" s="2180">
        <f t="shared" si="14"/>
        <v>333333</v>
      </c>
      <c r="AR16" s="2174">
        <f t="shared" si="15"/>
        <v>6.0229489037800423E-3</v>
      </c>
      <c r="AS16" s="2181"/>
      <c r="AU16" s="2182"/>
      <c r="AV16" s="2169"/>
      <c r="AW16" s="2155"/>
      <c r="AX16" s="2197"/>
    </row>
    <row r="17" spans="1:49">
      <c r="A17" s="2184" t="s">
        <v>1298</v>
      </c>
      <c r="B17" s="2168">
        <v>333334</v>
      </c>
      <c r="C17" s="2185">
        <f>B17/B56</f>
        <v>4.4735889232728247E-2</v>
      </c>
      <c r="D17" s="2154"/>
      <c r="E17" s="2195"/>
      <c r="F17" s="2195"/>
      <c r="G17" s="2185"/>
      <c r="H17" s="2193"/>
      <c r="I17" s="2185"/>
      <c r="J17" s="2186"/>
      <c r="K17" s="2185"/>
      <c r="L17" s="2185"/>
      <c r="M17" s="2172"/>
      <c r="N17" s="2185"/>
      <c r="O17" s="2185"/>
      <c r="P17" s="2185"/>
      <c r="Q17" s="2173">
        <f t="shared" si="0"/>
        <v>333334</v>
      </c>
      <c r="R17" s="2174">
        <f t="shared" si="16"/>
        <v>7.9782415712411348E-3</v>
      </c>
      <c r="S17" s="2173">
        <f t="shared" si="18"/>
        <v>333334</v>
      </c>
      <c r="T17" s="2174">
        <f t="shared" si="17"/>
        <v>7.9217186139475589E-3</v>
      </c>
      <c r="U17" s="2194"/>
      <c r="V17" s="2175">
        <f t="shared" si="19"/>
        <v>0</v>
      </c>
      <c r="W17" s="2176">
        <v>0</v>
      </c>
      <c r="X17" s="2173">
        <f t="shared" si="4"/>
        <v>333334</v>
      </c>
      <c r="Y17" s="2174">
        <f t="shared" si="5"/>
        <v>7.6060544408443169E-3</v>
      </c>
      <c r="Z17" s="2173">
        <f t="shared" si="6"/>
        <v>333334</v>
      </c>
      <c r="AA17" s="2174">
        <f t="shared" si="7"/>
        <v>6.9873000365918928E-3</v>
      </c>
      <c r="AB17" s="2185">
        <f>W17/W55</f>
        <v>0</v>
      </c>
      <c r="AC17" s="2185"/>
      <c r="AD17" s="2185">
        <f>W17/W57</f>
        <v>0</v>
      </c>
      <c r="AE17" s="2177" t="s">
        <v>1285</v>
      </c>
      <c r="AF17" s="2178">
        <v>0</v>
      </c>
      <c r="AG17" s="2185">
        <f>W17/(W55+AF55)</f>
        <v>0</v>
      </c>
      <c r="AH17" s="2189"/>
      <c r="AI17" s="2173">
        <f t="shared" si="8"/>
        <v>333334</v>
      </c>
      <c r="AJ17" s="2174">
        <f t="shared" si="9"/>
        <v>6.2310637920669565E-3</v>
      </c>
      <c r="AK17" s="2177" t="s">
        <v>1285</v>
      </c>
      <c r="AL17" s="2179">
        <v>0</v>
      </c>
      <c r="AM17" s="2180">
        <f t="shared" si="10"/>
        <v>333334</v>
      </c>
      <c r="AN17" s="2174">
        <f t="shared" si="11"/>
        <v>6.1024221032410951E-3</v>
      </c>
      <c r="AO17" s="2180">
        <f t="shared" si="20"/>
        <v>333334</v>
      </c>
      <c r="AP17" s="2174">
        <f t="shared" si="13"/>
        <v>6.0256889065963444E-3</v>
      </c>
      <c r="AQ17" s="2180">
        <f t="shared" si="14"/>
        <v>333334</v>
      </c>
      <c r="AR17" s="2174">
        <f t="shared" si="15"/>
        <v>6.0229669726448226E-3</v>
      </c>
      <c r="AS17" s="2181"/>
      <c r="AU17" s="2182"/>
    </row>
    <row r="18" spans="1:49">
      <c r="A18" s="2184" t="s">
        <v>1299</v>
      </c>
      <c r="B18" s="2168">
        <v>125000</v>
      </c>
      <c r="C18" s="2185">
        <f>B18/B56</f>
        <v>1.6775924910423273E-2</v>
      </c>
      <c r="D18" s="2154"/>
      <c r="E18" s="2195"/>
      <c r="F18" s="2195"/>
      <c r="G18" s="2185"/>
      <c r="H18" s="2193"/>
      <c r="I18" s="2185"/>
      <c r="J18" s="2186"/>
      <c r="K18" s="2185"/>
      <c r="L18" s="2185"/>
      <c r="M18" s="2172"/>
      <c r="N18" s="2185"/>
      <c r="O18" s="2185"/>
      <c r="P18" s="2185"/>
      <c r="Q18" s="2173">
        <f t="shared" si="0"/>
        <v>125000</v>
      </c>
      <c r="R18" s="2174">
        <f t="shared" si="16"/>
        <v>2.9918346055462144E-3</v>
      </c>
      <c r="S18" s="2173">
        <f t="shared" si="18"/>
        <v>125000</v>
      </c>
      <c r="T18" s="2174">
        <f t="shared" si="17"/>
        <v>2.9706385389532569E-3</v>
      </c>
      <c r="U18" s="2187" t="s">
        <v>1285</v>
      </c>
      <c r="V18" s="2175" t="s">
        <v>1285</v>
      </c>
      <c r="W18" s="2191">
        <v>0</v>
      </c>
      <c r="X18" s="2173">
        <f t="shared" si="4"/>
        <v>125000</v>
      </c>
      <c r="Y18" s="2174">
        <f t="shared" si="5"/>
        <v>2.8522647107871971E-3</v>
      </c>
      <c r="Z18" s="2173">
        <f t="shared" si="6"/>
        <v>125000</v>
      </c>
      <c r="AA18" s="2174">
        <f t="shared" si="7"/>
        <v>2.6202322732574133E-3</v>
      </c>
      <c r="AB18" s="2188" t="s">
        <v>1285</v>
      </c>
      <c r="AC18" s="2188"/>
      <c r="AD18" s="2188" t="s">
        <v>1285</v>
      </c>
      <c r="AE18" s="2177" t="s">
        <v>1285</v>
      </c>
      <c r="AF18" s="2178">
        <v>0</v>
      </c>
      <c r="AG18" s="2188" t="s">
        <v>1285</v>
      </c>
      <c r="AH18" s="2189"/>
      <c r="AI18" s="2173">
        <f t="shared" si="8"/>
        <v>125000</v>
      </c>
      <c r="AJ18" s="2174">
        <f t="shared" si="9"/>
        <v>2.3366442487366113E-3</v>
      </c>
      <c r="AK18" s="2177" t="s">
        <v>1285</v>
      </c>
      <c r="AL18" s="2179">
        <v>0</v>
      </c>
      <c r="AM18" s="2180">
        <f t="shared" si="10"/>
        <v>125000</v>
      </c>
      <c r="AN18" s="2174">
        <f t="shared" si="11"/>
        <v>2.288403711907987E-3</v>
      </c>
      <c r="AO18" s="2180">
        <f t="shared" si="20"/>
        <v>125000</v>
      </c>
      <c r="AP18" s="2174">
        <f t="shared" si="13"/>
        <v>2.2596288207159879E-3</v>
      </c>
      <c r="AQ18" s="2180">
        <f t="shared" si="14"/>
        <v>125000</v>
      </c>
      <c r="AR18" s="2174">
        <f t="shared" si="15"/>
        <v>2.2586080975256135E-3</v>
      </c>
      <c r="AS18" s="2181"/>
      <c r="AU18" s="2182"/>
    </row>
    <row r="19" spans="1:49">
      <c r="A19" s="2184" t="s">
        <v>1300</v>
      </c>
      <c r="B19" s="2168">
        <v>1600769</v>
      </c>
      <c r="C19" s="2185">
        <f>B19/B56</f>
        <v>0.21483504434346679</v>
      </c>
      <c r="D19" s="2154"/>
      <c r="E19" s="2195"/>
      <c r="F19" s="2195"/>
      <c r="G19" s="2185"/>
      <c r="H19" s="2193"/>
      <c r="I19" s="2185"/>
      <c r="J19" s="2186"/>
      <c r="K19" s="2185"/>
      <c r="L19" s="2185"/>
      <c r="M19" s="2172"/>
      <c r="N19" s="2185"/>
      <c r="O19" s="2185"/>
      <c r="P19" s="2185"/>
      <c r="Q19" s="2173">
        <f t="shared" si="0"/>
        <v>1600769</v>
      </c>
      <c r="R19" s="2174">
        <f t="shared" si="16"/>
        <v>3.8313888717484867E-2</v>
      </c>
      <c r="S19" s="2173">
        <f t="shared" si="18"/>
        <v>1600769</v>
      </c>
      <c r="T19" s="2174">
        <f t="shared" si="17"/>
        <v>3.8042448666893325E-2</v>
      </c>
      <c r="U19" s="2194">
        <v>970000</v>
      </c>
      <c r="V19" s="2175">
        <f>W19*11.1141</f>
        <v>970005.30570000003</v>
      </c>
      <c r="W19" s="2191">
        <f>ROUND(U19/11.1141,0)</f>
        <v>87277</v>
      </c>
      <c r="X19" s="2173">
        <f t="shared" si="4"/>
        <v>1688046</v>
      </c>
      <c r="Y19" s="2174">
        <f t="shared" si="5"/>
        <v>3.8518032287883877E-2</v>
      </c>
      <c r="Z19" s="2173">
        <f t="shared" si="6"/>
        <v>1688046</v>
      </c>
      <c r="AA19" s="2174">
        <f t="shared" si="7"/>
        <v>3.5384580863544672E-2</v>
      </c>
      <c r="AB19" s="2185">
        <f>W19/W55</f>
        <v>3.2983432889180472E-2</v>
      </c>
      <c r="AC19" s="2185"/>
      <c r="AD19" s="2185">
        <f>W19/W57</f>
        <v>2.1299992915214841E-3</v>
      </c>
      <c r="AE19" s="2177" t="s">
        <v>1285</v>
      </c>
      <c r="AF19" s="2178">
        <v>0</v>
      </c>
      <c r="AG19" s="2185">
        <f>W19/(W55+AF55)</f>
        <v>1.9400113986255855E-2</v>
      </c>
      <c r="AH19" s="2189"/>
      <c r="AI19" s="2173">
        <f t="shared" si="8"/>
        <v>1688046</v>
      </c>
      <c r="AJ19" s="2174">
        <f t="shared" si="9"/>
        <v>3.1554903820022732E-2</v>
      </c>
      <c r="AK19" s="2177" t="s">
        <v>1285</v>
      </c>
      <c r="AL19" s="2179">
        <v>0</v>
      </c>
      <c r="AM19" s="2180">
        <f t="shared" si="10"/>
        <v>1688046</v>
      </c>
      <c r="AN19" s="2174">
        <f t="shared" si="11"/>
        <v>3.0903445858171438E-2</v>
      </c>
      <c r="AO19" s="2180">
        <f t="shared" si="20"/>
        <v>1688046</v>
      </c>
      <c r="AP19" s="2174">
        <f t="shared" si="13"/>
        <v>3.0514859138354722E-2</v>
      </c>
      <c r="AQ19" s="2180">
        <f t="shared" si="14"/>
        <v>1688046</v>
      </c>
      <c r="AR19" s="2174">
        <f t="shared" si="15"/>
        <v>3.0501074916765774E-2</v>
      </c>
      <c r="AS19" s="2181"/>
      <c r="AU19" s="2182"/>
    </row>
    <row r="20" spans="1:49">
      <c r="A20" s="2184" t="s">
        <v>1301</v>
      </c>
      <c r="B20" s="2168">
        <v>500000</v>
      </c>
      <c r="C20" s="2185">
        <f>B20/B56</f>
        <v>6.710369964169309E-2</v>
      </c>
      <c r="D20" s="2154"/>
      <c r="E20" s="2195"/>
      <c r="F20" s="2195"/>
      <c r="G20" s="2185"/>
      <c r="H20" s="2193"/>
      <c r="I20" s="2185"/>
      <c r="J20" s="2186"/>
      <c r="K20" s="2185"/>
      <c r="L20" s="2185"/>
      <c r="M20" s="2172"/>
      <c r="N20" s="2185"/>
      <c r="O20" s="2185"/>
      <c r="P20" s="2185"/>
      <c r="Q20" s="2173">
        <f t="shared" si="0"/>
        <v>500000</v>
      </c>
      <c r="R20" s="2174">
        <f t="shared" si="16"/>
        <v>1.1967338422184857E-2</v>
      </c>
      <c r="S20" s="2173">
        <f t="shared" si="18"/>
        <v>500000</v>
      </c>
      <c r="T20" s="2174">
        <f t="shared" si="17"/>
        <v>1.1882554155813027E-2</v>
      </c>
      <c r="U20" s="2194">
        <v>300000</v>
      </c>
      <c r="V20" s="2175">
        <f>W20*11.1141</f>
        <v>300002.90130000003</v>
      </c>
      <c r="W20" s="2191">
        <f>ROUND(U20/11.1141,0)</f>
        <v>26993</v>
      </c>
      <c r="X20" s="2173">
        <f t="shared" si="4"/>
        <v>526993</v>
      </c>
      <c r="Y20" s="2174">
        <f t="shared" si="5"/>
        <v>1.2024988293855019E-2</v>
      </c>
      <c r="Z20" s="2173">
        <f t="shared" si="6"/>
        <v>526993</v>
      </c>
      <c r="AA20" s="2174">
        <f t="shared" si="7"/>
        <v>1.1046752531045952E-2</v>
      </c>
      <c r="AB20" s="2185">
        <f>W20/W55</f>
        <v>1.0201104574832413E-2</v>
      </c>
      <c r="AC20" s="2185"/>
      <c r="AD20" s="2185">
        <f>W20/W57</f>
        <v>6.5876543506352672E-4</v>
      </c>
      <c r="AE20" s="2177" t="s">
        <v>1285</v>
      </c>
      <c r="AF20" s="2178">
        <v>0</v>
      </c>
      <c r="AG20" s="2185">
        <f>W20/(W55+AF55)</f>
        <v>6.0000604607285341E-3</v>
      </c>
      <c r="AH20" s="2189"/>
      <c r="AI20" s="2173">
        <f t="shared" si="8"/>
        <v>526993</v>
      </c>
      <c r="AJ20" s="2174">
        <f t="shared" si="9"/>
        <v>9.8511613005956237E-3</v>
      </c>
      <c r="AK20" s="2177" t="s">
        <v>1285</v>
      </c>
      <c r="AL20" s="2179">
        <v>0</v>
      </c>
      <c r="AM20" s="2180">
        <f t="shared" si="10"/>
        <v>526993</v>
      </c>
      <c r="AN20" s="2174">
        <f t="shared" si="11"/>
        <v>9.647781898796207E-3</v>
      </c>
      <c r="AO20" s="2180">
        <f t="shared" si="20"/>
        <v>526993</v>
      </c>
      <c r="AP20" s="2174">
        <f t="shared" si="13"/>
        <v>9.526468568924645E-3</v>
      </c>
      <c r="AQ20" s="2180">
        <f t="shared" si="14"/>
        <v>526993</v>
      </c>
      <c r="AR20" s="2174">
        <f t="shared" si="15"/>
        <v>9.522165257114525E-3</v>
      </c>
      <c r="AS20" s="2181"/>
      <c r="AU20" s="2182"/>
      <c r="AV20" s="2169"/>
    </row>
    <row r="21" spans="1:49">
      <c r="A21" s="2184" t="s">
        <v>1302</v>
      </c>
      <c r="B21" s="2168">
        <v>500000</v>
      </c>
      <c r="C21" s="2185">
        <f>B21/B56</f>
        <v>6.710369964169309E-2</v>
      </c>
      <c r="D21" s="2154"/>
      <c r="E21" s="2195"/>
      <c r="F21" s="2195"/>
      <c r="G21" s="2185"/>
      <c r="H21" s="2193"/>
      <c r="I21" s="2185"/>
      <c r="J21" s="2186"/>
      <c r="K21" s="2185"/>
      <c r="L21" s="2185"/>
      <c r="M21" s="2172"/>
      <c r="N21" s="2185"/>
      <c r="O21" s="2185"/>
      <c r="P21" s="2185"/>
      <c r="Q21" s="2173">
        <f t="shared" si="0"/>
        <v>500000</v>
      </c>
      <c r="R21" s="2174">
        <f t="shared" si="16"/>
        <v>1.1967338422184857E-2</v>
      </c>
      <c r="S21" s="2173">
        <f t="shared" si="18"/>
        <v>500000</v>
      </c>
      <c r="T21" s="2174">
        <f t="shared" si="17"/>
        <v>1.1882554155813027E-2</v>
      </c>
      <c r="U21" s="2194">
        <v>300000</v>
      </c>
      <c r="V21" s="2175">
        <f>W21*11.1141</f>
        <v>300002.90130000003</v>
      </c>
      <c r="W21" s="2191">
        <f>ROUND(U21/11.1141,0)</f>
        <v>26993</v>
      </c>
      <c r="X21" s="2173">
        <f t="shared" si="4"/>
        <v>526993</v>
      </c>
      <c r="Y21" s="2174">
        <f t="shared" si="5"/>
        <v>1.2024988293855019E-2</v>
      </c>
      <c r="Z21" s="2173">
        <f t="shared" si="6"/>
        <v>526993</v>
      </c>
      <c r="AA21" s="2174">
        <f t="shared" si="7"/>
        <v>1.1046752531045952E-2</v>
      </c>
      <c r="AB21" s="2185">
        <f>W21/W55</f>
        <v>1.0201104574832413E-2</v>
      </c>
      <c r="AC21" s="2185"/>
      <c r="AD21" s="2185">
        <f>W21/W57</f>
        <v>6.5876543506352672E-4</v>
      </c>
      <c r="AE21" s="2177" t="s">
        <v>1285</v>
      </c>
      <c r="AF21" s="2178">
        <v>0</v>
      </c>
      <c r="AG21" s="2185">
        <f>W21/(W55+AF55)</f>
        <v>6.0000604607285341E-3</v>
      </c>
      <c r="AH21" s="2189"/>
      <c r="AI21" s="2173">
        <f t="shared" si="8"/>
        <v>526993</v>
      </c>
      <c r="AJ21" s="2174">
        <f t="shared" si="9"/>
        <v>9.8511613005956237E-3</v>
      </c>
      <c r="AK21" s="2177" t="s">
        <v>1285</v>
      </c>
      <c r="AL21" s="2179">
        <v>0</v>
      </c>
      <c r="AM21" s="2180">
        <f t="shared" si="10"/>
        <v>526993</v>
      </c>
      <c r="AN21" s="2174">
        <f t="shared" si="11"/>
        <v>9.647781898796207E-3</v>
      </c>
      <c r="AO21" s="2180">
        <f t="shared" si="20"/>
        <v>526993</v>
      </c>
      <c r="AP21" s="2174">
        <f t="shared" si="13"/>
        <v>9.526468568924645E-3</v>
      </c>
      <c r="AQ21" s="2180">
        <f t="shared" si="14"/>
        <v>526993</v>
      </c>
      <c r="AR21" s="2174">
        <f t="shared" si="15"/>
        <v>9.522165257114525E-3</v>
      </c>
      <c r="AS21" s="2181"/>
      <c r="AU21" s="2182"/>
      <c r="AV21" s="2169"/>
    </row>
    <row r="22" spans="1:49">
      <c r="A22" s="2198" t="s">
        <v>1303</v>
      </c>
      <c r="B22" s="2168"/>
      <c r="C22" s="2185"/>
      <c r="D22" s="2154"/>
      <c r="E22" s="2195"/>
      <c r="F22" s="2195"/>
      <c r="G22" s="2185"/>
      <c r="H22" s="2193"/>
      <c r="I22" s="2185"/>
      <c r="J22" s="2186"/>
      <c r="K22" s="2185"/>
      <c r="L22" s="2185"/>
      <c r="M22" s="2172"/>
      <c r="N22" s="2185"/>
      <c r="O22" s="2185"/>
      <c r="P22" s="2185"/>
      <c r="Q22" s="2173">
        <f t="shared" si="0"/>
        <v>0</v>
      </c>
      <c r="R22" s="2174"/>
      <c r="S22" s="2173">
        <f t="shared" si="18"/>
        <v>0</v>
      </c>
      <c r="T22" s="2174"/>
      <c r="U22" s="2194">
        <v>368888</v>
      </c>
      <c r="V22" s="2175">
        <f>W22*11.1141</f>
        <v>368888.0931</v>
      </c>
      <c r="W22" s="2176">
        <f>ROUND(U22/11.1141,0)</f>
        <v>33191</v>
      </c>
      <c r="X22" s="2173">
        <f t="shared" si="4"/>
        <v>33191</v>
      </c>
      <c r="Y22" s="2174">
        <f t="shared" si="5"/>
        <v>7.5735614412590288E-4</v>
      </c>
      <c r="Z22" s="2173">
        <f t="shared" si="6"/>
        <v>33191</v>
      </c>
      <c r="AA22" s="2174">
        <f t="shared" si="7"/>
        <v>6.957450350534945E-4</v>
      </c>
      <c r="AB22" s="2185">
        <f>W22/W55</f>
        <v>1.2543432072880473E-2</v>
      </c>
      <c r="AC22" s="2185"/>
      <c r="AD22" s="2185">
        <f>W22/W57</f>
        <v>8.1002791668927186E-4</v>
      </c>
      <c r="AE22" s="2177" t="s">
        <v>1285</v>
      </c>
      <c r="AF22" s="2178">
        <v>0</v>
      </c>
      <c r="AG22" s="2185">
        <f>W22/(W55+AF55)</f>
        <v>7.377764855778934E-3</v>
      </c>
      <c r="AH22" s="2189"/>
      <c r="AI22" s="2173">
        <f t="shared" si="8"/>
        <v>45888</v>
      </c>
      <c r="AJ22" s="2174">
        <f t="shared" si="9"/>
        <v>8.5779145028820494E-4</v>
      </c>
      <c r="AK22" s="2175">
        <f>AL22*13.3013</f>
        <v>168886.6061</v>
      </c>
      <c r="AL22" s="2176">
        <f>ROUND(168888/13.3013,0)</f>
        <v>12697</v>
      </c>
      <c r="AM22" s="2180">
        <f t="shared" si="10"/>
        <v>45888</v>
      </c>
      <c r="AN22" s="2174">
        <f t="shared" si="11"/>
        <v>8.4008215625626967E-4</v>
      </c>
      <c r="AO22" s="2180">
        <f t="shared" si="20"/>
        <v>45888</v>
      </c>
      <c r="AP22" s="2174">
        <f t="shared" si="13"/>
        <v>8.2951877860012199E-4</v>
      </c>
      <c r="AQ22" s="2180">
        <f t="shared" si="14"/>
        <v>45888</v>
      </c>
      <c r="AR22" s="2174">
        <f t="shared" si="15"/>
        <v>8.2914406703404279E-4</v>
      </c>
      <c r="AS22" s="2181"/>
      <c r="AU22" s="2182"/>
    </row>
    <row r="23" spans="1:49">
      <c r="A23" s="2184" t="s">
        <v>1304</v>
      </c>
      <c r="B23" s="2168">
        <v>1050385</v>
      </c>
      <c r="C23" s="2185">
        <f>B23/B56</f>
        <v>0.14096943909627957</v>
      </c>
      <c r="D23" s="2154"/>
      <c r="E23" s="2195"/>
      <c r="F23" s="2195"/>
      <c r="G23" s="2185"/>
      <c r="H23" s="2193"/>
      <c r="I23" s="2185"/>
      <c r="J23" s="2186"/>
      <c r="K23" s="2185"/>
      <c r="L23" s="2185"/>
      <c r="M23" s="2172"/>
      <c r="N23" s="2185"/>
      <c r="O23" s="2185"/>
      <c r="P23" s="2185"/>
      <c r="Q23" s="2173">
        <f t="shared" si="0"/>
        <v>1050385</v>
      </c>
      <c r="R23" s="2174">
        <f>Q23/$Q$55</f>
        <v>2.5140625537173285E-2</v>
      </c>
      <c r="S23" s="2173">
        <f t="shared" si="18"/>
        <v>1050385</v>
      </c>
      <c r="T23" s="2174">
        <f>S23/$S$55</f>
        <v>2.4962513293907331E-2</v>
      </c>
      <c r="U23" s="2187" t="s">
        <v>1285</v>
      </c>
      <c r="V23" s="2175" t="s">
        <v>1285</v>
      </c>
      <c r="W23" s="2191">
        <v>0</v>
      </c>
      <c r="X23" s="2173">
        <f t="shared" si="4"/>
        <v>1050385</v>
      </c>
      <c r="Y23" s="2174">
        <f t="shared" si="5"/>
        <v>2.396780854592168E-2</v>
      </c>
      <c r="Z23" s="2173">
        <f t="shared" si="6"/>
        <v>1050385</v>
      </c>
      <c r="AA23" s="2174">
        <f t="shared" si="7"/>
        <v>2.2018021410763904E-2</v>
      </c>
      <c r="AB23" s="2188" t="s">
        <v>1285</v>
      </c>
      <c r="AC23" s="2188"/>
      <c r="AD23" s="2188" t="s">
        <v>1285</v>
      </c>
      <c r="AE23" s="2177" t="s">
        <v>1285</v>
      </c>
      <c r="AF23" s="2178">
        <v>0</v>
      </c>
      <c r="AG23" s="2188" t="s">
        <v>1285</v>
      </c>
      <c r="AH23" s="2189"/>
      <c r="AI23" s="2173">
        <f t="shared" si="8"/>
        <v>1050385</v>
      </c>
      <c r="AJ23" s="2174">
        <f t="shared" si="9"/>
        <v>1.9635008553673644E-2</v>
      </c>
      <c r="AK23" s="2177" t="s">
        <v>1285</v>
      </c>
      <c r="AL23" s="2179">
        <v>0</v>
      </c>
      <c r="AM23" s="2180">
        <f t="shared" si="10"/>
        <v>1050385</v>
      </c>
      <c r="AN23" s="2174">
        <f t="shared" si="11"/>
        <v>1.9229639463459767E-2</v>
      </c>
      <c r="AO23" s="2180">
        <f t="shared" si="20"/>
        <v>1050385</v>
      </c>
      <c r="AP23" s="2174">
        <f t="shared" si="13"/>
        <v>1.8987841750782102E-2</v>
      </c>
      <c r="AQ23" s="2180">
        <f t="shared" si="14"/>
        <v>1050385</v>
      </c>
      <c r="AR23" s="2174">
        <f t="shared" si="15"/>
        <v>1.8979264532155534E-2</v>
      </c>
      <c r="AS23" s="2181"/>
      <c r="AU23" s="2182"/>
    </row>
    <row r="24" spans="1:49">
      <c r="A24" s="2167" t="s">
        <v>1305</v>
      </c>
      <c r="B24" s="2168"/>
      <c r="C24" s="2169"/>
      <c r="E24" s="2195"/>
      <c r="F24" s="2195"/>
      <c r="G24" s="2169"/>
      <c r="H24" s="2168">
        <v>2285715</v>
      </c>
      <c r="I24" s="2169">
        <f>H24/H55</f>
        <v>0.32000010640000215</v>
      </c>
      <c r="M24" s="2193"/>
      <c r="P24" s="2169">
        <f>H24/M57</f>
        <v>5.9634019057871128E-2</v>
      </c>
      <c r="Q24" s="2173">
        <f t="shared" si="0"/>
        <v>2285715</v>
      </c>
      <c r="R24" s="2174">
        <f>Q24/$Q$55</f>
        <v>5.4707849883328524E-2</v>
      </c>
      <c r="S24" s="2173">
        <f t="shared" si="18"/>
        <v>2285715</v>
      </c>
      <c r="T24" s="2174">
        <f>S24/$S$55</f>
        <v>5.4320264544508348E-2</v>
      </c>
      <c r="U24" s="2175">
        <v>1390000</v>
      </c>
      <c r="V24" s="2175">
        <f>W24*11.1141</f>
        <v>1389996.0306000002</v>
      </c>
      <c r="W24" s="2176">
        <f>ROUND(U24/11.1141,0)</f>
        <v>125066</v>
      </c>
      <c r="X24" s="2173">
        <f t="shared" si="4"/>
        <v>2410781</v>
      </c>
      <c r="Y24" s="2174">
        <f t="shared" si="5"/>
        <v>5.5009484573890162E-2</v>
      </c>
      <c r="Z24" s="2173">
        <f t="shared" si="6"/>
        <v>2410781</v>
      </c>
      <c r="AA24" s="2174">
        <f t="shared" si="7"/>
        <v>5.0534449439646245E-2</v>
      </c>
      <c r="AB24" s="2169">
        <f>W24/W55</f>
        <v>4.726452579394623E-2</v>
      </c>
      <c r="AC24" s="2169"/>
      <c r="AD24" s="2169">
        <f>(H24+W24)/W57</f>
        <v>5.8835223736075429E-2</v>
      </c>
      <c r="AE24" s="2177" t="s">
        <v>1285</v>
      </c>
      <c r="AF24" s="2178">
        <v>0</v>
      </c>
      <c r="AG24" s="2169">
        <f>W24/(W55+AF55)</f>
        <v>2.7799931892767565E-2</v>
      </c>
      <c r="AI24" s="2173">
        <f t="shared" si="8"/>
        <v>2410781</v>
      </c>
      <c r="AJ24" s="2174">
        <f t="shared" si="9"/>
        <v>4.5065100468907972E-2</v>
      </c>
      <c r="AK24" s="2177" t="s">
        <v>1285</v>
      </c>
      <c r="AL24" s="2179">
        <v>0</v>
      </c>
      <c r="AM24" s="2180">
        <f t="shared" si="10"/>
        <v>2410781</v>
      </c>
      <c r="AN24" s="2174">
        <f t="shared" si="11"/>
        <v>4.413472151197799E-2</v>
      </c>
      <c r="AO24" s="2180">
        <f t="shared" si="20"/>
        <v>2410781</v>
      </c>
      <c r="AP24" s="2174">
        <f t="shared" si="13"/>
        <v>4.357976182427608E-2</v>
      </c>
      <c r="AQ24" s="2180">
        <f t="shared" si="14"/>
        <v>2410781</v>
      </c>
      <c r="AR24" s="2174">
        <f t="shared" si="15"/>
        <v>4.356007590368717E-2</v>
      </c>
      <c r="AS24" s="2181"/>
      <c r="AU24" s="2182"/>
    </row>
    <row r="25" spans="1:49">
      <c r="A25" s="2199" t="s">
        <v>2822</v>
      </c>
      <c r="B25" s="2168"/>
      <c r="C25" s="2169"/>
      <c r="E25" s="2195"/>
      <c r="F25" s="2195"/>
      <c r="G25" s="2169"/>
      <c r="H25" s="2168">
        <v>571428</v>
      </c>
      <c r="I25" s="2169">
        <f>H25/H55</f>
        <v>7.9999921599998428E-2</v>
      </c>
      <c r="M25" s="2193"/>
      <c r="P25" s="2169">
        <f>H25/M57</f>
        <v>1.4908485197061392E-2</v>
      </c>
      <c r="Q25" s="2173">
        <f t="shared" si="0"/>
        <v>571429</v>
      </c>
      <c r="R25" s="2174">
        <f>Q25/$Q$55</f>
        <v>1.3676968454501342E-2</v>
      </c>
      <c r="S25" s="2173">
        <f>B25+D25+H25+1</f>
        <v>571429</v>
      </c>
      <c r="T25" s="2174">
        <f>S25/$S$55</f>
        <v>1.3580072077404165E-2</v>
      </c>
      <c r="U25" s="2194"/>
      <c r="V25" s="2194"/>
      <c r="W25" s="2176"/>
      <c r="X25" s="2173">
        <f t="shared" si="4"/>
        <v>571429</v>
      </c>
      <c r="Y25" s="2174">
        <f t="shared" si="5"/>
        <v>1.3038934171363339E-2</v>
      </c>
      <c r="Z25" s="2173">
        <f t="shared" si="6"/>
        <v>571429</v>
      </c>
      <c r="AA25" s="2174">
        <f t="shared" si="7"/>
        <v>1.1978213661401683E-2</v>
      </c>
      <c r="AB25" s="2188" t="s">
        <v>1285</v>
      </c>
      <c r="AC25" s="2185"/>
      <c r="AD25" s="2185">
        <f>(H25+W25)/W57</f>
        <v>1.3945727226595078E-2</v>
      </c>
      <c r="AE25" s="2200" t="s">
        <v>1285</v>
      </c>
      <c r="AF25" s="2178">
        <v>0</v>
      </c>
      <c r="AG25" s="2188" t="s">
        <v>1285</v>
      </c>
      <c r="AH25" s="2189"/>
      <c r="AI25" s="2173">
        <f t="shared" si="8"/>
        <v>571429</v>
      </c>
      <c r="AJ25" s="2174">
        <f t="shared" si="9"/>
        <v>1.0681810291290504E-2</v>
      </c>
      <c r="AK25" s="2177" t="s">
        <v>1285</v>
      </c>
      <c r="AL25" s="2179">
        <v>0</v>
      </c>
      <c r="AM25" s="2180">
        <f t="shared" si="10"/>
        <v>571429</v>
      </c>
      <c r="AN25" s="2174">
        <f t="shared" si="11"/>
        <v>1.0461281957534953E-2</v>
      </c>
      <c r="AO25" s="2201">
        <f>AM25-1</f>
        <v>571428</v>
      </c>
      <c r="AP25" s="2174">
        <f t="shared" si="13"/>
        <v>1.0329721422112763E-2</v>
      </c>
      <c r="AQ25" s="2180">
        <f t="shared" si="14"/>
        <v>571428</v>
      </c>
      <c r="AR25" s="2174">
        <f t="shared" si="15"/>
        <v>1.032505526362293E-2</v>
      </c>
      <c r="AS25" s="2181"/>
      <c r="AU25" s="2182"/>
    </row>
    <row r="26" spans="1:49">
      <c r="A26" s="2199" t="s">
        <v>2823</v>
      </c>
      <c r="B26" s="2168"/>
      <c r="C26" s="2169"/>
      <c r="E26" s="2195"/>
      <c r="F26" s="2195"/>
      <c r="G26" s="2169"/>
      <c r="H26" s="2168"/>
      <c r="I26" s="2169"/>
      <c r="M26" s="2193"/>
      <c r="P26" s="2169"/>
      <c r="Q26" s="2173">
        <f t="shared" si="0"/>
        <v>0</v>
      </c>
      <c r="R26" s="2174"/>
      <c r="S26" s="2173">
        <f>B26+D26+H26</f>
        <v>0</v>
      </c>
      <c r="T26" s="2174"/>
      <c r="U26" s="2194">
        <f>350000+4550000</f>
        <v>4900000</v>
      </c>
      <c r="V26" s="2194">
        <f>W26*11.1141</f>
        <v>4654996.3017000007</v>
      </c>
      <c r="W26" s="2202">
        <v>418837</v>
      </c>
      <c r="X26" s="2173">
        <f t="shared" si="4"/>
        <v>418837</v>
      </c>
      <c r="Y26" s="2174">
        <f t="shared" si="5"/>
        <v>9.5570719573758178E-3</v>
      </c>
      <c r="Z26" s="2173">
        <f t="shared" si="6"/>
        <v>418837</v>
      </c>
      <c r="AA26" s="2174">
        <f t="shared" si="7"/>
        <v>8.7796017970745224E-3</v>
      </c>
      <c r="AB26" s="2185">
        <f>W26/W55</f>
        <v>0.15828548278476209</v>
      </c>
      <c r="AC26" s="2185"/>
      <c r="AD26" s="2185">
        <f>W26/W57</f>
        <v>1.0221736691946147E-2</v>
      </c>
      <c r="AE26" s="2200"/>
      <c r="AF26" s="2178">
        <v>0</v>
      </c>
      <c r="AG26" s="2185">
        <f>W26/(W55+AF55)</f>
        <v>9.309996381247572E-2</v>
      </c>
      <c r="AH26" s="2189"/>
      <c r="AI26" s="2173">
        <f t="shared" si="8"/>
        <v>418837</v>
      </c>
      <c r="AJ26" s="2174">
        <f t="shared" si="9"/>
        <v>7.8293845376647686E-3</v>
      </c>
      <c r="AK26" s="2177" t="s">
        <v>1285</v>
      </c>
      <c r="AL26" s="2179">
        <v>0</v>
      </c>
      <c r="AM26" s="2180">
        <f t="shared" si="10"/>
        <v>418837</v>
      </c>
      <c r="AN26" s="2174">
        <f t="shared" si="11"/>
        <v>7.6677451638752442E-3</v>
      </c>
      <c r="AO26" s="2180">
        <f t="shared" ref="AO26:AO32" si="21">AM26</f>
        <v>418837</v>
      </c>
      <c r="AP26" s="2174">
        <f t="shared" si="13"/>
        <v>7.5713292510577778E-3</v>
      </c>
      <c r="AQ26" s="2180">
        <f t="shared" si="14"/>
        <v>418837</v>
      </c>
      <c r="AR26" s="2174">
        <f t="shared" si="15"/>
        <v>7.5679091179466831E-3</v>
      </c>
      <c r="AS26" s="2181"/>
      <c r="AU26" s="2182"/>
    </row>
    <row r="27" spans="1:49">
      <c r="A27" s="2199" t="s">
        <v>2824</v>
      </c>
      <c r="B27" s="2168"/>
      <c r="C27" s="2169"/>
      <c r="E27" s="2195"/>
      <c r="F27" s="2195"/>
      <c r="G27" s="2169"/>
      <c r="H27" s="2168"/>
      <c r="I27" s="2169"/>
      <c r="M27" s="2193"/>
      <c r="P27" s="2169"/>
      <c r="Q27" s="2173">
        <f t="shared" si="0"/>
        <v>0</v>
      </c>
      <c r="R27" s="2174"/>
      <c r="S27" s="2173">
        <f>B27+D27+H27</f>
        <v>0</v>
      </c>
      <c r="T27" s="2174"/>
      <c r="U27" s="2194"/>
      <c r="V27" s="2194">
        <f>W27*11.1141</f>
        <v>244999.22040000002</v>
      </c>
      <c r="W27" s="2202">
        <v>22044</v>
      </c>
      <c r="X27" s="2173">
        <f t="shared" si="4"/>
        <v>22044</v>
      </c>
      <c r="Y27" s="2174">
        <f t="shared" si="5"/>
        <v>5.0300258627674374E-4</v>
      </c>
      <c r="Z27" s="2173">
        <f t="shared" si="6"/>
        <v>22044</v>
      </c>
      <c r="AA27" s="2174">
        <f t="shared" si="7"/>
        <v>4.6208320185349135E-4</v>
      </c>
      <c r="AB27" s="2185">
        <f>W27/W55</f>
        <v>8.3307949930576716E-3</v>
      </c>
      <c r="AC27" s="2185"/>
      <c r="AD27" s="2185">
        <f>W27/W57</f>
        <v>5.3798485720521548E-4</v>
      </c>
      <c r="AE27" s="2200"/>
      <c r="AF27" s="2178">
        <v>0</v>
      </c>
      <c r="AG27" s="2185">
        <f>W27/(W55+AF55)</f>
        <v>4.8999863963360797E-3</v>
      </c>
      <c r="AH27" s="2189"/>
      <c r="AI27" s="2173">
        <f t="shared" si="8"/>
        <v>22044</v>
      </c>
      <c r="AJ27" s="2174">
        <f t="shared" si="9"/>
        <v>4.1207188655319887E-4</v>
      </c>
      <c r="AK27" s="2177" t="s">
        <v>1285</v>
      </c>
      <c r="AL27" s="2179">
        <v>0</v>
      </c>
      <c r="AM27" s="2180">
        <f t="shared" si="10"/>
        <v>22044</v>
      </c>
      <c r="AN27" s="2174">
        <f t="shared" si="11"/>
        <v>4.0356457140239732E-4</v>
      </c>
      <c r="AO27" s="2180">
        <f t="shared" si="21"/>
        <v>22044</v>
      </c>
      <c r="AP27" s="2174">
        <f t="shared" si="13"/>
        <v>3.9849006179090588E-4</v>
      </c>
      <c r="AQ27" s="2180">
        <f t="shared" si="14"/>
        <v>22044</v>
      </c>
      <c r="AR27" s="2174">
        <f t="shared" si="15"/>
        <v>3.9831005521483702E-4</v>
      </c>
      <c r="AS27" s="2181"/>
      <c r="AU27" s="2182"/>
      <c r="AV27" s="2169"/>
      <c r="AW27" s="2169"/>
    </row>
    <row r="28" spans="1:49">
      <c r="A28" s="2167" t="s">
        <v>1307</v>
      </c>
      <c r="B28" s="2168"/>
      <c r="C28" s="2169"/>
      <c r="E28" s="2195"/>
      <c r="F28" s="2195"/>
      <c r="G28" s="2169"/>
      <c r="H28" s="2168">
        <v>285714</v>
      </c>
      <c r="I28" s="2169">
        <f>H28/H55</f>
        <v>3.9999960799999214E-2</v>
      </c>
      <c r="J28" s="2170"/>
      <c r="K28" s="2169"/>
      <c r="L28" s="2169"/>
      <c r="M28" s="2172"/>
      <c r="N28" s="2169"/>
      <c r="O28" s="2169"/>
      <c r="P28" s="2169">
        <f>H28/M57</f>
        <v>7.4542425985306962E-3</v>
      </c>
      <c r="Q28" s="2173">
        <f t="shared" si="0"/>
        <v>285714</v>
      </c>
      <c r="R28" s="2174">
        <f>Q28/$Q$55</f>
        <v>6.8384722599122488E-3</v>
      </c>
      <c r="S28" s="2173">
        <f>B28+D28+H28</f>
        <v>285714</v>
      </c>
      <c r="T28" s="2174">
        <f>S28/$S$55</f>
        <v>6.7900241561479266E-3</v>
      </c>
      <c r="U28" s="2175">
        <v>170000</v>
      </c>
      <c r="V28" s="2175">
        <f>W28*11.1141</f>
        <v>170001.27360000001</v>
      </c>
      <c r="W28" s="2176">
        <f>ROUND(U28/11.1141,0)</f>
        <v>15296</v>
      </c>
      <c r="X28" s="2173">
        <f t="shared" si="4"/>
        <v>301010</v>
      </c>
      <c r="Y28" s="2174">
        <f t="shared" si="5"/>
        <v>6.868481604752434E-3</v>
      </c>
      <c r="Z28" s="2173">
        <f t="shared" si="6"/>
        <v>301010</v>
      </c>
      <c r="AA28" s="2174">
        <f t="shared" si="7"/>
        <v>6.3097289325857123E-3</v>
      </c>
      <c r="AB28" s="2169">
        <f>W28/W55</f>
        <v>5.7806133285161557E-3</v>
      </c>
      <c r="AC28" s="2169"/>
      <c r="AD28" s="2169">
        <f>(H28+W28)/W57</f>
        <v>7.3461632129986354E-3</v>
      </c>
      <c r="AE28" s="2177" t="s">
        <v>1285</v>
      </c>
      <c r="AF28" s="2178">
        <v>0</v>
      </c>
      <c r="AG28" s="2169">
        <f>W28/(W55+AF55)</f>
        <v>3.4000268516764958E-3</v>
      </c>
      <c r="AI28" s="2173">
        <f t="shared" si="8"/>
        <v>301010</v>
      </c>
      <c r="AJ28" s="2174">
        <f t="shared" si="9"/>
        <v>5.6268262824976586E-3</v>
      </c>
      <c r="AK28" s="2177" t="s">
        <v>1285</v>
      </c>
      <c r="AL28" s="2179">
        <v>0</v>
      </c>
      <c r="AM28" s="2180">
        <f t="shared" si="10"/>
        <v>301010</v>
      </c>
      <c r="AN28" s="2174">
        <f t="shared" si="11"/>
        <v>5.5106592105713852E-3</v>
      </c>
      <c r="AO28" s="2180">
        <f t="shared" si="21"/>
        <v>301010</v>
      </c>
      <c r="AP28" s="2174">
        <f t="shared" si="13"/>
        <v>5.4413669705897557E-3</v>
      </c>
      <c r="AQ28" s="2180">
        <f t="shared" si="14"/>
        <v>301010</v>
      </c>
      <c r="AR28" s="2174">
        <f t="shared" si="15"/>
        <v>5.4389089874894792E-3</v>
      </c>
      <c r="AS28" s="2181"/>
      <c r="AU28" s="2182"/>
    </row>
    <row r="29" spans="1:49">
      <c r="A29" s="2203" t="s">
        <v>2825</v>
      </c>
      <c r="B29" s="2168"/>
      <c r="C29" s="2204"/>
      <c r="D29" s="2205"/>
      <c r="E29" s="2195"/>
      <c r="F29" s="2195"/>
      <c r="G29" s="2204"/>
      <c r="H29" s="2168"/>
      <c r="I29" s="2204"/>
      <c r="J29" s="2206">
        <f>5000000/G62</f>
        <v>496852.43979390559</v>
      </c>
      <c r="K29" s="2204">
        <f>J29/J55</f>
        <v>0.43478316565288738</v>
      </c>
      <c r="L29" s="2204"/>
      <c r="M29" s="2168">
        <f>J29+2981114</f>
        <v>3477966.4397939057</v>
      </c>
      <c r="N29" s="2204">
        <f>M29/M55</f>
        <v>0.72916705587970632</v>
      </c>
      <c r="O29" s="2204"/>
      <c r="P29" s="2204">
        <f>M29/M57</f>
        <v>9.0739710310911881E-2</v>
      </c>
      <c r="Q29" s="2173">
        <f t="shared" si="0"/>
        <v>496853.43979390559</v>
      </c>
      <c r="R29" s="2174">
        <f>Q29/$Q$55</f>
        <v>1.1892026520480634E-2</v>
      </c>
      <c r="S29" s="2173">
        <f>J29+1</f>
        <v>496853.43979390559</v>
      </c>
      <c r="T29" s="2174">
        <f>S29/$S$55</f>
        <v>1.1807775811706141E-2</v>
      </c>
      <c r="U29" s="2207" t="s">
        <v>1285</v>
      </c>
      <c r="V29" s="2208"/>
      <c r="W29" s="2176">
        <v>899758</v>
      </c>
      <c r="X29" s="2209">
        <f>S29+1</f>
        <v>496854.43979390559</v>
      </c>
      <c r="Y29" s="2174">
        <f t="shared" si="5"/>
        <v>1.1337283080176792E-2</v>
      </c>
      <c r="Z29" s="2209">
        <f>X29-2+2981114+W29</f>
        <v>4377724.4397939052</v>
      </c>
      <c r="AA29" s="2174">
        <f t="shared" si="7"/>
        <v>9.1765238884605763E-2</v>
      </c>
      <c r="AB29" s="2210" t="s">
        <v>1285</v>
      </c>
      <c r="AC29" s="2211"/>
      <c r="AD29" s="2204">
        <f>(M29+W29)/W57</f>
        <v>0.1068385709320589</v>
      </c>
      <c r="AE29" s="2212" t="s">
        <v>1285</v>
      </c>
      <c r="AF29" s="2178">
        <v>0</v>
      </c>
      <c r="AG29" s="2213" t="s">
        <v>1285</v>
      </c>
      <c r="AH29" s="2211"/>
      <c r="AI29" s="2173">
        <f t="shared" si="8"/>
        <v>4377724.4397939052</v>
      </c>
      <c r="AJ29" s="2174">
        <f t="shared" si="9"/>
        <v>8.183347707838505E-2</v>
      </c>
      <c r="AK29" s="2177" t="s">
        <v>1285</v>
      </c>
      <c r="AL29" s="2179">
        <v>0</v>
      </c>
      <c r="AM29" s="2180">
        <f t="shared" si="10"/>
        <v>4377724.4397939052</v>
      </c>
      <c r="AN29" s="2174">
        <f t="shared" si="11"/>
        <v>8.014400686187749E-2</v>
      </c>
      <c r="AO29" s="2180">
        <f t="shared" si="21"/>
        <v>4377724.4397939052</v>
      </c>
      <c r="AP29" s="2174">
        <f t="shared" si="13"/>
        <v>7.9136258506488477E-2</v>
      </c>
      <c r="AQ29" s="2180">
        <f t="shared" si="14"/>
        <v>4377724.4397939052</v>
      </c>
      <c r="AR29" s="2174">
        <f t="shared" si="15"/>
        <v>7.9100510947634359E-2</v>
      </c>
      <c r="AS29" s="2181"/>
      <c r="AU29" s="2182"/>
    </row>
    <row r="30" spans="1:49">
      <c r="A30" s="2184" t="s">
        <v>1309</v>
      </c>
      <c r="B30" s="2168"/>
      <c r="C30" s="2185"/>
      <c r="D30" s="2154"/>
      <c r="E30" s="2195"/>
      <c r="F30" s="2195"/>
      <c r="G30" s="2185"/>
      <c r="H30" s="2168"/>
      <c r="I30" s="2185"/>
      <c r="J30" s="2186">
        <f>1000000/G62</f>
        <v>99370.48795878113</v>
      </c>
      <c r="K30" s="2185">
        <f>J30/J55</f>
        <v>8.6956633130577485E-2</v>
      </c>
      <c r="L30" s="2185"/>
      <c r="M30" s="2168">
        <f>J30*2-1</f>
        <v>198739.97591756226</v>
      </c>
      <c r="N30" s="2185">
        <f>M30/M55</f>
        <v>4.1666486906641868E-2</v>
      </c>
      <c r="O30" s="2214"/>
      <c r="P30" s="2185">
        <f>M30/M57</f>
        <v>5.185101165905967E-3</v>
      </c>
      <c r="Q30" s="2173">
        <f>99370</f>
        <v>99370</v>
      </c>
      <c r="R30" s="2174">
        <f>Q30/$Q$55</f>
        <v>2.3783888380250187E-3</v>
      </c>
      <c r="S30" s="2173">
        <f>M30</f>
        <v>198739.97591756226</v>
      </c>
      <c r="T30" s="2174">
        <f>S30/$S$55</f>
        <v>4.7230770535308204E-3</v>
      </c>
      <c r="U30" s="2187" t="s">
        <v>1285</v>
      </c>
      <c r="V30" s="2175" t="s">
        <v>1285</v>
      </c>
      <c r="W30" s="2191">
        <v>0</v>
      </c>
      <c r="X30" s="2173">
        <f t="shared" ref="X30:X35" si="22">S30+W30</f>
        <v>198739.97591756226</v>
      </c>
      <c r="Y30" s="2174">
        <f t="shared" si="5"/>
        <v>4.5348721594588816E-3</v>
      </c>
      <c r="Z30" s="2215">
        <f t="shared" ref="Z30:Z35" si="23">X30</f>
        <v>198739.97591756226</v>
      </c>
      <c r="AA30" s="2174">
        <f t="shared" si="7"/>
        <v>4.165959191084782E-3</v>
      </c>
      <c r="AB30" s="2188" t="s">
        <v>1285</v>
      </c>
      <c r="AC30" s="2188"/>
      <c r="AD30" s="2185">
        <f>M30/W57</f>
        <v>4.8502584632996596E-3</v>
      </c>
      <c r="AE30" s="2177" t="s">
        <v>1285</v>
      </c>
      <c r="AF30" s="2178">
        <v>0</v>
      </c>
      <c r="AG30" s="2185"/>
      <c r="AH30" s="2189"/>
      <c r="AI30" s="2173">
        <f t="shared" si="8"/>
        <v>198739.97591756226</v>
      </c>
      <c r="AJ30" s="2174">
        <f t="shared" si="9"/>
        <v>3.715076973774596E-3</v>
      </c>
      <c r="AK30" s="2177" t="s">
        <v>1285</v>
      </c>
      <c r="AL30" s="2179">
        <v>0</v>
      </c>
      <c r="AM30" s="2180">
        <f t="shared" si="10"/>
        <v>198739.97591756226</v>
      </c>
      <c r="AN30" s="2174">
        <f t="shared" si="11"/>
        <v>3.6383783887540275E-3</v>
      </c>
      <c r="AO30" s="2180">
        <f t="shared" si="21"/>
        <v>198739.97591756226</v>
      </c>
      <c r="AP30" s="2174">
        <f t="shared" si="13"/>
        <v>3.5926286192938003E-3</v>
      </c>
      <c r="AQ30" s="2180">
        <f t="shared" si="14"/>
        <v>198739.97591756226</v>
      </c>
      <c r="AR30" s="2174">
        <f t="shared" si="15"/>
        <v>3.5910057512756124E-3</v>
      </c>
      <c r="AS30" s="2181"/>
      <c r="AU30" s="2182"/>
    </row>
    <row r="31" spans="1:49">
      <c r="A31" s="2184" t="s">
        <v>1310</v>
      </c>
      <c r="B31" s="2168"/>
      <c r="C31" s="2185"/>
      <c r="D31" s="2154"/>
      <c r="E31" s="2195"/>
      <c r="F31" s="2195"/>
      <c r="G31" s="2185"/>
      <c r="H31" s="2168"/>
      <c r="I31" s="2185"/>
      <c r="J31" s="2186">
        <f>2000000/G62</f>
        <v>198740.97591756226</v>
      </c>
      <c r="K31" s="2185">
        <f>J31/J55</f>
        <v>0.17391326626115497</v>
      </c>
      <c r="L31" s="2185"/>
      <c r="M31" s="2168">
        <f>J31*2</f>
        <v>397481.95183512452</v>
      </c>
      <c r="N31" s="2185">
        <f>M31/M55</f>
        <v>8.3333393119834565E-2</v>
      </c>
      <c r="O31" s="2214"/>
      <c r="P31" s="2185">
        <f>M31/M57</f>
        <v>1.0370254511562304E-2</v>
      </c>
      <c r="Q31" s="2173">
        <f>198741</f>
        <v>198741</v>
      </c>
      <c r="R31" s="2174">
        <f>Q31/$Q$55</f>
        <v>4.756801610726882E-3</v>
      </c>
      <c r="S31" s="2173">
        <f>M31</f>
        <v>397481.95183512452</v>
      </c>
      <c r="T31" s="2174">
        <f>S31/$S$55</f>
        <v>9.4462016372782644E-3</v>
      </c>
      <c r="U31" s="2194">
        <v>312000</v>
      </c>
      <c r="V31" s="2175">
        <f>W31*11.1141</f>
        <v>311995.01520000002</v>
      </c>
      <c r="W31" s="2176">
        <f>ROUND(U31/11.1141,0)</f>
        <v>28072</v>
      </c>
      <c r="X31" s="2173">
        <f t="shared" si="22"/>
        <v>425553.95183512452</v>
      </c>
      <c r="Y31" s="2174">
        <f t="shared" si="5"/>
        <v>9.7103401548428829E-3</v>
      </c>
      <c r="Z31" s="2215">
        <f t="shared" si="23"/>
        <v>425553.95183512452</v>
      </c>
      <c r="AA31" s="2174">
        <f t="shared" si="7"/>
        <v>8.9204015888849925E-3</v>
      </c>
      <c r="AB31" s="2185">
        <f>W31/W55</f>
        <v>1.0608876657825936E-2</v>
      </c>
      <c r="AC31" s="2185"/>
      <c r="AD31" s="2185">
        <f>(M31+W31)/W57</f>
        <v>1.0385664217525613E-2</v>
      </c>
      <c r="AE31" s="2177" t="s">
        <v>1285</v>
      </c>
      <c r="AF31" s="2178">
        <v>0</v>
      </c>
      <c r="AG31" s="2185">
        <f>W31/(W55+AF55)</f>
        <v>6.2399028360527325E-3</v>
      </c>
      <c r="AH31" s="2189"/>
      <c r="AI31" s="2173">
        <f t="shared" si="8"/>
        <v>425553.95183512452</v>
      </c>
      <c r="AJ31" s="2174">
        <f t="shared" si="9"/>
        <v>7.9549455526614441E-3</v>
      </c>
      <c r="AK31" s="2177" t="s">
        <v>1285</v>
      </c>
      <c r="AL31" s="2179">
        <v>0</v>
      </c>
      <c r="AM31" s="2180">
        <f t="shared" si="10"/>
        <v>425553.95183512452</v>
      </c>
      <c r="AN31" s="2174">
        <f t="shared" si="11"/>
        <v>7.7907139439728932E-3</v>
      </c>
      <c r="AO31" s="2180">
        <f t="shared" si="21"/>
        <v>425553.95183512452</v>
      </c>
      <c r="AP31" s="2174">
        <f t="shared" si="13"/>
        <v>7.6927517946898455E-3</v>
      </c>
      <c r="AQ31" s="2180">
        <f t="shared" si="14"/>
        <v>425553.95183512452</v>
      </c>
      <c r="AR31" s="2174">
        <f t="shared" si="15"/>
        <v>7.6892768123906973E-3</v>
      </c>
      <c r="AS31" s="2181"/>
      <c r="AU31" s="2182"/>
    </row>
    <row r="32" spans="1:49">
      <c r="A32" s="2184" t="s">
        <v>1311</v>
      </c>
      <c r="B32" s="2168"/>
      <c r="C32" s="2185"/>
      <c r="D32" s="2154"/>
      <c r="E32" s="2195"/>
      <c r="F32" s="2195"/>
      <c r="G32" s="2185"/>
      <c r="H32" s="2168"/>
      <c r="I32" s="2185"/>
      <c r="J32" s="2186"/>
      <c r="K32" s="2185"/>
      <c r="L32" s="2185"/>
      <c r="M32" s="2168"/>
      <c r="N32" s="2185"/>
      <c r="O32" s="2214"/>
      <c r="P32" s="2185"/>
      <c r="Q32" s="2173">
        <f>S32</f>
        <v>0</v>
      </c>
      <c r="R32" s="2174"/>
      <c r="S32" s="2173">
        <v>0</v>
      </c>
      <c r="T32" s="2174"/>
      <c r="U32" s="2194">
        <v>200000</v>
      </c>
      <c r="V32" s="2175">
        <f>W32*11.1141</f>
        <v>199998.22950000002</v>
      </c>
      <c r="W32" s="2176">
        <f>ROUND(U32/11.1141,0)</f>
        <v>17995</v>
      </c>
      <c r="X32" s="2173">
        <f t="shared" si="22"/>
        <v>17995</v>
      </c>
      <c r="Y32" s="2174">
        <f t="shared" si="5"/>
        <v>4.1061202776492489E-4</v>
      </c>
      <c r="Z32" s="2215">
        <f t="shared" si="23"/>
        <v>17995</v>
      </c>
      <c r="AA32" s="2174">
        <f t="shared" si="7"/>
        <v>3.7720863805813722E-4</v>
      </c>
      <c r="AB32" s="2185">
        <f>W32/W55</f>
        <v>6.8006104109994917E-3</v>
      </c>
      <c r="AC32" s="2185"/>
      <c r="AD32" s="2185">
        <f>W32/W57</f>
        <v>4.3916882169333396E-4</v>
      </c>
      <c r="AE32" s="2177" t="s">
        <v>1285</v>
      </c>
      <c r="AF32" s="2178">
        <v>0</v>
      </c>
      <c r="AG32" s="2185">
        <f>W32/(W55+AF55)</f>
        <v>3.9999662131222895E-3</v>
      </c>
      <c r="AH32" s="2189"/>
      <c r="AI32" s="2173">
        <f t="shared" si="8"/>
        <v>17995</v>
      </c>
      <c r="AJ32" s="2174">
        <f t="shared" si="9"/>
        <v>3.3638330604812255E-4</v>
      </c>
      <c r="AK32" s="2177" t="s">
        <v>1285</v>
      </c>
      <c r="AL32" s="2179">
        <v>0</v>
      </c>
      <c r="AM32" s="2180">
        <f t="shared" si="10"/>
        <v>17995</v>
      </c>
      <c r="AN32" s="2174">
        <f t="shared" si="11"/>
        <v>3.2943859836627383E-4</v>
      </c>
      <c r="AO32" s="2180">
        <f t="shared" si="21"/>
        <v>17995</v>
      </c>
      <c r="AP32" s="2174">
        <f t="shared" si="13"/>
        <v>3.2529616503027361E-4</v>
      </c>
      <c r="AQ32" s="2180">
        <f t="shared" si="14"/>
        <v>17995</v>
      </c>
      <c r="AR32" s="2174">
        <f t="shared" si="15"/>
        <v>3.2514922171978733E-4</v>
      </c>
      <c r="AS32" s="2181"/>
      <c r="AU32" s="2182"/>
    </row>
    <row r="33" spans="1:47">
      <c r="A33" s="2216" t="s">
        <v>3074</v>
      </c>
      <c r="B33" s="2217"/>
      <c r="C33" s="2218"/>
      <c r="D33" s="2219"/>
      <c r="E33" s="2220"/>
      <c r="F33" s="2220"/>
      <c r="G33" s="2218"/>
      <c r="H33" s="2217"/>
      <c r="I33" s="2218"/>
      <c r="J33" s="2221">
        <v>248426</v>
      </c>
      <c r="K33" s="2218">
        <f>J33/J55</f>
        <v>0.21739139040011024</v>
      </c>
      <c r="L33" s="2218">
        <f>J33/J59</f>
        <v>6.2492110461534987E-3</v>
      </c>
      <c r="M33" s="2217">
        <f>J33*2</f>
        <v>496852</v>
      </c>
      <c r="N33" s="2218">
        <f>M33/M55</f>
        <v>0.10416664919556039</v>
      </c>
      <c r="O33" s="2222">
        <f>M33/M59</f>
        <v>0.10416664919556039</v>
      </c>
      <c r="P33" s="2218">
        <f>M33/M57</f>
        <v>1.2962806665284774E-2</v>
      </c>
      <c r="Q33" s="2173">
        <f>S33</f>
        <v>0</v>
      </c>
      <c r="R33" s="2174"/>
      <c r="S33" s="2173">
        <v>0</v>
      </c>
      <c r="T33" s="2174"/>
      <c r="U33" s="2223" t="s">
        <v>1285</v>
      </c>
      <c r="V33" s="2223" t="s">
        <v>1285</v>
      </c>
      <c r="W33" s="2224">
        <v>0</v>
      </c>
      <c r="X33" s="2173">
        <f t="shared" si="22"/>
        <v>0</v>
      </c>
      <c r="Y33" s="2174"/>
      <c r="Z33" s="2215">
        <f t="shared" si="23"/>
        <v>0</v>
      </c>
      <c r="AA33" s="2174"/>
      <c r="AB33" s="2223" t="s">
        <v>1285</v>
      </c>
      <c r="AC33" s="2223"/>
      <c r="AD33" s="2188">
        <f>M33/W57</f>
        <v>1.2125696437675819E-2</v>
      </c>
      <c r="AE33" s="2200" t="s">
        <v>1285</v>
      </c>
      <c r="AF33" s="2178">
        <v>0</v>
      </c>
      <c r="AG33" s="2188" t="s">
        <v>1285</v>
      </c>
      <c r="AH33" s="2225">
        <f>AJ33</f>
        <v>0</v>
      </c>
      <c r="AI33" s="2173">
        <f t="shared" si="8"/>
        <v>0</v>
      </c>
      <c r="AJ33" s="2174"/>
      <c r="AK33" s="2177" t="s">
        <v>1285</v>
      </c>
      <c r="AL33" s="2179">
        <v>0</v>
      </c>
      <c r="AM33" s="2180">
        <f t="shared" si="10"/>
        <v>0</v>
      </c>
      <c r="AN33" s="2174"/>
      <c r="AO33" s="2201">
        <f>M33</f>
        <v>496852</v>
      </c>
      <c r="AP33" s="2174">
        <f t="shared" si="13"/>
        <v>8.9816087906430392E-3</v>
      </c>
      <c r="AQ33" s="2180">
        <f t="shared" si="14"/>
        <v>496852</v>
      </c>
      <c r="AR33" s="2174">
        <f t="shared" si="15"/>
        <v>8.9775516037743693E-3</v>
      </c>
      <c r="AS33" s="2181"/>
      <c r="AU33" s="2182"/>
    </row>
    <row r="34" spans="1:47">
      <c r="A34" s="2216" t="s">
        <v>3075</v>
      </c>
      <c r="B34" s="2217"/>
      <c r="C34" s="2218"/>
      <c r="D34" s="2219"/>
      <c r="E34" s="2220"/>
      <c r="F34" s="2220"/>
      <c r="G34" s="2218"/>
      <c r="H34" s="2217"/>
      <c r="I34" s="2218"/>
      <c r="J34" s="2221">
        <v>49685</v>
      </c>
      <c r="K34" s="2218">
        <f>J34/J55</f>
        <v>4.3478103065015247E-2</v>
      </c>
      <c r="L34" s="2218">
        <f>J34/J59</f>
        <v>1.2498371781864079E-3</v>
      </c>
      <c r="M34" s="2217">
        <f>J34*2</f>
        <v>99370</v>
      </c>
      <c r="N34" s="2218">
        <f>M34/M55</f>
        <v>2.0833245977801913E-2</v>
      </c>
      <c r="O34" s="2222">
        <f>M34/M59</f>
        <v>2.0833245977801913E-2</v>
      </c>
      <c r="P34" s="2218">
        <f>M34/M57</f>
        <v>2.5925508971068809E-3</v>
      </c>
      <c r="Q34" s="2173">
        <f>S34</f>
        <v>0</v>
      </c>
      <c r="R34" s="2174"/>
      <c r="S34" s="2173">
        <v>0</v>
      </c>
      <c r="T34" s="2174"/>
      <c r="U34" s="2223" t="s">
        <v>1285</v>
      </c>
      <c r="V34" s="2223" t="s">
        <v>1285</v>
      </c>
      <c r="W34" s="2224">
        <v>0</v>
      </c>
      <c r="X34" s="2173">
        <f t="shared" si="22"/>
        <v>0</v>
      </c>
      <c r="Y34" s="2174"/>
      <c r="Z34" s="2215">
        <f t="shared" si="23"/>
        <v>0</v>
      </c>
      <c r="AA34" s="2174"/>
      <c r="AB34" s="2223" t="s">
        <v>1285</v>
      </c>
      <c r="AC34" s="2226"/>
      <c r="AD34" s="2185">
        <f>M34/W57</f>
        <v>2.4251295255163429E-3</v>
      </c>
      <c r="AE34" s="2200" t="s">
        <v>1285</v>
      </c>
      <c r="AF34" s="2178">
        <v>0</v>
      </c>
      <c r="AG34" s="2188" t="s">
        <v>1285</v>
      </c>
      <c r="AH34" s="2225">
        <f>AJ34</f>
        <v>0</v>
      </c>
      <c r="AI34" s="2173">
        <f t="shared" si="8"/>
        <v>0</v>
      </c>
      <c r="AJ34" s="2174"/>
      <c r="AK34" s="2177" t="s">
        <v>1285</v>
      </c>
      <c r="AL34" s="2179">
        <v>0</v>
      </c>
      <c r="AM34" s="2180">
        <f t="shared" si="10"/>
        <v>0</v>
      </c>
      <c r="AN34" s="2174"/>
      <c r="AO34" s="2201">
        <f>M34</f>
        <v>99370</v>
      </c>
      <c r="AP34" s="2174">
        <f t="shared" si="13"/>
        <v>1.7963145273163816E-3</v>
      </c>
      <c r="AQ34" s="2180">
        <f t="shared" si="14"/>
        <v>99370</v>
      </c>
      <c r="AR34" s="2174">
        <f t="shared" si="15"/>
        <v>1.7955030932089618E-3</v>
      </c>
      <c r="AS34" s="2181"/>
      <c r="AU34" s="2182"/>
    </row>
    <row r="35" spans="1:47" ht="15" customHeight="1">
      <c r="A35" s="2216" t="s">
        <v>3076</v>
      </c>
      <c r="B35" s="2217"/>
      <c r="C35" s="2218"/>
      <c r="D35" s="2219"/>
      <c r="E35" s="2220"/>
      <c r="F35" s="2220"/>
      <c r="G35" s="2218"/>
      <c r="H35" s="2217"/>
      <c r="I35" s="2218"/>
      <c r="J35" s="2221">
        <f>500000/G62</f>
        <v>49685.243979390565</v>
      </c>
      <c r="K35" s="2218">
        <f>J35/J55</f>
        <v>4.3478316565288742E-2</v>
      </c>
      <c r="L35" s="2218">
        <f>J35/J59</f>
        <v>1.249843315542009E-3</v>
      </c>
      <c r="M35" s="2217">
        <f>J35*2</f>
        <v>99370.48795878113</v>
      </c>
      <c r="N35" s="2218">
        <f>M35/M55</f>
        <v>2.0833348279958641E-2</v>
      </c>
      <c r="O35" s="2222">
        <f>M35/M59</f>
        <v>2.0833348279958641E-2</v>
      </c>
      <c r="P35" s="2218">
        <f>M35/M57</f>
        <v>2.5925636278905759E-3</v>
      </c>
      <c r="Q35" s="2173">
        <f>S35</f>
        <v>0</v>
      </c>
      <c r="R35" s="2174"/>
      <c r="S35" s="2173">
        <v>0</v>
      </c>
      <c r="T35" s="2174"/>
      <c r="U35" s="2223" t="s">
        <v>1285</v>
      </c>
      <c r="V35" s="2223" t="s">
        <v>1285</v>
      </c>
      <c r="W35" s="2224">
        <v>0</v>
      </c>
      <c r="X35" s="2173">
        <f t="shared" si="22"/>
        <v>0</v>
      </c>
      <c r="Y35" s="2174"/>
      <c r="Z35" s="2215">
        <f t="shared" si="23"/>
        <v>0</v>
      </c>
      <c r="AA35" s="2174"/>
      <c r="AB35" s="2223" t="s">
        <v>1285</v>
      </c>
      <c r="AC35" s="2226"/>
      <c r="AD35" s="2185">
        <f>M35/W57</f>
        <v>2.4251414341733557E-3</v>
      </c>
      <c r="AE35" s="2200" t="s">
        <v>1285</v>
      </c>
      <c r="AF35" s="2178">
        <v>0</v>
      </c>
      <c r="AG35" s="2188" t="s">
        <v>1285</v>
      </c>
      <c r="AH35" s="2225">
        <f>AJ35</f>
        <v>0</v>
      </c>
      <c r="AI35" s="2173">
        <f t="shared" si="8"/>
        <v>0</v>
      </c>
      <c r="AJ35" s="2174"/>
      <c r="AK35" s="2177" t="s">
        <v>1285</v>
      </c>
      <c r="AL35" s="2179">
        <v>0</v>
      </c>
      <c r="AM35" s="2180">
        <f t="shared" si="10"/>
        <v>0</v>
      </c>
      <c r="AN35" s="2174"/>
      <c r="AO35" s="2201">
        <f>M35</f>
        <v>99370.48795878113</v>
      </c>
      <c r="AP35" s="2174">
        <f t="shared" si="13"/>
        <v>1.796323348162183E-3</v>
      </c>
      <c r="AQ35" s="2180">
        <f t="shared" si="14"/>
        <v>99370.48795878113</v>
      </c>
      <c r="AR35" s="2174">
        <f t="shared" si="15"/>
        <v>1.7955119100701964E-3</v>
      </c>
      <c r="AS35" s="2181"/>
      <c r="AU35" s="2182"/>
    </row>
    <row r="36" spans="1:47" ht="15" customHeight="1">
      <c r="A36" s="2184" t="s">
        <v>2828</v>
      </c>
      <c r="B36" s="2217"/>
      <c r="C36" s="2218"/>
      <c r="D36" s="2219"/>
      <c r="E36" s="2220"/>
      <c r="F36" s="2220"/>
      <c r="G36" s="2218"/>
      <c r="H36" s="2217"/>
      <c r="I36" s="2218"/>
      <c r="J36" s="2221"/>
      <c r="K36" s="2218"/>
      <c r="L36" s="2218"/>
      <c r="M36" s="2217"/>
      <c r="N36" s="2218"/>
      <c r="O36" s="2222"/>
      <c r="P36" s="2218"/>
      <c r="Q36" s="2218"/>
      <c r="R36" s="2218"/>
      <c r="S36" s="2181"/>
      <c r="T36" s="2218"/>
      <c r="U36" s="2218"/>
      <c r="V36" s="2218"/>
      <c r="W36" s="2185"/>
      <c r="X36" s="2185"/>
      <c r="Y36" s="2185"/>
      <c r="Z36" s="2185"/>
      <c r="AA36" s="2185"/>
      <c r="AB36" s="2185"/>
      <c r="AC36" s="2185"/>
      <c r="AD36" s="2185"/>
      <c r="AE36" s="2175">
        <f>AF36*11.1141</f>
        <v>7999995.8646</v>
      </c>
      <c r="AF36" s="2176">
        <f>ROUND(8000000/11.1141,0)</f>
        <v>719806</v>
      </c>
      <c r="AG36" s="2185">
        <f>AF36/(W$55+AF$55)</f>
        <v>0.15999998221743278</v>
      </c>
      <c r="AH36" s="2189"/>
      <c r="AI36" s="2173">
        <f t="shared" si="8"/>
        <v>1997876</v>
      </c>
      <c r="AJ36" s="2174">
        <f>AI36/$AI$55</f>
        <v>3.7346603720711247E-2</v>
      </c>
      <c r="AK36" s="2175">
        <f>AL36*13.3013</f>
        <v>16999992.491</v>
      </c>
      <c r="AL36" s="2176">
        <f>ROUNDDOWN(17000000/13.3013,0)</f>
        <v>1278070</v>
      </c>
      <c r="AM36" s="2180">
        <f t="shared" si="10"/>
        <v>1997876</v>
      </c>
      <c r="AN36" s="2174">
        <f>AM36/$AM$55</f>
        <v>3.6575574834655053E-2</v>
      </c>
      <c r="AO36" s="2180">
        <f>AM36</f>
        <v>1997876</v>
      </c>
      <c r="AP36" s="2174">
        <f t="shared" si="13"/>
        <v>3.61156655185342E-2</v>
      </c>
      <c r="AQ36" s="2180">
        <f t="shared" si="14"/>
        <v>1997876</v>
      </c>
      <c r="AR36" s="2174">
        <f t="shared" si="15"/>
        <v>3.6099351291616663E-2</v>
      </c>
      <c r="AS36" s="2181"/>
      <c r="AU36" s="2182"/>
    </row>
    <row r="37" spans="1:47" ht="15" customHeight="1">
      <c r="A37" s="2184" t="s">
        <v>2829</v>
      </c>
      <c r="B37" s="2217"/>
      <c r="C37" s="2218"/>
      <c r="D37" s="2219"/>
      <c r="E37" s="2220"/>
      <c r="F37" s="2220"/>
      <c r="G37" s="2218"/>
      <c r="H37" s="2217"/>
      <c r="I37" s="2218"/>
      <c r="J37" s="2221"/>
      <c r="K37" s="2218"/>
      <c r="L37" s="2218"/>
      <c r="M37" s="2217"/>
      <c r="N37" s="2218"/>
      <c r="O37" s="2222"/>
      <c r="P37" s="2218"/>
      <c r="Q37" s="2218"/>
      <c r="R37" s="2218"/>
      <c r="S37" s="2181"/>
      <c r="T37" s="2218"/>
      <c r="U37" s="2218"/>
      <c r="V37" s="2218"/>
      <c r="W37" s="2185"/>
      <c r="X37" s="2185"/>
      <c r="Y37" s="2185"/>
      <c r="Z37" s="2185"/>
      <c r="AA37" s="2185"/>
      <c r="AB37" s="2185"/>
      <c r="AC37" s="2185"/>
      <c r="AD37" s="2185"/>
      <c r="AE37" s="2175">
        <f>AF37*11.1141</f>
        <v>7999995.8646</v>
      </c>
      <c r="AF37" s="2176">
        <f>ROUND(8000000/11.1141,0)</f>
        <v>719806</v>
      </c>
      <c r="AG37" s="2185">
        <f>AF37/(W$55+AF$55)</f>
        <v>0.15999998221743278</v>
      </c>
      <c r="AH37" s="2189"/>
      <c r="AI37" s="2173">
        <f t="shared" si="8"/>
        <v>1997876</v>
      </c>
      <c r="AJ37" s="2174">
        <f>AI37/$AI$55</f>
        <v>3.7346603720711247E-2</v>
      </c>
      <c r="AK37" s="2175">
        <f>AL37*13.3013</f>
        <v>16999992.491</v>
      </c>
      <c r="AL37" s="2176">
        <f>ROUNDDOWN(17000000/13.3013,0)</f>
        <v>1278070</v>
      </c>
      <c r="AM37" s="2180">
        <f t="shared" si="10"/>
        <v>1997876</v>
      </c>
      <c r="AN37" s="2174">
        <f>AM37/$AM$55</f>
        <v>3.6575574834655053E-2</v>
      </c>
      <c r="AO37" s="2180">
        <f>AM37</f>
        <v>1997876</v>
      </c>
      <c r="AP37" s="2174">
        <f t="shared" si="13"/>
        <v>3.61156655185342E-2</v>
      </c>
      <c r="AQ37" s="2180">
        <f t="shared" si="14"/>
        <v>1997876</v>
      </c>
      <c r="AR37" s="2174">
        <f t="shared" si="15"/>
        <v>3.6099351291616663E-2</v>
      </c>
      <c r="AS37" s="2181"/>
      <c r="AU37" s="2182"/>
    </row>
    <row r="38" spans="1:47" ht="15" customHeight="1">
      <c r="A38" s="2184" t="s">
        <v>3077</v>
      </c>
      <c r="B38" s="2217"/>
      <c r="C38" s="2218"/>
      <c r="D38" s="2227">
        <v>887096</v>
      </c>
      <c r="E38" s="2220"/>
      <c r="F38" s="2190">
        <v>887096</v>
      </c>
      <c r="G38" s="2218"/>
      <c r="H38" s="2217"/>
      <c r="I38" s="2218"/>
      <c r="J38" s="2221"/>
      <c r="K38" s="2218"/>
      <c r="L38" s="2218"/>
      <c r="M38" s="2217"/>
      <c r="N38" s="2218"/>
      <c r="O38" s="2222"/>
      <c r="P38" s="2218"/>
      <c r="Q38" s="2218"/>
      <c r="R38" s="2218"/>
      <c r="S38" s="2181"/>
      <c r="T38" s="2218"/>
      <c r="U38" s="2218"/>
      <c r="V38" s="2218"/>
      <c r="W38" s="2185"/>
      <c r="X38" s="2185"/>
      <c r="Y38" s="2185"/>
      <c r="Z38" s="2185"/>
      <c r="AA38" s="2185"/>
      <c r="AB38" s="2185"/>
      <c r="AC38" s="2185"/>
      <c r="AD38" s="2185"/>
      <c r="AE38" s="2175">
        <f>AF38*11.1141</f>
        <v>2000004.5232000002</v>
      </c>
      <c r="AF38" s="2176">
        <f>ROUND(2000000/11.1141,0)</f>
        <v>179952</v>
      </c>
      <c r="AG38" s="2185">
        <f>AF38/(W$55+AF$55)</f>
        <v>4.0000106695403298E-2</v>
      </c>
      <c r="AH38" s="2189"/>
      <c r="AI38" s="2173">
        <f t="shared" si="8"/>
        <v>781397</v>
      </c>
      <c r="AJ38" s="2174">
        <f>AI38/$AI$55</f>
        <v>1.4606774448240335E-2</v>
      </c>
      <c r="AK38" s="2175">
        <f>AL38*13.3013</f>
        <v>8000000.3784999996</v>
      </c>
      <c r="AL38" s="2176">
        <f>ROUND(8000000/13.3013,0)</f>
        <v>601445</v>
      </c>
      <c r="AM38" s="2180">
        <f t="shared" si="10"/>
        <v>781397</v>
      </c>
      <c r="AN38" s="2174">
        <f>AM38/$AM$55</f>
        <v>1.4305214362190122E-2</v>
      </c>
      <c r="AO38" s="2192">
        <f>AM38+F38</f>
        <v>1668493</v>
      </c>
      <c r="AP38" s="2174">
        <f t="shared" si="13"/>
        <v>3.0161398959703045E-2</v>
      </c>
      <c r="AQ38" s="2180">
        <f t="shared" si="14"/>
        <v>1668493</v>
      </c>
      <c r="AR38" s="2174">
        <f t="shared" si="15"/>
        <v>3.0147774403718429E-2</v>
      </c>
      <c r="AS38" s="2181"/>
      <c r="AU38" s="2182"/>
    </row>
    <row r="39" spans="1:47" ht="15" customHeight="1">
      <c r="A39" s="2184" t="s">
        <v>3078</v>
      </c>
      <c r="B39" s="2217"/>
      <c r="C39" s="2218"/>
      <c r="D39" s="2227">
        <v>725807</v>
      </c>
      <c r="E39" s="2220"/>
      <c r="F39" s="2190">
        <v>725807</v>
      </c>
      <c r="G39" s="2218"/>
      <c r="H39" s="2217"/>
      <c r="I39" s="2218"/>
      <c r="J39" s="2221"/>
      <c r="K39" s="2218"/>
      <c r="L39" s="2218"/>
      <c r="M39" s="2217"/>
      <c r="N39" s="2218"/>
      <c r="O39" s="2222"/>
      <c r="P39" s="2218"/>
      <c r="Q39" s="2218"/>
      <c r="R39" s="2218"/>
      <c r="S39" s="2181"/>
      <c r="T39" s="2218"/>
      <c r="U39" s="2218"/>
      <c r="V39" s="2218"/>
      <c r="W39" s="2185"/>
      <c r="X39" s="2185"/>
      <c r="Y39" s="2185"/>
      <c r="Z39" s="2185"/>
      <c r="AA39" s="2185"/>
      <c r="AB39" s="2185"/>
      <c r="AC39" s="2185"/>
      <c r="AD39" s="2185"/>
      <c r="AE39" s="2175"/>
      <c r="AF39" s="2176"/>
      <c r="AG39" s="2185"/>
      <c r="AH39" s="2189"/>
      <c r="AI39" s="2173">
        <f t="shared" si="8"/>
        <v>0</v>
      </c>
      <c r="AJ39" s="2174"/>
      <c r="AK39" s="2175"/>
      <c r="AL39" s="2176"/>
      <c r="AM39" s="2180">
        <f t="shared" si="10"/>
        <v>0</v>
      </c>
      <c r="AN39" s="2174"/>
      <c r="AO39" s="2192">
        <f>F39</f>
        <v>725807</v>
      </c>
      <c r="AP39" s="2174">
        <f t="shared" si="13"/>
        <v>1.3120435323819271E-2</v>
      </c>
      <c r="AQ39" s="2180">
        <f t="shared" si="14"/>
        <v>725807</v>
      </c>
      <c r="AR39" s="2174">
        <f t="shared" si="15"/>
        <v>1.3114508539526185E-2</v>
      </c>
      <c r="AS39" s="2181"/>
      <c r="AU39" s="2182"/>
    </row>
    <row r="40" spans="1:47" ht="15" customHeight="1">
      <c r="A40" s="2184" t="s">
        <v>2831</v>
      </c>
      <c r="B40" s="2217"/>
      <c r="C40" s="2218"/>
      <c r="D40" s="2228"/>
      <c r="E40" s="2220"/>
      <c r="F40" s="2220"/>
      <c r="G40" s="2218"/>
      <c r="H40" s="2217"/>
      <c r="I40" s="2218"/>
      <c r="J40" s="2221"/>
      <c r="K40" s="2218"/>
      <c r="L40" s="2218"/>
      <c r="M40" s="2217"/>
      <c r="N40" s="2218"/>
      <c r="O40" s="2222"/>
      <c r="P40" s="2218"/>
      <c r="Q40" s="2218"/>
      <c r="R40" s="2218"/>
      <c r="S40" s="2181"/>
      <c r="T40" s="2218"/>
      <c r="U40" s="2218"/>
      <c r="V40" s="2218"/>
      <c r="W40" s="2185"/>
      <c r="X40" s="2185"/>
      <c r="Y40" s="2185"/>
      <c r="Z40" s="2185"/>
      <c r="AA40" s="2185"/>
      <c r="AB40" s="2185"/>
      <c r="AC40" s="2185"/>
      <c r="AD40" s="2185"/>
      <c r="AE40" s="2194">
        <f>AF40*11.1141</f>
        <v>800004.03210000007</v>
      </c>
      <c r="AF40" s="2176">
        <f>ROUND(800000/11.1141,0)</f>
        <v>71981</v>
      </c>
      <c r="AG40" s="2185">
        <f>AF40/(W$55+AF$55)</f>
        <v>1.6000087134579358E-2</v>
      </c>
      <c r="AH40" s="2189"/>
      <c r="AI40" s="2173">
        <f t="shared" si="8"/>
        <v>312559</v>
      </c>
      <c r="AJ40" s="2174">
        <f>AI40/$AI$55</f>
        <v>5.8427135179269316E-3</v>
      </c>
      <c r="AK40" s="2194">
        <f>AL40*13.3013</f>
        <v>3200000.1513999999</v>
      </c>
      <c r="AL40" s="2176">
        <f>ROUND(3200000/13.3013,0)</f>
        <v>240578</v>
      </c>
      <c r="AM40" s="2180">
        <f t="shared" si="10"/>
        <v>312559</v>
      </c>
      <c r="AN40" s="2174">
        <f t="shared" ref="AN40:AN50" si="24">AM40/$AM$55</f>
        <v>5.7220894063219879E-3</v>
      </c>
      <c r="AO40" s="2180">
        <f>AM40</f>
        <v>312559</v>
      </c>
      <c r="AP40" s="2174">
        <f t="shared" si="13"/>
        <v>5.6501385965933475E-3</v>
      </c>
      <c r="AQ40" s="2180">
        <f t="shared" si="14"/>
        <v>312559</v>
      </c>
      <c r="AR40" s="2174">
        <f t="shared" si="15"/>
        <v>5.6475863068360657E-3</v>
      </c>
      <c r="AS40" s="2181"/>
      <c r="AU40" s="2182"/>
    </row>
    <row r="41" spans="1:47" ht="15" customHeight="1">
      <c r="A41" s="2184" t="s">
        <v>2832</v>
      </c>
      <c r="B41" s="2217"/>
      <c r="C41" s="2218"/>
      <c r="D41" s="2227">
        <v>250000</v>
      </c>
      <c r="E41" s="2220"/>
      <c r="F41" s="2190">
        <v>250000</v>
      </c>
      <c r="G41" s="2218"/>
      <c r="H41" s="2217"/>
      <c r="I41" s="2218"/>
      <c r="J41" s="2221"/>
      <c r="K41" s="2218"/>
      <c r="L41" s="2218"/>
      <c r="M41" s="2217"/>
      <c r="N41" s="2218"/>
      <c r="O41" s="2222"/>
      <c r="P41" s="2218"/>
      <c r="Q41" s="2218"/>
      <c r="R41" s="2218"/>
      <c r="S41" s="2181"/>
      <c r="T41" s="2218"/>
      <c r="U41" s="2218"/>
      <c r="V41" s="2218"/>
      <c r="W41" s="2185"/>
      <c r="X41" s="2185"/>
      <c r="Y41" s="2185"/>
      <c r="Z41" s="2185"/>
      <c r="AA41" s="2185"/>
      <c r="AB41" s="2185"/>
      <c r="AC41" s="2185"/>
      <c r="AD41" s="2185"/>
      <c r="AE41" s="2194">
        <f>AF41*11.1141</f>
        <v>199998.22950000002</v>
      </c>
      <c r="AF41" s="2176">
        <f>ROUND(200000/11.1141,0)</f>
        <v>17995</v>
      </c>
      <c r="AG41" s="2185">
        <f>AF41/(W$55+AF$55)</f>
        <v>3.9999662131222895E-3</v>
      </c>
      <c r="AH41" s="2189"/>
      <c r="AI41" s="2173">
        <f t="shared" si="8"/>
        <v>78139</v>
      </c>
      <c r="AJ41" s="2174">
        <f>AI41/$AI$55</f>
        <v>1.4606643596162406E-3</v>
      </c>
      <c r="AK41" s="2194">
        <f>AL41*13.3013</f>
        <v>799993.3872</v>
      </c>
      <c r="AL41" s="2176">
        <f>ROUND(800000/13.3013,0)</f>
        <v>60144</v>
      </c>
      <c r="AM41" s="2180">
        <f t="shared" si="10"/>
        <v>78139</v>
      </c>
      <c r="AN41" s="2174">
        <f t="shared" si="24"/>
        <v>1.4305086211582256E-3</v>
      </c>
      <c r="AO41" s="2192">
        <f>AM41+F41</f>
        <v>328139</v>
      </c>
      <c r="AP41" s="2174">
        <f t="shared" si="13"/>
        <v>5.9317787328073881E-3</v>
      </c>
      <c r="AQ41" s="2180">
        <f t="shared" si="14"/>
        <v>328139</v>
      </c>
      <c r="AR41" s="2174">
        <f t="shared" si="15"/>
        <v>5.9290992201116582E-3</v>
      </c>
      <c r="AS41" s="2181"/>
      <c r="AU41" s="2182"/>
    </row>
    <row r="42" spans="1:47" ht="15" customHeight="1">
      <c r="A42" s="2184" t="s">
        <v>2833</v>
      </c>
      <c r="B42" s="2217"/>
      <c r="C42" s="2218"/>
      <c r="D42" s="2219"/>
      <c r="E42" s="2220"/>
      <c r="F42" s="2220"/>
      <c r="G42" s="2218"/>
      <c r="H42" s="2217"/>
      <c r="I42" s="2218"/>
      <c r="J42" s="2221"/>
      <c r="K42" s="2218"/>
      <c r="L42" s="2218"/>
      <c r="M42" s="2217"/>
      <c r="N42" s="2218"/>
      <c r="O42" s="2222"/>
      <c r="P42" s="2218"/>
      <c r="Q42" s="2218"/>
      <c r="R42" s="2218"/>
      <c r="S42" s="2181"/>
      <c r="T42" s="2218"/>
      <c r="U42" s="2218"/>
      <c r="V42" s="2218"/>
      <c r="W42" s="2185"/>
      <c r="X42" s="2185"/>
      <c r="Y42" s="2185"/>
      <c r="Z42" s="2185"/>
      <c r="AA42" s="2185"/>
      <c r="AB42" s="2185"/>
      <c r="AC42" s="2185"/>
      <c r="AD42" s="2185"/>
      <c r="AE42" s="2194">
        <f>AF42*11.1141</f>
        <v>82788.930900000007</v>
      </c>
      <c r="AF42" s="2176">
        <v>7449</v>
      </c>
      <c r="AG42" s="2185">
        <f>AF42/(W$55+AF$55)</f>
        <v>1.6557792898887435E-3</v>
      </c>
      <c r="AH42" s="2189"/>
      <c r="AI42" s="2173">
        <f t="shared" si="8"/>
        <v>27007</v>
      </c>
      <c r="AJ42" s="2174">
        <f>AI42/$AI$55</f>
        <v>5.048460098050373E-4</v>
      </c>
      <c r="AK42" s="2194">
        <f>AL42*13.3013</f>
        <v>260146.8254</v>
      </c>
      <c r="AL42" s="2176">
        <v>19558</v>
      </c>
      <c r="AM42" s="2180">
        <f t="shared" si="10"/>
        <v>27007</v>
      </c>
      <c r="AN42" s="2174">
        <f t="shared" si="24"/>
        <v>4.9442335237999207E-4</v>
      </c>
      <c r="AO42" s="2180">
        <f t="shared" ref="AO42:AO50" si="25">AM42</f>
        <v>27007</v>
      </c>
      <c r="AP42" s="2174">
        <f t="shared" si="13"/>
        <v>4.8820636448861348E-4</v>
      </c>
      <c r="AQ42" s="2180">
        <f t="shared" si="14"/>
        <v>27007</v>
      </c>
      <c r="AR42" s="2174">
        <f t="shared" si="15"/>
        <v>4.8798583111899396E-4</v>
      </c>
      <c r="AS42" s="2181"/>
      <c r="AU42" s="2182"/>
    </row>
    <row r="43" spans="1:47" ht="15" customHeight="1">
      <c r="A43" s="2184" t="s">
        <v>2834</v>
      </c>
      <c r="B43" s="2217"/>
      <c r="C43" s="2218"/>
      <c r="D43" s="2219"/>
      <c r="E43" s="2220"/>
      <c r="F43" s="2220"/>
      <c r="G43" s="2218"/>
      <c r="H43" s="2217"/>
      <c r="I43" s="2218"/>
      <c r="J43" s="2221"/>
      <c r="K43" s="2218"/>
      <c r="L43" s="2218"/>
      <c r="M43" s="2217"/>
      <c r="N43" s="2218"/>
      <c r="O43" s="2222"/>
      <c r="P43" s="2218"/>
      <c r="Q43" s="2218"/>
      <c r="R43" s="2218"/>
      <c r="S43" s="2181"/>
      <c r="T43" s="2218"/>
      <c r="U43" s="2218"/>
      <c r="V43" s="2218"/>
      <c r="W43" s="2185"/>
      <c r="X43" s="2185"/>
      <c r="Y43" s="2185"/>
      <c r="Z43" s="2185"/>
      <c r="AA43" s="2185"/>
      <c r="AB43" s="2185"/>
      <c r="AC43" s="2185"/>
      <c r="AD43" s="2185"/>
      <c r="AE43" s="2194">
        <f>AF43*11.1141</f>
        <v>1508327.8533000001</v>
      </c>
      <c r="AF43" s="2176">
        <v>135713</v>
      </c>
      <c r="AG43" s="2185">
        <f>AF43/(W$55+AF$55)</f>
        <v>3.016656930711116E-2</v>
      </c>
      <c r="AH43" s="2189"/>
      <c r="AI43" s="2173">
        <f t="shared" si="8"/>
        <v>492058</v>
      </c>
      <c r="AJ43" s="2174">
        <f>AI43/$AI$55</f>
        <v>9.1981159659587156E-3</v>
      </c>
      <c r="AK43" s="2194">
        <f>AL43*13.3013</f>
        <v>4739851.7484999998</v>
      </c>
      <c r="AL43" s="2176">
        <v>356345</v>
      </c>
      <c r="AM43" s="2180">
        <f t="shared" si="10"/>
        <v>492058</v>
      </c>
      <c r="AN43" s="2174">
        <f t="shared" si="24"/>
        <v>9.0082188293921627E-3</v>
      </c>
      <c r="AO43" s="2180">
        <f t="shared" si="25"/>
        <v>492058</v>
      </c>
      <c r="AP43" s="2174">
        <f t="shared" si="13"/>
        <v>8.8949475061109399E-3</v>
      </c>
      <c r="AQ43" s="2180">
        <f t="shared" si="14"/>
        <v>492058</v>
      </c>
      <c r="AR43" s="2174">
        <f t="shared" si="15"/>
        <v>8.8909294660180667E-3</v>
      </c>
      <c r="AS43" s="2181"/>
      <c r="AU43" s="2182"/>
    </row>
    <row r="44" spans="1:47" ht="15" customHeight="1">
      <c r="A44" s="2184" t="s">
        <v>2835</v>
      </c>
      <c r="B44" s="2217"/>
      <c r="C44" s="2218"/>
      <c r="D44" s="2219"/>
      <c r="E44" s="2220"/>
      <c r="F44" s="2220"/>
      <c r="G44" s="2218"/>
      <c r="H44" s="2217"/>
      <c r="I44" s="2218"/>
      <c r="J44" s="2221"/>
      <c r="K44" s="2218"/>
      <c r="L44" s="2218"/>
      <c r="M44" s="2217"/>
      <c r="N44" s="2218"/>
      <c r="O44" s="2222"/>
      <c r="P44" s="2218"/>
      <c r="Q44" s="2218"/>
      <c r="R44" s="2218"/>
      <c r="S44" s="2181"/>
      <c r="T44" s="2218"/>
      <c r="U44" s="2218"/>
      <c r="V44" s="2218"/>
      <c r="W44" s="2185"/>
      <c r="X44" s="2185"/>
      <c r="Y44" s="2185"/>
      <c r="Z44" s="2185"/>
      <c r="AA44" s="2185"/>
      <c r="AB44" s="2185"/>
      <c r="AC44" s="2185"/>
      <c r="AD44" s="2185"/>
      <c r="AE44" s="2194"/>
      <c r="AF44" s="2176"/>
      <c r="AG44" s="2185"/>
      <c r="AH44" s="2189"/>
      <c r="AI44" s="2173">
        <v>0</v>
      </c>
      <c r="AJ44" s="2174"/>
      <c r="AK44" s="2194">
        <f>AL44*13.3013</f>
        <v>3000001.8045999999</v>
      </c>
      <c r="AL44" s="2176">
        <f>ROUND(3000000/13.3013,0)</f>
        <v>225542</v>
      </c>
      <c r="AM44" s="2180">
        <f t="shared" si="10"/>
        <v>225542</v>
      </c>
      <c r="AN44" s="2174">
        <f t="shared" si="24"/>
        <v>4.1290491999292096E-3</v>
      </c>
      <c r="AO44" s="2180">
        <f t="shared" si="25"/>
        <v>225542</v>
      </c>
      <c r="AP44" s="2174">
        <f t="shared" si="13"/>
        <v>4.0771296278554027E-3</v>
      </c>
      <c r="AQ44" s="2180">
        <f t="shared" si="14"/>
        <v>225542</v>
      </c>
      <c r="AR44" s="2174">
        <f t="shared" si="15"/>
        <v>4.0752879002569752E-3</v>
      </c>
      <c r="AS44" s="2181"/>
      <c r="AU44" s="2182"/>
    </row>
    <row r="45" spans="1:47" ht="15" customHeight="1">
      <c r="A45" s="2184" t="s">
        <v>2836</v>
      </c>
      <c r="B45" s="2217"/>
      <c r="C45" s="2218"/>
      <c r="D45" s="2219"/>
      <c r="E45" s="2220"/>
      <c r="F45" s="2220"/>
      <c r="G45" s="2218"/>
      <c r="H45" s="2217"/>
      <c r="I45" s="2218"/>
      <c r="J45" s="2221"/>
      <c r="K45" s="2218"/>
      <c r="L45" s="2218"/>
      <c r="M45" s="2217"/>
      <c r="N45" s="2218"/>
      <c r="O45" s="2222"/>
      <c r="P45" s="2218"/>
      <c r="Q45" s="2218"/>
      <c r="R45" s="2218"/>
      <c r="S45" s="2181"/>
      <c r="T45" s="2218"/>
      <c r="U45" s="2218"/>
      <c r="V45" s="2218"/>
      <c r="W45" s="2185"/>
      <c r="X45" s="2185"/>
      <c r="Y45" s="2185"/>
      <c r="Z45" s="2185"/>
      <c r="AA45" s="2185"/>
      <c r="AB45" s="2185"/>
      <c r="AC45" s="2185"/>
      <c r="AD45" s="2185"/>
      <c r="AE45" s="2175"/>
      <c r="AF45" s="2176"/>
      <c r="AG45" s="2185"/>
      <c r="AH45" s="2189"/>
      <c r="AI45" s="2173">
        <v>0</v>
      </c>
      <c r="AJ45" s="2174"/>
      <c r="AK45" s="2175">
        <v>6999995.3499999996</v>
      </c>
      <c r="AL45" s="2176">
        <f>ROUND(7000000/13.3013,0)</f>
        <v>526264</v>
      </c>
      <c r="AM45" s="2180">
        <f t="shared" si="10"/>
        <v>526264</v>
      </c>
      <c r="AN45" s="2174">
        <f t="shared" si="24"/>
        <v>9.6344359283483585E-3</v>
      </c>
      <c r="AO45" s="2180">
        <f t="shared" si="25"/>
        <v>526264</v>
      </c>
      <c r="AP45" s="2174">
        <f t="shared" si="13"/>
        <v>9.5132904136422287E-3</v>
      </c>
      <c r="AQ45" s="2180">
        <f t="shared" si="14"/>
        <v>526264</v>
      </c>
      <c r="AR45" s="2174">
        <f t="shared" si="15"/>
        <v>9.5089930546897565E-3</v>
      </c>
      <c r="AS45" s="2181"/>
      <c r="AU45" s="2182"/>
    </row>
    <row r="46" spans="1:47" ht="15" customHeight="1">
      <c r="A46" s="2184" t="s">
        <v>2837</v>
      </c>
      <c r="B46" s="2217"/>
      <c r="C46" s="2218"/>
      <c r="E46" s="2220"/>
      <c r="F46" s="2220"/>
      <c r="G46" s="2218"/>
      <c r="H46" s="2217"/>
      <c r="I46" s="2218"/>
      <c r="J46" s="2221"/>
      <c r="K46" s="2218"/>
      <c r="L46" s="2218"/>
      <c r="M46" s="2217"/>
      <c r="N46" s="2218"/>
      <c r="O46" s="2222"/>
      <c r="P46" s="2218"/>
      <c r="Q46" s="2218"/>
      <c r="R46" s="2218"/>
      <c r="S46" s="2181"/>
      <c r="T46" s="2218"/>
      <c r="U46" s="2218"/>
      <c r="V46" s="2218"/>
      <c r="W46" s="2185"/>
      <c r="X46" s="2185"/>
      <c r="Y46" s="2185"/>
      <c r="Z46" s="2185"/>
      <c r="AA46" s="2185"/>
      <c r="AB46" s="2185"/>
      <c r="AC46" s="2185"/>
      <c r="AD46" s="2185"/>
      <c r="AE46" s="2175"/>
      <c r="AF46" s="2176"/>
      <c r="AG46" s="2185"/>
      <c r="AH46" s="2189"/>
      <c r="AI46" s="2173">
        <v>0</v>
      </c>
      <c r="AJ46" s="2174"/>
      <c r="AK46" s="2175">
        <v>1000005.03</v>
      </c>
      <c r="AL46" s="2176">
        <f>ROUND(1000000/13.3013,0)</f>
        <v>75181</v>
      </c>
      <c r="AM46" s="2180">
        <f t="shared" si="10"/>
        <v>75181</v>
      </c>
      <c r="AN46" s="2174">
        <f t="shared" si="24"/>
        <v>1.3763558357196349E-3</v>
      </c>
      <c r="AO46" s="2180">
        <f t="shared" si="25"/>
        <v>75181</v>
      </c>
      <c r="AP46" s="2174">
        <f t="shared" si="13"/>
        <v>1.3590492349619895E-3</v>
      </c>
      <c r="AQ46" s="2180">
        <f t="shared" si="14"/>
        <v>75181</v>
      </c>
      <c r="AR46" s="2174">
        <f t="shared" si="15"/>
        <v>1.3584353230405852E-3</v>
      </c>
      <c r="AS46" s="2181"/>
      <c r="AU46" s="2182"/>
    </row>
    <row r="47" spans="1:47" ht="15" customHeight="1">
      <c r="A47" s="2184" t="s">
        <v>2838</v>
      </c>
      <c r="B47" s="2217"/>
      <c r="C47" s="2218"/>
      <c r="D47" s="2219"/>
      <c r="E47" s="2220"/>
      <c r="F47" s="2220"/>
      <c r="G47" s="2218"/>
      <c r="H47" s="2217"/>
      <c r="I47" s="2218"/>
      <c r="J47" s="2221"/>
      <c r="K47" s="2218"/>
      <c r="L47" s="2218"/>
      <c r="M47" s="2217"/>
      <c r="N47" s="2218"/>
      <c r="O47" s="2222"/>
      <c r="P47" s="2218"/>
      <c r="Q47" s="2218"/>
      <c r="R47" s="2218"/>
      <c r="S47" s="2181"/>
      <c r="T47" s="2218"/>
      <c r="U47" s="2218"/>
      <c r="V47" s="2218"/>
      <c r="W47" s="2185"/>
      <c r="X47" s="2185"/>
      <c r="Y47" s="2185"/>
      <c r="Z47" s="2185"/>
      <c r="AA47" s="2185"/>
      <c r="AB47" s="2185"/>
      <c r="AC47" s="2185"/>
      <c r="AD47" s="2185"/>
      <c r="AE47" s="2175"/>
      <c r="AF47" s="2176"/>
      <c r="AG47" s="2185"/>
      <c r="AH47" s="2189"/>
      <c r="AI47" s="2173">
        <v>0</v>
      </c>
      <c r="AJ47" s="2174"/>
      <c r="AK47" s="2175">
        <f>AL47*13.3013</f>
        <v>3999993.5385999996</v>
      </c>
      <c r="AL47" s="2176">
        <f>ROUND(4000000/13.3013,0)</f>
        <v>300722</v>
      </c>
      <c r="AM47" s="2180">
        <f t="shared" si="10"/>
        <v>300722</v>
      </c>
      <c r="AN47" s="2174">
        <f t="shared" si="24"/>
        <v>5.5053867284191489E-3</v>
      </c>
      <c r="AO47" s="2180">
        <f t="shared" si="25"/>
        <v>300722</v>
      </c>
      <c r="AP47" s="2174">
        <f t="shared" si="13"/>
        <v>5.436160785786826E-3</v>
      </c>
      <c r="AQ47" s="2180">
        <f t="shared" si="14"/>
        <v>300722</v>
      </c>
      <c r="AR47" s="2174">
        <f t="shared" si="15"/>
        <v>5.4337051544327804E-3</v>
      </c>
      <c r="AS47" s="2181"/>
      <c r="AU47" s="2182"/>
    </row>
    <row r="48" spans="1:47" ht="15" customHeight="1">
      <c r="A48" s="2184" t="s">
        <v>2839</v>
      </c>
      <c r="B48" s="2217"/>
      <c r="C48" s="2218"/>
      <c r="D48" s="2219"/>
      <c r="E48" s="2220"/>
      <c r="F48" s="2220"/>
      <c r="G48" s="2218"/>
      <c r="H48" s="2217"/>
      <c r="I48" s="2218"/>
      <c r="J48" s="2221"/>
      <c r="K48" s="2218"/>
      <c r="L48" s="2218"/>
      <c r="M48" s="2217"/>
      <c r="N48" s="2218"/>
      <c r="O48" s="2222"/>
      <c r="P48" s="2218"/>
      <c r="Q48" s="2218"/>
      <c r="R48" s="2218"/>
      <c r="S48" s="2181"/>
      <c r="T48" s="2218"/>
      <c r="U48" s="2218"/>
      <c r="V48" s="2218"/>
      <c r="W48" s="2185"/>
      <c r="X48" s="2185"/>
      <c r="Y48" s="2185"/>
      <c r="Z48" s="2185"/>
      <c r="AA48" s="2185"/>
      <c r="AB48" s="2185"/>
      <c r="AC48" s="2185"/>
      <c r="AD48" s="2185"/>
      <c r="AE48" s="2175"/>
      <c r="AF48" s="2176"/>
      <c r="AG48" s="2185"/>
      <c r="AH48" s="2189"/>
      <c r="AI48" s="2173">
        <f>Z48+AF48+AL48</f>
        <v>75181</v>
      </c>
      <c r="AJ48" s="2174">
        <f>AI48/$AI$55</f>
        <v>1.4053700101141374E-3</v>
      </c>
      <c r="AK48" s="2175">
        <f>AL48*13.3013</f>
        <v>1000005.0353</v>
      </c>
      <c r="AL48" s="2176">
        <f>ROUND(1000000/13.3013,0)</f>
        <v>75181</v>
      </c>
      <c r="AM48" s="2180">
        <f t="shared" si="10"/>
        <v>75181</v>
      </c>
      <c r="AN48" s="2174">
        <f t="shared" si="24"/>
        <v>1.3763558357196349E-3</v>
      </c>
      <c r="AO48" s="2180">
        <f t="shared" si="25"/>
        <v>75181</v>
      </c>
      <c r="AP48" s="2174">
        <f t="shared" si="13"/>
        <v>1.3590492349619895E-3</v>
      </c>
      <c r="AQ48" s="2180">
        <f t="shared" si="14"/>
        <v>75181</v>
      </c>
      <c r="AR48" s="2174">
        <f t="shared" si="15"/>
        <v>1.3584353230405852E-3</v>
      </c>
      <c r="AS48" s="2181"/>
      <c r="AU48" s="2182"/>
    </row>
    <row r="49" spans="1:47" ht="15" customHeight="1">
      <c r="A49" s="2184" t="s">
        <v>2840</v>
      </c>
      <c r="B49" s="2217"/>
      <c r="C49" s="2218"/>
      <c r="D49" s="2219"/>
      <c r="E49" s="2220"/>
      <c r="F49" s="2220"/>
      <c r="G49" s="2218"/>
      <c r="H49" s="2217"/>
      <c r="I49" s="2218"/>
      <c r="J49" s="2221"/>
      <c r="K49" s="2218"/>
      <c r="L49" s="2218"/>
      <c r="M49" s="2217"/>
      <c r="N49" s="2218"/>
      <c r="O49" s="2222"/>
      <c r="P49" s="2218"/>
      <c r="Q49" s="2218"/>
      <c r="R49" s="2218"/>
      <c r="S49" s="2181"/>
      <c r="T49" s="2218"/>
      <c r="U49" s="2218"/>
      <c r="V49" s="2218"/>
      <c r="W49" s="2185"/>
      <c r="X49" s="2185"/>
      <c r="Y49" s="2185"/>
      <c r="Z49" s="2185"/>
      <c r="AA49" s="2185"/>
      <c r="AB49" s="2185"/>
      <c r="AC49" s="2185"/>
      <c r="AD49" s="2185"/>
      <c r="AE49" s="2175"/>
      <c r="AF49" s="2176"/>
      <c r="AG49" s="2185"/>
      <c r="AH49" s="2189"/>
      <c r="AI49" s="2173">
        <f>Z49+AF49+AL49</f>
        <v>7518</v>
      </c>
      <c r="AJ49" s="2174">
        <f>AI49/$AI$55</f>
        <v>1.4053513169601475E-4</v>
      </c>
      <c r="AK49" s="2175">
        <f>AL49*13.3013</f>
        <v>99999.1734</v>
      </c>
      <c r="AL49" s="2176">
        <f>ROUND(100000/13.3013,0)</f>
        <v>7518</v>
      </c>
      <c r="AM49" s="2180">
        <f t="shared" si="10"/>
        <v>7518</v>
      </c>
      <c r="AN49" s="2174">
        <f t="shared" si="24"/>
        <v>1.3763375284899396E-4</v>
      </c>
      <c r="AO49" s="2180">
        <f t="shared" si="25"/>
        <v>7518</v>
      </c>
      <c r="AP49" s="2174">
        <f t="shared" si="13"/>
        <v>1.3590311579314237E-4</v>
      </c>
      <c r="AQ49" s="2180">
        <f t="shared" si="14"/>
        <v>7518</v>
      </c>
      <c r="AR49" s="2174">
        <f t="shared" si="15"/>
        <v>1.3584172541758049E-4</v>
      </c>
      <c r="AS49" s="2181"/>
      <c r="AU49" s="2182"/>
    </row>
    <row r="50" spans="1:47" ht="15" customHeight="1">
      <c r="A50" s="2184" t="s">
        <v>2841</v>
      </c>
      <c r="B50" s="2217"/>
      <c r="C50" s="2218"/>
      <c r="D50" s="2219"/>
      <c r="E50" s="2220"/>
      <c r="F50" s="2220"/>
      <c r="G50" s="2218"/>
      <c r="H50" s="2217"/>
      <c r="I50" s="2218"/>
      <c r="J50" s="2221"/>
      <c r="K50" s="2218"/>
      <c r="L50" s="2218"/>
      <c r="M50" s="2217"/>
      <c r="N50" s="2218"/>
      <c r="O50" s="2222"/>
      <c r="P50" s="2218"/>
      <c r="Q50" s="2218"/>
      <c r="R50" s="2218"/>
      <c r="S50" s="2181"/>
      <c r="T50" s="2218"/>
      <c r="U50" s="2218"/>
      <c r="V50" s="2218"/>
      <c r="W50" s="2185"/>
      <c r="X50" s="2185"/>
      <c r="Y50" s="2185"/>
      <c r="Z50" s="2185"/>
      <c r="AA50" s="2185"/>
      <c r="AB50" s="2185"/>
      <c r="AC50" s="2185"/>
      <c r="AD50" s="2185"/>
      <c r="AE50" s="2175"/>
      <c r="AF50" s="2176"/>
      <c r="AG50" s="2185"/>
      <c r="AH50" s="2189"/>
      <c r="AI50" s="2173">
        <f>Z50+AF50+AL50</f>
        <v>7518</v>
      </c>
      <c r="AJ50" s="2174">
        <f>AI50/$AI$55</f>
        <v>1.4053513169601475E-4</v>
      </c>
      <c r="AK50" s="2175">
        <f>AL50*13.3013</f>
        <v>99999.1734</v>
      </c>
      <c r="AL50" s="2176">
        <f>ROUND(100000/13.3013,0)</f>
        <v>7518</v>
      </c>
      <c r="AM50" s="2180">
        <f t="shared" si="10"/>
        <v>7518</v>
      </c>
      <c r="AN50" s="2174">
        <f t="shared" si="24"/>
        <v>1.3763375284899396E-4</v>
      </c>
      <c r="AO50" s="2180">
        <f t="shared" si="25"/>
        <v>7518</v>
      </c>
      <c r="AP50" s="2174">
        <f t="shared" si="13"/>
        <v>1.3590311579314237E-4</v>
      </c>
      <c r="AQ50" s="2180">
        <f t="shared" si="14"/>
        <v>7518</v>
      </c>
      <c r="AR50" s="2174">
        <f t="shared" si="15"/>
        <v>1.3584172541758049E-4</v>
      </c>
      <c r="AS50" s="2181"/>
      <c r="AU50" s="2182"/>
    </row>
    <row r="51" spans="1:47" ht="15" customHeight="1">
      <c r="A51" s="2184" t="s">
        <v>3079</v>
      </c>
      <c r="B51" s="2229">
        <v>25000</v>
      </c>
      <c r="C51" s="2185">
        <f>B51/B55</f>
        <v>3.3551849820846543E-3</v>
      </c>
      <c r="D51" s="2219"/>
      <c r="E51" s="2220"/>
      <c r="F51" s="2220"/>
      <c r="G51" s="2218"/>
      <c r="H51" s="2217"/>
      <c r="I51" s="2218"/>
      <c r="J51" s="2221"/>
      <c r="K51" s="2218"/>
      <c r="L51" s="2218"/>
      <c r="M51" s="2217"/>
      <c r="N51" s="2218"/>
      <c r="O51" s="2222"/>
      <c r="P51" s="2218"/>
      <c r="Q51" s="2218"/>
      <c r="R51" s="2218"/>
      <c r="S51" s="2181"/>
      <c r="T51" s="2218"/>
      <c r="U51" s="2218"/>
      <c r="V51" s="2218"/>
      <c r="W51" s="2185"/>
      <c r="X51" s="2185"/>
      <c r="Y51" s="2185"/>
      <c r="Z51" s="2185"/>
      <c r="AA51" s="2185"/>
      <c r="AB51" s="2185"/>
      <c r="AC51" s="2185"/>
      <c r="AD51" s="2185"/>
      <c r="AE51" s="2175"/>
      <c r="AF51" s="2176"/>
      <c r="AG51" s="2185"/>
      <c r="AH51" s="2189"/>
      <c r="AI51" s="2189"/>
      <c r="AJ51" s="2177"/>
      <c r="AK51" s="2175"/>
      <c r="AL51" s="2230"/>
      <c r="AM51" s="2180">
        <v>0</v>
      </c>
      <c r="AN51" s="2174"/>
      <c r="AO51" s="2180">
        <v>0</v>
      </c>
      <c r="AP51" s="2174"/>
      <c r="AQ51" s="2180">
        <v>25000</v>
      </c>
      <c r="AR51" s="2174">
        <f t="shared" si="15"/>
        <v>4.5172161950512269E-4</v>
      </c>
      <c r="AS51" s="2181"/>
      <c r="AU51" s="2182"/>
    </row>
    <row r="52" spans="1:47" ht="15" customHeight="1">
      <c r="A52" s="2184"/>
      <c r="B52" s="2221"/>
      <c r="C52" s="2218"/>
      <c r="D52" s="2219"/>
      <c r="E52" s="2228"/>
      <c r="F52" s="2228"/>
      <c r="G52" s="2218"/>
      <c r="H52" s="2221"/>
      <c r="I52" s="2218"/>
      <c r="J52" s="2221"/>
      <c r="K52" s="2218"/>
      <c r="L52" s="2218"/>
      <c r="M52" s="2221"/>
      <c r="N52" s="2218"/>
      <c r="O52" s="2222"/>
      <c r="P52" s="2218"/>
      <c r="Q52" s="2218"/>
      <c r="R52" s="2218"/>
      <c r="S52" s="2231"/>
      <c r="T52" s="2218"/>
      <c r="U52" s="2218"/>
      <c r="V52" s="2218"/>
      <c r="W52" s="2185"/>
      <c r="X52" s="2185"/>
      <c r="Y52" s="2185"/>
      <c r="Z52" s="2185"/>
      <c r="AA52" s="2185"/>
      <c r="AB52" s="2185"/>
      <c r="AC52" s="2185"/>
      <c r="AD52" s="2185"/>
      <c r="AE52" s="2175"/>
      <c r="AF52" s="2186"/>
      <c r="AG52" s="2185"/>
      <c r="AH52" s="2189"/>
      <c r="AI52" s="2189"/>
      <c r="AJ52" s="2177"/>
      <c r="AK52" s="2175"/>
      <c r="AL52" s="2230"/>
      <c r="AM52" s="2232"/>
      <c r="AN52" s="2174"/>
      <c r="AO52" s="2232"/>
      <c r="AP52" s="2174"/>
      <c r="AQ52" s="2180"/>
      <c r="AR52" s="2174"/>
      <c r="AU52" s="2182"/>
    </row>
    <row r="53" spans="1:47" ht="15" customHeight="1">
      <c r="A53" s="2233" t="s">
        <v>1331</v>
      </c>
      <c r="B53" s="2234"/>
      <c r="C53" s="2235"/>
      <c r="D53" s="2236"/>
      <c r="E53" s="2237"/>
      <c r="F53" s="2237"/>
      <c r="G53" s="2235"/>
      <c r="H53" s="2238"/>
      <c r="I53" s="2235"/>
      <c r="J53" s="2238"/>
      <c r="K53" s="2235"/>
      <c r="L53" s="2235"/>
      <c r="M53" s="2238"/>
      <c r="N53" s="2235"/>
      <c r="O53" s="2239"/>
      <c r="P53" s="2235"/>
      <c r="Q53" s="2235"/>
      <c r="R53" s="2235"/>
      <c r="S53" s="2240"/>
      <c r="T53" s="2235"/>
      <c r="U53" s="2235"/>
      <c r="V53" s="2235"/>
      <c r="W53" s="2241"/>
      <c r="X53" s="2241"/>
      <c r="Y53" s="2241"/>
      <c r="Z53" s="2241"/>
      <c r="AA53" s="2241"/>
      <c r="AB53" s="2241"/>
      <c r="AC53" s="2241"/>
      <c r="AD53" s="2241"/>
      <c r="AE53" s="2241"/>
      <c r="AF53" s="2234"/>
      <c r="AG53" s="2241"/>
      <c r="AH53" s="2242"/>
      <c r="AI53" s="2242"/>
      <c r="AJ53" s="2241"/>
      <c r="AK53" s="2243"/>
      <c r="AL53" s="2244"/>
      <c r="AM53" s="2232"/>
      <c r="AN53" s="2174"/>
      <c r="AO53" s="2232"/>
      <c r="AP53" s="2174"/>
      <c r="AQ53" s="2180"/>
      <c r="AR53" s="2174"/>
      <c r="AU53" s="2182"/>
    </row>
    <row r="54" spans="1:47">
      <c r="A54" s="2233" t="s">
        <v>1332</v>
      </c>
      <c r="B54" s="2234"/>
      <c r="C54" s="2234"/>
      <c r="D54" s="2245"/>
      <c r="E54" s="2246"/>
      <c r="F54" s="2246"/>
      <c r="G54" s="2241"/>
      <c r="H54" s="2245"/>
      <c r="I54" s="2241"/>
      <c r="J54" s="2245"/>
      <c r="K54" s="2241"/>
      <c r="L54" s="2241"/>
      <c r="M54" s="2241"/>
      <c r="N54" s="2241"/>
      <c r="O54" s="2247"/>
      <c r="P54" s="2241"/>
      <c r="Q54" s="2241"/>
      <c r="R54" s="2241"/>
      <c r="S54" s="2248"/>
      <c r="T54" s="2241"/>
      <c r="U54" s="2241"/>
      <c r="V54" s="2241"/>
      <c r="W54" s="2234"/>
      <c r="X54" s="2234"/>
      <c r="Y54" s="2234"/>
      <c r="Z54" s="2234"/>
      <c r="AA54" s="2234"/>
      <c r="AB54" s="2241"/>
      <c r="AC54" s="2241"/>
      <c r="AD54" s="2241"/>
      <c r="AE54" s="2241"/>
      <c r="AF54" s="2245"/>
      <c r="AG54" s="2245"/>
      <c r="AH54" s="2242"/>
      <c r="AI54" s="2242"/>
      <c r="AJ54" s="2241"/>
      <c r="AK54" s="2243"/>
      <c r="AL54" s="2244"/>
      <c r="AM54" s="2232"/>
      <c r="AN54" s="2174"/>
      <c r="AO54" s="2232"/>
      <c r="AP54" s="2174"/>
      <c r="AQ54" s="2180"/>
      <c r="AR54" s="2174"/>
      <c r="AU54" s="2182"/>
    </row>
    <row r="55" spans="1:47" ht="20.25" customHeight="1">
      <c r="A55" s="2167" t="s">
        <v>1333</v>
      </c>
      <c r="B55" s="2249">
        <f>SUM(B4:B54)</f>
        <v>7451154</v>
      </c>
      <c r="C55" s="2169">
        <f>SUM(C4:C54)</f>
        <v>0.99999999999999989</v>
      </c>
      <c r="D55" s="2170">
        <f>SUM(D4:D14)+D38+D39+D41</f>
        <v>26416408</v>
      </c>
      <c r="E55" s="2249">
        <f>SUM(E4:E14)</f>
        <v>5499999</v>
      </c>
      <c r="F55" s="2250">
        <f>SUM(F4:F14)+F38+F39+F41</f>
        <v>20916409</v>
      </c>
      <c r="G55" s="2169"/>
      <c r="H55" s="2249">
        <f>SUM(H4:H28)</f>
        <v>7142857</v>
      </c>
      <c r="I55" s="2169">
        <f>SUM(I4:I28)</f>
        <v>1</v>
      </c>
      <c r="J55" s="2170">
        <f>SUM(J28:J35)-1</f>
        <v>1142759.1476496395</v>
      </c>
      <c r="K55" s="2169">
        <f>SUM(K28:K35)</f>
        <v>1.000000875075034</v>
      </c>
      <c r="L55" s="2169"/>
      <c r="M55" s="2251">
        <f>SUMPRODUCT(ROUND(M28:M35,0))</f>
        <v>4769780</v>
      </c>
      <c r="N55" s="2169">
        <f>SUM(N28:N35)</f>
        <v>1.0000001793595037</v>
      </c>
      <c r="O55" s="2252"/>
      <c r="P55" s="2169">
        <f>SUM(P4:P35)</f>
        <v>0.95139711556876461</v>
      </c>
      <c r="Q55" s="2253">
        <f>SUM(Q4:Q35)</f>
        <v>41780384.439793907</v>
      </c>
      <c r="R55" s="2254">
        <f>SUM(R4:R35)</f>
        <v>1</v>
      </c>
      <c r="S55" s="2253">
        <f>SUM(S4:S51)</f>
        <v>42078495.367546596</v>
      </c>
      <c r="T55" s="2254">
        <f>SUM(T2:T52)</f>
        <v>0.99999999999999978</v>
      </c>
      <c r="U55" s="2175">
        <f>SUM(U4:U54)</f>
        <v>19408888</v>
      </c>
      <c r="V55" s="2255">
        <f>SUM(V4:V54)</f>
        <v>19408864.024800006</v>
      </c>
      <c r="W55" s="2170">
        <f>SUM(W4:W54)</f>
        <v>2646086</v>
      </c>
      <c r="X55" s="2256">
        <f>SUM(X4:X35)</f>
        <v>43824824.367546596</v>
      </c>
      <c r="Y55" s="2254">
        <f>SUM(Y4:Y35)</f>
        <v>0.99999999999999989</v>
      </c>
      <c r="Z55" s="2256">
        <f>SUM(Z4:Z35)</f>
        <v>47705694.367546596</v>
      </c>
      <c r="AA55" s="2254">
        <f>SUM(AA4:AA35)</f>
        <v>0.99999999999999989</v>
      </c>
      <c r="AB55" s="2169">
        <f>SUM(AB4:AB54)</f>
        <v>0.65996645611669469</v>
      </c>
      <c r="AC55" s="2169"/>
      <c r="AD55" s="2169">
        <f>ROUND(SUM(AD4:AD35),0)</f>
        <v>1</v>
      </c>
      <c r="AE55" s="2257">
        <f>SUM(AE36:AE43)</f>
        <v>20591115.2982</v>
      </c>
      <c r="AF55" s="2168">
        <f>SUM(AF36:AF43)</f>
        <v>1852702</v>
      </c>
      <c r="AG55" s="2169">
        <f>SUM(AG4:AG43)</f>
        <v>0.79999991108716384</v>
      </c>
      <c r="AI55" s="2256">
        <f>SUM(AI4:AI50)</f>
        <v>53495520.367546596</v>
      </c>
      <c r="AJ55" s="2254">
        <f>SUM(AJ4:AJ50)</f>
        <v>0.99999999999999978</v>
      </c>
      <c r="AK55" s="2258">
        <f>AL55*13.3013</f>
        <v>67368863.182899997</v>
      </c>
      <c r="AL55" s="2259">
        <f>SUM(AL4:AL54)</f>
        <v>5064833</v>
      </c>
      <c r="AM55" s="2260">
        <f>SUMPRODUCT(ROUND(AM4:AM54,0))</f>
        <v>54623229</v>
      </c>
      <c r="AN55" s="2254">
        <f>SUM(AN4:AN51)</f>
        <v>1.0000000067287598</v>
      </c>
      <c r="AO55" s="2260">
        <f>SUMPRODUCT(ROUND(AO4:AO54,0))</f>
        <v>55318820</v>
      </c>
      <c r="AP55" s="2254">
        <f>AO55/$AO$55</f>
        <v>1</v>
      </c>
      <c r="AQ55" s="2261">
        <f>SUMPRODUCT(ROUND(AQ4:AQ54,0))</f>
        <v>55343820</v>
      </c>
      <c r="AR55" s="2254">
        <f>AQ55/$AQ$55</f>
        <v>1</v>
      </c>
      <c r="AS55" s="2155"/>
      <c r="AU55" s="2182"/>
    </row>
    <row r="56" spans="1:47">
      <c r="A56" s="2167" t="s">
        <v>1334</v>
      </c>
      <c r="B56" s="2170">
        <f>B55-B54-B53</f>
        <v>7451154</v>
      </c>
      <c r="C56" s="2170"/>
      <c r="H56" s="2263"/>
      <c r="I56" s="2264"/>
      <c r="J56" s="2264"/>
      <c r="K56" s="2264"/>
      <c r="L56" s="2264"/>
      <c r="M56" s="2264"/>
      <c r="N56" s="2264"/>
      <c r="O56" s="2252"/>
      <c r="P56" s="2264"/>
      <c r="Q56" s="2264"/>
      <c r="R56" s="2264"/>
      <c r="S56" s="2264"/>
      <c r="W56" s="2170"/>
      <c r="X56" s="2170"/>
      <c r="Y56" s="2170"/>
      <c r="Z56" s="2170"/>
      <c r="AA56" s="2170"/>
      <c r="AE56" s="2265" t="s">
        <v>3080</v>
      </c>
      <c r="AF56" s="2249">
        <f>W55+AF55</f>
        <v>4498788</v>
      </c>
      <c r="AH56" s="2266">
        <f>SUM(AH33:AH35)</f>
        <v>0</v>
      </c>
      <c r="AI56" s="2266"/>
      <c r="AK56" s="2267"/>
      <c r="AS56" s="2155"/>
      <c r="AU56" s="2182"/>
    </row>
    <row r="57" spans="1:47">
      <c r="A57" s="2167" t="s">
        <v>1335</v>
      </c>
      <c r="B57" s="2170"/>
      <c r="C57" s="2170"/>
      <c r="H57" s="2263"/>
      <c r="I57" s="2264"/>
      <c r="J57" s="2264"/>
      <c r="K57" s="2264"/>
      <c r="L57" s="2264"/>
      <c r="M57" s="2268">
        <f>D55+H55+M55</f>
        <v>38329045</v>
      </c>
      <c r="N57" s="2264"/>
      <c r="O57" s="2252"/>
      <c r="P57" s="2264"/>
      <c r="Q57" s="2264"/>
      <c r="R57" s="2264"/>
      <c r="S57" s="2264"/>
      <c r="V57" s="2269"/>
      <c r="W57" s="2268">
        <f>M57+W55</f>
        <v>40975131</v>
      </c>
      <c r="X57" s="2268"/>
      <c r="Y57" s="2268"/>
      <c r="Z57" s="2268"/>
      <c r="AA57" s="2268"/>
      <c r="AB57" s="2170"/>
      <c r="AF57" s="2268">
        <f>W57+AF55</f>
        <v>42827833</v>
      </c>
      <c r="AH57" s="2266">
        <f>1-AH56</f>
        <v>1</v>
      </c>
      <c r="AI57" s="2266"/>
      <c r="AL57" s="2268">
        <f>AF57+AL55</f>
        <v>47892666</v>
      </c>
      <c r="AN57" s="2270" t="s">
        <v>3081</v>
      </c>
      <c r="AO57" s="2271" t="s">
        <v>3082</v>
      </c>
      <c r="AP57" s="2272">
        <f>AP4</f>
        <v>0.15074913022367434</v>
      </c>
      <c r="AS57" s="2273"/>
      <c r="AU57" s="2274"/>
    </row>
    <row r="58" spans="1:47">
      <c r="A58" s="2167"/>
      <c r="B58" s="2170"/>
      <c r="C58" s="2169"/>
      <c r="D58" s="2170"/>
      <c r="H58" s="2186"/>
      <c r="I58" s="2186"/>
      <c r="J58" s="2186"/>
      <c r="K58" s="2186"/>
      <c r="L58" s="2186"/>
      <c r="N58" s="2186"/>
      <c r="O58" s="2252"/>
      <c r="P58" s="2186"/>
      <c r="Q58" s="2186"/>
      <c r="R58" s="2186"/>
      <c r="S58" s="2186"/>
      <c r="W58" s="2169"/>
      <c r="X58" s="2169"/>
      <c r="Y58" s="2169"/>
      <c r="Z58" s="2169"/>
      <c r="AA58" s="2169"/>
      <c r="AK58" s="2267"/>
      <c r="AO58" s="2271" t="s">
        <v>3083</v>
      </c>
      <c r="AP58" s="2272">
        <f>AP8+AP9+AP10</f>
        <v>0.12470209957479209</v>
      </c>
      <c r="AS58" s="2155"/>
    </row>
    <row r="59" spans="1:47">
      <c r="A59" s="2167" t="s">
        <v>1336</v>
      </c>
      <c r="C59" s="2169"/>
      <c r="H59" s="2170"/>
      <c r="J59" s="2170">
        <f>B55+D55+H55+J55-B83</f>
        <v>39753178.147649638</v>
      </c>
      <c r="L59" s="2169"/>
      <c r="M59" s="2275">
        <f>H58+M55</f>
        <v>4769780</v>
      </c>
      <c r="O59" s="2252"/>
      <c r="W59" s="2276">
        <f>M59+W55+B83</f>
        <v>9815866</v>
      </c>
      <c r="X59" s="2276"/>
      <c r="Y59" s="2276"/>
      <c r="Z59" s="2276"/>
      <c r="AA59" s="2276"/>
      <c r="AF59" s="2276">
        <f>W59+AF55</f>
        <v>11668568</v>
      </c>
      <c r="AK59" s="2270" t="s">
        <v>3084</v>
      </c>
      <c r="AL59" s="2277">
        <f>AQ55</f>
        <v>55343820</v>
      </c>
      <c r="AM59" s="2170"/>
      <c r="AO59" s="2271" t="s">
        <v>3085</v>
      </c>
      <c r="AP59" s="2272">
        <f>AP5+AP7</f>
        <v>6.7425715154444732E-2</v>
      </c>
      <c r="AS59" s="2155"/>
    </row>
    <row r="60" spans="1:47">
      <c r="F60" s="2278"/>
      <c r="G60" s="2278"/>
      <c r="H60" s="2154"/>
      <c r="W60" s="2152" t="s">
        <v>1337</v>
      </c>
      <c r="AF60" s="2152" t="s">
        <v>1337</v>
      </c>
      <c r="AO60" s="2271" t="s">
        <v>3086</v>
      </c>
      <c r="AP60" s="2272">
        <f>AP6</f>
        <v>6.2351058825911326E-2</v>
      </c>
      <c r="AS60" s="2155"/>
    </row>
    <row r="61" spans="1:47">
      <c r="A61" s="2167" t="s">
        <v>2842</v>
      </c>
      <c r="C61" s="2169"/>
      <c r="F61" s="2278"/>
      <c r="G61" s="2278"/>
      <c r="H61" s="2186"/>
      <c r="W61" s="2279"/>
      <c r="X61" s="2279"/>
      <c r="Y61" s="2279"/>
      <c r="Z61" s="2279"/>
      <c r="AA61" s="2279"/>
      <c r="AO61" s="2271" t="s">
        <v>3087</v>
      </c>
      <c r="AP61" s="2272">
        <f>AP12</f>
        <v>8.9215731644312013E-2</v>
      </c>
      <c r="AS61" s="2155"/>
    </row>
    <row r="62" spans="1:47" ht="45.75" thickBot="1">
      <c r="A62" s="2280"/>
      <c r="B62" s="2280" t="s">
        <v>214</v>
      </c>
      <c r="C62" s="2281"/>
      <c r="F62" s="2263" t="s">
        <v>1339</v>
      </c>
      <c r="G62" s="2282">
        <v>10.06335</v>
      </c>
      <c r="K62" s="2283"/>
      <c r="L62" s="2283"/>
      <c r="M62" s="2170"/>
      <c r="N62" s="2284"/>
      <c r="O62" s="2284"/>
      <c r="P62" s="2283"/>
      <c r="Q62" s="2283"/>
      <c r="R62" s="2283"/>
      <c r="S62" s="2283"/>
      <c r="T62" s="2285"/>
      <c r="U62" s="2286"/>
      <c r="V62" s="2257"/>
      <c r="W62" s="2287"/>
      <c r="X62" s="2287"/>
      <c r="Y62" s="2287"/>
      <c r="Z62" s="2287"/>
      <c r="AA62" s="2287"/>
      <c r="AD62" s="2157" t="s">
        <v>2843</v>
      </c>
      <c r="AE62" s="2255">
        <f>V55+AE55+10000000</f>
        <v>49999979.323000006</v>
      </c>
      <c r="AJ62" s="2157" t="s">
        <v>1341</v>
      </c>
      <c r="AK62" s="2255">
        <f>AE62+AK55</f>
        <v>117368842.5059</v>
      </c>
      <c r="AO62" s="2271" t="s">
        <v>3088</v>
      </c>
      <c r="AP62" s="2272">
        <f>AP13</f>
        <v>3.376207229293756E-2</v>
      </c>
    </row>
    <row r="63" spans="1:47" ht="16.5" thickBot="1">
      <c r="A63" s="2288" t="s">
        <v>1289</v>
      </c>
      <c r="B63" s="2289">
        <v>0.90229999999999999</v>
      </c>
      <c r="C63" s="2289"/>
      <c r="D63" s="2170"/>
      <c r="F63" s="2262" t="s">
        <v>1342</v>
      </c>
      <c r="G63" s="2262">
        <v>10.06335</v>
      </c>
      <c r="H63" s="2170"/>
      <c r="K63" s="2283"/>
      <c r="L63" s="2283"/>
      <c r="M63" s="2283"/>
      <c r="N63" s="2398">
        <v>546537</v>
      </c>
      <c r="O63" s="2284"/>
      <c r="P63" s="2283"/>
      <c r="Q63" s="2283"/>
      <c r="R63" s="2283"/>
      <c r="S63" s="2283"/>
      <c r="T63" s="2285"/>
      <c r="U63" s="2286"/>
      <c r="V63" s="2286"/>
      <c r="W63" s="2287"/>
      <c r="X63" s="2287"/>
      <c r="Y63" s="2287"/>
      <c r="Z63" s="2287"/>
      <c r="AA63" s="2287"/>
      <c r="AE63" s="2152" t="s">
        <v>2844</v>
      </c>
      <c r="AO63" s="2271" t="s">
        <v>3089</v>
      </c>
      <c r="AP63" s="2272">
        <f>AP11</f>
        <v>3.8229936936471171E-2</v>
      </c>
    </row>
    <row r="64" spans="1:47" ht="16.5" thickBot="1">
      <c r="A64" s="2288" t="s">
        <v>1290</v>
      </c>
      <c r="B64" s="2289">
        <v>7.6499999999999999E-2</v>
      </c>
      <c r="C64" s="2289"/>
      <c r="D64" s="2170"/>
      <c r="J64" s="2290"/>
      <c r="K64" s="2283"/>
      <c r="L64" s="2283"/>
      <c r="M64" s="2283"/>
      <c r="N64" s="2399">
        <v>596223</v>
      </c>
      <c r="O64" s="2284"/>
      <c r="P64" s="2283"/>
      <c r="Q64" s="2283"/>
      <c r="R64" s="2283"/>
      <c r="S64" s="2283"/>
      <c r="T64" s="2285"/>
      <c r="U64" s="2286"/>
      <c r="V64" s="2286"/>
      <c r="W64" s="2283"/>
      <c r="X64" s="2283"/>
      <c r="Y64" s="2283"/>
      <c r="Z64" s="2283"/>
      <c r="AA64" s="2283"/>
      <c r="AE64" s="2152" t="s">
        <v>2845</v>
      </c>
      <c r="AO64" s="2271" t="s">
        <v>3090</v>
      </c>
      <c r="AP64" s="2272">
        <f>AP14+AP15+AP16+AP17</f>
        <v>3.2782911855314345E-2</v>
      </c>
    </row>
    <row r="65" spans="1:42" ht="16.5" thickBot="1">
      <c r="A65" s="2280" t="s">
        <v>1291</v>
      </c>
      <c r="B65" s="2291">
        <v>2.12E-2</v>
      </c>
      <c r="C65" s="2292"/>
      <c r="D65" s="2170"/>
      <c r="J65" s="2290"/>
      <c r="K65" s="2283"/>
      <c r="L65" s="2283"/>
      <c r="M65" s="2283"/>
      <c r="N65" s="2399">
        <v>596223</v>
      </c>
      <c r="O65" s="2284"/>
      <c r="P65" s="2283"/>
      <c r="Q65" s="2283"/>
      <c r="R65" s="2283"/>
      <c r="S65" s="2283"/>
      <c r="T65" s="2285"/>
      <c r="U65" s="2286"/>
      <c r="V65" s="2286"/>
      <c r="W65" s="2283"/>
      <c r="X65" s="2283"/>
      <c r="Y65" s="2283"/>
      <c r="Z65" s="2283"/>
      <c r="AA65" s="2283"/>
      <c r="AO65" s="2271" t="s">
        <v>3091</v>
      </c>
      <c r="AP65" s="2272">
        <f>AP19+AP20+AP21</f>
        <v>4.9567796276204015E-2</v>
      </c>
    </row>
    <row r="66" spans="1:42" ht="16.5" thickBot="1">
      <c r="A66" s="2293" t="s">
        <v>1343</v>
      </c>
      <c r="B66" s="2294">
        <v>1</v>
      </c>
      <c r="C66" s="2295"/>
      <c r="J66" s="2290"/>
      <c r="K66" s="2283"/>
      <c r="L66" s="2283"/>
      <c r="M66" s="2296"/>
      <c r="N66" s="2400">
        <v>1242131</v>
      </c>
      <c r="O66" s="2287"/>
      <c r="P66" s="2283"/>
      <c r="Q66" s="2283"/>
      <c r="R66" s="2283"/>
      <c r="S66" s="2283"/>
      <c r="T66" s="2297"/>
      <c r="U66" s="2283"/>
      <c r="V66" s="2283"/>
      <c r="W66" s="2283"/>
      <c r="X66" s="2283"/>
      <c r="Y66" s="2283"/>
      <c r="Z66" s="2283"/>
      <c r="AA66" s="2283"/>
      <c r="AO66" s="2271" t="s">
        <v>3092</v>
      </c>
      <c r="AP66" s="2272">
        <f>AP23</f>
        <v>1.8987841750782102E-2</v>
      </c>
    </row>
    <row r="67" spans="1:42" ht="15.75">
      <c r="J67" s="2290"/>
      <c r="K67" s="2283"/>
      <c r="L67" s="2283"/>
      <c r="M67" s="2296"/>
      <c r="N67" s="2283"/>
      <c r="O67" s="2283"/>
      <c r="P67" s="2283"/>
      <c r="Q67" s="2283"/>
      <c r="R67" s="2283"/>
      <c r="S67" s="2283"/>
      <c r="T67" s="2297"/>
      <c r="U67" s="2287"/>
      <c r="V67" s="2287"/>
      <c r="W67" s="2283"/>
      <c r="X67" s="2283"/>
      <c r="Y67" s="2283"/>
      <c r="Z67" s="2283"/>
      <c r="AA67" s="2283"/>
      <c r="AD67" s="2167" t="s">
        <v>3093</v>
      </c>
      <c r="AO67" s="2271" t="s">
        <v>3094</v>
      </c>
      <c r="AP67" s="2272">
        <f>AP24</f>
        <v>4.357976182427608E-2</v>
      </c>
    </row>
    <row r="68" spans="1:42">
      <c r="A68" s="2644" t="s">
        <v>2846</v>
      </c>
      <c r="B68" s="2644"/>
      <c r="C68" s="2644"/>
      <c r="D68" s="2644"/>
      <c r="E68" s="2644"/>
      <c r="F68" s="2644"/>
      <c r="G68" s="2644"/>
      <c r="H68" s="2644"/>
      <c r="I68" s="2644"/>
      <c r="J68" s="2644"/>
      <c r="K68" s="2644"/>
      <c r="L68" s="2644"/>
      <c r="M68" s="2644"/>
      <c r="N68" s="2644"/>
      <c r="O68" s="2644"/>
      <c r="P68" s="2644"/>
      <c r="Q68" s="2644"/>
      <c r="R68" s="2644"/>
      <c r="S68" s="2644"/>
      <c r="T68" s="2644"/>
      <c r="U68" s="2298"/>
      <c r="V68" s="2298"/>
      <c r="W68" s="2283"/>
      <c r="X68" s="2283"/>
      <c r="Y68" s="2283"/>
      <c r="Z68" s="2283"/>
      <c r="AA68" s="2283"/>
      <c r="AD68" s="2227" t="s">
        <v>3095</v>
      </c>
      <c r="AO68" s="2271" t="s">
        <v>3096</v>
      </c>
      <c r="AP68" s="2272">
        <f>AP25+AP26+AP27+AP35+AP33</f>
        <v>2.907747287376667E-2</v>
      </c>
    </row>
    <row r="69" spans="1:42">
      <c r="A69" s="2644" t="s">
        <v>2847</v>
      </c>
      <c r="B69" s="2644"/>
      <c r="C69" s="2644"/>
      <c r="D69" s="2644"/>
      <c r="E69" s="2644"/>
      <c r="F69" s="2644"/>
      <c r="G69" s="2644"/>
      <c r="H69" s="2644"/>
      <c r="I69" s="2644"/>
      <c r="J69" s="2644"/>
      <c r="K69" s="2644"/>
      <c r="L69" s="2644"/>
      <c r="M69" s="2644"/>
      <c r="N69" s="2644"/>
      <c r="O69" s="2644"/>
      <c r="P69" s="2644"/>
      <c r="Q69" s="2644"/>
      <c r="R69" s="2644"/>
      <c r="S69" s="2644"/>
      <c r="T69" s="2644"/>
      <c r="U69" s="2298"/>
      <c r="V69" s="2298"/>
      <c r="W69" s="2283"/>
      <c r="X69" s="2283"/>
      <c r="Y69" s="2283"/>
      <c r="Z69" s="2283"/>
      <c r="AA69" s="2283"/>
      <c r="AD69" s="2227" t="s">
        <v>3097</v>
      </c>
      <c r="AO69" s="2271" t="s">
        <v>3098</v>
      </c>
      <c r="AP69" s="2272">
        <f>AP29</f>
        <v>7.9136258506488477E-2</v>
      </c>
    </row>
    <row r="70" spans="1:42">
      <c r="A70" s="2644" t="s">
        <v>2848</v>
      </c>
      <c r="B70" s="2644"/>
      <c r="C70" s="2644"/>
      <c r="D70" s="2644"/>
      <c r="E70" s="2644"/>
      <c r="F70" s="2644"/>
      <c r="G70" s="2644"/>
      <c r="H70" s="2644"/>
      <c r="I70" s="2644"/>
      <c r="J70" s="2644"/>
      <c r="K70" s="2644"/>
      <c r="L70" s="2644"/>
      <c r="M70" s="2644"/>
      <c r="N70" s="2644"/>
      <c r="O70" s="2644"/>
      <c r="P70" s="2644"/>
      <c r="Q70" s="2644"/>
      <c r="R70" s="2644"/>
      <c r="S70" s="2644"/>
      <c r="T70" s="2644"/>
      <c r="U70" s="2298"/>
      <c r="V70" s="2298"/>
      <c r="W70" s="2283"/>
      <c r="X70" s="2283"/>
      <c r="Y70" s="2283"/>
      <c r="Z70" s="2283"/>
      <c r="AA70" s="2283"/>
      <c r="AD70" s="2227" t="s">
        <v>3099</v>
      </c>
      <c r="AO70" s="2271" t="s">
        <v>3100</v>
      </c>
      <c r="AP70" s="2272">
        <f>AP36</f>
        <v>3.61156655185342E-2</v>
      </c>
    </row>
    <row r="71" spans="1:42" ht="39.4" customHeight="1">
      <c r="A71" s="2641" t="s">
        <v>1347</v>
      </c>
      <c r="B71" s="2641"/>
      <c r="C71" s="2641"/>
      <c r="D71" s="2641"/>
      <c r="E71" s="2641"/>
      <c r="F71" s="2641"/>
      <c r="G71" s="2641"/>
      <c r="H71" s="2641"/>
      <c r="I71" s="2641"/>
      <c r="J71" s="2641"/>
      <c r="K71" s="2641"/>
      <c r="L71" s="2641"/>
      <c r="M71" s="2641"/>
      <c r="N71" s="2641"/>
      <c r="O71" s="2641"/>
      <c r="P71" s="2641"/>
      <c r="Q71" s="2641"/>
      <c r="R71" s="2641"/>
      <c r="S71" s="2641"/>
      <c r="T71" s="2641"/>
      <c r="U71" s="2299"/>
      <c r="V71" s="2299"/>
      <c r="W71" s="2283"/>
      <c r="X71" s="2283"/>
      <c r="Y71" s="2283"/>
      <c r="Z71" s="2283"/>
      <c r="AA71" s="2283"/>
      <c r="AO71" s="2271" t="s">
        <v>3101</v>
      </c>
      <c r="AP71" s="2272">
        <f>AP37</f>
        <v>3.61156655185342E-2</v>
      </c>
    </row>
    <row r="72" spans="1:42" ht="36" customHeight="1">
      <c r="A72" s="2641" t="s">
        <v>1348</v>
      </c>
      <c r="B72" s="2641"/>
      <c r="C72" s="2641"/>
      <c r="D72" s="2641"/>
      <c r="E72" s="2641"/>
      <c r="F72" s="2641"/>
      <c r="G72" s="2641"/>
      <c r="H72" s="2641"/>
      <c r="I72" s="2641"/>
      <c r="J72" s="2641"/>
      <c r="K72" s="2641"/>
      <c r="L72" s="2641"/>
      <c r="M72" s="2641"/>
      <c r="N72" s="2641"/>
      <c r="O72" s="2641"/>
      <c r="P72" s="2641"/>
      <c r="Q72" s="2641"/>
      <c r="R72" s="2641"/>
      <c r="S72" s="2641"/>
      <c r="T72" s="2641"/>
      <c r="U72" s="2299"/>
      <c r="V72" s="2299"/>
      <c r="W72" s="2283"/>
      <c r="X72" s="2283"/>
      <c r="Y72" s="2283"/>
      <c r="Z72" s="2283"/>
      <c r="AA72" s="2283"/>
      <c r="AO72" s="2271" t="s">
        <v>3102</v>
      </c>
      <c r="AP72" s="2272">
        <f>AP38+AP39</f>
        <v>4.3281834283522315E-2</v>
      </c>
    </row>
    <row r="73" spans="1:42">
      <c r="A73" s="2278"/>
      <c r="B73" s="2278"/>
      <c r="C73" s="2278"/>
      <c r="D73" s="2278"/>
      <c r="E73" s="2278"/>
      <c r="F73" s="2278"/>
      <c r="G73" s="2278"/>
      <c r="H73" s="2278"/>
      <c r="I73" s="2278"/>
      <c r="J73" s="2278"/>
      <c r="K73" s="2278"/>
      <c r="L73" s="2278"/>
      <c r="M73" s="2278"/>
      <c r="N73" s="2283"/>
      <c r="O73" s="2283"/>
      <c r="P73" s="2283"/>
      <c r="Q73" s="2283"/>
      <c r="R73" s="2283"/>
      <c r="S73" s="2283"/>
      <c r="T73" s="2297"/>
      <c r="U73" s="2283"/>
      <c r="V73" s="2283"/>
      <c r="W73" s="2283"/>
      <c r="X73" s="2283"/>
      <c r="Y73" s="2283"/>
      <c r="Z73" s="2283"/>
      <c r="AA73" s="2283"/>
      <c r="AO73" s="2271" t="s">
        <v>3103</v>
      </c>
      <c r="AP73" s="2272">
        <f>AP18+AP22+AP28+AP30+AP31+AP32+AP34+AP40+AP41+AP42+AP43+AP44+AP45+AP46+AP47+AP48+AP49+AP50+AP51</f>
        <v>6.4919062405031189E-2</v>
      </c>
    </row>
    <row r="74" spans="1:42" ht="15.75">
      <c r="A74" s="2278"/>
      <c r="B74" s="2278"/>
      <c r="C74" s="2278"/>
      <c r="D74" s="2278"/>
      <c r="E74" s="2278"/>
      <c r="F74" s="2278"/>
      <c r="G74" s="2278"/>
      <c r="H74" s="2278"/>
      <c r="I74" s="2278"/>
      <c r="J74" s="2278"/>
      <c r="K74" s="2278"/>
      <c r="L74" s="2278"/>
      <c r="M74" s="2278"/>
      <c r="N74" s="2284"/>
      <c r="O74" s="2284"/>
      <c r="P74" s="2283"/>
      <c r="Q74" s="2283"/>
      <c r="R74" s="2283"/>
      <c r="S74" s="2283"/>
      <c r="T74" s="2297"/>
      <c r="U74" s="2283"/>
      <c r="V74" s="2283"/>
      <c r="W74" s="2283"/>
      <c r="X74" s="2283"/>
      <c r="Y74" s="2283"/>
      <c r="Z74" s="2283"/>
      <c r="AA74" s="2283"/>
      <c r="AP74" s="2272">
        <f>SUM(AP57:AP73)</f>
        <v>1.0000000154649966</v>
      </c>
    </row>
    <row r="75" spans="1:42">
      <c r="E75" s="2300"/>
      <c r="F75" s="2300"/>
      <c r="G75" s="2286"/>
      <c r="H75" s="2286"/>
      <c r="I75" s="2283"/>
      <c r="J75" s="2283"/>
      <c r="K75" s="2283"/>
      <c r="L75" s="2283"/>
      <c r="M75" s="2283"/>
      <c r="N75" s="2283"/>
      <c r="O75" s="2283"/>
      <c r="P75" s="2283"/>
      <c r="Q75" s="2283"/>
      <c r="R75" s="2283"/>
      <c r="S75" s="2283"/>
      <c r="T75" s="2297"/>
      <c r="U75" s="2283"/>
      <c r="V75" s="2283"/>
    </row>
    <row r="76" spans="1:42">
      <c r="A76" s="2301" t="s">
        <v>1351</v>
      </c>
      <c r="B76" s="2302">
        <v>550000000</v>
      </c>
      <c r="E76" s="2300"/>
      <c r="F76" s="2300"/>
      <c r="G76" s="2286"/>
      <c r="H76" s="2286"/>
      <c r="I76" s="2283"/>
      <c r="J76" s="2283"/>
      <c r="K76" s="2283"/>
      <c r="L76" s="2283"/>
      <c r="M76" s="2283"/>
      <c r="N76" s="2283"/>
      <c r="O76" s="2283"/>
      <c r="P76" s="2283"/>
      <c r="Q76" s="2283"/>
      <c r="R76" s="2283"/>
      <c r="S76" s="2283"/>
      <c r="T76" s="2297"/>
      <c r="U76" s="2283"/>
      <c r="V76" s="2283"/>
    </row>
    <row r="77" spans="1:42">
      <c r="A77" s="2301" t="s">
        <v>1352</v>
      </c>
      <c r="B77" s="2302">
        <v>30000000</v>
      </c>
      <c r="E77" s="2300"/>
      <c r="F77" s="2300"/>
      <c r="G77" s="2286"/>
      <c r="H77" s="2286"/>
      <c r="I77" s="2283"/>
      <c r="J77" s="2283"/>
      <c r="K77" s="2283"/>
      <c r="L77" s="2283"/>
      <c r="M77" s="2283"/>
      <c r="N77" s="2283"/>
      <c r="O77" s="2283"/>
      <c r="P77" s="2283"/>
      <c r="Q77" s="2283"/>
      <c r="R77" s="2283"/>
      <c r="S77" s="2283"/>
      <c r="T77" s="2297"/>
      <c r="U77" s="2283"/>
      <c r="V77" s="2283"/>
    </row>
    <row r="78" spans="1:42">
      <c r="A78" s="2301" t="s">
        <v>1353</v>
      </c>
      <c r="B78" s="2302">
        <v>20000000</v>
      </c>
      <c r="E78" s="2300"/>
      <c r="F78" s="2300"/>
      <c r="G78" s="2286"/>
      <c r="H78" s="2286"/>
      <c r="I78" s="2283"/>
      <c r="J78" s="2283"/>
      <c r="K78" s="2283"/>
      <c r="L78" s="2283"/>
      <c r="M78" s="2283"/>
      <c r="N78" s="2283"/>
      <c r="O78" s="2283"/>
      <c r="P78" s="2283"/>
      <c r="Q78" s="2283"/>
      <c r="R78" s="2283"/>
      <c r="S78" s="2283"/>
      <c r="T78" s="2297"/>
      <c r="U78" s="2283"/>
      <c r="V78" s="2283"/>
    </row>
    <row r="79" spans="1:42" ht="15.75">
      <c r="A79" s="2301" t="s">
        <v>1354</v>
      </c>
      <c r="B79" s="2303">
        <f>B76/M59</f>
        <v>115.30930147721698</v>
      </c>
      <c r="C79" s="2304"/>
      <c r="E79" s="2300"/>
      <c r="F79" s="2300"/>
      <c r="G79" s="2286"/>
      <c r="H79" s="2286"/>
      <c r="I79" s="2283"/>
      <c r="J79" s="2283"/>
      <c r="K79" s="2283"/>
      <c r="L79" s="2283"/>
      <c r="M79" s="2283"/>
      <c r="N79" s="2283"/>
      <c r="O79" s="2283"/>
      <c r="P79" s="2286"/>
      <c r="Q79" s="2286"/>
      <c r="R79" s="2286"/>
      <c r="S79" s="2286"/>
      <c r="T79" s="2285"/>
      <c r="U79" s="2286"/>
      <c r="V79" s="2286"/>
    </row>
    <row r="80" spans="1:42" ht="15.75">
      <c r="C80" s="2304"/>
      <c r="E80" s="2300"/>
      <c r="F80" s="2300"/>
      <c r="G80" s="2284"/>
      <c r="H80" s="2286"/>
      <c r="I80" s="2283"/>
      <c r="J80" s="2283"/>
      <c r="K80" s="2283"/>
      <c r="L80" s="2283"/>
      <c r="M80" s="2283"/>
      <c r="N80" s="2283"/>
      <c r="O80" s="2283"/>
      <c r="P80" s="2286"/>
      <c r="Q80" s="2286"/>
      <c r="R80" s="2286"/>
      <c r="S80" s="2286"/>
      <c r="T80" s="2285"/>
      <c r="U80" s="2286"/>
      <c r="V80" s="2286"/>
    </row>
    <row r="81" spans="1:22" ht="15.75">
      <c r="A81" s="2305" t="s">
        <v>1355</v>
      </c>
      <c r="B81" s="2234">
        <v>3731295</v>
      </c>
      <c r="C81" s="2304"/>
      <c r="E81" s="2300"/>
      <c r="F81" s="2300"/>
      <c r="G81" s="2284"/>
      <c r="H81" s="2286"/>
      <c r="I81" s="2283"/>
      <c r="J81" s="2283"/>
      <c r="K81" s="2283"/>
      <c r="L81" s="2283"/>
      <c r="M81" s="2283"/>
      <c r="N81" s="2283"/>
      <c r="O81" s="2283"/>
      <c r="P81" s="2286"/>
      <c r="Q81" s="2286"/>
      <c r="R81" s="2286"/>
      <c r="S81" s="2286"/>
      <c r="T81" s="2285"/>
      <c r="U81" s="2286"/>
      <c r="V81" s="2286"/>
    </row>
    <row r="82" spans="1:22" ht="15.75">
      <c r="A82" s="2305" t="s">
        <v>1356</v>
      </c>
      <c r="B82" s="2234">
        <f>B81-B53</f>
        <v>3731295</v>
      </c>
      <c r="E82" s="2300"/>
      <c r="F82" s="2300"/>
      <c r="G82" s="2286"/>
      <c r="H82" s="2286"/>
      <c r="I82" s="2283"/>
      <c r="J82" s="2283"/>
      <c r="K82" s="2283"/>
      <c r="L82" s="2283"/>
      <c r="M82" s="2283"/>
      <c r="N82" s="2283"/>
      <c r="O82" s="2283"/>
      <c r="P82" s="2286"/>
      <c r="Q82" s="2286"/>
      <c r="R82" s="2286"/>
      <c r="S82" s="2286"/>
      <c r="T82" s="2285"/>
      <c r="U82" s="2286"/>
      <c r="V82" s="2286"/>
    </row>
    <row r="83" spans="1:22" ht="15.75">
      <c r="A83" s="2305" t="s">
        <v>1357</v>
      </c>
      <c r="B83" s="2234">
        <v>2400000</v>
      </c>
      <c r="E83" s="2300"/>
      <c r="F83" s="2300"/>
      <c r="G83" s="2286"/>
      <c r="H83" s="2286"/>
      <c r="I83" s="2283"/>
      <c r="J83" s="2283"/>
      <c r="K83" s="2283"/>
      <c r="L83" s="2283"/>
      <c r="M83" s="2283"/>
      <c r="N83" s="2283"/>
      <c r="O83" s="2283"/>
      <c r="P83" s="2286"/>
      <c r="Q83" s="2286"/>
      <c r="R83" s="2286"/>
      <c r="S83" s="2286"/>
      <c r="T83" s="2285"/>
      <c r="U83" s="2286"/>
      <c r="V83" s="2286"/>
    </row>
    <row r="84" spans="1:22" ht="15.75">
      <c r="A84" s="2305" t="s">
        <v>1358</v>
      </c>
      <c r="B84" s="2234">
        <v>2226892</v>
      </c>
      <c r="E84" s="2300"/>
      <c r="F84" s="2300"/>
      <c r="G84" s="2286"/>
      <c r="H84" s="2286"/>
      <c r="I84" s="2283"/>
      <c r="J84" s="2283"/>
      <c r="K84" s="2283"/>
      <c r="L84" s="2283"/>
      <c r="M84" s="2283"/>
      <c r="N84" s="2283"/>
      <c r="O84" s="2283"/>
      <c r="P84" s="2287"/>
      <c r="Q84" s="2287"/>
      <c r="R84" s="2287"/>
      <c r="S84" s="2287"/>
      <c r="T84" s="2297"/>
      <c r="U84" s="2287"/>
      <c r="V84" s="2287"/>
    </row>
    <row r="85" spans="1:22" ht="15.75">
      <c r="A85" s="2305" t="s">
        <v>1359</v>
      </c>
      <c r="B85" s="2234">
        <f>B82+B83-B84</f>
        <v>3904403</v>
      </c>
      <c r="E85" s="2300"/>
      <c r="F85" s="2300"/>
      <c r="G85" s="2300"/>
      <c r="H85" s="2283"/>
      <c r="I85" s="2283"/>
      <c r="J85" s="2283"/>
      <c r="K85" s="2283"/>
      <c r="L85" s="2283"/>
      <c r="M85" s="2283"/>
      <c r="N85" s="2283"/>
      <c r="O85" s="2283"/>
      <c r="P85" s="2283"/>
      <c r="Q85" s="2283"/>
      <c r="R85" s="2283"/>
      <c r="S85" s="2283"/>
      <c r="T85" s="2297"/>
      <c r="U85" s="2283"/>
      <c r="V85" s="2283"/>
    </row>
    <row r="86" spans="1:22" ht="15.75">
      <c r="A86" s="2305" t="s">
        <v>1360</v>
      </c>
      <c r="B86" s="2234">
        <f>B81+B83</f>
        <v>6131295</v>
      </c>
      <c r="E86" s="2300"/>
      <c r="F86" s="2300"/>
      <c r="G86" s="2300"/>
      <c r="H86" s="2283"/>
      <c r="I86" s="2283"/>
      <c r="J86" s="2283"/>
      <c r="K86" s="2283"/>
      <c r="L86" s="2283"/>
      <c r="M86" s="2283"/>
      <c r="N86" s="2283"/>
      <c r="O86" s="2283"/>
      <c r="P86" s="2283"/>
      <c r="Q86" s="2283"/>
      <c r="R86" s="2283"/>
      <c r="S86" s="2283"/>
      <c r="T86" s="2297"/>
      <c r="U86" s="2283"/>
      <c r="V86" s="2283"/>
    </row>
    <row r="87" spans="1:22">
      <c r="E87" s="2300"/>
      <c r="F87" s="2300"/>
      <c r="G87" s="2300"/>
      <c r="H87" s="2283"/>
      <c r="I87" s="2283"/>
      <c r="J87" s="2283"/>
      <c r="K87" s="2283"/>
      <c r="L87" s="2283"/>
      <c r="M87" s="2283"/>
      <c r="N87" s="2283"/>
      <c r="O87" s="2283"/>
      <c r="P87" s="2283"/>
      <c r="Q87" s="2283"/>
      <c r="R87" s="2283"/>
      <c r="S87" s="2283"/>
      <c r="T87" s="2297"/>
      <c r="U87" s="2283"/>
      <c r="V87" s="2283"/>
    </row>
    <row r="89" spans="1:22">
      <c r="A89" s="2301" t="s">
        <v>1361</v>
      </c>
      <c r="B89" s="2302">
        <v>750000000</v>
      </c>
    </row>
    <row r="90" spans="1:22">
      <c r="A90" s="2301" t="s">
        <v>1362</v>
      </c>
      <c r="B90" s="2306">
        <f>AK55</f>
        <v>67368863.182899997</v>
      </c>
    </row>
    <row r="91" spans="1:22">
      <c r="A91" s="2301" t="s">
        <v>1363</v>
      </c>
      <c r="B91" s="2303">
        <f>B89/AF59</f>
        <v>64.27523925815062</v>
      </c>
    </row>
    <row r="94" spans="1:22">
      <c r="A94" s="2152" t="s">
        <v>1364</v>
      </c>
      <c r="B94" s="2170">
        <v>150000000</v>
      </c>
    </row>
    <row r="95" spans="1:22">
      <c r="A95" s="2152" t="s">
        <v>1365</v>
      </c>
      <c r="B95" s="2170">
        <f>E55+F55+H55+M55+AF56+3+AL55</f>
        <v>47892669</v>
      </c>
    </row>
    <row r="96" spans="1:22">
      <c r="A96" s="2170" t="s">
        <v>1366</v>
      </c>
      <c r="B96" s="2170">
        <f>B94-B95</f>
        <v>102107331</v>
      </c>
    </row>
  </sheetData>
  <mergeCells count="7">
    <mergeCell ref="A72:T72"/>
    <mergeCell ref="A1:T1"/>
    <mergeCell ref="A2:T2"/>
    <mergeCell ref="A68:T68"/>
    <mergeCell ref="A69:T69"/>
    <mergeCell ref="A70:T70"/>
    <mergeCell ref="A71:T71"/>
  </mergeCells>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24"/>
  <sheetViews>
    <sheetView zoomScaleNormal="100" workbookViewId="0">
      <pane xSplit="1" topLeftCell="D1" activePane="topRight" state="frozen"/>
      <selection activeCell="F19" sqref="F19"/>
      <selection pane="topRight" activeCell="F19" sqref="F19"/>
    </sheetView>
  </sheetViews>
  <sheetFormatPr defaultColWidth="10.5" defaultRowHeight="15"/>
  <cols>
    <col min="1" max="1" width="32" style="2153" customWidth="1"/>
    <col min="2" max="2" width="18" style="2153" customWidth="1"/>
    <col min="3" max="3" width="14.5" style="2153" customWidth="1"/>
    <col min="4" max="4" width="19.5" style="2153" customWidth="1"/>
    <col min="5" max="5" width="17.33203125" style="2153" customWidth="1"/>
    <col min="6" max="6" width="20.1640625" style="2153" customWidth="1"/>
    <col min="7" max="7" width="18.5" style="2153" customWidth="1"/>
    <col min="8" max="8" width="24.33203125" style="2153" customWidth="1"/>
    <col min="9" max="9" width="18.1640625" style="2153" customWidth="1"/>
    <col min="10" max="10" width="19.6640625" style="2153" customWidth="1"/>
    <col min="11" max="11" width="21.1640625" style="2153" customWidth="1"/>
    <col min="12" max="12" width="19.83203125" style="2153" customWidth="1"/>
    <col min="13" max="13" width="18.1640625" style="2153" customWidth="1"/>
    <col min="14" max="14" width="19.6640625" style="2153" customWidth="1"/>
    <col min="15" max="15" width="22.5" style="2153" customWidth="1"/>
    <col min="16" max="16" width="25.6640625" style="2153" bestFit="1" customWidth="1"/>
    <col min="17" max="17" width="30" style="2153" customWidth="1"/>
    <col min="18" max="18" width="28.5" style="2153" customWidth="1"/>
    <col min="19" max="16384" width="10.5" style="2153"/>
  </cols>
  <sheetData>
    <row r="1" spans="1:18" ht="21.75" customHeight="1">
      <c r="A1" s="2642" t="s">
        <v>1367</v>
      </c>
      <c r="B1" s="2642"/>
      <c r="C1" s="2642"/>
      <c r="D1" s="2642"/>
      <c r="E1" s="2642"/>
      <c r="F1" s="2642"/>
      <c r="G1" s="2642"/>
      <c r="H1" s="2642"/>
      <c r="I1" s="2642"/>
      <c r="J1" s="2642"/>
      <c r="K1" s="2642"/>
      <c r="L1" s="2642"/>
    </row>
    <row r="2" spans="1:18" ht="40.15" customHeight="1">
      <c r="A2" s="2643" t="s">
        <v>3104</v>
      </c>
      <c r="B2" s="2642"/>
      <c r="C2" s="2642"/>
      <c r="D2" s="2642"/>
      <c r="E2" s="2642"/>
      <c r="F2" s="2642"/>
      <c r="G2" s="2642"/>
      <c r="H2" s="2642"/>
      <c r="I2" s="2642"/>
      <c r="J2" s="2642"/>
      <c r="K2" s="2642"/>
      <c r="L2" s="2642"/>
    </row>
    <row r="3" spans="1:18" ht="49.9" customHeight="1">
      <c r="A3" s="2151"/>
      <c r="B3" s="2151" t="s">
        <v>1369</v>
      </c>
      <c r="C3" s="2151"/>
      <c r="D3" s="2151"/>
      <c r="E3" s="2183" t="s">
        <v>1370</v>
      </c>
      <c r="F3" s="2183"/>
      <c r="G3" s="2183"/>
      <c r="H3" s="2642" t="s">
        <v>1371</v>
      </c>
      <c r="I3" s="2642"/>
      <c r="J3" s="2642" t="s">
        <v>314</v>
      </c>
      <c r="K3" s="2642"/>
      <c r="L3" s="2642"/>
      <c r="N3" s="2643" t="s">
        <v>2850</v>
      </c>
      <c r="O3" s="2643"/>
      <c r="P3" s="2645" t="s">
        <v>3105</v>
      </c>
      <c r="Q3" s="2645"/>
      <c r="R3" s="2645"/>
    </row>
    <row r="4" spans="1:18" ht="49.9" customHeight="1">
      <c r="A4" s="2151"/>
      <c r="B4" s="2156" t="s">
        <v>1373</v>
      </c>
      <c r="C4" s="2156" t="s">
        <v>1374</v>
      </c>
      <c r="D4" s="2156" t="s">
        <v>1375</v>
      </c>
      <c r="E4" s="2156" t="s">
        <v>1373</v>
      </c>
      <c r="F4" s="2156" t="s">
        <v>1374</v>
      </c>
      <c r="G4" s="2156" t="s">
        <v>1375</v>
      </c>
      <c r="H4" s="2156" t="s">
        <v>1373</v>
      </c>
      <c r="I4" s="2156" t="s">
        <v>1374</v>
      </c>
      <c r="J4" s="2156" t="s">
        <v>1375</v>
      </c>
      <c r="K4" s="2156" t="s">
        <v>2851</v>
      </c>
      <c r="L4" s="2156" t="s">
        <v>1373</v>
      </c>
      <c r="M4" s="2156" t="s">
        <v>1374</v>
      </c>
      <c r="N4" s="2156" t="s">
        <v>2852</v>
      </c>
      <c r="O4" s="2156" t="s">
        <v>3106</v>
      </c>
      <c r="P4" s="2165" t="s">
        <v>3107</v>
      </c>
      <c r="Q4" s="2165" t="s">
        <v>3106</v>
      </c>
      <c r="R4" s="2307" t="s">
        <v>3108</v>
      </c>
    </row>
    <row r="5" spans="1:18" ht="35.65" customHeight="1">
      <c r="A5" s="2167" t="s">
        <v>1381</v>
      </c>
      <c r="B5" s="2170">
        <v>20000000</v>
      </c>
      <c r="C5" s="2308">
        <v>1</v>
      </c>
      <c r="D5" s="2309">
        <v>8000000</v>
      </c>
      <c r="E5" s="2309">
        <f>D5/B14+B5</f>
        <v>20355555.555555556</v>
      </c>
      <c r="F5" s="2310">
        <v>0.96623999999999999</v>
      </c>
      <c r="G5" s="2170">
        <v>11000000</v>
      </c>
      <c r="H5" s="2311">
        <f>B5+G5/B14+1</f>
        <v>20488889.888888888</v>
      </c>
      <c r="I5" s="2312">
        <f>H5/$H$13</f>
        <v>0.92570283133134901</v>
      </c>
      <c r="J5" s="2313">
        <f>66672956*1.2</f>
        <v>80007547.200000003</v>
      </c>
      <c r="K5" s="2314">
        <v>2683081</v>
      </c>
      <c r="L5" s="2311">
        <v>23171971</v>
      </c>
      <c r="M5" s="2315">
        <f>L5/$L$13</f>
        <v>0.91883575607901691</v>
      </c>
      <c r="N5" s="2316">
        <f>O5/$O$13</f>
        <v>0.98766354787387323</v>
      </c>
      <c r="O5" s="2317">
        <f>SUM(L5:L9)</f>
        <v>24907728</v>
      </c>
      <c r="P5" s="2315">
        <v>1</v>
      </c>
      <c r="Q5" s="2318">
        <v>25218839</v>
      </c>
      <c r="R5" s="2319">
        <f>ROUND((SUM(L6:L12)+H5)+K5*5%,0)</f>
        <v>22669912</v>
      </c>
    </row>
    <row r="6" spans="1:18" ht="39">
      <c r="A6" s="2320" t="s">
        <v>2854</v>
      </c>
      <c r="B6" s="2166"/>
      <c r="C6" s="2152"/>
      <c r="D6" s="2309">
        <v>12500000</v>
      </c>
      <c r="E6" s="2309">
        <f>D6/B14</f>
        <v>555555.5555555555</v>
      </c>
      <c r="F6" s="2310">
        <v>2.6370000000000001E-2</v>
      </c>
      <c r="G6" s="2309">
        <v>12500000</v>
      </c>
      <c r="H6" s="2232">
        <f>G6/B14</f>
        <v>555555.5555555555</v>
      </c>
      <c r="I6" s="2312">
        <f t="shared" ref="I6:I13" si="0">H6/$H$13</f>
        <v>2.5100400925993149E-2</v>
      </c>
      <c r="J6" s="2314">
        <f>10000000*1.2</f>
        <v>12000000</v>
      </c>
      <c r="K6" s="2314">
        <v>402424</v>
      </c>
      <c r="L6" s="2317">
        <f>ROUND(K6+H6,0)</f>
        <v>957980</v>
      </c>
      <c r="M6" s="2315">
        <f t="shared" ref="M6:M13" si="1">L6/$L$13</f>
        <v>3.7986681305987161E-2</v>
      </c>
      <c r="N6" s="2321"/>
      <c r="R6" s="2322">
        <f>ROUNDDOWN(K5*95%,0)</f>
        <v>2548926</v>
      </c>
    </row>
    <row r="7" spans="1:18" ht="69.75">
      <c r="A7" s="2320" t="s">
        <v>2855</v>
      </c>
      <c r="B7" s="2166" t="s">
        <v>1384</v>
      </c>
      <c r="C7" s="2152" t="s">
        <v>1384</v>
      </c>
      <c r="D7" s="2309" t="s">
        <v>1384</v>
      </c>
      <c r="E7" s="2309" t="s">
        <v>1384</v>
      </c>
      <c r="F7" s="2310" t="s">
        <v>1384</v>
      </c>
      <c r="G7" s="2170">
        <f>5500000</f>
        <v>5500000</v>
      </c>
      <c r="H7" s="2232">
        <f>G7/B14</f>
        <v>244444.44444444444</v>
      </c>
      <c r="I7" s="2312">
        <f t="shared" si="0"/>
        <v>1.1044176407436986E-2</v>
      </c>
      <c r="J7" s="2314"/>
      <c r="K7" s="2314"/>
      <c r="L7" s="2323">
        <f>ROUND(H7,0)</f>
        <v>244444</v>
      </c>
      <c r="M7" s="2315">
        <f t="shared" si="1"/>
        <v>9.6929125087796466E-3</v>
      </c>
      <c r="N7" s="2321"/>
      <c r="R7" s="2324">
        <f>R5+R6</f>
        <v>25218838</v>
      </c>
    </row>
    <row r="8" spans="1:18" ht="69.75">
      <c r="A8" s="2320" t="s">
        <v>1385</v>
      </c>
      <c r="B8" s="2166" t="s">
        <v>1384</v>
      </c>
      <c r="C8" s="2152" t="s">
        <v>1384</v>
      </c>
      <c r="D8" s="2309" t="s">
        <v>1384</v>
      </c>
      <c r="E8" s="2309" t="s">
        <v>1384</v>
      </c>
      <c r="F8" s="2310" t="s">
        <v>1384</v>
      </c>
      <c r="G8" s="2170">
        <v>6000000</v>
      </c>
      <c r="H8" s="2325">
        <f>G8/B14-0.2</f>
        <v>266666.46666666667</v>
      </c>
      <c r="I8" s="2312">
        <f t="shared" si="0"/>
        <v>1.2048183408332381E-2</v>
      </c>
      <c r="J8" s="2314"/>
      <c r="K8" s="2314"/>
      <c r="L8" s="2326">
        <f>ROUND(H8,1)</f>
        <v>266666.5</v>
      </c>
      <c r="M8" s="2315">
        <f t="shared" si="1"/>
        <v>1.0574098990044705E-2</v>
      </c>
      <c r="N8" s="2321"/>
      <c r="P8" s="2327"/>
    </row>
    <row r="9" spans="1:18" ht="55.5">
      <c r="A9" s="2320" t="s">
        <v>2857</v>
      </c>
      <c r="B9" s="2166" t="s">
        <v>1384</v>
      </c>
      <c r="C9" s="2166" t="s">
        <v>1384</v>
      </c>
      <c r="D9" s="2166" t="s">
        <v>1384</v>
      </c>
      <c r="E9" s="2166" t="s">
        <v>1384</v>
      </c>
      <c r="F9" s="2166" t="s">
        <v>1384</v>
      </c>
      <c r="G9" s="2170">
        <v>6000000</v>
      </c>
      <c r="H9" s="2325">
        <f>G9/B14-0.2</f>
        <v>266666.46666666667</v>
      </c>
      <c r="I9" s="2312">
        <f t="shared" si="0"/>
        <v>1.2048183408332381E-2</v>
      </c>
      <c r="J9" s="2314"/>
      <c r="K9" s="2314"/>
      <c r="L9" s="2326">
        <f>ROUND(H9,1)</f>
        <v>266666.5</v>
      </c>
      <c r="M9" s="2315">
        <f t="shared" si="1"/>
        <v>1.0574098990044705E-2</v>
      </c>
      <c r="N9" s="2321"/>
      <c r="R9" s="2327"/>
    </row>
    <row r="10" spans="1:18" ht="43.5">
      <c r="A10" s="2320" t="s">
        <v>2858</v>
      </c>
      <c r="B10" s="2166"/>
      <c r="C10" s="2152"/>
      <c r="D10" s="2309">
        <v>2500000</v>
      </c>
      <c r="E10" s="2309">
        <f>D10/B14</f>
        <v>111111.11111111111</v>
      </c>
      <c r="F10" s="2310">
        <v>5.2700000000000004E-3</v>
      </c>
      <c r="G10" s="2170">
        <v>5000000</v>
      </c>
      <c r="H10" s="2232">
        <f>G10/B14+1</f>
        <v>222223.22222222222</v>
      </c>
      <c r="I10" s="2312">
        <f t="shared" si="0"/>
        <v>1.0040205551118926E-2</v>
      </c>
      <c r="J10" s="2314"/>
      <c r="K10" s="2314"/>
      <c r="L10" s="2232">
        <f>ROUND(H10,0)</f>
        <v>222223</v>
      </c>
      <c r="M10" s="2315">
        <f t="shared" si="1"/>
        <v>8.8117855068585837E-3</v>
      </c>
      <c r="N10" s="2316">
        <f>O10/$O$13</f>
        <v>8.8117855068585837E-3</v>
      </c>
      <c r="O10" s="2232">
        <f>L10</f>
        <v>222223</v>
      </c>
      <c r="R10" s="2327">
        <f>M6</f>
        <v>3.7986681305987161E-2</v>
      </c>
    </row>
    <row r="11" spans="1:18" ht="43.5">
      <c r="A11" s="2320" t="s">
        <v>2859</v>
      </c>
      <c r="B11" s="2166"/>
      <c r="C11" s="2152"/>
      <c r="D11" s="2309">
        <v>500000</v>
      </c>
      <c r="E11" s="2309">
        <v>22222</v>
      </c>
      <c r="F11" s="2310">
        <v>1.0499999999999999E-3</v>
      </c>
      <c r="G11" s="2170">
        <v>1000000</v>
      </c>
      <c r="H11" s="2232">
        <f>G11/B14</f>
        <v>44444.444444444445</v>
      </c>
      <c r="I11" s="2312">
        <f t="shared" si="0"/>
        <v>2.0080320740794521E-3</v>
      </c>
      <c r="J11" s="2314"/>
      <c r="K11" s="2314"/>
      <c r="L11" s="2232">
        <f>ROUND(H11,0)</f>
        <v>44444</v>
      </c>
      <c r="M11" s="2315">
        <f t="shared" si="1"/>
        <v>1.7623333096341192E-3</v>
      </c>
      <c r="N11" s="2316">
        <f>O11/$O$13</f>
        <v>1.7623333096341192E-3</v>
      </c>
      <c r="O11" s="2232">
        <f>L11</f>
        <v>44444</v>
      </c>
    </row>
    <row r="12" spans="1:18" ht="57.6" customHeight="1">
      <c r="A12" s="2320" t="s">
        <v>3109</v>
      </c>
      <c r="B12" s="2166"/>
      <c r="C12" s="2152"/>
      <c r="D12" s="2309">
        <v>500000</v>
      </c>
      <c r="E12" s="2309">
        <f>D12/B14</f>
        <v>22222.222222222223</v>
      </c>
      <c r="F12" s="2310">
        <v>1.0499999999999999E-3</v>
      </c>
      <c r="G12" s="2170">
        <v>1000000</v>
      </c>
      <c r="H12" s="2232">
        <f>G12/B14</f>
        <v>44444.444444444445</v>
      </c>
      <c r="I12" s="2312">
        <f t="shared" si="0"/>
        <v>2.0080320740794521E-3</v>
      </c>
      <c r="J12" s="2314"/>
      <c r="K12" s="2314"/>
      <c r="L12" s="2232">
        <f>ROUND(H12,0)</f>
        <v>44444</v>
      </c>
      <c r="M12" s="2315">
        <f t="shared" si="1"/>
        <v>1.7623333096341192E-3</v>
      </c>
      <c r="N12" s="2316">
        <f>O12/$O$13</f>
        <v>1.7623333096341192E-3</v>
      </c>
      <c r="O12" s="2232">
        <f>L12</f>
        <v>44444</v>
      </c>
      <c r="R12" s="2266">
        <f>M6+M7+M9+M8</f>
        <v>6.8827791794856222E-2</v>
      </c>
    </row>
    <row r="13" spans="1:18" s="2338" customFormat="1" ht="21.4" customHeight="1">
      <c r="A13" s="2328" t="s">
        <v>81</v>
      </c>
      <c r="B13" s="2329"/>
      <c r="C13" s="2329"/>
      <c r="D13" s="2330">
        <f>SUM(D5:D12)</f>
        <v>24000000</v>
      </c>
      <c r="E13" s="2331">
        <f>SUM(E5:E12)+1</f>
        <v>21066667.444444448</v>
      </c>
      <c r="F13" s="2332">
        <f>SUM(F5:F12)</f>
        <v>0.99997999999999998</v>
      </c>
      <c r="G13" s="2330">
        <f>SUM(G5:G12)</f>
        <v>48000000</v>
      </c>
      <c r="H13" s="2333">
        <f>SUM(H5:H12)-1</f>
        <v>22133333.93333333</v>
      </c>
      <c r="I13" s="2334">
        <f t="shared" si="0"/>
        <v>1</v>
      </c>
      <c r="J13" s="2335"/>
      <c r="K13" s="2335"/>
      <c r="L13" s="2256">
        <f>SUM(L5:L12)</f>
        <v>25218839</v>
      </c>
      <c r="M13" s="2336">
        <f t="shared" si="1"/>
        <v>1</v>
      </c>
      <c r="N13" s="2337">
        <f>SUM(N5:N12)</f>
        <v>1</v>
      </c>
      <c r="O13" s="2256">
        <f>L13</f>
        <v>25218839</v>
      </c>
    </row>
    <row r="14" spans="1:18" ht="24.75">
      <c r="A14" s="2339" t="s">
        <v>2861</v>
      </c>
      <c r="B14" s="2340">
        <f>450000000/B5</f>
        <v>22.5</v>
      </c>
      <c r="C14" s="2340"/>
      <c r="D14" s="2341"/>
      <c r="E14" s="2152"/>
      <c r="F14" s="2152"/>
      <c r="G14" s="2152"/>
      <c r="H14" s="2152"/>
      <c r="I14" s="2152"/>
      <c r="J14" s="2170" t="s">
        <v>2862</v>
      </c>
      <c r="K14" s="2170">
        <f>L6/M6</f>
        <v>25218839</v>
      </c>
      <c r="L14" s="2170">
        <f>ROUND(K14,0)</f>
        <v>25218839</v>
      </c>
    </row>
    <row r="15" spans="1:18" ht="24.75">
      <c r="A15" s="2339" t="s">
        <v>2863</v>
      </c>
      <c r="B15" s="2340">
        <f>550000000/H13</f>
        <v>24.84939691673322</v>
      </c>
      <c r="C15" s="2340">
        <f>24.8494</f>
        <v>24.849399999999999</v>
      </c>
      <c r="D15" s="2342"/>
      <c r="G15" s="2327"/>
      <c r="J15" s="2327"/>
      <c r="L15" s="2327"/>
      <c r="M15" s="2310"/>
    </row>
    <row r="16" spans="1:18">
      <c r="A16" s="2339" t="s">
        <v>1393</v>
      </c>
      <c r="B16" s="2340" t="s">
        <v>1394</v>
      </c>
      <c r="C16" s="2340"/>
      <c r="D16" s="2340"/>
      <c r="I16" s="2266"/>
    </row>
    <row r="17" spans="4:11">
      <c r="J17" s="2343"/>
      <c r="K17" s="2327"/>
    </row>
    <row r="18" spans="4:11">
      <c r="D18" s="2344"/>
      <c r="E18" s="2344"/>
      <c r="F18" s="2344"/>
      <c r="J18" s="2327"/>
    </row>
    <row r="19" spans="4:11">
      <c r="D19" s="2344"/>
      <c r="E19" s="2345"/>
      <c r="F19" s="2345"/>
      <c r="K19" s="2335"/>
    </row>
    <row r="20" spans="4:11">
      <c r="D20" s="2344"/>
      <c r="E20" s="2345"/>
      <c r="F20" s="2345"/>
    </row>
    <row r="21" spans="4:11">
      <c r="D21" s="2287"/>
      <c r="E21" s="2345"/>
      <c r="F21" s="2345"/>
    </row>
    <row r="22" spans="4:11">
      <c r="D22" s="2346"/>
      <c r="E22" s="2170"/>
      <c r="F22" s="2345"/>
      <c r="J22" s="2327"/>
    </row>
    <row r="23" spans="4:11">
      <c r="E23" s="2170"/>
    </row>
    <row r="24" spans="4:11">
      <c r="E24" s="2327"/>
    </row>
  </sheetData>
  <mergeCells count="6">
    <mergeCell ref="P3:R3"/>
    <mergeCell ref="A1:L1"/>
    <mergeCell ref="A2:L2"/>
    <mergeCell ref="H3:I3"/>
    <mergeCell ref="J3:L3"/>
    <mergeCell ref="N3:O3"/>
  </mergeCells>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F97"/>
  <sheetViews>
    <sheetView showGridLines="0" topLeftCell="A67" zoomScaleNormal="100" workbookViewId="0">
      <selection activeCell="F19" sqref="F19"/>
    </sheetView>
  </sheetViews>
  <sheetFormatPr defaultColWidth="10.5" defaultRowHeight="15"/>
  <cols>
    <col min="1" max="1" width="10.5" style="2059"/>
    <col min="2" max="2" width="19.6640625" style="2060" customWidth="1"/>
    <col min="3" max="3" width="41.5" style="2061" bestFit="1" customWidth="1"/>
    <col min="4" max="4" width="15.83203125" style="2061" bestFit="1" customWidth="1"/>
    <col min="5" max="5" width="14.83203125" style="2061" bestFit="1" customWidth="1"/>
    <col min="6" max="6" width="12.33203125" style="2059" bestFit="1" customWidth="1"/>
    <col min="7" max="7" width="16" style="2059" customWidth="1"/>
    <col min="8" max="8" width="13.1640625" style="2059" bestFit="1" customWidth="1"/>
    <col min="9" max="10" width="13.1640625" style="2060" customWidth="1"/>
    <col min="11" max="11" width="14.83203125" style="2059" bestFit="1" customWidth="1"/>
    <col min="12" max="13" width="13.6640625" style="2059" bestFit="1" customWidth="1"/>
    <col min="14" max="14" width="13.6640625" style="2059" customWidth="1"/>
    <col min="15" max="15" width="15.1640625" style="2059" customWidth="1"/>
    <col min="16" max="17" width="13.83203125" style="2059" customWidth="1"/>
    <col min="18" max="20" width="14" style="2059" customWidth="1"/>
    <col min="21" max="25" width="14.6640625" style="2059" customWidth="1"/>
    <col min="26" max="27" width="14.5" style="2059" customWidth="1"/>
    <col min="28" max="30" width="16.5" style="2059" customWidth="1"/>
    <col min="31" max="31" width="12.33203125" style="2059" customWidth="1"/>
    <col min="32" max="32" width="14.6640625" style="2059" customWidth="1"/>
    <col min="33" max="35" width="12.33203125" style="2059" customWidth="1"/>
    <col min="36" max="37" width="10.6640625" style="2059" bestFit="1" customWidth="1"/>
    <col min="38" max="40" width="13.5" style="2059" customWidth="1"/>
    <col min="41" max="41" width="10.6640625" style="2059" bestFit="1" customWidth="1"/>
    <col min="42" max="42" width="10.5" style="2059"/>
    <col min="43" max="45" width="12.6640625" style="2059" customWidth="1"/>
    <col min="46" max="47" width="10.5" style="2059"/>
    <col min="48" max="48" width="13.5" style="2059" customWidth="1"/>
    <col min="49" max="49" width="10.5" style="2059"/>
    <col min="50" max="50" width="12.5" style="2059" customWidth="1"/>
    <col min="51" max="51" width="12" style="2059" bestFit="1" customWidth="1"/>
    <col min="52" max="52" width="10.5" style="2059"/>
    <col min="53" max="53" width="12.83203125" style="2059" bestFit="1" customWidth="1"/>
    <col min="54" max="54" width="10.5" style="2059"/>
    <col min="55" max="55" width="12.1640625" style="2059" bestFit="1" customWidth="1"/>
    <col min="56" max="16384" width="10.5" style="2059"/>
  </cols>
  <sheetData>
    <row r="1" spans="1:58" ht="15.75" thickBot="1"/>
    <row r="2" spans="1:58" s="2064" customFormat="1" ht="24" customHeight="1">
      <c r="A2" s="2649" t="s">
        <v>1940</v>
      </c>
      <c r="B2" s="2650"/>
      <c r="C2" s="2651"/>
      <c r="D2" s="2062" t="s">
        <v>2921</v>
      </c>
      <c r="E2" s="2063"/>
      <c r="F2" s="2646" t="s">
        <v>2922</v>
      </c>
      <c r="G2" s="2647"/>
      <c r="H2" s="2647"/>
      <c r="I2" s="2647"/>
      <c r="J2" s="2648"/>
      <c r="K2" s="2646" t="s">
        <v>2923</v>
      </c>
      <c r="L2" s="2647"/>
      <c r="M2" s="2647"/>
      <c r="N2" s="2647"/>
      <c r="O2" s="2648"/>
      <c r="P2" s="2646" t="s">
        <v>2924</v>
      </c>
      <c r="Q2" s="2647"/>
      <c r="R2" s="2647"/>
      <c r="S2" s="2647"/>
      <c r="T2" s="2648"/>
      <c r="U2" s="2646" t="s">
        <v>2925</v>
      </c>
      <c r="V2" s="2647"/>
      <c r="W2" s="2647"/>
      <c r="X2" s="2647"/>
      <c r="Y2" s="2648"/>
      <c r="Z2" s="2646" t="s">
        <v>2926</v>
      </c>
      <c r="AA2" s="2647"/>
      <c r="AB2" s="2647"/>
      <c r="AC2" s="2647"/>
      <c r="AD2" s="2648"/>
      <c r="AE2" s="2646" t="s">
        <v>2927</v>
      </c>
      <c r="AF2" s="2647"/>
      <c r="AG2" s="2647"/>
      <c r="AH2" s="2647"/>
      <c r="AI2" s="2648"/>
      <c r="AJ2" s="2646" t="s">
        <v>2928</v>
      </c>
      <c r="AK2" s="2647"/>
      <c r="AL2" s="2647"/>
      <c r="AM2" s="2647"/>
      <c r="AN2" s="2648"/>
      <c r="AO2" s="2646" t="s">
        <v>2929</v>
      </c>
      <c r="AP2" s="2647"/>
      <c r="AQ2" s="2647"/>
      <c r="AR2" s="2647"/>
      <c r="AS2" s="2647"/>
      <c r="AT2" s="2652" t="s">
        <v>2930</v>
      </c>
      <c r="AU2" s="2653"/>
      <c r="AV2" s="2653"/>
      <c r="AW2" s="2653"/>
      <c r="AX2" s="2654"/>
      <c r="AY2" s="2652" t="s">
        <v>2931</v>
      </c>
      <c r="AZ2" s="2653"/>
      <c r="BA2" s="2653"/>
      <c r="BB2" s="2653"/>
      <c r="BC2" s="2654"/>
    </row>
    <row r="3" spans="1:58" s="2064" customFormat="1" ht="60.75" thickBot="1">
      <c r="A3" s="2065" t="s">
        <v>2932</v>
      </c>
      <c r="B3" s="2066" t="s">
        <v>2933</v>
      </c>
      <c r="C3" s="2067" t="s">
        <v>2934</v>
      </c>
      <c r="D3" s="2068" t="s">
        <v>2935</v>
      </c>
      <c r="E3" s="2069" t="s">
        <v>2936</v>
      </c>
      <c r="F3" s="2070" t="s">
        <v>2937</v>
      </c>
      <c r="G3" s="2071" t="s">
        <v>2938</v>
      </c>
      <c r="H3" s="2072" t="s">
        <v>2939</v>
      </c>
      <c r="I3" s="2072" t="s">
        <v>2940</v>
      </c>
      <c r="J3" s="2073" t="s">
        <v>2941</v>
      </c>
      <c r="K3" s="2074" t="s">
        <v>2937</v>
      </c>
      <c r="L3" s="2071" t="s">
        <v>2938</v>
      </c>
      <c r="M3" s="2072" t="s">
        <v>2939</v>
      </c>
      <c r="N3" s="2071" t="s">
        <v>2940</v>
      </c>
      <c r="O3" s="2073" t="s">
        <v>2941</v>
      </c>
      <c r="P3" s="2070" t="s">
        <v>2937</v>
      </c>
      <c r="Q3" s="2072" t="s">
        <v>2938</v>
      </c>
      <c r="R3" s="2072" t="s">
        <v>2942</v>
      </c>
      <c r="S3" s="2072" t="s">
        <v>2940</v>
      </c>
      <c r="T3" s="2073" t="s">
        <v>2941</v>
      </c>
      <c r="U3" s="2070" t="s">
        <v>2937</v>
      </c>
      <c r="V3" s="2071" t="s">
        <v>2938</v>
      </c>
      <c r="W3" s="2072" t="s">
        <v>2939</v>
      </c>
      <c r="X3" s="2071" t="s">
        <v>2940</v>
      </c>
      <c r="Y3" s="2073" t="s">
        <v>2941</v>
      </c>
      <c r="Z3" s="2070" t="s">
        <v>2937</v>
      </c>
      <c r="AA3" s="2071" t="s">
        <v>2938</v>
      </c>
      <c r="AB3" s="2072" t="s">
        <v>2939</v>
      </c>
      <c r="AC3" s="2071" t="s">
        <v>2940</v>
      </c>
      <c r="AD3" s="2073" t="s">
        <v>2941</v>
      </c>
      <c r="AE3" s="2070" t="s">
        <v>2937</v>
      </c>
      <c r="AF3" s="2071" t="s">
        <v>2938</v>
      </c>
      <c r="AG3" s="2072" t="s">
        <v>2939</v>
      </c>
      <c r="AH3" s="2071" t="s">
        <v>2940</v>
      </c>
      <c r="AI3" s="2073" t="s">
        <v>2941</v>
      </c>
      <c r="AJ3" s="2070" t="s">
        <v>2937</v>
      </c>
      <c r="AK3" s="2071" t="s">
        <v>2938</v>
      </c>
      <c r="AL3" s="2072" t="s">
        <v>2939</v>
      </c>
      <c r="AM3" s="2071" t="s">
        <v>2940</v>
      </c>
      <c r="AN3" s="2073" t="s">
        <v>2941</v>
      </c>
      <c r="AO3" s="2070" t="s">
        <v>2937</v>
      </c>
      <c r="AP3" s="2071" t="s">
        <v>2938</v>
      </c>
      <c r="AQ3" s="2072" t="s">
        <v>2939</v>
      </c>
      <c r="AR3" s="2071" t="s">
        <v>2940</v>
      </c>
      <c r="AS3" s="2075" t="s">
        <v>2941</v>
      </c>
      <c r="AT3" s="2070" t="s">
        <v>2937</v>
      </c>
      <c r="AU3" s="2072" t="s">
        <v>2938</v>
      </c>
      <c r="AV3" s="2072" t="s">
        <v>2939</v>
      </c>
      <c r="AW3" s="2072" t="s">
        <v>2940</v>
      </c>
      <c r="AX3" s="2073" t="s">
        <v>2941</v>
      </c>
      <c r="AY3" s="2070" t="s">
        <v>2937</v>
      </c>
      <c r="AZ3" s="2072" t="s">
        <v>2938</v>
      </c>
      <c r="BA3" s="2072" t="s">
        <v>2939</v>
      </c>
      <c r="BB3" s="2072" t="s">
        <v>2940</v>
      </c>
      <c r="BC3" s="2073" t="s">
        <v>2941</v>
      </c>
    </row>
    <row r="4" spans="1:58">
      <c r="A4" s="2076" t="s">
        <v>1961</v>
      </c>
      <c r="B4" s="2077" t="s">
        <v>2943</v>
      </c>
      <c r="C4" s="2078" t="s">
        <v>2944</v>
      </c>
      <c r="D4" s="2079">
        <f t="shared" ref="D4:D67" si="0">F4+K4+P4+U4+Z4+AE4+AJ4+AO4+AT4+AY4</f>
        <v>470865</v>
      </c>
      <c r="E4" s="2080">
        <v>9.515020406451382E-3</v>
      </c>
      <c r="F4" s="1457"/>
      <c r="G4" s="1458"/>
      <c r="H4" s="2081"/>
      <c r="I4" s="2082"/>
      <c r="J4" s="2082"/>
      <c r="K4" s="1457"/>
      <c r="L4" s="1461"/>
      <c r="M4" s="2081"/>
      <c r="N4" s="2082"/>
      <c r="O4" s="2082"/>
      <c r="P4" s="1462"/>
      <c r="Q4" s="1461"/>
      <c r="R4" s="2081"/>
      <c r="S4" s="2082"/>
      <c r="T4" s="2082"/>
      <c r="U4" s="1462">
        <v>180000</v>
      </c>
      <c r="V4" s="1461">
        <v>1</v>
      </c>
      <c r="W4" s="2081">
        <v>41964</v>
      </c>
      <c r="X4" s="2082">
        <v>48</v>
      </c>
      <c r="Y4" s="2081">
        <v>41977</v>
      </c>
      <c r="Z4" s="1462">
        <v>50000</v>
      </c>
      <c r="AA4" s="1463">
        <v>3.5</v>
      </c>
      <c r="AB4" s="2083">
        <v>42360</v>
      </c>
      <c r="AC4" s="2082">
        <v>48</v>
      </c>
      <c r="AD4" s="2081">
        <v>42380</v>
      </c>
      <c r="AE4" s="2084">
        <v>50000</v>
      </c>
      <c r="AF4" s="2076">
        <v>6</v>
      </c>
      <c r="AG4" s="2085">
        <v>42488</v>
      </c>
      <c r="AH4" s="2082">
        <v>48</v>
      </c>
      <c r="AI4" s="2081">
        <v>42570</v>
      </c>
      <c r="AJ4" s="1457"/>
      <c r="AK4" s="2076"/>
      <c r="AL4" s="2083"/>
      <c r="AM4" s="2082"/>
      <c r="AN4" s="2082"/>
      <c r="AO4" s="1457">
        <v>100000</v>
      </c>
      <c r="AP4" s="2086">
        <v>7</v>
      </c>
      <c r="AQ4" s="2083">
        <v>42734</v>
      </c>
      <c r="AR4" s="2082">
        <v>48</v>
      </c>
      <c r="AS4" s="2081">
        <v>42800</v>
      </c>
      <c r="AT4" s="2076"/>
      <c r="AU4" s="2076"/>
      <c r="AV4" s="2076"/>
      <c r="AW4" s="2082"/>
      <c r="AX4" s="2082"/>
      <c r="AY4" s="1468">
        <v>90865</v>
      </c>
      <c r="AZ4" s="1463">
        <v>1</v>
      </c>
      <c r="BA4" s="2083">
        <v>43098</v>
      </c>
      <c r="BB4" s="2087">
        <v>48</v>
      </c>
      <c r="BC4" s="2083">
        <v>43107</v>
      </c>
      <c r="BF4" s="2088"/>
    </row>
    <row r="5" spans="1:58">
      <c r="A5" s="2076" t="s">
        <v>1964</v>
      </c>
      <c r="B5" s="2077" t="s">
        <v>2945</v>
      </c>
      <c r="C5" s="2078" t="s">
        <v>2946</v>
      </c>
      <c r="D5" s="2079">
        <f t="shared" si="0"/>
        <v>32000</v>
      </c>
      <c r="E5" s="2080">
        <v>6.4664108185242945E-4</v>
      </c>
      <c r="F5" s="1457"/>
      <c r="G5" s="1458"/>
      <c r="H5" s="2081"/>
      <c r="I5" s="2082"/>
      <c r="J5" s="2082"/>
      <c r="K5" s="1462">
        <v>5000</v>
      </c>
      <c r="L5" s="1458">
        <v>1</v>
      </c>
      <c r="M5" s="2081">
        <v>41214</v>
      </c>
      <c r="N5" s="2082">
        <v>48</v>
      </c>
      <c r="O5" s="2081">
        <v>41358</v>
      </c>
      <c r="P5" s="1462">
        <v>5000</v>
      </c>
      <c r="Q5" s="1458">
        <v>1</v>
      </c>
      <c r="R5" s="2081">
        <v>41518</v>
      </c>
      <c r="S5" s="2082">
        <v>48</v>
      </c>
      <c r="T5" s="2081">
        <v>41358</v>
      </c>
      <c r="U5" s="1462">
        <v>10000</v>
      </c>
      <c r="V5" s="1458">
        <v>1</v>
      </c>
      <c r="W5" s="2081">
        <v>41964</v>
      </c>
      <c r="X5" s="2082">
        <v>48</v>
      </c>
      <c r="Y5" s="2081">
        <v>41977</v>
      </c>
      <c r="Z5" s="1462">
        <v>10000</v>
      </c>
      <c r="AA5" s="1463">
        <v>3.5</v>
      </c>
      <c r="AB5" s="2083">
        <v>42360</v>
      </c>
      <c r="AC5" s="2082">
        <v>48</v>
      </c>
      <c r="AD5" s="2081">
        <v>42380</v>
      </c>
      <c r="AE5" s="2076"/>
      <c r="AF5" s="2076"/>
      <c r="AG5" s="2076"/>
      <c r="AH5" s="2076"/>
      <c r="AI5" s="2076"/>
      <c r="AJ5" s="1457"/>
      <c r="AK5" s="2076"/>
      <c r="AL5" s="2083"/>
      <c r="AM5" s="2082"/>
      <c r="AN5" s="2082"/>
      <c r="AO5" s="1457">
        <v>1000</v>
      </c>
      <c r="AP5" s="2086">
        <v>7</v>
      </c>
      <c r="AQ5" s="2083">
        <v>42734</v>
      </c>
      <c r="AR5" s="2082">
        <v>48</v>
      </c>
      <c r="AS5" s="2081">
        <v>42800</v>
      </c>
      <c r="AT5" s="2076"/>
      <c r="AU5" s="2076"/>
      <c r="AV5" s="2076"/>
      <c r="AW5" s="2082"/>
      <c r="AX5" s="2082"/>
      <c r="AY5" s="1457">
        <v>1000</v>
      </c>
      <c r="AZ5" s="1463">
        <v>1</v>
      </c>
      <c r="BA5" s="2083">
        <v>43098</v>
      </c>
      <c r="BB5" s="2087">
        <v>48</v>
      </c>
      <c r="BC5" s="2085">
        <v>43107</v>
      </c>
      <c r="BF5" s="2088"/>
    </row>
    <row r="6" spans="1:58">
      <c r="A6" s="2076" t="s">
        <v>2947</v>
      </c>
      <c r="B6" s="2077" t="s">
        <v>2948</v>
      </c>
      <c r="C6" s="2078"/>
      <c r="D6" s="2079">
        <f t="shared" si="0"/>
        <v>170000</v>
      </c>
      <c r="E6" s="2080">
        <v>3.4352807473410317E-3</v>
      </c>
      <c r="F6" s="1462"/>
      <c r="G6" s="1458"/>
      <c r="H6" s="2081"/>
      <c r="I6" s="2082"/>
      <c r="J6" s="2082"/>
      <c r="K6" s="1457"/>
      <c r="L6" s="1461"/>
      <c r="M6" s="2081"/>
      <c r="N6" s="2082"/>
      <c r="O6" s="2082"/>
      <c r="P6" s="1462"/>
      <c r="Q6" s="1461"/>
      <c r="R6" s="2081"/>
      <c r="S6" s="2082"/>
      <c r="T6" s="2082"/>
      <c r="U6" s="1462">
        <v>120000</v>
      </c>
      <c r="V6" s="1458">
        <v>1</v>
      </c>
      <c r="W6" s="2081">
        <v>41964</v>
      </c>
      <c r="X6" s="2082">
        <v>48</v>
      </c>
      <c r="Y6" s="2081">
        <v>41977</v>
      </c>
      <c r="Z6" s="1462">
        <v>25000</v>
      </c>
      <c r="AA6" s="1463">
        <v>3.5</v>
      </c>
      <c r="AB6" s="2083">
        <v>42360</v>
      </c>
      <c r="AC6" s="2082">
        <v>48</v>
      </c>
      <c r="AD6" s="2081">
        <v>42380</v>
      </c>
      <c r="AE6" s="2084">
        <v>25000</v>
      </c>
      <c r="AF6" s="2076">
        <v>6</v>
      </c>
      <c r="AG6" s="2085">
        <v>42488</v>
      </c>
      <c r="AH6" s="2082">
        <v>48</v>
      </c>
      <c r="AI6" s="2081">
        <v>42570</v>
      </c>
      <c r="AJ6" s="1457"/>
      <c r="AK6" s="2076"/>
      <c r="AL6" s="2083"/>
      <c r="AM6" s="2082"/>
      <c r="AN6" s="2082"/>
      <c r="AO6" s="1457"/>
      <c r="AP6" s="2086"/>
      <c r="AQ6" s="2083"/>
      <c r="AR6" s="2082"/>
      <c r="AS6" s="2082"/>
      <c r="AT6" s="2076"/>
      <c r="AU6" s="2076"/>
      <c r="AV6" s="2076"/>
      <c r="AW6" s="2082"/>
      <c r="AX6" s="2082"/>
      <c r="AY6" s="1457"/>
      <c r="AZ6" s="1463"/>
      <c r="BA6" s="2083"/>
      <c r="BB6" s="2087"/>
      <c r="BC6" s="2085"/>
      <c r="BF6" s="2088"/>
    </row>
    <row r="7" spans="1:58">
      <c r="A7" s="2076" t="s">
        <v>1969</v>
      </c>
      <c r="B7" s="2077" t="s">
        <v>1970</v>
      </c>
      <c r="C7" s="2078" t="s">
        <v>2949</v>
      </c>
      <c r="D7" s="2079">
        <f t="shared" si="0"/>
        <v>135000</v>
      </c>
      <c r="E7" s="2080">
        <v>2.7280170640649371E-3</v>
      </c>
      <c r="F7" s="1462">
        <v>50000</v>
      </c>
      <c r="G7" s="1458">
        <v>1</v>
      </c>
      <c r="H7" s="2081">
        <v>40483</v>
      </c>
      <c r="I7" s="2082">
        <v>48</v>
      </c>
      <c r="J7" s="2081">
        <v>41529</v>
      </c>
      <c r="K7" s="1462">
        <v>20000</v>
      </c>
      <c r="L7" s="1458">
        <v>1</v>
      </c>
      <c r="M7" s="2081">
        <v>41214</v>
      </c>
      <c r="N7" s="2082">
        <v>48</v>
      </c>
      <c r="O7" s="2081">
        <v>41358</v>
      </c>
      <c r="P7" s="1462">
        <v>10000</v>
      </c>
      <c r="Q7" s="1458">
        <v>1</v>
      </c>
      <c r="R7" s="2081">
        <v>41518</v>
      </c>
      <c r="S7" s="2082">
        <v>48</v>
      </c>
      <c r="T7" s="2081">
        <v>41358</v>
      </c>
      <c r="U7" s="1462">
        <v>30000</v>
      </c>
      <c r="V7" s="1458">
        <v>1</v>
      </c>
      <c r="W7" s="2081">
        <v>41964</v>
      </c>
      <c r="X7" s="2082">
        <v>48</v>
      </c>
      <c r="Y7" s="2081">
        <v>41977</v>
      </c>
      <c r="Z7" s="1462">
        <v>20000</v>
      </c>
      <c r="AA7" s="1463">
        <v>3.5</v>
      </c>
      <c r="AB7" s="2083">
        <v>42360</v>
      </c>
      <c r="AC7" s="2082">
        <v>48</v>
      </c>
      <c r="AD7" s="2081">
        <v>42380</v>
      </c>
      <c r="AE7" s="2076"/>
      <c r="AF7" s="2076"/>
      <c r="AG7" s="2076"/>
      <c r="AH7" s="2076"/>
      <c r="AI7" s="2076"/>
      <c r="AJ7" s="1457"/>
      <c r="AK7" s="2076"/>
      <c r="AL7" s="2083"/>
      <c r="AM7" s="2082"/>
      <c r="AN7" s="2082"/>
      <c r="AO7" s="1457"/>
      <c r="AP7" s="2086"/>
      <c r="AQ7" s="2083"/>
      <c r="AR7" s="2082"/>
      <c r="AS7" s="2082"/>
      <c r="AT7" s="2076"/>
      <c r="AU7" s="2076"/>
      <c r="AV7" s="2076"/>
      <c r="AW7" s="2082"/>
      <c r="AX7" s="2082"/>
      <c r="AY7" s="1457">
        <v>5000</v>
      </c>
      <c r="AZ7" s="1463"/>
      <c r="BA7" s="2083">
        <v>43098</v>
      </c>
      <c r="BB7" s="2087">
        <v>48</v>
      </c>
      <c r="BC7" s="2085">
        <v>43107</v>
      </c>
      <c r="BF7" s="2088"/>
    </row>
    <row r="8" spans="1:58">
      <c r="A8" s="2076" t="s">
        <v>1972</v>
      </c>
      <c r="B8" s="2089" t="s">
        <v>2950</v>
      </c>
      <c r="C8" s="2078" t="s">
        <v>2951</v>
      </c>
      <c r="D8" s="2079">
        <f t="shared" si="0"/>
        <v>140000</v>
      </c>
      <c r="E8" s="2080">
        <v>2.829054733104379E-3</v>
      </c>
      <c r="F8" s="1462"/>
      <c r="G8" s="1458"/>
      <c r="H8" s="2081"/>
      <c r="I8" s="2082"/>
      <c r="J8" s="2082"/>
      <c r="K8" s="1462">
        <v>10000</v>
      </c>
      <c r="L8" s="1458">
        <v>1</v>
      </c>
      <c r="M8" s="2081">
        <v>41214</v>
      </c>
      <c r="N8" s="2082">
        <v>48</v>
      </c>
      <c r="O8" s="2081">
        <v>41358</v>
      </c>
      <c r="P8" s="1462">
        <v>10000</v>
      </c>
      <c r="Q8" s="1458">
        <v>1</v>
      </c>
      <c r="R8" s="2081">
        <v>41518</v>
      </c>
      <c r="S8" s="2082">
        <v>48</v>
      </c>
      <c r="T8" s="2081">
        <v>41358</v>
      </c>
      <c r="U8" s="1462">
        <v>20000</v>
      </c>
      <c r="V8" s="1458">
        <v>1</v>
      </c>
      <c r="W8" s="2081">
        <v>41964</v>
      </c>
      <c r="X8" s="2082">
        <v>48</v>
      </c>
      <c r="Y8" s="2081">
        <v>41977</v>
      </c>
      <c r="Z8" s="1462">
        <v>30000</v>
      </c>
      <c r="AA8" s="1463">
        <v>3.5</v>
      </c>
      <c r="AB8" s="2083">
        <v>42360</v>
      </c>
      <c r="AC8" s="2082">
        <v>48</v>
      </c>
      <c r="AD8" s="2081">
        <v>42380</v>
      </c>
      <c r="AE8" s="2076"/>
      <c r="AF8" s="2076"/>
      <c r="AG8" s="2076"/>
      <c r="AH8" s="2076"/>
      <c r="AI8" s="2076"/>
      <c r="AJ8" s="1457"/>
      <c r="AK8" s="2076"/>
      <c r="AL8" s="2083"/>
      <c r="AM8" s="2082"/>
      <c r="AN8" s="2082"/>
      <c r="AO8" s="1457">
        <v>40000</v>
      </c>
      <c r="AP8" s="2086">
        <v>7</v>
      </c>
      <c r="AQ8" s="2083">
        <v>42734</v>
      </c>
      <c r="AR8" s="2082">
        <v>48</v>
      </c>
      <c r="AS8" s="2081">
        <v>42800</v>
      </c>
      <c r="AT8" s="2076"/>
      <c r="AU8" s="2076"/>
      <c r="AV8" s="2076"/>
      <c r="AW8" s="2082"/>
      <c r="AX8" s="2082"/>
      <c r="AY8" s="1457">
        <v>30000</v>
      </c>
      <c r="AZ8" s="1463">
        <v>1</v>
      </c>
      <c r="BA8" s="2083">
        <v>43098</v>
      </c>
      <c r="BB8" s="2087">
        <v>48</v>
      </c>
      <c r="BC8" s="2085">
        <v>43107</v>
      </c>
      <c r="BF8" s="2088"/>
    </row>
    <row r="9" spans="1:58">
      <c r="A9" s="2076" t="s">
        <v>1975</v>
      </c>
      <c r="B9" s="2077" t="s">
        <v>2952</v>
      </c>
      <c r="C9" s="2078" t="s">
        <v>2953</v>
      </c>
      <c r="D9" s="2079">
        <f t="shared" si="0"/>
        <v>46000</v>
      </c>
      <c r="E9" s="2080">
        <v>9.2954655516286734E-4</v>
      </c>
      <c r="F9" s="1457"/>
      <c r="G9" s="1458"/>
      <c r="H9" s="2081"/>
      <c r="I9" s="2082"/>
      <c r="J9" s="2082"/>
      <c r="K9" s="1462">
        <v>5000</v>
      </c>
      <c r="L9" s="1461">
        <v>1</v>
      </c>
      <c r="M9" s="2081">
        <v>41214</v>
      </c>
      <c r="N9" s="2082">
        <v>48</v>
      </c>
      <c r="O9" s="2081">
        <v>41358</v>
      </c>
      <c r="P9" s="1462">
        <v>5000</v>
      </c>
      <c r="Q9" s="1461">
        <v>1</v>
      </c>
      <c r="R9" s="2081">
        <v>41518</v>
      </c>
      <c r="S9" s="2082">
        <v>48</v>
      </c>
      <c r="T9" s="2081">
        <v>41358</v>
      </c>
      <c r="U9" s="1462">
        <v>20000</v>
      </c>
      <c r="V9" s="1458">
        <v>1</v>
      </c>
      <c r="W9" s="2081">
        <v>41964</v>
      </c>
      <c r="X9" s="2082">
        <v>48</v>
      </c>
      <c r="Y9" s="2081">
        <v>41977</v>
      </c>
      <c r="Z9" s="1462">
        <v>10000</v>
      </c>
      <c r="AA9" s="1463">
        <v>3.5</v>
      </c>
      <c r="AB9" s="2083">
        <v>42360</v>
      </c>
      <c r="AC9" s="2082">
        <v>48</v>
      </c>
      <c r="AD9" s="2081">
        <v>42380</v>
      </c>
      <c r="AE9" s="2076"/>
      <c r="AF9" s="2076"/>
      <c r="AG9" s="2076"/>
      <c r="AH9" s="2076"/>
      <c r="AI9" s="2076"/>
      <c r="AJ9" s="1457"/>
      <c r="AK9" s="2076"/>
      <c r="AL9" s="2083"/>
      <c r="AM9" s="2082"/>
      <c r="AN9" s="2082"/>
      <c r="AO9" s="1457">
        <v>1000</v>
      </c>
      <c r="AP9" s="2086">
        <v>7</v>
      </c>
      <c r="AQ9" s="2083">
        <v>42734</v>
      </c>
      <c r="AR9" s="2082">
        <v>48</v>
      </c>
      <c r="AS9" s="2081">
        <v>42800</v>
      </c>
      <c r="AT9" s="2076"/>
      <c r="AU9" s="2076"/>
      <c r="AV9" s="2076"/>
      <c r="AW9" s="2082"/>
      <c r="AX9" s="2082"/>
      <c r="AY9" s="1457">
        <v>5000</v>
      </c>
      <c r="AZ9" s="1463">
        <v>1</v>
      </c>
      <c r="BA9" s="2083">
        <v>43098</v>
      </c>
      <c r="BB9" s="2087">
        <v>48</v>
      </c>
      <c r="BC9" s="2085">
        <v>43107</v>
      </c>
      <c r="BF9" s="2088"/>
    </row>
    <row r="10" spans="1:58">
      <c r="A10" s="2076" t="s">
        <v>1978</v>
      </c>
      <c r="B10" s="2077" t="s">
        <v>2954</v>
      </c>
      <c r="C10" s="2078" t="s">
        <v>2955</v>
      </c>
      <c r="D10" s="2079">
        <f t="shared" si="0"/>
        <v>32000</v>
      </c>
      <c r="E10" s="2080">
        <v>6.4664108185242945E-4</v>
      </c>
      <c r="F10" s="1457"/>
      <c r="G10" s="1458"/>
      <c r="H10" s="2081"/>
      <c r="I10" s="2082"/>
      <c r="J10" s="2082"/>
      <c r="K10" s="1462">
        <v>5000</v>
      </c>
      <c r="L10" s="1461">
        <v>1</v>
      </c>
      <c r="M10" s="2081">
        <v>41214</v>
      </c>
      <c r="N10" s="2082">
        <v>48</v>
      </c>
      <c r="O10" s="2081">
        <v>41358</v>
      </c>
      <c r="P10" s="1462">
        <v>5000</v>
      </c>
      <c r="Q10" s="1461">
        <v>1</v>
      </c>
      <c r="R10" s="2081">
        <v>41518</v>
      </c>
      <c r="S10" s="2082">
        <v>48</v>
      </c>
      <c r="T10" s="2081">
        <v>41358</v>
      </c>
      <c r="U10" s="1462">
        <v>10000</v>
      </c>
      <c r="V10" s="1458">
        <v>1</v>
      </c>
      <c r="W10" s="2081">
        <v>41964</v>
      </c>
      <c r="X10" s="2082">
        <v>48</v>
      </c>
      <c r="Y10" s="2081">
        <v>41977</v>
      </c>
      <c r="Z10" s="1462">
        <v>10000</v>
      </c>
      <c r="AA10" s="1463">
        <v>3.5</v>
      </c>
      <c r="AB10" s="2083">
        <v>42360</v>
      </c>
      <c r="AC10" s="2082">
        <v>48</v>
      </c>
      <c r="AD10" s="2081">
        <v>42380</v>
      </c>
      <c r="AE10" s="2076"/>
      <c r="AF10" s="2076"/>
      <c r="AG10" s="2076"/>
      <c r="AH10" s="2076"/>
      <c r="AI10" s="2076"/>
      <c r="AJ10" s="1457"/>
      <c r="AK10" s="2076"/>
      <c r="AL10" s="2083"/>
      <c r="AM10" s="2082"/>
      <c r="AN10" s="2082"/>
      <c r="AO10" s="1457">
        <v>1000</v>
      </c>
      <c r="AP10" s="2086">
        <v>7</v>
      </c>
      <c r="AQ10" s="2083">
        <v>42734</v>
      </c>
      <c r="AR10" s="2082">
        <v>48</v>
      </c>
      <c r="AS10" s="2081">
        <v>42800</v>
      </c>
      <c r="AT10" s="2076"/>
      <c r="AU10" s="2076"/>
      <c r="AV10" s="2076"/>
      <c r="AW10" s="2082"/>
      <c r="AX10" s="2082"/>
      <c r="AY10" s="1457">
        <v>1000</v>
      </c>
      <c r="AZ10" s="1463">
        <v>1</v>
      </c>
      <c r="BA10" s="2083">
        <v>43098</v>
      </c>
      <c r="BB10" s="2087">
        <v>48</v>
      </c>
      <c r="BC10" s="2085">
        <v>43107</v>
      </c>
      <c r="BF10" s="2088"/>
    </row>
    <row r="11" spans="1:58">
      <c r="A11" s="2076" t="s">
        <v>1981</v>
      </c>
      <c r="B11" s="2077" t="s">
        <v>1982</v>
      </c>
      <c r="C11" s="2078" t="s">
        <v>2956</v>
      </c>
      <c r="D11" s="2079">
        <f t="shared" si="0"/>
        <v>280000</v>
      </c>
      <c r="E11" s="2080">
        <v>5.6581094662087579E-3</v>
      </c>
      <c r="F11" s="1462">
        <v>50000</v>
      </c>
      <c r="G11" s="1458">
        <v>1</v>
      </c>
      <c r="H11" s="2085">
        <v>41122</v>
      </c>
      <c r="I11" s="2082">
        <v>48</v>
      </c>
      <c r="J11" s="2081">
        <v>41529</v>
      </c>
      <c r="K11" s="1462">
        <v>30000</v>
      </c>
      <c r="L11" s="1461">
        <v>1</v>
      </c>
      <c r="M11" s="2081">
        <v>41214</v>
      </c>
      <c r="N11" s="2082">
        <v>48</v>
      </c>
      <c r="O11" s="2081">
        <v>41358</v>
      </c>
      <c r="P11" s="1462">
        <v>30000</v>
      </c>
      <c r="Q11" s="1461">
        <v>1</v>
      </c>
      <c r="R11" s="2081">
        <v>41518</v>
      </c>
      <c r="S11" s="2082">
        <v>48</v>
      </c>
      <c r="T11" s="2081">
        <v>41358</v>
      </c>
      <c r="U11" s="1462">
        <v>50000</v>
      </c>
      <c r="V11" s="1458">
        <v>1</v>
      </c>
      <c r="W11" s="2081">
        <v>41964</v>
      </c>
      <c r="X11" s="2082">
        <v>48</v>
      </c>
      <c r="Y11" s="2081">
        <v>41977</v>
      </c>
      <c r="Z11" s="1462">
        <v>50000</v>
      </c>
      <c r="AA11" s="1463">
        <v>3.5</v>
      </c>
      <c r="AB11" s="2083">
        <v>42360</v>
      </c>
      <c r="AC11" s="2082">
        <v>48</v>
      </c>
      <c r="AD11" s="2081">
        <v>42380</v>
      </c>
      <c r="AE11" s="2076"/>
      <c r="AF11" s="2076"/>
      <c r="AG11" s="2076"/>
      <c r="AH11" s="2076"/>
      <c r="AI11" s="2076"/>
      <c r="AJ11" s="1457"/>
      <c r="AK11" s="2076"/>
      <c r="AL11" s="2083"/>
      <c r="AM11" s="2082"/>
      <c r="AN11" s="2082"/>
      <c r="AO11" s="1457">
        <v>40000</v>
      </c>
      <c r="AP11" s="2086">
        <v>7</v>
      </c>
      <c r="AQ11" s="2083">
        <v>42734</v>
      </c>
      <c r="AR11" s="2082">
        <v>48</v>
      </c>
      <c r="AS11" s="2081">
        <v>42800</v>
      </c>
      <c r="AT11" s="2076"/>
      <c r="AU11" s="2076"/>
      <c r="AV11" s="2076"/>
      <c r="AW11" s="2082"/>
      <c r="AX11" s="2082"/>
      <c r="AY11" s="1457">
        <v>30000</v>
      </c>
      <c r="AZ11" s="1463">
        <v>1</v>
      </c>
      <c r="BA11" s="2083">
        <v>43098</v>
      </c>
      <c r="BB11" s="2087">
        <v>48</v>
      </c>
      <c r="BC11" s="2085">
        <v>43107</v>
      </c>
      <c r="BF11" s="2088"/>
    </row>
    <row r="12" spans="1:58">
      <c r="A12" s="2076" t="s">
        <v>1984</v>
      </c>
      <c r="B12" s="2077" t="s">
        <v>1985</v>
      </c>
      <c r="C12" s="2078" t="s">
        <v>2957</v>
      </c>
      <c r="D12" s="2079">
        <f t="shared" si="0"/>
        <v>535000</v>
      </c>
      <c r="E12" s="2080">
        <v>1.0811030587220305E-2</v>
      </c>
      <c r="F12" s="1462">
        <v>50000</v>
      </c>
      <c r="G12" s="1458">
        <v>1</v>
      </c>
      <c r="H12" s="2081">
        <v>41306</v>
      </c>
      <c r="I12" s="2082">
        <v>48</v>
      </c>
      <c r="J12" s="2081">
        <v>41529</v>
      </c>
      <c r="K12" s="1462"/>
      <c r="L12" s="1461"/>
      <c r="M12" s="2081"/>
      <c r="N12" s="2082"/>
      <c r="O12" s="2082"/>
      <c r="P12" s="1462">
        <v>50000</v>
      </c>
      <c r="Q12" s="1461">
        <v>1</v>
      </c>
      <c r="R12" s="2081">
        <v>41518</v>
      </c>
      <c r="S12" s="2082">
        <v>48</v>
      </c>
      <c r="T12" s="2081">
        <v>41358</v>
      </c>
      <c r="U12" s="1462">
        <v>100000</v>
      </c>
      <c r="V12" s="1461">
        <v>1</v>
      </c>
      <c r="W12" s="2081">
        <v>41964</v>
      </c>
      <c r="X12" s="2082">
        <v>48</v>
      </c>
      <c r="Y12" s="2081">
        <v>41977</v>
      </c>
      <c r="Z12" s="1462">
        <v>225000</v>
      </c>
      <c r="AA12" s="1463">
        <v>3.5</v>
      </c>
      <c r="AB12" s="2083">
        <v>42360</v>
      </c>
      <c r="AC12" s="2082">
        <v>48</v>
      </c>
      <c r="AD12" s="2081">
        <v>42380</v>
      </c>
      <c r="AE12" s="2076"/>
      <c r="AF12" s="2076"/>
      <c r="AG12" s="2076"/>
      <c r="AH12" s="2076"/>
      <c r="AI12" s="2076"/>
      <c r="AJ12" s="1457"/>
      <c r="AK12" s="2076"/>
      <c r="AL12" s="2083"/>
      <c r="AM12" s="2082"/>
      <c r="AN12" s="2082"/>
      <c r="AO12" s="1457">
        <v>80000</v>
      </c>
      <c r="AP12" s="2086">
        <v>7</v>
      </c>
      <c r="AQ12" s="2083">
        <v>42734</v>
      </c>
      <c r="AR12" s="2082">
        <v>48</v>
      </c>
      <c r="AS12" s="2081">
        <v>42800</v>
      </c>
      <c r="AT12" s="2076"/>
      <c r="AU12" s="2076"/>
      <c r="AV12" s="2076"/>
      <c r="AW12" s="2082"/>
      <c r="AX12" s="2082"/>
      <c r="AY12" s="1457">
        <v>30000</v>
      </c>
      <c r="AZ12" s="1463">
        <v>1</v>
      </c>
      <c r="BA12" s="2083">
        <v>43098</v>
      </c>
      <c r="BB12" s="2087">
        <v>48</v>
      </c>
      <c r="BC12" s="2085">
        <v>43107</v>
      </c>
      <c r="BF12" s="2088"/>
    </row>
    <row r="13" spans="1:58">
      <c r="A13" s="2076" t="s">
        <v>1987</v>
      </c>
      <c r="B13" s="2089" t="s">
        <v>2958</v>
      </c>
      <c r="C13" s="2090" t="s">
        <v>2959</v>
      </c>
      <c r="D13" s="2079">
        <f t="shared" si="0"/>
        <v>105000</v>
      </c>
      <c r="E13" s="2080">
        <v>2.1217910498282843E-3</v>
      </c>
      <c r="F13" s="1457"/>
      <c r="G13" s="1458"/>
      <c r="H13" s="2081"/>
      <c r="I13" s="2082"/>
      <c r="J13" s="2082"/>
      <c r="K13" s="1462"/>
      <c r="L13" s="1461"/>
      <c r="M13" s="2081"/>
      <c r="N13" s="2082"/>
      <c r="O13" s="2082"/>
      <c r="P13" s="1462">
        <v>10000</v>
      </c>
      <c r="Q13" s="1461">
        <v>1</v>
      </c>
      <c r="R13" s="2081">
        <v>41518</v>
      </c>
      <c r="S13" s="2082">
        <v>48</v>
      </c>
      <c r="T13" s="2081">
        <v>41358</v>
      </c>
      <c r="U13" s="1462">
        <v>30000</v>
      </c>
      <c r="V13" s="1461">
        <v>1</v>
      </c>
      <c r="W13" s="2081">
        <v>41964</v>
      </c>
      <c r="X13" s="2082">
        <v>48</v>
      </c>
      <c r="Y13" s="2081">
        <v>41977</v>
      </c>
      <c r="Z13" s="1462">
        <v>20000</v>
      </c>
      <c r="AA13" s="1463">
        <v>3.5</v>
      </c>
      <c r="AB13" s="2083">
        <v>42360</v>
      </c>
      <c r="AC13" s="2082">
        <v>48</v>
      </c>
      <c r="AD13" s="2081">
        <v>42380</v>
      </c>
      <c r="AE13" s="2076"/>
      <c r="AF13" s="2076"/>
      <c r="AG13" s="2076"/>
      <c r="AH13" s="2076"/>
      <c r="AI13" s="2076"/>
      <c r="AJ13" s="1457"/>
      <c r="AK13" s="2076"/>
      <c r="AL13" s="2083"/>
      <c r="AM13" s="2082"/>
      <c r="AN13" s="2082"/>
      <c r="AO13" s="1457">
        <v>25000</v>
      </c>
      <c r="AP13" s="2086">
        <v>7</v>
      </c>
      <c r="AQ13" s="2083">
        <v>42734</v>
      </c>
      <c r="AR13" s="2082">
        <v>48</v>
      </c>
      <c r="AS13" s="2081">
        <v>42800</v>
      </c>
      <c r="AT13" s="2076"/>
      <c r="AU13" s="2076"/>
      <c r="AV13" s="2076"/>
      <c r="AW13" s="2082"/>
      <c r="AX13" s="2082"/>
      <c r="AY13" s="1457">
        <v>20000</v>
      </c>
      <c r="AZ13" s="1463">
        <v>1</v>
      </c>
      <c r="BA13" s="2083">
        <v>43098</v>
      </c>
      <c r="BB13" s="2087">
        <v>48</v>
      </c>
      <c r="BC13" s="2085">
        <v>43107</v>
      </c>
      <c r="BF13" s="2088"/>
    </row>
    <row r="14" spans="1:58">
      <c r="A14" s="2076" t="s">
        <v>1990</v>
      </c>
      <c r="B14" s="2077" t="s">
        <v>2960</v>
      </c>
      <c r="C14" s="2078" t="s">
        <v>2961</v>
      </c>
      <c r="D14" s="2079">
        <f t="shared" si="0"/>
        <v>125000</v>
      </c>
      <c r="E14" s="2080">
        <v>2.5259417259860528E-3</v>
      </c>
      <c r="F14" s="1457"/>
      <c r="G14" s="1458"/>
      <c r="H14" s="2081"/>
      <c r="I14" s="2082"/>
      <c r="J14" s="2082"/>
      <c r="K14" s="1462"/>
      <c r="L14" s="1461"/>
      <c r="M14" s="2081"/>
      <c r="N14" s="2082"/>
      <c r="O14" s="2082"/>
      <c r="P14" s="1462"/>
      <c r="Q14" s="1461"/>
      <c r="R14" s="2081"/>
      <c r="S14" s="2082"/>
      <c r="T14" s="2082"/>
      <c r="U14" s="1462">
        <v>30000</v>
      </c>
      <c r="V14" s="1461">
        <v>1</v>
      </c>
      <c r="W14" s="2081">
        <v>41964</v>
      </c>
      <c r="X14" s="2082">
        <v>48</v>
      </c>
      <c r="Y14" s="2081">
        <v>41977</v>
      </c>
      <c r="Z14" s="1462">
        <v>30000</v>
      </c>
      <c r="AA14" s="1463">
        <v>3.5</v>
      </c>
      <c r="AB14" s="2083">
        <v>42360</v>
      </c>
      <c r="AC14" s="2082">
        <v>48</v>
      </c>
      <c r="AD14" s="2081">
        <v>42380</v>
      </c>
      <c r="AE14" s="2076"/>
      <c r="AF14" s="2076"/>
      <c r="AG14" s="2076"/>
      <c r="AH14" s="2076"/>
      <c r="AI14" s="2076"/>
      <c r="AJ14" s="1457"/>
      <c r="AK14" s="2076"/>
      <c r="AL14" s="2083"/>
      <c r="AM14" s="2082"/>
      <c r="AN14" s="2082"/>
      <c r="AO14" s="1457">
        <v>40000</v>
      </c>
      <c r="AP14" s="2086">
        <v>7</v>
      </c>
      <c r="AQ14" s="2083">
        <v>42734</v>
      </c>
      <c r="AR14" s="2082">
        <v>48</v>
      </c>
      <c r="AS14" s="2081">
        <v>42800</v>
      </c>
      <c r="AT14" s="2076"/>
      <c r="AU14" s="2076"/>
      <c r="AV14" s="2076"/>
      <c r="AW14" s="2082"/>
      <c r="AX14" s="2082"/>
      <c r="AY14" s="1457">
        <v>25000</v>
      </c>
      <c r="AZ14" s="1463">
        <v>1</v>
      </c>
      <c r="BA14" s="2083">
        <v>43098</v>
      </c>
      <c r="BB14" s="2087">
        <v>48</v>
      </c>
      <c r="BC14" s="2085">
        <v>43107</v>
      </c>
      <c r="BF14" s="2088"/>
    </row>
    <row r="15" spans="1:58">
      <c r="A15" s="2076" t="s">
        <v>1993</v>
      </c>
      <c r="B15" s="2077" t="s">
        <v>2962</v>
      </c>
      <c r="C15" s="2078" t="s">
        <v>2963</v>
      </c>
      <c r="D15" s="2079">
        <f t="shared" si="0"/>
        <v>29000</v>
      </c>
      <c r="E15" s="2080">
        <v>5.8601848042876426E-4</v>
      </c>
      <c r="F15" s="1457"/>
      <c r="G15" s="1458"/>
      <c r="H15" s="2081"/>
      <c r="I15" s="2082"/>
      <c r="J15" s="2082"/>
      <c r="K15" s="1462"/>
      <c r="L15" s="1461"/>
      <c r="M15" s="2081"/>
      <c r="N15" s="2082"/>
      <c r="O15" s="2082"/>
      <c r="P15" s="1462"/>
      <c r="Q15" s="1461"/>
      <c r="R15" s="2081"/>
      <c r="S15" s="2082"/>
      <c r="T15" s="2082"/>
      <c r="U15" s="1462">
        <v>10000</v>
      </c>
      <c r="V15" s="1461">
        <v>1</v>
      </c>
      <c r="W15" s="2081">
        <v>41964</v>
      </c>
      <c r="X15" s="2082">
        <v>48</v>
      </c>
      <c r="Y15" s="2081">
        <v>41977</v>
      </c>
      <c r="Z15" s="1462">
        <v>10000</v>
      </c>
      <c r="AA15" s="1463">
        <v>3.5</v>
      </c>
      <c r="AB15" s="2083">
        <v>42360</v>
      </c>
      <c r="AC15" s="2082">
        <v>48</v>
      </c>
      <c r="AD15" s="2081">
        <v>42380</v>
      </c>
      <c r="AE15" s="2076"/>
      <c r="AF15" s="2076"/>
      <c r="AG15" s="2076"/>
      <c r="AH15" s="2076"/>
      <c r="AI15" s="2076"/>
      <c r="AJ15" s="1457"/>
      <c r="AK15" s="2076"/>
      <c r="AL15" s="2083"/>
      <c r="AM15" s="2082"/>
      <c r="AN15" s="2082"/>
      <c r="AO15" s="1457">
        <v>4000</v>
      </c>
      <c r="AP15" s="2086">
        <v>7</v>
      </c>
      <c r="AQ15" s="2083">
        <v>42734</v>
      </c>
      <c r="AR15" s="2082">
        <v>48</v>
      </c>
      <c r="AS15" s="2081">
        <v>42800</v>
      </c>
      <c r="AT15" s="2076"/>
      <c r="AU15" s="2076"/>
      <c r="AV15" s="2076"/>
      <c r="AW15" s="2082"/>
      <c r="AX15" s="2082"/>
      <c r="AY15" s="1457">
        <v>5000</v>
      </c>
      <c r="AZ15" s="1463">
        <v>1</v>
      </c>
      <c r="BA15" s="2083">
        <v>43098</v>
      </c>
      <c r="BB15" s="2087">
        <v>48</v>
      </c>
      <c r="BC15" s="2085">
        <v>43107</v>
      </c>
      <c r="BF15" s="2088"/>
    </row>
    <row r="16" spans="1:58">
      <c r="A16" s="2076" t="s">
        <v>1996</v>
      </c>
      <c r="B16" s="2077" t="s">
        <v>2964</v>
      </c>
      <c r="C16" s="2078" t="s">
        <v>2965</v>
      </c>
      <c r="D16" s="2079">
        <f t="shared" si="0"/>
        <v>33000</v>
      </c>
      <c r="E16" s="2080">
        <v>6.6684861566031792E-4</v>
      </c>
      <c r="F16" s="1457"/>
      <c r="G16" s="1458"/>
      <c r="H16" s="2081"/>
      <c r="I16" s="2082"/>
      <c r="J16" s="2082"/>
      <c r="K16" s="1462"/>
      <c r="L16" s="1461"/>
      <c r="M16" s="2081"/>
      <c r="N16" s="2082"/>
      <c r="O16" s="2082"/>
      <c r="P16" s="1462"/>
      <c r="Q16" s="1461"/>
      <c r="R16" s="2081"/>
      <c r="S16" s="2082"/>
      <c r="T16" s="2082"/>
      <c r="U16" s="1462">
        <v>10000</v>
      </c>
      <c r="V16" s="1461">
        <v>1</v>
      </c>
      <c r="W16" s="2081">
        <v>41964</v>
      </c>
      <c r="X16" s="2082">
        <v>48</v>
      </c>
      <c r="Y16" s="2081">
        <v>41977</v>
      </c>
      <c r="Z16" s="1462">
        <v>10000</v>
      </c>
      <c r="AA16" s="1463">
        <v>3.5</v>
      </c>
      <c r="AB16" s="2083">
        <v>42360</v>
      </c>
      <c r="AC16" s="2082">
        <v>48</v>
      </c>
      <c r="AD16" s="2081">
        <v>42380</v>
      </c>
      <c r="AE16" s="2076"/>
      <c r="AF16" s="2076"/>
      <c r="AG16" s="2076"/>
      <c r="AH16" s="2076"/>
      <c r="AI16" s="2076"/>
      <c r="AJ16" s="1457"/>
      <c r="AK16" s="2076"/>
      <c r="AL16" s="2083"/>
      <c r="AM16" s="2082"/>
      <c r="AN16" s="2082"/>
      <c r="AO16" s="1457">
        <v>3000</v>
      </c>
      <c r="AP16" s="2086">
        <v>7</v>
      </c>
      <c r="AQ16" s="2083">
        <v>42734</v>
      </c>
      <c r="AR16" s="2082">
        <v>48</v>
      </c>
      <c r="AS16" s="2081">
        <v>42800</v>
      </c>
      <c r="AT16" s="2076"/>
      <c r="AU16" s="2076"/>
      <c r="AV16" s="2076"/>
      <c r="AW16" s="2082"/>
      <c r="AX16" s="2082"/>
      <c r="AY16" s="1457">
        <v>10000</v>
      </c>
      <c r="AZ16" s="1463">
        <v>1</v>
      </c>
      <c r="BA16" s="2083">
        <v>43098</v>
      </c>
      <c r="BB16" s="2087">
        <v>48</v>
      </c>
      <c r="BC16" s="2085">
        <v>43107</v>
      </c>
      <c r="BF16" s="2088"/>
    </row>
    <row r="17" spans="1:58">
      <c r="A17" s="2076" t="s">
        <v>1999</v>
      </c>
      <c r="B17" s="2077" t="s">
        <v>2966</v>
      </c>
      <c r="C17" s="2078" t="s">
        <v>2967</v>
      </c>
      <c r="D17" s="2079">
        <f t="shared" si="0"/>
        <v>100000</v>
      </c>
      <c r="E17" s="2080">
        <v>2.020753380788842E-3</v>
      </c>
      <c r="F17" s="1457"/>
      <c r="G17" s="1458"/>
      <c r="H17" s="2081"/>
      <c r="I17" s="2082"/>
      <c r="J17" s="2082"/>
      <c r="K17" s="1462"/>
      <c r="L17" s="1461"/>
      <c r="M17" s="2081"/>
      <c r="N17" s="2082"/>
      <c r="O17" s="2082"/>
      <c r="P17" s="1462"/>
      <c r="Q17" s="1461"/>
      <c r="R17" s="2081"/>
      <c r="S17" s="2082"/>
      <c r="T17" s="2082"/>
      <c r="U17" s="1462">
        <v>20000</v>
      </c>
      <c r="V17" s="1461">
        <v>1</v>
      </c>
      <c r="W17" s="2081">
        <v>41964</v>
      </c>
      <c r="X17" s="2082">
        <v>48</v>
      </c>
      <c r="Y17" s="2081">
        <v>41977</v>
      </c>
      <c r="Z17" s="1462">
        <v>20000</v>
      </c>
      <c r="AA17" s="1463">
        <v>3.5</v>
      </c>
      <c r="AB17" s="2083">
        <v>42360</v>
      </c>
      <c r="AC17" s="2082">
        <v>48</v>
      </c>
      <c r="AD17" s="2081">
        <v>42380</v>
      </c>
      <c r="AE17" s="2076"/>
      <c r="AF17" s="2076"/>
      <c r="AG17" s="2076"/>
      <c r="AH17" s="2076"/>
      <c r="AI17" s="2076"/>
      <c r="AJ17" s="1457"/>
      <c r="AK17" s="2076"/>
      <c r="AL17" s="2083"/>
      <c r="AM17" s="2082"/>
      <c r="AN17" s="2082"/>
      <c r="AO17" s="1457">
        <v>40000</v>
      </c>
      <c r="AP17" s="2086">
        <v>7</v>
      </c>
      <c r="AQ17" s="2083">
        <v>42734</v>
      </c>
      <c r="AR17" s="2082">
        <v>48</v>
      </c>
      <c r="AS17" s="2081">
        <v>42800</v>
      </c>
      <c r="AT17" s="2076"/>
      <c r="AU17" s="2076"/>
      <c r="AV17" s="2076"/>
      <c r="AW17" s="2082"/>
      <c r="AX17" s="2082"/>
      <c r="AY17" s="1457">
        <v>20000</v>
      </c>
      <c r="AZ17" s="1463">
        <v>1</v>
      </c>
      <c r="BA17" s="2083">
        <v>43098</v>
      </c>
      <c r="BB17" s="2087">
        <v>48</v>
      </c>
      <c r="BC17" s="2085">
        <v>43107</v>
      </c>
      <c r="BF17" s="2088"/>
    </row>
    <row r="18" spans="1:58">
      <c r="A18" s="2076" t="s">
        <v>2002</v>
      </c>
      <c r="B18" s="2077" t="s">
        <v>2968</v>
      </c>
      <c r="C18" s="2078" t="s">
        <v>2969</v>
      </c>
      <c r="D18" s="2079">
        <f t="shared" si="0"/>
        <v>22000</v>
      </c>
      <c r="E18" s="2080">
        <v>4.4456574377354526E-4</v>
      </c>
      <c r="F18" s="1457"/>
      <c r="G18" s="1458"/>
      <c r="H18" s="2081"/>
      <c r="I18" s="2082"/>
      <c r="J18" s="2082"/>
      <c r="K18" s="1462"/>
      <c r="L18" s="1461"/>
      <c r="M18" s="2081"/>
      <c r="N18" s="2082"/>
      <c r="O18" s="2082"/>
      <c r="P18" s="1457"/>
      <c r="Q18" s="1461"/>
      <c r="R18" s="2081"/>
      <c r="S18" s="2082"/>
      <c r="T18" s="2082"/>
      <c r="U18" s="1462">
        <v>10000</v>
      </c>
      <c r="V18" s="1461">
        <v>1</v>
      </c>
      <c r="W18" s="2081">
        <v>41964</v>
      </c>
      <c r="X18" s="2082">
        <v>48</v>
      </c>
      <c r="Y18" s="2081">
        <v>41977</v>
      </c>
      <c r="Z18" s="1462">
        <v>10000</v>
      </c>
      <c r="AA18" s="1463">
        <v>3.5</v>
      </c>
      <c r="AB18" s="2083">
        <v>42360</v>
      </c>
      <c r="AC18" s="2082">
        <v>48</v>
      </c>
      <c r="AD18" s="2081">
        <v>42380</v>
      </c>
      <c r="AE18" s="2076"/>
      <c r="AF18" s="2076"/>
      <c r="AG18" s="2076"/>
      <c r="AH18" s="2076"/>
      <c r="AI18" s="2076"/>
      <c r="AJ18" s="1457"/>
      <c r="AK18" s="2076"/>
      <c r="AL18" s="2083"/>
      <c r="AM18" s="2082"/>
      <c r="AN18" s="2082"/>
      <c r="AO18" s="1457">
        <v>1000</v>
      </c>
      <c r="AP18" s="2086">
        <v>7</v>
      </c>
      <c r="AQ18" s="2083">
        <v>42734</v>
      </c>
      <c r="AR18" s="2082">
        <v>48</v>
      </c>
      <c r="AS18" s="2081">
        <v>42800</v>
      </c>
      <c r="AT18" s="2076"/>
      <c r="AU18" s="2076"/>
      <c r="AV18" s="2076"/>
      <c r="AW18" s="2082"/>
      <c r="AX18" s="2082"/>
      <c r="AY18" s="1457">
        <v>1000</v>
      </c>
      <c r="AZ18" s="1463"/>
      <c r="BA18" s="2083">
        <v>43098</v>
      </c>
      <c r="BB18" s="2087">
        <v>48</v>
      </c>
      <c r="BC18" s="2085">
        <v>43107</v>
      </c>
      <c r="BF18" s="2088"/>
    </row>
    <row r="19" spans="1:58">
      <c r="A19" s="2076" t="s">
        <v>2005</v>
      </c>
      <c r="B19" s="2077" t="s">
        <v>2970</v>
      </c>
      <c r="C19" s="2090" t="s">
        <v>2971</v>
      </c>
      <c r="D19" s="2079">
        <f t="shared" si="0"/>
        <v>11000</v>
      </c>
      <c r="E19" s="2080">
        <v>2.2228287188677263E-4</v>
      </c>
      <c r="F19" s="1457"/>
      <c r="G19" s="1458"/>
      <c r="H19" s="2081"/>
      <c r="I19" s="2082"/>
      <c r="J19" s="2082"/>
      <c r="K19" s="1457"/>
      <c r="L19" s="1461"/>
      <c r="M19" s="2081"/>
      <c r="N19" s="2082"/>
      <c r="O19" s="2082"/>
      <c r="P19" s="1457"/>
      <c r="Q19" s="1461"/>
      <c r="R19" s="2081"/>
      <c r="S19" s="2082"/>
      <c r="T19" s="2082"/>
      <c r="U19" s="1457"/>
      <c r="V19" s="1461"/>
      <c r="W19" s="2081"/>
      <c r="X19" s="2082"/>
      <c r="Y19" s="2082"/>
      <c r="Z19" s="1462">
        <v>10000</v>
      </c>
      <c r="AA19" s="1463">
        <v>3.5</v>
      </c>
      <c r="AB19" s="2083">
        <v>42360</v>
      </c>
      <c r="AC19" s="2082">
        <v>48</v>
      </c>
      <c r="AD19" s="2081">
        <v>42380</v>
      </c>
      <c r="AE19" s="2076"/>
      <c r="AF19" s="2076"/>
      <c r="AG19" s="2076"/>
      <c r="AH19" s="2076"/>
      <c r="AI19" s="2076"/>
      <c r="AJ19" s="1457"/>
      <c r="AK19" s="2076"/>
      <c r="AL19" s="2083"/>
      <c r="AM19" s="2082"/>
      <c r="AN19" s="2082"/>
      <c r="AO19" s="1457">
        <v>1000</v>
      </c>
      <c r="AP19" s="2086">
        <v>7</v>
      </c>
      <c r="AQ19" s="2083">
        <v>42734</v>
      </c>
      <c r="AR19" s="2082">
        <v>48</v>
      </c>
      <c r="AS19" s="2081">
        <v>42800</v>
      </c>
      <c r="AT19" s="2076"/>
      <c r="AU19" s="2076"/>
      <c r="AV19" s="2076"/>
      <c r="AW19" s="2082"/>
      <c r="AX19" s="2082"/>
      <c r="AY19" s="1457">
        <v>0</v>
      </c>
      <c r="AZ19" s="1463"/>
      <c r="BA19" s="2083"/>
      <c r="BB19" s="2087"/>
      <c r="BC19" s="2085"/>
      <c r="BF19" s="2088"/>
    </row>
    <row r="20" spans="1:58">
      <c r="A20" s="2076" t="s">
        <v>2008</v>
      </c>
      <c r="B20" s="2077" t="s">
        <v>2972</v>
      </c>
      <c r="C20" s="2090" t="s">
        <v>2973</v>
      </c>
      <c r="D20" s="2079">
        <f t="shared" si="0"/>
        <v>16000</v>
      </c>
      <c r="E20" s="2080">
        <v>3.2332054092621472E-4</v>
      </c>
      <c r="F20" s="1457"/>
      <c r="G20" s="1458"/>
      <c r="H20" s="2081"/>
      <c r="I20" s="2082"/>
      <c r="J20" s="2082"/>
      <c r="K20" s="1462"/>
      <c r="L20" s="1461"/>
      <c r="M20" s="2081"/>
      <c r="N20" s="2082"/>
      <c r="O20" s="2082"/>
      <c r="P20" s="1457"/>
      <c r="Q20" s="1461"/>
      <c r="R20" s="2081"/>
      <c r="S20" s="2082"/>
      <c r="T20" s="2082"/>
      <c r="U20" s="1457"/>
      <c r="V20" s="1461"/>
      <c r="W20" s="2081"/>
      <c r="X20" s="2082"/>
      <c r="Y20" s="2082"/>
      <c r="Z20" s="1462">
        <v>10000</v>
      </c>
      <c r="AA20" s="1463">
        <v>3.5</v>
      </c>
      <c r="AB20" s="2083">
        <v>42360</v>
      </c>
      <c r="AC20" s="2082">
        <v>48</v>
      </c>
      <c r="AD20" s="2081">
        <v>42380</v>
      </c>
      <c r="AE20" s="2076"/>
      <c r="AF20" s="2076"/>
      <c r="AG20" s="2076"/>
      <c r="AH20" s="2076"/>
      <c r="AI20" s="2076"/>
      <c r="AJ20" s="1457"/>
      <c r="AK20" s="2076"/>
      <c r="AL20" s="2083"/>
      <c r="AM20" s="2082"/>
      <c r="AN20" s="2082"/>
      <c r="AO20" s="1457">
        <v>1000</v>
      </c>
      <c r="AP20" s="2086">
        <v>7</v>
      </c>
      <c r="AQ20" s="2083">
        <v>42734</v>
      </c>
      <c r="AR20" s="2082">
        <v>48</v>
      </c>
      <c r="AS20" s="2081">
        <v>42800</v>
      </c>
      <c r="AT20" s="2076"/>
      <c r="AU20" s="2076"/>
      <c r="AV20" s="2076"/>
      <c r="AW20" s="2082"/>
      <c r="AX20" s="2082"/>
      <c r="AY20" s="1457">
        <v>5000</v>
      </c>
      <c r="AZ20" s="1463">
        <v>1</v>
      </c>
      <c r="BA20" s="2083">
        <v>43098</v>
      </c>
      <c r="BB20" s="2087">
        <v>48</v>
      </c>
      <c r="BC20" s="2085">
        <v>43107</v>
      </c>
      <c r="BF20" s="2088"/>
    </row>
    <row r="21" spans="1:58">
      <c r="A21" s="2076" t="s">
        <v>2011</v>
      </c>
      <c r="B21" s="2077" t="s">
        <v>2974</v>
      </c>
      <c r="C21" s="2090" t="s">
        <v>2975</v>
      </c>
      <c r="D21" s="2079">
        <f t="shared" si="0"/>
        <v>30000</v>
      </c>
      <c r="E21" s="2080">
        <v>6.0622601423665262E-4</v>
      </c>
      <c r="F21" s="1457"/>
      <c r="G21" s="1458"/>
      <c r="H21" s="2081"/>
      <c r="I21" s="2082"/>
      <c r="J21" s="2082"/>
      <c r="K21" s="1462"/>
      <c r="L21" s="1461"/>
      <c r="M21" s="2081"/>
      <c r="N21" s="2082"/>
      <c r="O21" s="2082"/>
      <c r="P21" s="1457"/>
      <c r="Q21" s="1461"/>
      <c r="R21" s="2081"/>
      <c r="S21" s="2082"/>
      <c r="T21" s="2082"/>
      <c r="U21" s="1457"/>
      <c r="V21" s="1461"/>
      <c r="W21" s="2081"/>
      <c r="X21" s="2082"/>
      <c r="Y21" s="2082"/>
      <c r="Z21" s="1462">
        <v>10000</v>
      </c>
      <c r="AA21" s="1463">
        <v>3.5</v>
      </c>
      <c r="AB21" s="2083">
        <v>42360</v>
      </c>
      <c r="AC21" s="2082">
        <v>48</v>
      </c>
      <c r="AD21" s="2081">
        <v>42380</v>
      </c>
      <c r="AE21" s="2076"/>
      <c r="AF21" s="2076"/>
      <c r="AG21" s="2076"/>
      <c r="AH21" s="2076"/>
      <c r="AI21" s="2076"/>
      <c r="AJ21" s="1457"/>
      <c r="AK21" s="2076"/>
      <c r="AL21" s="2083"/>
      <c r="AM21" s="2082"/>
      <c r="AN21" s="2082"/>
      <c r="AO21" s="1457">
        <v>5000</v>
      </c>
      <c r="AP21" s="2086">
        <v>7</v>
      </c>
      <c r="AQ21" s="2083">
        <v>42734</v>
      </c>
      <c r="AR21" s="2082">
        <v>48</v>
      </c>
      <c r="AS21" s="2081">
        <v>42800</v>
      </c>
      <c r="AT21" s="2076"/>
      <c r="AU21" s="2076"/>
      <c r="AV21" s="2076"/>
      <c r="AW21" s="2082"/>
      <c r="AX21" s="2082"/>
      <c r="AY21" s="1457">
        <v>15000</v>
      </c>
      <c r="AZ21" s="1463">
        <v>1</v>
      </c>
      <c r="BA21" s="2083">
        <v>43098</v>
      </c>
      <c r="BB21" s="2087">
        <v>48</v>
      </c>
      <c r="BC21" s="2085">
        <v>43107</v>
      </c>
      <c r="BF21" s="2088"/>
    </row>
    <row r="22" spans="1:58">
      <c r="A22" s="2076" t="s">
        <v>2014</v>
      </c>
      <c r="B22" s="2077" t="s">
        <v>2976</v>
      </c>
      <c r="C22" s="2090" t="s">
        <v>2977</v>
      </c>
      <c r="D22" s="2079">
        <f t="shared" si="0"/>
        <v>110000</v>
      </c>
      <c r="E22" s="2080">
        <v>2.2228287188677262E-3</v>
      </c>
      <c r="F22" s="1457"/>
      <c r="G22" s="1458"/>
      <c r="H22" s="2081"/>
      <c r="I22" s="2082"/>
      <c r="J22" s="2082"/>
      <c r="K22" s="1462"/>
      <c r="L22" s="1461"/>
      <c r="M22" s="2081"/>
      <c r="N22" s="2082"/>
      <c r="O22" s="2082"/>
      <c r="P22" s="1462"/>
      <c r="Q22" s="1461"/>
      <c r="R22" s="2081"/>
      <c r="S22" s="2082"/>
      <c r="T22" s="2082"/>
      <c r="U22" s="1462"/>
      <c r="V22" s="1461"/>
      <c r="W22" s="2081"/>
      <c r="X22" s="2082"/>
      <c r="Y22" s="2082"/>
      <c r="Z22" s="1462">
        <v>50000</v>
      </c>
      <c r="AA22" s="1463">
        <v>3.5</v>
      </c>
      <c r="AB22" s="2083">
        <v>42360</v>
      </c>
      <c r="AC22" s="2082">
        <v>48</v>
      </c>
      <c r="AD22" s="2081">
        <v>42380</v>
      </c>
      <c r="AE22" s="2076"/>
      <c r="AF22" s="2076"/>
      <c r="AG22" s="2076"/>
      <c r="AH22" s="2076"/>
      <c r="AI22" s="2076"/>
      <c r="AJ22" s="1457"/>
      <c r="AK22" s="2076"/>
      <c r="AL22" s="2083"/>
      <c r="AM22" s="2082"/>
      <c r="AN22" s="2082"/>
      <c r="AO22" s="1457">
        <v>40000</v>
      </c>
      <c r="AP22" s="2086">
        <v>7</v>
      </c>
      <c r="AQ22" s="2083">
        <v>42734</v>
      </c>
      <c r="AR22" s="2082">
        <v>48</v>
      </c>
      <c r="AS22" s="2081">
        <v>42800</v>
      </c>
      <c r="AT22" s="2076"/>
      <c r="AU22" s="2076"/>
      <c r="AV22" s="2076"/>
      <c r="AW22" s="2082"/>
      <c r="AX22" s="2082"/>
      <c r="AY22" s="1457">
        <v>20000</v>
      </c>
      <c r="AZ22" s="1463">
        <v>1</v>
      </c>
      <c r="BA22" s="2083">
        <v>43098</v>
      </c>
      <c r="BB22" s="2087">
        <v>48</v>
      </c>
      <c r="BC22" s="2085">
        <v>43107</v>
      </c>
      <c r="BF22" s="2088"/>
    </row>
    <row r="23" spans="1:58">
      <c r="A23" s="2076" t="s">
        <v>2017</v>
      </c>
      <c r="B23" s="2077" t="s">
        <v>2978</v>
      </c>
      <c r="C23" s="2090" t="s">
        <v>2979</v>
      </c>
      <c r="D23" s="2079">
        <f t="shared" si="0"/>
        <v>35000</v>
      </c>
      <c r="E23" s="2080">
        <v>7.0726368327609474E-4</v>
      </c>
      <c r="F23" s="1457"/>
      <c r="G23" s="1458"/>
      <c r="H23" s="2081"/>
      <c r="I23" s="2082"/>
      <c r="J23" s="2082"/>
      <c r="K23" s="1457"/>
      <c r="L23" s="1461"/>
      <c r="M23" s="2081"/>
      <c r="N23" s="2082"/>
      <c r="O23" s="2082"/>
      <c r="P23" s="1457"/>
      <c r="Q23" s="1461"/>
      <c r="R23" s="2081"/>
      <c r="S23" s="2082"/>
      <c r="T23" s="2082"/>
      <c r="U23" s="1457"/>
      <c r="V23" s="1461"/>
      <c r="W23" s="2081"/>
      <c r="X23" s="2082"/>
      <c r="Y23" s="2082"/>
      <c r="Z23" s="1462">
        <v>10000</v>
      </c>
      <c r="AA23" s="1463">
        <v>3.5</v>
      </c>
      <c r="AB23" s="2083">
        <v>42360</v>
      </c>
      <c r="AC23" s="2082">
        <v>48</v>
      </c>
      <c r="AD23" s="2081">
        <v>42380</v>
      </c>
      <c r="AE23" s="2076"/>
      <c r="AF23" s="2076"/>
      <c r="AG23" s="2076"/>
      <c r="AH23" s="2076"/>
      <c r="AI23" s="2076"/>
      <c r="AJ23" s="1457"/>
      <c r="AK23" s="2076"/>
      <c r="AL23" s="2083"/>
      <c r="AM23" s="2082"/>
      <c r="AN23" s="2082"/>
      <c r="AO23" s="1457">
        <v>10000</v>
      </c>
      <c r="AP23" s="2086">
        <v>7</v>
      </c>
      <c r="AQ23" s="2083">
        <v>42734</v>
      </c>
      <c r="AR23" s="2082">
        <v>48</v>
      </c>
      <c r="AS23" s="2081">
        <v>42800</v>
      </c>
      <c r="AT23" s="2076"/>
      <c r="AU23" s="2076"/>
      <c r="AV23" s="2076"/>
      <c r="AW23" s="2082"/>
      <c r="AX23" s="2082"/>
      <c r="AY23" s="1457">
        <v>15000</v>
      </c>
      <c r="AZ23" s="1463">
        <v>1</v>
      </c>
      <c r="BA23" s="2083">
        <v>43098</v>
      </c>
      <c r="BB23" s="2087">
        <v>48</v>
      </c>
      <c r="BC23" s="2085">
        <v>43107</v>
      </c>
      <c r="BF23" s="2088"/>
    </row>
    <row r="24" spans="1:58">
      <c r="A24" s="2076" t="s">
        <v>2024</v>
      </c>
      <c r="B24" s="2077" t="s">
        <v>2980</v>
      </c>
      <c r="C24" s="2090" t="s">
        <v>2981</v>
      </c>
      <c r="D24" s="2079">
        <f t="shared" si="0"/>
        <v>20000</v>
      </c>
      <c r="E24" s="2080">
        <v>4.0415067615776843E-4</v>
      </c>
      <c r="F24" s="1457"/>
      <c r="G24" s="1458"/>
      <c r="H24" s="2081"/>
      <c r="I24" s="2082"/>
      <c r="J24" s="2082"/>
      <c r="K24" s="1457"/>
      <c r="L24" s="1461"/>
      <c r="M24" s="2081"/>
      <c r="N24" s="2082"/>
      <c r="O24" s="2082"/>
      <c r="P24" s="1457"/>
      <c r="Q24" s="1461"/>
      <c r="R24" s="2081"/>
      <c r="S24" s="2082"/>
      <c r="T24" s="2082"/>
      <c r="U24" s="1457"/>
      <c r="V24" s="1461"/>
      <c r="W24" s="2081"/>
      <c r="X24" s="2082"/>
      <c r="Y24" s="2082"/>
      <c r="Z24" s="1462">
        <v>10000</v>
      </c>
      <c r="AA24" s="1463">
        <v>3.5</v>
      </c>
      <c r="AB24" s="2083">
        <v>42360</v>
      </c>
      <c r="AC24" s="2082">
        <v>48</v>
      </c>
      <c r="AD24" s="2081">
        <v>42380</v>
      </c>
      <c r="AE24" s="2076"/>
      <c r="AF24" s="2076"/>
      <c r="AG24" s="2076"/>
      <c r="AH24" s="2076"/>
      <c r="AI24" s="2076"/>
      <c r="AJ24" s="1457"/>
      <c r="AK24" s="2076"/>
      <c r="AL24" s="2083"/>
      <c r="AM24" s="2082"/>
      <c r="AN24" s="2082"/>
      <c r="AO24" s="1457">
        <v>10000</v>
      </c>
      <c r="AP24" s="2086">
        <v>7</v>
      </c>
      <c r="AQ24" s="2083">
        <v>42734</v>
      </c>
      <c r="AR24" s="2082">
        <v>48</v>
      </c>
      <c r="AS24" s="2081">
        <v>42800</v>
      </c>
      <c r="AT24" s="2076"/>
      <c r="AU24" s="2076"/>
      <c r="AV24" s="2076"/>
      <c r="AW24" s="2082"/>
      <c r="AX24" s="2082"/>
      <c r="AY24" s="1457">
        <v>0</v>
      </c>
      <c r="AZ24" s="1463"/>
      <c r="BA24" s="2083"/>
      <c r="BB24" s="2087"/>
      <c r="BC24" s="2085"/>
      <c r="BF24" s="2088"/>
    </row>
    <row r="25" spans="1:58">
      <c r="A25" s="2076" t="s">
        <v>2027</v>
      </c>
      <c r="B25" s="2077" t="s">
        <v>2982</v>
      </c>
      <c r="C25" s="2090" t="s">
        <v>2983</v>
      </c>
      <c r="D25" s="2079">
        <f t="shared" si="0"/>
        <v>75000</v>
      </c>
      <c r="E25" s="2080">
        <v>1.5155650355916316E-3</v>
      </c>
      <c r="F25" s="1457"/>
      <c r="G25" s="1458"/>
      <c r="H25" s="2081"/>
      <c r="I25" s="2082"/>
      <c r="J25" s="2082"/>
      <c r="K25" s="1457"/>
      <c r="L25" s="1461"/>
      <c r="M25" s="2081"/>
      <c r="N25" s="2082"/>
      <c r="O25" s="2082"/>
      <c r="P25" s="1457"/>
      <c r="Q25" s="1461"/>
      <c r="R25" s="2081"/>
      <c r="S25" s="2082"/>
      <c r="T25" s="2082"/>
      <c r="U25" s="1457"/>
      <c r="V25" s="1461"/>
      <c r="W25" s="2081"/>
      <c r="X25" s="2082"/>
      <c r="Y25" s="2082"/>
      <c r="Z25" s="1462">
        <v>10000</v>
      </c>
      <c r="AA25" s="1463">
        <v>3.5</v>
      </c>
      <c r="AB25" s="2083">
        <v>42360</v>
      </c>
      <c r="AC25" s="2082">
        <v>48</v>
      </c>
      <c r="AD25" s="2081">
        <v>42380</v>
      </c>
      <c r="AE25" s="2076"/>
      <c r="AF25" s="2076"/>
      <c r="AG25" s="2076"/>
      <c r="AH25" s="2076"/>
      <c r="AI25" s="2076"/>
      <c r="AJ25" s="1457"/>
      <c r="AK25" s="2076"/>
      <c r="AL25" s="2083"/>
      <c r="AM25" s="2082"/>
      <c r="AN25" s="2082"/>
      <c r="AO25" s="1457">
        <v>40000</v>
      </c>
      <c r="AP25" s="2086">
        <v>7</v>
      </c>
      <c r="AQ25" s="2083">
        <v>42734</v>
      </c>
      <c r="AR25" s="2082">
        <v>48</v>
      </c>
      <c r="AS25" s="2081">
        <v>42800</v>
      </c>
      <c r="AT25" s="2076"/>
      <c r="AU25" s="2076"/>
      <c r="AV25" s="2076"/>
      <c r="AW25" s="2082"/>
      <c r="AX25" s="2082"/>
      <c r="AY25" s="1457">
        <v>25000</v>
      </c>
      <c r="AZ25" s="1463">
        <v>1</v>
      </c>
      <c r="BA25" s="2083">
        <v>43098</v>
      </c>
      <c r="BB25" s="2087">
        <v>48</v>
      </c>
      <c r="BC25" s="2085">
        <v>43107</v>
      </c>
      <c r="BF25" s="2088"/>
    </row>
    <row r="26" spans="1:58">
      <c r="A26" s="2076" t="s">
        <v>2030</v>
      </c>
      <c r="B26" s="2077" t="s">
        <v>2031</v>
      </c>
      <c r="C26" s="2090" t="s">
        <v>2032</v>
      </c>
      <c r="D26" s="2079">
        <f t="shared" si="0"/>
        <v>2000</v>
      </c>
      <c r="E26" s="2080">
        <v>4.041506761577684E-5</v>
      </c>
      <c r="F26" s="1457"/>
      <c r="G26" s="1458"/>
      <c r="H26" s="2081"/>
      <c r="I26" s="2082"/>
      <c r="J26" s="2082"/>
      <c r="K26" s="1457"/>
      <c r="L26" s="1461"/>
      <c r="M26" s="2081"/>
      <c r="N26" s="2082"/>
      <c r="O26" s="2082"/>
      <c r="P26" s="1457"/>
      <c r="Q26" s="1461"/>
      <c r="R26" s="2081"/>
      <c r="S26" s="2082"/>
      <c r="T26" s="2082"/>
      <c r="U26" s="1457"/>
      <c r="V26" s="1461"/>
      <c r="W26" s="2081"/>
      <c r="X26" s="2082"/>
      <c r="Y26" s="2082"/>
      <c r="Z26" s="1462"/>
      <c r="AA26" s="1463"/>
      <c r="AB26" s="2083"/>
      <c r="AC26" s="2082"/>
      <c r="AD26" s="2082"/>
      <c r="AE26" s="2076"/>
      <c r="AF26" s="2076"/>
      <c r="AG26" s="2076"/>
      <c r="AH26" s="2076"/>
      <c r="AI26" s="2076"/>
      <c r="AJ26" s="1457"/>
      <c r="AK26" s="2076"/>
      <c r="AL26" s="2083"/>
      <c r="AM26" s="2082"/>
      <c r="AN26" s="2082"/>
      <c r="AO26" s="1457">
        <v>1000</v>
      </c>
      <c r="AP26" s="2086">
        <v>7</v>
      </c>
      <c r="AQ26" s="2083">
        <v>42734</v>
      </c>
      <c r="AR26" s="2082">
        <v>48</v>
      </c>
      <c r="AS26" s="2081">
        <v>42800</v>
      </c>
      <c r="AT26" s="2076"/>
      <c r="AU26" s="2076"/>
      <c r="AV26" s="2086"/>
      <c r="AW26" s="2082"/>
      <c r="AX26" s="2082"/>
      <c r="AY26" s="1457">
        <v>1000</v>
      </c>
      <c r="AZ26" s="1463">
        <v>1</v>
      </c>
      <c r="BA26" s="2083">
        <v>43098</v>
      </c>
      <c r="BB26" s="2087">
        <v>48</v>
      </c>
      <c r="BC26" s="2085">
        <v>43107</v>
      </c>
      <c r="BF26" s="2088"/>
    </row>
    <row r="27" spans="1:58">
      <c r="A27" s="2076" t="s">
        <v>2033</v>
      </c>
      <c r="B27" s="2077" t="s">
        <v>2984</v>
      </c>
      <c r="C27" s="2090" t="s">
        <v>2035</v>
      </c>
      <c r="D27" s="2079">
        <f t="shared" si="0"/>
        <v>5000</v>
      </c>
      <c r="E27" s="2080">
        <v>1.0103766903944211E-4</v>
      </c>
      <c r="F27" s="1457"/>
      <c r="G27" s="1458"/>
      <c r="H27" s="2081"/>
      <c r="I27" s="2082"/>
      <c r="J27" s="2082"/>
      <c r="K27" s="1457"/>
      <c r="L27" s="1461"/>
      <c r="M27" s="2081"/>
      <c r="N27" s="2082"/>
      <c r="O27" s="2082"/>
      <c r="P27" s="1457"/>
      <c r="Q27" s="1461"/>
      <c r="R27" s="2081"/>
      <c r="S27" s="2082"/>
      <c r="T27" s="2082"/>
      <c r="U27" s="1457"/>
      <c r="V27" s="1461"/>
      <c r="W27" s="2081"/>
      <c r="X27" s="2082"/>
      <c r="Y27" s="2082"/>
      <c r="Z27" s="1462"/>
      <c r="AA27" s="1463"/>
      <c r="AB27" s="2083"/>
      <c r="AC27" s="2082"/>
      <c r="AD27" s="2082"/>
      <c r="AE27" s="2076"/>
      <c r="AF27" s="2076"/>
      <c r="AG27" s="2076"/>
      <c r="AH27" s="2076"/>
      <c r="AI27" s="2076"/>
      <c r="AJ27" s="1457"/>
      <c r="AK27" s="2076"/>
      <c r="AL27" s="2083"/>
      <c r="AM27" s="2082"/>
      <c r="AN27" s="2082"/>
      <c r="AO27" s="1457">
        <v>5000</v>
      </c>
      <c r="AP27" s="2086">
        <v>7</v>
      </c>
      <c r="AQ27" s="2083">
        <v>42734</v>
      </c>
      <c r="AR27" s="2082">
        <v>48</v>
      </c>
      <c r="AS27" s="2081">
        <v>42800</v>
      </c>
      <c r="AT27" s="2076"/>
      <c r="AU27" s="2076"/>
      <c r="AV27" s="2086"/>
      <c r="AW27" s="2082"/>
      <c r="AX27" s="2082"/>
      <c r="AY27" s="1457">
        <v>0</v>
      </c>
      <c r="AZ27" s="1463"/>
      <c r="BA27" s="2083"/>
      <c r="BB27" s="2087"/>
      <c r="BC27" s="2085"/>
      <c r="BF27" s="2088"/>
    </row>
    <row r="28" spans="1:58">
      <c r="A28" s="2076" t="s">
        <v>2038</v>
      </c>
      <c r="B28" s="2077" t="s">
        <v>2985</v>
      </c>
      <c r="C28" s="2090" t="s">
        <v>2040</v>
      </c>
      <c r="D28" s="2079">
        <f t="shared" si="0"/>
        <v>35000</v>
      </c>
      <c r="E28" s="2080">
        <v>7.0726368327609474E-4</v>
      </c>
      <c r="F28" s="1457"/>
      <c r="G28" s="1458"/>
      <c r="H28" s="2081"/>
      <c r="I28" s="2082"/>
      <c r="J28" s="2082"/>
      <c r="K28" s="1457"/>
      <c r="L28" s="1461"/>
      <c r="M28" s="2081"/>
      <c r="N28" s="2082"/>
      <c r="O28" s="2082"/>
      <c r="P28" s="1457"/>
      <c r="Q28" s="1461"/>
      <c r="R28" s="2081"/>
      <c r="S28" s="2082"/>
      <c r="T28" s="2082"/>
      <c r="U28" s="1457"/>
      <c r="V28" s="1461"/>
      <c r="W28" s="2081"/>
      <c r="X28" s="2082"/>
      <c r="Y28" s="2082"/>
      <c r="Z28" s="1462"/>
      <c r="AA28" s="1463"/>
      <c r="AB28" s="2083"/>
      <c r="AC28" s="2082"/>
      <c r="AD28" s="2082"/>
      <c r="AE28" s="2076"/>
      <c r="AF28" s="2076"/>
      <c r="AG28" s="2076"/>
      <c r="AH28" s="2076"/>
      <c r="AI28" s="2076"/>
      <c r="AJ28" s="1457">
        <v>10000</v>
      </c>
      <c r="AK28" s="2076">
        <v>7</v>
      </c>
      <c r="AL28" s="2083">
        <v>42734</v>
      </c>
      <c r="AM28" s="2082">
        <v>48</v>
      </c>
      <c r="AN28" s="2081">
        <v>42800</v>
      </c>
      <c r="AO28" s="1457"/>
      <c r="AP28" s="2086">
        <v>7</v>
      </c>
      <c r="AQ28" s="2083">
        <v>42734</v>
      </c>
      <c r="AR28" s="2082">
        <v>48</v>
      </c>
      <c r="AS28" s="2081">
        <v>42800</v>
      </c>
      <c r="AT28" s="2076"/>
      <c r="AU28" s="2076"/>
      <c r="AV28" s="2086"/>
      <c r="AW28" s="2082"/>
      <c r="AX28" s="2082"/>
      <c r="AY28" s="1457">
        <v>25000</v>
      </c>
      <c r="AZ28" s="1463">
        <v>1</v>
      </c>
      <c r="BA28" s="2083">
        <v>43098</v>
      </c>
      <c r="BB28" s="2087">
        <v>48</v>
      </c>
      <c r="BC28" s="2085">
        <v>43107</v>
      </c>
      <c r="BF28" s="2088"/>
    </row>
    <row r="29" spans="1:58">
      <c r="A29" s="2076" t="s">
        <v>2041</v>
      </c>
      <c r="B29" s="2077" t="s">
        <v>2042</v>
      </c>
      <c r="C29" s="2090" t="s">
        <v>2043</v>
      </c>
      <c r="D29" s="2079">
        <f t="shared" si="0"/>
        <v>2000</v>
      </c>
      <c r="E29" s="2080">
        <v>4.041506761577684E-5</v>
      </c>
      <c r="F29" s="1457"/>
      <c r="G29" s="1458"/>
      <c r="H29" s="2081"/>
      <c r="I29" s="2082"/>
      <c r="J29" s="2082"/>
      <c r="K29" s="1457"/>
      <c r="L29" s="1461"/>
      <c r="M29" s="2081"/>
      <c r="N29" s="2082"/>
      <c r="O29" s="2082"/>
      <c r="P29" s="1457"/>
      <c r="Q29" s="1461"/>
      <c r="R29" s="2081"/>
      <c r="S29" s="2082"/>
      <c r="T29" s="2082"/>
      <c r="U29" s="1457"/>
      <c r="V29" s="1461"/>
      <c r="W29" s="2081"/>
      <c r="X29" s="2082"/>
      <c r="Y29" s="2082"/>
      <c r="Z29" s="1462"/>
      <c r="AA29" s="1463"/>
      <c r="AB29" s="2083"/>
      <c r="AC29" s="2082"/>
      <c r="AD29" s="2082"/>
      <c r="AE29" s="2076"/>
      <c r="AF29" s="2076"/>
      <c r="AG29" s="2076"/>
      <c r="AH29" s="2076"/>
      <c r="AI29" s="2076"/>
      <c r="AJ29" s="1457"/>
      <c r="AK29" s="2076"/>
      <c r="AL29" s="2083"/>
      <c r="AM29" s="2082"/>
      <c r="AN29" s="2082"/>
      <c r="AO29" s="1457">
        <v>1000</v>
      </c>
      <c r="AP29" s="2086">
        <v>7</v>
      </c>
      <c r="AQ29" s="2083">
        <v>42734</v>
      </c>
      <c r="AR29" s="2082">
        <v>48</v>
      </c>
      <c r="AS29" s="2081">
        <v>42800</v>
      </c>
      <c r="AT29" s="2076"/>
      <c r="AU29" s="2076"/>
      <c r="AV29" s="2086"/>
      <c r="AW29" s="2082"/>
      <c r="AX29" s="2082"/>
      <c r="AY29" s="1457">
        <v>1000</v>
      </c>
      <c r="AZ29" s="1463">
        <v>1</v>
      </c>
      <c r="BA29" s="2083">
        <v>43098</v>
      </c>
      <c r="BB29" s="2087">
        <v>48</v>
      </c>
      <c r="BC29" s="2085">
        <v>43107</v>
      </c>
      <c r="BF29" s="2088"/>
    </row>
    <row r="30" spans="1:58">
      <c r="A30" s="2076" t="s">
        <v>2044</v>
      </c>
      <c r="B30" s="2077" t="s">
        <v>2045</v>
      </c>
      <c r="C30" s="2090" t="s">
        <v>2035</v>
      </c>
      <c r="D30" s="2079">
        <f t="shared" si="0"/>
        <v>7000</v>
      </c>
      <c r="E30" s="2080">
        <v>1.4145273665521895E-4</v>
      </c>
      <c r="F30" s="1457"/>
      <c r="G30" s="1458"/>
      <c r="H30" s="2081"/>
      <c r="I30" s="2082"/>
      <c r="J30" s="2082"/>
      <c r="K30" s="1457"/>
      <c r="L30" s="1461"/>
      <c r="M30" s="2081"/>
      <c r="N30" s="2082"/>
      <c r="O30" s="2082"/>
      <c r="P30" s="1457"/>
      <c r="Q30" s="1461"/>
      <c r="R30" s="2081"/>
      <c r="S30" s="2082"/>
      <c r="T30" s="2082"/>
      <c r="U30" s="1457"/>
      <c r="V30" s="1461"/>
      <c r="W30" s="2081"/>
      <c r="X30" s="2082"/>
      <c r="Y30" s="2082"/>
      <c r="Z30" s="1462"/>
      <c r="AA30" s="1463"/>
      <c r="AB30" s="2083"/>
      <c r="AC30" s="2082"/>
      <c r="AD30" s="2082"/>
      <c r="AE30" s="2076"/>
      <c r="AF30" s="2076"/>
      <c r="AG30" s="2076"/>
      <c r="AH30" s="2076"/>
      <c r="AI30" s="2076"/>
      <c r="AJ30" s="1457"/>
      <c r="AK30" s="2076"/>
      <c r="AL30" s="2083"/>
      <c r="AM30" s="2082"/>
      <c r="AN30" s="2082"/>
      <c r="AO30" s="1457">
        <v>5000</v>
      </c>
      <c r="AP30" s="2086">
        <v>7</v>
      </c>
      <c r="AQ30" s="2083">
        <v>42734</v>
      </c>
      <c r="AR30" s="2082">
        <v>48</v>
      </c>
      <c r="AS30" s="2081">
        <v>42800</v>
      </c>
      <c r="AT30" s="2076"/>
      <c r="AU30" s="2076"/>
      <c r="AV30" s="2086"/>
      <c r="AW30" s="2082"/>
      <c r="AX30" s="2082"/>
      <c r="AY30" s="1457">
        <v>2000</v>
      </c>
      <c r="AZ30" s="1463">
        <v>1</v>
      </c>
      <c r="BA30" s="2083">
        <v>43098</v>
      </c>
      <c r="BB30" s="2087">
        <v>48</v>
      </c>
      <c r="BC30" s="2085">
        <v>43107</v>
      </c>
      <c r="BF30" s="2088"/>
    </row>
    <row r="31" spans="1:58">
      <c r="A31" s="2076" t="s">
        <v>2046</v>
      </c>
      <c r="B31" s="2077" t="s">
        <v>2047</v>
      </c>
      <c r="C31" s="2090" t="s">
        <v>2048</v>
      </c>
      <c r="D31" s="2079">
        <f t="shared" si="0"/>
        <v>6000</v>
      </c>
      <c r="E31" s="2080">
        <v>1.2124520284733052E-4</v>
      </c>
      <c r="F31" s="1457"/>
      <c r="G31" s="1458"/>
      <c r="H31" s="2081"/>
      <c r="I31" s="2082"/>
      <c r="J31" s="2082"/>
      <c r="K31" s="1457"/>
      <c r="L31" s="1461"/>
      <c r="M31" s="2081"/>
      <c r="N31" s="2082"/>
      <c r="O31" s="2082"/>
      <c r="P31" s="1457"/>
      <c r="Q31" s="1461"/>
      <c r="R31" s="2081"/>
      <c r="S31" s="2082"/>
      <c r="T31" s="2082"/>
      <c r="U31" s="1457"/>
      <c r="V31" s="1461"/>
      <c r="W31" s="2081"/>
      <c r="X31" s="2082"/>
      <c r="Y31" s="2082"/>
      <c r="Z31" s="1462"/>
      <c r="AA31" s="1463"/>
      <c r="AB31" s="2083"/>
      <c r="AC31" s="2082"/>
      <c r="AD31" s="2082"/>
      <c r="AE31" s="2076"/>
      <c r="AF31" s="2076"/>
      <c r="AG31" s="2076"/>
      <c r="AH31" s="2076"/>
      <c r="AI31" s="2076"/>
      <c r="AJ31" s="1457"/>
      <c r="AK31" s="2076"/>
      <c r="AL31" s="2083"/>
      <c r="AM31" s="2082"/>
      <c r="AN31" s="2082"/>
      <c r="AO31" s="1457">
        <v>1000</v>
      </c>
      <c r="AP31" s="2086">
        <v>7</v>
      </c>
      <c r="AQ31" s="2083">
        <v>42734</v>
      </c>
      <c r="AR31" s="2082">
        <v>48</v>
      </c>
      <c r="AS31" s="2081">
        <v>42800</v>
      </c>
      <c r="AT31" s="2076"/>
      <c r="AU31" s="2076"/>
      <c r="AV31" s="2086"/>
      <c r="AW31" s="2082"/>
      <c r="AX31" s="2082"/>
      <c r="AY31" s="1457">
        <v>5000</v>
      </c>
      <c r="AZ31" s="1463">
        <v>1</v>
      </c>
      <c r="BA31" s="2083">
        <v>43098</v>
      </c>
      <c r="BB31" s="2087">
        <v>48</v>
      </c>
      <c r="BC31" s="2085">
        <v>43107</v>
      </c>
      <c r="BF31" s="2088"/>
    </row>
    <row r="32" spans="1:58">
      <c r="A32" s="2076" t="s">
        <v>2049</v>
      </c>
      <c r="B32" s="2077" t="s">
        <v>2986</v>
      </c>
      <c r="C32" s="2090" t="s">
        <v>2051</v>
      </c>
      <c r="D32" s="2079">
        <f t="shared" si="0"/>
        <v>4000</v>
      </c>
      <c r="E32" s="2080">
        <v>8.0830135231553681E-5</v>
      </c>
      <c r="F32" s="1457"/>
      <c r="G32" s="1458"/>
      <c r="H32" s="2081"/>
      <c r="I32" s="2082"/>
      <c r="J32" s="2082"/>
      <c r="K32" s="1457"/>
      <c r="L32" s="1461"/>
      <c r="M32" s="2081"/>
      <c r="N32" s="2082"/>
      <c r="O32" s="2082"/>
      <c r="P32" s="1457"/>
      <c r="Q32" s="1461"/>
      <c r="R32" s="2081"/>
      <c r="S32" s="2082"/>
      <c r="T32" s="2082"/>
      <c r="U32" s="1457"/>
      <c r="V32" s="1461"/>
      <c r="W32" s="2081"/>
      <c r="X32" s="2082"/>
      <c r="Y32" s="2082"/>
      <c r="Z32" s="1462"/>
      <c r="AA32" s="1463"/>
      <c r="AB32" s="2083"/>
      <c r="AC32" s="2082"/>
      <c r="AD32" s="2082"/>
      <c r="AE32" s="2076"/>
      <c r="AF32" s="2076"/>
      <c r="AG32" s="2076"/>
      <c r="AH32" s="2076"/>
      <c r="AI32" s="2076"/>
      <c r="AJ32" s="1457"/>
      <c r="AK32" s="2076"/>
      <c r="AL32" s="2083"/>
      <c r="AM32" s="2082"/>
      <c r="AN32" s="2082"/>
      <c r="AO32" s="1457">
        <v>1000</v>
      </c>
      <c r="AP32" s="2086">
        <v>7</v>
      </c>
      <c r="AQ32" s="2083">
        <v>42734</v>
      </c>
      <c r="AR32" s="2082">
        <v>48</v>
      </c>
      <c r="AS32" s="2081">
        <v>42800</v>
      </c>
      <c r="AT32" s="2076"/>
      <c r="AU32" s="2076"/>
      <c r="AV32" s="2086"/>
      <c r="AW32" s="2082"/>
      <c r="AX32" s="2082"/>
      <c r="AY32" s="1457">
        <v>3000</v>
      </c>
      <c r="AZ32" s="1463">
        <v>1</v>
      </c>
      <c r="BA32" s="2083">
        <v>43098</v>
      </c>
      <c r="BB32" s="2087">
        <v>48</v>
      </c>
      <c r="BC32" s="2085">
        <v>43107</v>
      </c>
      <c r="BF32" s="2088"/>
    </row>
    <row r="33" spans="1:58">
      <c r="A33" s="2076" t="s">
        <v>2052</v>
      </c>
      <c r="B33" s="2077" t="s">
        <v>2987</v>
      </c>
      <c r="C33" s="2090" t="s">
        <v>2048</v>
      </c>
      <c r="D33" s="2079">
        <f t="shared" si="0"/>
        <v>4000</v>
      </c>
      <c r="E33" s="2080">
        <v>8.0830135231553681E-5</v>
      </c>
      <c r="F33" s="1457"/>
      <c r="G33" s="1458"/>
      <c r="H33" s="2081"/>
      <c r="I33" s="2082"/>
      <c r="J33" s="2082"/>
      <c r="K33" s="1457"/>
      <c r="L33" s="1461"/>
      <c r="M33" s="2081"/>
      <c r="N33" s="2082"/>
      <c r="O33" s="2082"/>
      <c r="P33" s="1457"/>
      <c r="Q33" s="1461"/>
      <c r="R33" s="2081"/>
      <c r="S33" s="2082"/>
      <c r="T33" s="2082"/>
      <c r="U33" s="1457"/>
      <c r="V33" s="1461"/>
      <c r="W33" s="2081"/>
      <c r="X33" s="2082"/>
      <c r="Y33" s="2082"/>
      <c r="Z33" s="1462"/>
      <c r="AA33" s="1463"/>
      <c r="AB33" s="2083"/>
      <c r="AC33" s="2082"/>
      <c r="AD33" s="2082"/>
      <c r="AE33" s="2076"/>
      <c r="AF33" s="2076"/>
      <c r="AG33" s="2076"/>
      <c r="AH33" s="2076"/>
      <c r="AI33" s="2076"/>
      <c r="AJ33" s="1457"/>
      <c r="AK33" s="2076"/>
      <c r="AL33" s="2083"/>
      <c r="AM33" s="2082"/>
      <c r="AN33" s="2082"/>
      <c r="AO33" s="1457">
        <v>1000</v>
      </c>
      <c r="AP33" s="2086">
        <v>7</v>
      </c>
      <c r="AQ33" s="2083">
        <v>42734</v>
      </c>
      <c r="AR33" s="2082">
        <v>48</v>
      </c>
      <c r="AS33" s="2081">
        <v>42800</v>
      </c>
      <c r="AT33" s="2076"/>
      <c r="AU33" s="2076"/>
      <c r="AV33" s="2086"/>
      <c r="AW33" s="2082"/>
      <c r="AX33" s="2082"/>
      <c r="AY33" s="1457">
        <v>3000</v>
      </c>
      <c r="AZ33" s="1463">
        <v>1</v>
      </c>
      <c r="BA33" s="2083">
        <v>43098</v>
      </c>
      <c r="BB33" s="2087">
        <v>48</v>
      </c>
      <c r="BC33" s="2085">
        <v>43107</v>
      </c>
      <c r="BF33" s="2088"/>
    </row>
    <row r="34" spans="1:58">
      <c r="A34" s="2076" t="s">
        <v>2054</v>
      </c>
      <c r="B34" s="2077" t="s">
        <v>2055</v>
      </c>
      <c r="C34" s="2090" t="s">
        <v>2056</v>
      </c>
      <c r="D34" s="2079">
        <f t="shared" si="0"/>
        <v>5000</v>
      </c>
      <c r="E34" s="2080">
        <v>1.0103766903944211E-4</v>
      </c>
      <c r="F34" s="1457"/>
      <c r="G34" s="1458"/>
      <c r="H34" s="2081"/>
      <c r="I34" s="2082"/>
      <c r="J34" s="2082"/>
      <c r="K34" s="1457"/>
      <c r="L34" s="1461"/>
      <c r="M34" s="2081"/>
      <c r="N34" s="2082"/>
      <c r="O34" s="2082"/>
      <c r="P34" s="1457"/>
      <c r="Q34" s="1461"/>
      <c r="R34" s="2081"/>
      <c r="S34" s="2082"/>
      <c r="T34" s="2082"/>
      <c r="U34" s="1457"/>
      <c r="V34" s="1461"/>
      <c r="W34" s="2081"/>
      <c r="X34" s="2082"/>
      <c r="Y34" s="2082"/>
      <c r="Z34" s="1462"/>
      <c r="AA34" s="1463"/>
      <c r="AB34" s="2083"/>
      <c r="AC34" s="2082"/>
      <c r="AD34" s="2082"/>
      <c r="AE34" s="2076"/>
      <c r="AF34" s="2076"/>
      <c r="AG34" s="2076"/>
      <c r="AH34" s="2076"/>
      <c r="AI34" s="2076"/>
      <c r="AJ34" s="1457"/>
      <c r="AK34" s="2076"/>
      <c r="AL34" s="2083"/>
      <c r="AM34" s="2082"/>
      <c r="AN34" s="2082"/>
      <c r="AO34" s="1457"/>
      <c r="AP34" s="2086"/>
      <c r="AQ34" s="2083"/>
      <c r="AR34" s="2082"/>
      <c r="AS34" s="2081"/>
      <c r="AT34" s="2076"/>
      <c r="AU34" s="2076"/>
      <c r="AV34" s="2086"/>
      <c r="AW34" s="2082"/>
      <c r="AX34" s="2082"/>
      <c r="AY34" s="1457">
        <v>5000</v>
      </c>
      <c r="AZ34" s="1463">
        <v>1</v>
      </c>
      <c r="BA34" s="2083">
        <v>43098</v>
      </c>
      <c r="BB34" s="2087">
        <v>48</v>
      </c>
      <c r="BC34" s="2085">
        <v>43107</v>
      </c>
      <c r="BF34" s="2088"/>
    </row>
    <row r="35" spans="1:58">
      <c r="A35" s="2076" t="s">
        <v>2057</v>
      </c>
      <c r="B35" s="2077" t="s">
        <v>2058</v>
      </c>
      <c r="C35" s="2090" t="s">
        <v>2059</v>
      </c>
      <c r="D35" s="2079">
        <f t="shared" si="0"/>
        <v>3000</v>
      </c>
      <c r="E35" s="2080">
        <v>6.0622601423665261E-5</v>
      </c>
      <c r="F35" s="1457"/>
      <c r="G35" s="1458"/>
      <c r="H35" s="2081"/>
      <c r="I35" s="2082"/>
      <c r="J35" s="2082"/>
      <c r="K35" s="1457"/>
      <c r="L35" s="1461"/>
      <c r="M35" s="2081"/>
      <c r="N35" s="2082"/>
      <c r="O35" s="2082"/>
      <c r="P35" s="1457"/>
      <c r="Q35" s="1461"/>
      <c r="R35" s="2081"/>
      <c r="S35" s="2082"/>
      <c r="T35" s="2082"/>
      <c r="U35" s="1457"/>
      <c r="V35" s="1461"/>
      <c r="W35" s="2081"/>
      <c r="X35" s="2082"/>
      <c r="Y35" s="2082"/>
      <c r="Z35" s="1462"/>
      <c r="AA35" s="1463"/>
      <c r="AB35" s="2083"/>
      <c r="AC35" s="2082"/>
      <c r="AD35" s="2082"/>
      <c r="AE35" s="2076"/>
      <c r="AF35" s="2076"/>
      <c r="AG35" s="2076"/>
      <c r="AH35" s="2076"/>
      <c r="AI35" s="2076"/>
      <c r="AJ35" s="1457"/>
      <c r="AK35" s="2076"/>
      <c r="AL35" s="2083"/>
      <c r="AM35" s="2082"/>
      <c r="AN35" s="2082"/>
      <c r="AO35" s="1457"/>
      <c r="AP35" s="2086"/>
      <c r="AQ35" s="2083"/>
      <c r="AR35" s="2082"/>
      <c r="AS35" s="2081"/>
      <c r="AT35" s="2076"/>
      <c r="AU35" s="2076"/>
      <c r="AV35" s="2086"/>
      <c r="AW35" s="2082"/>
      <c r="AX35" s="2082"/>
      <c r="AY35" s="1457">
        <v>3000</v>
      </c>
      <c r="AZ35" s="1463">
        <v>1</v>
      </c>
      <c r="BA35" s="2083">
        <v>43098</v>
      </c>
      <c r="BB35" s="2087">
        <v>48</v>
      </c>
      <c r="BC35" s="2085">
        <v>43107</v>
      </c>
      <c r="BF35" s="2088"/>
    </row>
    <row r="36" spans="1:58">
      <c r="A36" s="2076" t="s">
        <v>2060</v>
      </c>
      <c r="B36" s="2077" t="s">
        <v>2061</v>
      </c>
      <c r="C36" s="2090" t="s">
        <v>2062</v>
      </c>
      <c r="D36" s="2079">
        <f t="shared" si="0"/>
        <v>8000</v>
      </c>
      <c r="E36" s="2080">
        <v>1.6166027046310736E-4</v>
      </c>
      <c r="F36" s="1457"/>
      <c r="G36" s="1458"/>
      <c r="H36" s="2081"/>
      <c r="I36" s="2082"/>
      <c r="J36" s="2082"/>
      <c r="K36" s="1457"/>
      <c r="L36" s="1461"/>
      <c r="M36" s="2081"/>
      <c r="N36" s="2082"/>
      <c r="O36" s="2082"/>
      <c r="P36" s="1457"/>
      <c r="Q36" s="1461"/>
      <c r="R36" s="2081"/>
      <c r="S36" s="2082"/>
      <c r="T36" s="2082"/>
      <c r="U36" s="1457"/>
      <c r="V36" s="1461"/>
      <c r="W36" s="2081"/>
      <c r="X36" s="2082"/>
      <c r="Y36" s="2082"/>
      <c r="Z36" s="1462"/>
      <c r="AA36" s="1463"/>
      <c r="AB36" s="2083"/>
      <c r="AC36" s="2082"/>
      <c r="AD36" s="2082"/>
      <c r="AE36" s="2076"/>
      <c r="AF36" s="2076"/>
      <c r="AG36" s="2076"/>
      <c r="AH36" s="2076"/>
      <c r="AI36" s="2076"/>
      <c r="AJ36" s="1457"/>
      <c r="AK36" s="2076"/>
      <c r="AL36" s="2083"/>
      <c r="AM36" s="2082"/>
      <c r="AN36" s="2082"/>
      <c r="AO36" s="1457"/>
      <c r="AP36" s="2086"/>
      <c r="AQ36" s="2083"/>
      <c r="AR36" s="2082"/>
      <c r="AS36" s="2081"/>
      <c r="AT36" s="2076"/>
      <c r="AU36" s="2076"/>
      <c r="AV36" s="2086"/>
      <c r="AW36" s="2082"/>
      <c r="AX36" s="2082"/>
      <c r="AY36" s="1457">
        <v>8000</v>
      </c>
      <c r="AZ36" s="1463">
        <v>1</v>
      </c>
      <c r="BA36" s="2083">
        <v>43098</v>
      </c>
      <c r="BB36" s="2087">
        <v>48</v>
      </c>
      <c r="BC36" s="2085">
        <v>43107</v>
      </c>
      <c r="BF36" s="2088"/>
    </row>
    <row r="37" spans="1:58">
      <c r="A37" s="2076" t="s">
        <v>2063</v>
      </c>
      <c r="B37" s="2077" t="s">
        <v>2064</v>
      </c>
      <c r="C37" s="2090" t="s">
        <v>2065</v>
      </c>
      <c r="D37" s="2079">
        <f t="shared" si="0"/>
        <v>5000</v>
      </c>
      <c r="E37" s="2080">
        <v>1.0103766903944211E-4</v>
      </c>
      <c r="F37" s="1457"/>
      <c r="G37" s="1458"/>
      <c r="H37" s="2081"/>
      <c r="I37" s="2082"/>
      <c r="J37" s="2082"/>
      <c r="K37" s="1457"/>
      <c r="L37" s="1461"/>
      <c r="M37" s="2081"/>
      <c r="N37" s="2082"/>
      <c r="O37" s="2082"/>
      <c r="P37" s="1457"/>
      <c r="Q37" s="1461"/>
      <c r="R37" s="2081"/>
      <c r="S37" s="2082"/>
      <c r="T37" s="2082"/>
      <c r="U37" s="1457"/>
      <c r="V37" s="1461"/>
      <c r="W37" s="2081"/>
      <c r="X37" s="2082"/>
      <c r="Y37" s="2082"/>
      <c r="Z37" s="1462"/>
      <c r="AA37" s="1463"/>
      <c r="AB37" s="2083"/>
      <c r="AC37" s="2082"/>
      <c r="AD37" s="2082"/>
      <c r="AE37" s="2076"/>
      <c r="AF37" s="2076"/>
      <c r="AG37" s="2076"/>
      <c r="AH37" s="2076"/>
      <c r="AI37" s="2076"/>
      <c r="AJ37" s="1457"/>
      <c r="AK37" s="2076"/>
      <c r="AL37" s="2083"/>
      <c r="AM37" s="2082"/>
      <c r="AN37" s="2082"/>
      <c r="AO37" s="1457"/>
      <c r="AP37" s="2086"/>
      <c r="AQ37" s="2083"/>
      <c r="AR37" s="2082"/>
      <c r="AS37" s="2081"/>
      <c r="AT37" s="2076"/>
      <c r="AU37" s="2076"/>
      <c r="AV37" s="2086"/>
      <c r="AW37" s="2082"/>
      <c r="AX37" s="2082"/>
      <c r="AY37" s="1457">
        <v>5000</v>
      </c>
      <c r="AZ37" s="1463">
        <v>1</v>
      </c>
      <c r="BA37" s="2083">
        <v>43098</v>
      </c>
      <c r="BB37" s="2087">
        <v>48</v>
      </c>
      <c r="BC37" s="2085">
        <v>43107</v>
      </c>
      <c r="BF37" s="2088"/>
    </row>
    <row r="38" spans="1:58">
      <c r="A38" s="2076" t="s">
        <v>2066</v>
      </c>
      <c r="B38" s="2077" t="s">
        <v>2067</v>
      </c>
      <c r="C38" s="2090" t="s">
        <v>2068</v>
      </c>
      <c r="D38" s="2079">
        <f t="shared" si="0"/>
        <v>3000</v>
      </c>
      <c r="E38" s="2080">
        <v>6.0622601423665261E-5</v>
      </c>
      <c r="F38" s="1457"/>
      <c r="G38" s="1458"/>
      <c r="H38" s="2081"/>
      <c r="I38" s="2082"/>
      <c r="J38" s="2082"/>
      <c r="K38" s="1457"/>
      <c r="L38" s="1461"/>
      <c r="M38" s="2081"/>
      <c r="N38" s="2082"/>
      <c r="O38" s="2082"/>
      <c r="P38" s="1457"/>
      <c r="Q38" s="1461"/>
      <c r="R38" s="2081"/>
      <c r="S38" s="2082"/>
      <c r="T38" s="2082"/>
      <c r="U38" s="1457"/>
      <c r="V38" s="1461"/>
      <c r="W38" s="2081"/>
      <c r="X38" s="2082"/>
      <c r="Y38" s="2082"/>
      <c r="Z38" s="1462"/>
      <c r="AA38" s="1463"/>
      <c r="AB38" s="2083"/>
      <c r="AC38" s="2082"/>
      <c r="AD38" s="2082"/>
      <c r="AE38" s="2076"/>
      <c r="AF38" s="2076"/>
      <c r="AG38" s="2076"/>
      <c r="AH38" s="2076"/>
      <c r="AI38" s="2076"/>
      <c r="AJ38" s="1457"/>
      <c r="AK38" s="2076"/>
      <c r="AL38" s="2083"/>
      <c r="AM38" s="2082"/>
      <c r="AN38" s="2082"/>
      <c r="AO38" s="1457"/>
      <c r="AP38" s="2086"/>
      <c r="AQ38" s="2083"/>
      <c r="AR38" s="2082"/>
      <c r="AS38" s="2081"/>
      <c r="AT38" s="2076"/>
      <c r="AU38" s="2076"/>
      <c r="AV38" s="2086"/>
      <c r="AW38" s="2082"/>
      <c r="AX38" s="2082"/>
      <c r="AY38" s="1457">
        <v>3000</v>
      </c>
      <c r="AZ38" s="1463">
        <v>1</v>
      </c>
      <c r="BA38" s="2083">
        <v>43098</v>
      </c>
      <c r="BB38" s="2087">
        <v>48</v>
      </c>
      <c r="BC38" s="2085">
        <v>43107</v>
      </c>
      <c r="BF38" s="2088"/>
    </row>
    <row r="39" spans="1:58">
      <c r="A39" s="2076" t="s">
        <v>2069</v>
      </c>
      <c r="B39" s="2077" t="s">
        <v>2070</v>
      </c>
      <c r="C39" s="2090" t="s">
        <v>2071</v>
      </c>
      <c r="D39" s="2079">
        <f t="shared" si="0"/>
        <v>1000</v>
      </c>
      <c r="E39" s="2080">
        <v>2.020753380788842E-5</v>
      </c>
      <c r="F39" s="1457"/>
      <c r="G39" s="1458"/>
      <c r="H39" s="2081"/>
      <c r="I39" s="2082"/>
      <c r="J39" s="2082"/>
      <c r="K39" s="1457"/>
      <c r="L39" s="1461"/>
      <c r="M39" s="2081"/>
      <c r="N39" s="2082"/>
      <c r="O39" s="2082"/>
      <c r="P39" s="1457"/>
      <c r="Q39" s="1461"/>
      <c r="R39" s="2081"/>
      <c r="S39" s="2082"/>
      <c r="T39" s="2082"/>
      <c r="U39" s="1457"/>
      <c r="V39" s="1461"/>
      <c r="W39" s="2081"/>
      <c r="X39" s="2082"/>
      <c r="Y39" s="2082"/>
      <c r="Z39" s="1462"/>
      <c r="AA39" s="1463"/>
      <c r="AB39" s="2083"/>
      <c r="AC39" s="2082"/>
      <c r="AD39" s="2082"/>
      <c r="AE39" s="2076"/>
      <c r="AF39" s="2076"/>
      <c r="AG39" s="2076"/>
      <c r="AH39" s="2076"/>
      <c r="AI39" s="2076"/>
      <c r="AJ39" s="1457"/>
      <c r="AK39" s="2076"/>
      <c r="AL39" s="2083"/>
      <c r="AM39" s="2082"/>
      <c r="AN39" s="2082"/>
      <c r="AO39" s="1457"/>
      <c r="AP39" s="2086"/>
      <c r="AQ39" s="2083"/>
      <c r="AR39" s="2082"/>
      <c r="AS39" s="2081"/>
      <c r="AT39" s="2076"/>
      <c r="AU39" s="2076"/>
      <c r="AV39" s="2086"/>
      <c r="AW39" s="2082"/>
      <c r="AX39" s="2082"/>
      <c r="AY39" s="1457">
        <v>1000</v>
      </c>
      <c r="AZ39" s="1463">
        <v>1</v>
      </c>
      <c r="BA39" s="2083">
        <v>43098</v>
      </c>
      <c r="BB39" s="2087">
        <v>48</v>
      </c>
      <c r="BC39" s="2085">
        <v>43107</v>
      </c>
      <c r="BF39" s="2088"/>
    </row>
    <row r="40" spans="1:58">
      <c r="A40" s="2076" t="s">
        <v>2072</v>
      </c>
      <c r="B40" s="2077" t="s">
        <v>2073</v>
      </c>
      <c r="C40" s="2090" t="s">
        <v>2074</v>
      </c>
      <c r="D40" s="2079">
        <f t="shared" si="0"/>
        <v>1000</v>
      </c>
      <c r="E40" s="2080">
        <v>2.020753380788842E-5</v>
      </c>
      <c r="F40" s="1457"/>
      <c r="G40" s="1458"/>
      <c r="H40" s="2081"/>
      <c r="I40" s="2082"/>
      <c r="J40" s="2082"/>
      <c r="K40" s="1457"/>
      <c r="L40" s="1461"/>
      <c r="M40" s="2081"/>
      <c r="N40" s="2082"/>
      <c r="O40" s="2082"/>
      <c r="P40" s="1457"/>
      <c r="Q40" s="1461"/>
      <c r="R40" s="2081"/>
      <c r="S40" s="2082"/>
      <c r="T40" s="2082"/>
      <c r="U40" s="1457"/>
      <c r="V40" s="1461"/>
      <c r="W40" s="2081"/>
      <c r="X40" s="2082"/>
      <c r="Y40" s="2082"/>
      <c r="Z40" s="1462"/>
      <c r="AA40" s="1463"/>
      <c r="AB40" s="2083"/>
      <c r="AC40" s="2082"/>
      <c r="AD40" s="2082"/>
      <c r="AE40" s="2076"/>
      <c r="AF40" s="2076"/>
      <c r="AG40" s="2076"/>
      <c r="AH40" s="2076"/>
      <c r="AI40" s="2076"/>
      <c r="AJ40" s="1457"/>
      <c r="AK40" s="2076"/>
      <c r="AL40" s="2083"/>
      <c r="AM40" s="2082"/>
      <c r="AN40" s="2082"/>
      <c r="AO40" s="1457"/>
      <c r="AP40" s="2086"/>
      <c r="AQ40" s="2083"/>
      <c r="AR40" s="2082"/>
      <c r="AS40" s="2081"/>
      <c r="AT40" s="2076"/>
      <c r="AU40" s="2076"/>
      <c r="AV40" s="2086"/>
      <c r="AW40" s="2082"/>
      <c r="AX40" s="2082"/>
      <c r="AY40" s="1457">
        <v>1000</v>
      </c>
      <c r="AZ40" s="1463">
        <v>1</v>
      </c>
      <c r="BA40" s="2083">
        <v>43098</v>
      </c>
      <c r="BB40" s="2087">
        <v>48</v>
      </c>
      <c r="BC40" s="2085">
        <v>43107</v>
      </c>
      <c r="BF40" s="2088"/>
    </row>
    <row r="41" spans="1:58">
      <c r="A41" s="2076" t="s">
        <v>2075</v>
      </c>
      <c r="B41" s="2077" t="s">
        <v>2076</v>
      </c>
      <c r="C41" s="2090" t="s">
        <v>2077</v>
      </c>
      <c r="D41" s="2079">
        <f t="shared" si="0"/>
        <v>3000</v>
      </c>
      <c r="E41" s="2080">
        <v>6.0622601423665261E-5</v>
      </c>
      <c r="F41" s="1457"/>
      <c r="G41" s="1458"/>
      <c r="H41" s="2081"/>
      <c r="I41" s="2082"/>
      <c r="J41" s="2082"/>
      <c r="K41" s="1457"/>
      <c r="L41" s="1461"/>
      <c r="M41" s="2081"/>
      <c r="N41" s="2082"/>
      <c r="O41" s="2082"/>
      <c r="P41" s="1457"/>
      <c r="Q41" s="1461"/>
      <c r="R41" s="2081"/>
      <c r="S41" s="2082"/>
      <c r="T41" s="2082"/>
      <c r="U41" s="1457"/>
      <c r="V41" s="1461"/>
      <c r="W41" s="2081"/>
      <c r="X41" s="2082"/>
      <c r="Y41" s="2082"/>
      <c r="Z41" s="1462"/>
      <c r="AA41" s="1463"/>
      <c r="AB41" s="2083"/>
      <c r="AC41" s="2082"/>
      <c r="AD41" s="2082"/>
      <c r="AE41" s="2076"/>
      <c r="AF41" s="2076"/>
      <c r="AG41" s="2076"/>
      <c r="AH41" s="2076"/>
      <c r="AI41" s="2076"/>
      <c r="AJ41" s="1457"/>
      <c r="AK41" s="2076"/>
      <c r="AL41" s="2083"/>
      <c r="AM41" s="2082"/>
      <c r="AN41" s="2082"/>
      <c r="AO41" s="1457"/>
      <c r="AP41" s="2086"/>
      <c r="AQ41" s="2083"/>
      <c r="AR41" s="2082"/>
      <c r="AS41" s="2081"/>
      <c r="AT41" s="2076"/>
      <c r="AU41" s="2076"/>
      <c r="AV41" s="2086"/>
      <c r="AW41" s="2082"/>
      <c r="AX41" s="2082"/>
      <c r="AY41" s="1457">
        <v>3000</v>
      </c>
      <c r="AZ41" s="1463">
        <v>1</v>
      </c>
      <c r="BA41" s="2083">
        <v>43098</v>
      </c>
      <c r="BB41" s="2087">
        <v>48</v>
      </c>
      <c r="BC41" s="2085">
        <v>43107</v>
      </c>
      <c r="BF41" s="2088"/>
    </row>
    <row r="42" spans="1:58">
      <c r="A42" s="2076" t="s">
        <v>2078</v>
      </c>
      <c r="B42" s="2077" t="s">
        <v>2079</v>
      </c>
      <c r="C42" s="2090" t="s">
        <v>2080</v>
      </c>
      <c r="D42" s="2079">
        <f t="shared" si="0"/>
        <v>5000</v>
      </c>
      <c r="E42" s="2080">
        <v>1.0103766903944211E-4</v>
      </c>
      <c r="F42" s="1457"/>
      <c r="G42" s="1458"/>
      <c r="H42" s="2081"/>
      <c r="I42" s="2082"/>
      <c r="J42" s="2082"/>
      <c r="K42" s="1457"/>
      <c r="L42" s="1461"/>
      <c r="M42" s="2081"/>
      <c r="N42" s="2082"/>
      <c r="O42" s="2082"/>
      <c r="P42" s="1457"/>
      <c r="Q42" s="1461"/>
      <c r="R42" s="2081"/>
      <c r="S42" s="2082"/>
      <c r="T42" s="2082"/>
      <c r="U42" s="1457"/>
      <c r="V42" s="1461"/>
      <c r="W42" s="2081"/>
      <c r="X42" s="2082"/>
      <c r="Y42" s="2082"/>
      <c r="Z42" s="1462"/>
      <c r="AA42" s="1463"/>
      <c r="AB42" s="2083"/>
      <c r="AC42" s="2082"/>
      <c r="AD42" s="2082"/>
      <c r="AE42" s="2076"/>
      <c r="AF42" s="2076"/>
      <c r="AG42" s="2076"/>
      <c r="AH42" s="2076"/>
      <c r="AI42" s="2076"/>
      <c r="AJ42" s="1457"/>
      <c r="AK42" s="2076"/>
      <c r="AL42" s="2083"/>
      <c r="AM42" s="2082"/>
      <c r="AN42" s="2082"/>
      <c r="AO42" s="1457"/>
      <c r="AP42" s="2086"/>
      <c r="AQ42" s="2083"/>
      <c r="AR42" s="2082"/>
      <c r="AS42" s="2081"/>
      <c r="AT42" s="2076"/>
      <c r="AU42" s="2076"/>
      <c r="AV42" s="2086"/>
      <c r="AW42" s="2082"/>
      <c r="AX42" s="2082"/>
      <c r="AY42" s="1457">
        <v>5000</v>
      </c>
      <c r="AZ42" s="1463">
        <v>1</v>
      </c>
      <c r="BA42" s="2083">
        <v>43098</v>
      </c>
      <c r="BB42" s="2087">
        <v>48</v>
      </c>
      <c r="BC42" s="2085">
        <v>43107</v>
      </c>
      <c r="BF42" s="2088"/>
    </row>
    <row r="43" spans="1:58">
      <c r="A43" s="2076" t="s">
        <v>2081</v>
      </c>
      <c r="B43" s="2077" t="s">
        <v>2082</v>
      </c>
      <c r="C43" s="2090" t="s">
        <v>2083</v>
      </c>
      <c r="D43" s="2079">
        <f t="shared" si="0"/>
        <v>2000</v>
      </c>
      <c r="E43" s="2080">
        <v>4.041506761577684E-5</v>
      </c>
      <c r="F43" s="1457"/>
      <c r="G43" s="1458"/>
      <c r="H43" s="2081"/>
      <c r="I43" s="2082"/>
      <c r="J43" s="2082"/>
      <c r="K43" s="1457"/>
      <c r="L43" s="1461"/>
      <c r="M43" s="2081"/>
      <c r="N43" s="2082"/>
      <c r="O43" s="2082"/>
      <c r="P43" s="1457"/>
      <c r="Q43" s="1461"/>
      <c r="R43" s="2081"/>
      <c r="S43" s="2082"/>
      <c r="T43" s="2082"/>
      <c r="U43" s="1457"/>
      <c r="V43" s="1461"/>
      <c r="W43" s="2081"/>
      <c r="X43" s="2082"/>
      <c r="Y43" s="2082"/>
      <c r="Z43" s="1462"/>
      <c r="AA43" s="1463"/>
      <c r="AB43" s="2083"/>
      <c r="AC43" s="2082"/>
      <c r="AD43" s="2082"/>
      <c r="AE43" s="2076"/>
      <c r="AF43" s="2076"/>
      <c r="AG43" s="2076"/>
      <c r="AH43" s="2076"/>
      <c r="AI43" s="2076"/>
      <c r="AJ43" s="1457"/>
      <c r="AK43" s="2076"/>
      <c r="AL43" s="2083"/>
      <c r="AM43" s="2082"/>
      <c r="AN43" s="2082"/>
      <c r="AO43" s="1457"/>
      <c r="AP43" s="2086"/>
      <c r="AQ43" s="2083"/>
      <c r="AR43" s="2082"/>
      <c r="AS43" s="2081"/>
      <c r="AT43" s="2076"/>
      <c r="AU43" s="2076"/>
      <c r="AV43" s="2086"/>
      <c r="AW43" s="2082"/>
      <c r="AX43" s="2082"/>
      <c r="AY43" s="1457">
        <v>2000</v>
      </c>
      <c r="AZ43" s="1463">
        <v>1</v>
      </c>
      <c r="BA43" s="2083">
        <v>43098</v>
      </c>
      <c r="BB43" s="2087">
        <v>48</v>
      </c>
      <c r="BC43" s="2085">
        <v>43107</v>
      </c>
      <c r="BF43" s="2088"/>
    </row>
    <row r="44" spans="1:58">
      <c r="A44" s="2076" t="s">
        <v>2084</v>
      </c>
      <c r="B44" s="2091" t="s">
        <v>2988</v>
      </c>
      <c r="C44" s="2092" t="s">
        <v>2989</v>
      </c>
      <c r="D44" s="2079">
        <f t="shared" si="0"/>
        <v>10000</v>
      </c>
      <c r="E44" s="2080">
        <v>2.0207533807888422E-4</v>
      </c>
      <c r="F44" s="1457"/>
      <c r="G44" s="1458"/>
      <c r="H44" s="2081"/>
      <c r="I44" s="2082"/>
      <c r="J44" s="2082"/>
      <c r="K44" s="1457"/>
      <c r="L44" s="1461"/>
      <c r="M44" s="2081"/>
      <c r="N44" s="2082"/>
      <c r="O44" s="2082"/>
      <c r="P44" s="1457"/>
      <c r="Q44" s="1461"/>
      <c r="R44" s="2081"/>
      <c r="S44" s="2082"/>
      <c r="T44" s="2082"/>
      <c r="U44" s="1457"/>
      <c r="V44" s="1461"/>
      <c r="W44" s="2081"/>
      <c r="X44" s="2082"/>
      <c r="Y44" s="2082"/>
      <c r="Z44" s="1462"/>
      <c r="AA44" s="1463"/>
      <c r="AB44" s="2083"/>
      <c r="AC44" s="2082"/>
      <c r="AD44" s="2082"/>
      <c r="AE44" s="2076"/>
      <c r="AF44" s="2076"/>
      <c r="AG44" s="2076"/>
      <c r="AH44" s="2076"/>
      <c r="AI44" s="2076"/>
      <c r="AJ44" s="1457"/>
      <c r="AK44" s="2076"/>
      <c r="AL44" s="2083"/>
      <c r="AM44" s="2082"/>
      <c r="AN44" s="2082"/>
      <c r="AO44" s="1457"/>
      <c r="AP44" s="2086"/>
      <c r="AQ44" s="2083"/>
      <c r="AR44" s="2082"/>
      <c r="AS44" s="2081"/>
      <c r="AT44" s="2076"/>
      <c r="AU44" s="2076"/>
      <c r="AV44" s="2086"/>
      <c r="AW44" s="2082"/>
      <c r="AX44" s="2082"/>
      <c r="AY44" s="1457">
        <v>10000</v>
      </c>
      <c r="AZ44" s="1463">
        <v>1</v>
      </c>
      <c r="BA44" s="2083">
        <v>43098</v>
      </c>
      <c r="BB44" s="2087">
        <v>48</v>
      </c>
      <c r="BC44" s="2085">
        <v>43107</v>
      </c>
      <c r="BF44" s="2088"/>
    </row>
    <row r="45" spans="1:58">
      <c r="A45" s="2076" t="s">
        <v>2087</v>
      </c>
      <c r="B45" s="2077" t="s">
        <v>2088</v>
      </c>
      <c r="C45" s="2090" t="s">
        <v>2089</v>
      </c>
      <c r="D45" s="2079">
        <f t="shared" si="0"/>
        <v>3000</v>
      </c>
      <c r="E45" s="2080">
        <v>6.0622601423665261E-5</v>
      </c>
      <c r="F45" s="1457"/>
      <c r="G45" s="1458"/>
      <c r="H45" s="2081"/>
      <c r="I45" s="2082"/>
      <c r="J45" s="2082"/>
      <c r="K45" s="1457"/>
      <c r="L45" s="1461"/>
      <c r="M45" s="2081"/>
      <c r="N45" s="2082"/>
      <c r="O45" s="2082"/>
      <c r="P45" s="1457"/>
      <c r="Q45" s="1461"/>
      <c r="R45" s="2081"/>
      <c r="S45" s="2082"/>
      <c r="T45" s="2082"/>
      <c r="U45" s="1457"/>
      <c r="V45" s="1461"/>
      <c r="W45" s="2081"/>
      <c r="X45" s="2082"/>
      <c r="Y45" s="2082"/>
      <c r="Z45" s="1462"/>
      <c r="AA45" s="1463"/>
      <c r="AB45" s="2083"/>
      <c r="AC45" s="2082"/>
      <c r="AD45" s="2082"/>
      <c r="AE45" s="2076"/>
      <c r="AF45" s="2076"/>
      <c r="AG45" s="2076"/>
      <c r="AH45" s="2076"/>
      <c r="AI45" s="2076"/>
      <c r="AJ45" s="1457"/>
      <c r="AK45" s="2076"/>
      <c r="AL45" s="2083"/>
      <c r="AM45" s="2082"/>
      <c r="AN45" s="2082"/>
      <c r="AO45" s="1457"/>
      <c r="AP45" s="2086"/>
      <c r="AQ45" s="2083"/>
      <c r="AR45" s="2082"/>
      <c r="AS45" s="2081"/>
      <c r="AT45" s="2076"/>
      <c r="AU45" s="2076"/>
      <c r="AV45" s="2086"/>
      <c r="AW45" s="2082"/>
      <c r="AX45" s="2082"/>
      <c r="AY45" s="1457">
        <v>3000</v>
      </c>
      <c r="AZ45" s="1463">
        <v>1</v>
      </c>
      <c r="BA45" s="2083">
        <v>43098</v>
      </c>
      <c r="BB45" s="2087">
        <v>48</v>
      </c>
      <c r="BC45" s="2085">
        <v>43107</v>
      </c>
      <c r="BF45" s="2088"/>
    </row>
    <row r="46" spans="1:58">
      <c r="A46" s="2076" t="s">
        <v>2090</v>
      </c>
      <c r="B46" s="2077" t="s">
        <v>2091</v>
      </c>
      <c r="C46" s="2090" t="s">
        <v>2092</v>
      </c>
      <c r="D46" s="2079">
        <f t="shared" si="0"/>
        <v>2000</v>
      </c>
      <c r="E46" s="2080">
        <v>4.041506761577684E-5</v>
      </c>
      <c r="F46" s="1457"/>
      <c r="G46" s="1458"/>
      <c r="H46" s="2081"/>
      <c r="I46" s="2082"/>
      <c r="J46" s="2082"/>
      <c r="K46" s="1457"/>
      <c r="L46" s="1461"/>
      <c r="M46" s="2081"/>
      <c r="N46" s="2082"/>
      <c r="O46" s="2082"/>
      <c r="P46" s="1457"/>
      <c r="Q46" s="1461"/>
      <c r="R46" s="2081"/>
      <c r="S46" s="2082"/>
      <c r="T46" s="2082"/>
      <c r="U46" s="1457"/>
      <c r="V46" s="1461"/>
      <c r="W46" s="2081"/>
      <c r="X46" s="2082"/>
      <c r="Y46" s="2082"/>
      <c r="Z46" s="1462"/>
      <c r="AA46" s="1463"/>
      <c r="AB46" s="2083"/>
      <c r="AC46" s="2082"/>
      <c r="AD46" s="2082"/>
      <c r="AE46" s="2076"/>
      <c r="AF46" s="2076"/>
      <c r="AG46" s="2076"/>
      <c r="AH46" s="2076"/>
      <c r="AI46" s="2076"/>
      <c r="AJ46" s="1457"/>
      <c r="AK46" s="2076"/>
      <c r="AL46" s="2083"/>
      <c r="AM46" s="2082"/>
      <c r="AN46" s="2082"/>
      <c r="AO46" s="1457"/>
      <c r="AP46" s="2086"/>
      <c r="AQ46" s="2083"/>
      <c r="AR46" s="2082"/>
      <c r="AS46" s="2081"/>
      <c r="AT46" s="2076"/>
      <c r="AU46" s="2076"/>
      <c r="AV46" s="2086"/>
      <c r="AW46" s="2082"/>
      <c r="AX46" s="2082"/>
      <c r="AY46" s="1457">
        <v>2000</v>
      </c>
      <c r="AZ46" s="1463">
        <v>1</v>
      </c>
      <c r="BA46" s="2083">
        <v>43098</v>
      </c>
      <c r="BB46" s="2087">
        <v>48</v>
      </c>
      <c r="BC46" s="2085">
        <v>43107</v>
      </c>
      <c r="BF46" s="2088"/>
    </row>
    <row r="47" spans="1:58">
      <c r="A47" s="2076" t="s">
        <v>2093</v>
      </c>
      <c r="B47" s="2077" t="s">
        <v>2094</v>
      </c>
      <c r="C47" s="2090" t="s">
        <v>2095</v>
      </c>
      <c r="D47" s="2079">
        <f t="shared" si="0"/>
        <v>2000</v>
      </c>
      <c r="E47" s="2080">
        <v>4.041506761577684E-5</v>
      </c>
      <c r="F47" s="1457"/>
      <c r="G47" s="1458"/>
      <c r="H47" s="2081"/>
      <c r="I47" s="2082"/>
      <c r="J47" s="2082"/>
      <c r="K47" s="1457"/>
      <c r="L47" s="1461"/>
      <c r="M47" s="2081"/>
      <c r="N47" s="2082"/>
      <c r="O47" s="2082"/>
      <c r="P47" s="1457"/>
      <c r="Q47" s="1461"/>
      <c r="R47" s="2081"/>
      <c r="S47" s="2082"/>
      <c r="T47" s="2082"/>
      <c r="U47" s="1457"/>
      <c r="V47" s="1461"/>
      <c r="W47" s="2081"/>
      <c r="X47" s="2082"/>
      <c r="Y47" s="2082"/>
      <c r="Z47" s="1462"/>
      <c r="AA47" s="1463"/>
      <c r="AB47" s="2083"/>
      <c r="AC47" s="2082"/>
      <c r="AD47" s="2082"/>
      <c r="AE47" s="2076"/>
      <c r="AF47" s="2076"/>
      <c r="AG47" s="2076"/>
      <c r="AH47" s="2076"/>
      <c r="AI47" s="2076"/>
      <c r="AJ47" s="1457"/>
      <c r="AK47" s="2076"/>
      <c r="AL47" s="2083"/>
      <c r="AM47" s="2082"/>
      <c r="AN47" s="2082"/>
      <c r="AO47" s="1457"/>
      <c r="AP47" s="2086"/>
      <c r="AQ47" s="2083"/>
      <c r="AR47" s="2082"/>
      <c r="AS47" s="2081"/>
      <c r="AT47" s="2076"/>
      <c r="AU47" s="2076"/>
      <c r="AV47" s="2086"/>
      <c r="AW47" s="2082"/>
      <c r="AX47" s="2082"/>
      <c r="AY47" s="1457">
        <v>2000</v>
      </c>
      <c r="AZ47" s="1463">
        <v>1</v>
      </c>
      <c r="BA47" s="2083">
        <v>43098</v>
      </c>
      <c r="BB47" s="2087">
        <v>48</v>
      </c>
      <c r="BC47" s="2085">
        <v>43107</v>
      </c>
      <c r="BF47" s="2088"/>
    </row>
    <row r="48" spans="1:58">
      <c r="A48" s="2076" t="s">
        <v>2096</v>
      </c>
      <c r="B48" s="2077" t="s">
        <v>2097</v>
      </c>
      <c r="C48" s="2090" t="s">
        <v>2083</v>
      </c>
      <c r="D48" s="2079">
        <f t="shared" si="0"/>
        <v>3000</v>
      </c>
      <c r="E48" s="2080">
        <v>6.0622601423665261E-5</v>
      </c>
      <c r="F48" s="1457"/>
      <c r="G48" s="1458"/>
      <c r="H48" s="2081"/>
      <c r="I48" s="2082"/>
      <c r="J48" s="2082"/>
      <c r="K48" s="1457"/>
      <c r="L48" s="1461"/>
      <c r="M48" s="2081"/>
      <c r="N48" s="2082"/>
      <c r="O48" s="2082"/>
      <c r="P48" s="1457"/>
      <c r="Q48" s="1461"/>
      <c r="R48" s="2081"/>
      <c r="S48" s="2082"/>
      <c r="T48" s="2082"/>
      <c r="U48" s="1457"/>
      <c r="V48" s="1461"/>
      <c r="W48" s="2081"/>
      <c r="X48" s="2082"/>
      <c r="Y48" s="2082"/>
      <c r="Z48" s="1462"/>
      <c r="AA48" s="1463"/>
      <c r="AB48" s="2083"/>
      <c r="AC48" s="2082"/>
      <c r="AD48" s="2082"/>
      <c r="AE48" s="2076"/>
      <c r="AF48" s="2076"/>
      <c r="AG48" s="2076"/>
      <c r="AH48" s="2076"/>
      <c r="AI48" s="2076"/>
      <c r="AJ48" s="1457"/>
      <c r="AK48" s="2076"/>
      <c r="AL48" s="2083"/>
      <c r="AM48" s="2082"/>
      <c r="AN48" s="2082"/>
      <c r="AO48" s="1457"/>
      <c r="AP48" s="2086"/>
      <c r="AQ48" s="2083"/>
      <c r="AR48" s="2082"/>
      <c r="AS48" s="2081"/>
      <c r="AT48" s="2076"/>
      <c r="AU48" s="2076"/>
      <c r="AV48" s="2086"/>
      <c r="AW48" s="2082"/>
      <c r="AX48" s="2082"/>
      <c r="AY48" s="1457">
        <v>3000</v>
      </c>
      <c r="AZ48" s="1463">
        <v>1</v>
      </c>
      <c r="BA48" s="2083">
        <v>43098</v>
      </c>
      <c r="BB48" s="2087">
        <v>48</v>
      </c>
      <c r="BC48" s="2085">
        <v>43107</v>
      </c>
      <c r="BF48" s="2088"/>
    </row>
    <row r="49" spans="1:58">
      <c r="A49" s="2076" t="s">
        <v>2098</v>
      </c>
      <c r="B49" s="2077" t="s">
        <v>2099</v>
      </c>
      <c r="C49" s="2090" t="s">
        <v>2100</v>
      </c>
      <c r="D49" s="2079">
        <f t="shared" si="0"/>
        <v>2000</v>
      </c>
      <c r="E49" s="2080">
        <v>4.041506761577684E-5</v>
      </c>
      <c r="F49" s="1457"/>
      <c r="G49" s="1458"/>
      <c r="H49" s="2081"/>
      <c r="I49" s="2082"/>
      <c r="J49" s="2082"/>
      <c r="K49" s="1457"/>
      <c r="L49" s="1461"/>
      <c r="M49" s="2081"/>
      <c r="N49" s="2082"/>
      <c r="O49" s="2082"/>
      <c r="P49" s="1457"/>
      <c r="Q49" s="1461"/>
      <c r="R49" s="2081"/>
      <c r="S49" s="2082"/>
      <c r="T49" s="2082"/>
      <c r="U49" s="1457"/>
      <c r="V49" s="1461"/>
      <c r="W49" s="2081"/>
      <c r="X49" s="2082"/>
      <c r="Y49" s="2082"/>
      <c r="Z49" s="1462"/>
      <c r="AA49" s="1463"/>
      <c r="AB49" s="2083"/>
      <c r="AC49" s="2082"/>
      <c r="AD49" s="2082"/>
      <c r="AE49" s="2076"/>
      <c r="AF49" s="2076"/>
      <c r="AG49" s="2076"/>
      <c r="AH49" s="2076"/>
      <c r="AI49" s="2076"/>
      <c r="AJ49" s="1457"/>
      <c r="AK49" s="2076"/>
      <c r="AL49" s="2083"/>
      <c r="AM49" s="2082"/>
      <c r="AN49" s="2082"/>
      <c r="AO49" s="1457"/>
      <c r="AP49" s="2086"/>
      <c r="AQ49" s="2083"/>
      <c r="AR49" s="2082"/>
      <c r="AS49" s="2081"/>
      <c r="AT49" s="2076"/>
      <c r="AU49" s="2076"/>
      <c r="AV49" s="2086"/>
      <c r="AW49" s="2082"/>
      <c r="AX49" s="2082"/>
      <c r="AY49" s="1457">
        <v>2000</v>
      </c>
      <c r="AZ49" s="1463">
        <v>1</v>
      </c>
      <c r="BA49" s="2083">
        <v>43098</v>
      </c>
      <c r="BB49" s="2087">
        <v>48</v>
      </c>
      <c r="BC49" s="2085">
        <v>43107</v>
      </c>
      <c r="BF49" s="2088"/>
    </row>
    <row r="50" spans="1:58">
      <c r="A50" s="2076" t="s">
        <v>2101</v>
      </c>
      <c r="B50" s="2077" t="s">
        <v>2102</v>
      </c>
      <c r="C50" s="2090" t="s">
        <v>2103</v>
      </c>
      <c r="D50" s="2079">
        <f t="shared" si="0"/>
        <v>2000</v>
      </c>
      <c r="E50" s="2080">
        <v>4.041506761577684E-5</v>
      </c>
      <c r="F50" s="1457"/>
      <c r="G50" s="1458"/>
      <c r="H50" s="2081"/>
      <c r="I50" s="2082"/>
      <c r="J50" s="2082"/>
      <c r="K50" s="1457"/>
      <c r="L50" s="1461"/>
      <c r="M50" s="2081"/>
      <c r="N50" s="2082"/>
      <c r="O50" s="2082"/>
      <c r="P50" s="1457"/>
      <c r="Q50" s="1461"/>
      <c r="R50" s="2081"/>
      <c r="S50" s="2082"/>
      <c r="T50" s="2082"/>
      <c r="U50" s="1457"/>
      <c r="V50" s="1461"/>
      <c r="W50" s="2081"/>
      <c r="X50" s="2082"/>
      <c r="Y50" s="2082"/>
      <c r="Z50" s="1462"/>
      <c r="AA50" s="1463"/>
      <c r="AB50" s="2083"/>
      <c r="AC50" s="2082"/>
      <c r="AD50" s="2082"/>
      <c r="AE50" s="2076"/>
      <c r="AF50" s="2076"/>
      <c r="AG50" s="2076"/>
      <c r="AH50" s="2076"/>
      <c r="AI50" s="2076"/>
      <c r="AJ50" s="1457"/>
      <c r="AK50" s="2076"/>
      <c r="AL50" s="2083"/>
      <c r="AM50" s="2082"/>
      <c r="AN50" s="2082"/>
      <c r="AO50" s="1457"/>
      <c r="AP50" s="2086"/>
      <c r="AQ50" s="2083"/>
      <c r="AR50" s="2082"/>
      <c r="AS50" s="2081"/>
      <c r="AT50" s="2076"/>
      <c r="AU50" s="2076"/>
      <c r="AV50" s="2086"/>
      <c r="AW50" s="2082"/>
      <c r="AX50" s="2082"/>
      <c r="AY50" s="1457">
        <v>2000</v>
      </c>
      <c r="AZ50" s="1463">
        <v>1</v>
      </c>
      <c r="BA50" s="2083">
        <v>43098</v>
      </c>
      <c r="BB50" s="2087">
        <v>48</v>
      </c>
      <c r="BC50" s="2085">
        <v>43107</v>
      </c>
      <c r="BF50" s="2088"/>
    </row>
    <row r="51" spans="1:58">
      <c r="A51" s="2076" t="s">
        <v>2104</v>
      </c>
      <c r="B51" s="2077" t="s">
        <v>2105</v>
      </c>
      <c r="C51" s="2090" t="s">
        <v>2071</v>
      </c>
      <c r="D51" s="2079">
        <f t="shared" si="0"/>
        <v>1000</v>
      </c>
      <c r="E51" s="2080">
        <v>2.020753380788842E-5</v>
      </c>
      <c r="F51" s="1457"/>
      <c r="G51" s="1458"/>
      <c r="H51" s="2081"/>
      <c r="I51" s="2082"/>
      <c r="J51" s="2082"/>
      <c r="K51" s="1457"/>
      <c r="L51" s="1461"/>
      <c r="M51" s="2081"/>
      <c r="N51" s="2082"/>
      <c r="O51" s="2082"/>
      <c r="P51" s="1457"/>
      <c r="Q51" s="1461"/>
      <c r="R51" s="2081"/>
      <c r="S51" s="2082"/>
      <c r="T51" s="2082"/>
      <c r="U51" s="1457"/>
      <c r="V51" s="1461"/>
      <c r="W51" s="2081"/>
      <c r="X51" s="2082"/>
      <c r="Y51" s="2082"/>
      <c r="Z51" s="1462"/>
      <c r="AA51" s="1463"/>
      <c r="AB51" s="2083"/>
      <c r="AC51" s="2082"/>
      <c r="AD51" s="2082"/>
      <c r="AE51" s="2076"/>
      <c r="AF51" s="2076"/>
      <c r="AG51" s="2076"/>
      <c r="AH51" s="2076"/>
      <c r="AI51" s="2076"/>
      <c r="AJ51" s="1457"/>
      <c r="AK51" s="2076"/>
      <c r="AL51" s="2083"/>
      <c r="AM51" s="2082"/>
      <c r="AN51" s="2082"/>
      <c r="AO51" s="1457"/>
      <c r="AP51" s="2086"/>
      <c r="AQ51" s="2083"/>
      <c r="AR51" s="2082"/>
      <c r="AS51" s="2081"/>
      <c r="AT51" s="2076"/>
      <c r="AU51" s="2076"/>
      <c r="AV51" s="2086"/>
      <c r="AW51" s="2082"/>
      <c r="AX51" s="2082"/>
      <c r="AY51" s="1457">
        <v>1000</v>
      </c>
      <c r="AZ51" s="1463">
        <v>1</v>
      </c>
      <c r="BA51" s="2083">
        <v>43098</v>
      </c>
      <c r="BB51" s="2087">
        <v>48</v>
      </c>
      <c r="BC51" s="2085">
        <v>43107</v>
      </c>
      <c r="BF51" s="2088"/>
    </row>
    <row r="52" spans="1:58">
      <c r="A52" s="2076" t="s">
        <v>2106</v>
      </c>
      <c r="B52" s="2077" t="s">
        <v>2107</v>
      </c>
      <c r="C52" s="2090" t="s">
        <v>2071</v>
      </c>
      <c r="D52" s="2079">
        <f t="shared" si="0"/>
        <v>1000</v>
      </c>
      <c r="E52" s="2080">
        <v>2.020753380788842E-5</v>
      </c>
      <c r="F52" s="1457"/>
      <c r="G52" s="1458"/>
      <c r="H52" s="2081"/>
      <c r="I52" s="2082"/>
      <c r="J52" s="2082"/>
      <c r="K52" s="1457"/>
      <c r="L52" s="1461"/>
      <c r="M52" s="2081"/>
      <c r="N52" s="2082"/>
      <c r="O52" s="2082"/>
      <c r="P52" s="1457"/>
      <c r="Q52" s="1461"/>
      <c r="R52" s="2081"/>
      <c r="S52" s="2082"/>
      <c r="T52" s="2082"/>
      <c r="U52" s="1457"/>
      <c r="V52" s="1461"/>
      <c r="W52" s="2081"/>
      <c r="X52" s="2082"/>
      <c r="Y52" s="2082"/>
      <c r="Z52" s="1462"/>
      <c r="AA52" s="1463"/>
      <c r="AB52" s="2083"/>
      <c r="AC52" s="2082"/>
      <c r="AD52" s="2082"/>
      <c r="AE52" s="2076"/>
      <c r="AF52" s="2076"/>
      <c r="AG52" s="2076"/>
      <c r="AH52" s="2076"/>
      <c r="AI52" s="2076"/>
      <c r="AJ52" s="1457"/>
      <c r="AK52" s="2076"/>
      <c r="AL52" s="2083"/>
      <c r="AM52" s="2082"/>
      <c r="AN52" s="2082"/>
      <c r="AO52" s="1457"/>
      <c r="AP52" s="2086"/>
      <c r="AQ52" s="2083"/>
      <c r="AR52" s="2082"/>
      <c r="AS52" s="2081"/>
      <c r="AT52" s="2076"/>
      <c r="AU52" s="2076"/>
      <c r="AV52" s="2086"/>
      <c r="AW52" s="2082"/>
      <c r="AX52" s="2082"/>
      <c r="AY52" s="1457">
        <v>1000</v>
      </c>
      <c r="AZ52" s="1463">
        <v>1</v>
      </c>
      <c r="BA52" s="2083">
        <v>43098</v>
      </c>
      <c r="BB52" s="2087">
        <v>48</v>
      </c>
      <c r="BC52" s="2085">
        <v>43107</v>
      </c>
      <c r="BF52" s="2088"/>
    </row>
    <row r="53" spans="1:58">
      <c r="A53" s="2076" t="s">
        <v>2108</v>
      </c>
      <c r="B53" s="2077" t="s">
        <v>2109</v>
      </c>
      <c r="C53" s="2090" t="s">
        <v>2110</v>
      </c>
      <c r="D53" s="2079">
        <f t="shared" si="0"/>
        <v>1000</v>
      </c>
      <c r="E53" s="2080">
        <v>2.020753380788842E-5</v>
      </c>
      <c r="F53" s="1457"/>
      <c r="G53" s="1458"/>
      <c r="H53" s="2081"/>
      <c r="I53" s="2082"/>
      <c r="J53" s="2082"/>
      <c r="K53" s="1457"/>
      <c r="L53" s="1461"/>
      <c r="M53" s="2081"/>
      <c r="N53" s="2082"/>
      <c r="O53" s="2082"/>
      <c r="P53" s="1457"/>
      <c r="Q53" s="1461"/>
      <c r="R53" s="2081"/>
      <c r="S53" s="2082"/>
      <c r="T53" s="2082"/>
      <c r="U53" s="1457"/>
      <c r="V53" s="1461"/>
      <c r="W53" s="2081"/>
      <c r="X53" s="2082"/>
      <c r="Y53" s="2082"/>
      <c r="Z53" s="1462"/>
      <c r="AA53" s="1463"/>
      <c r="AB53" s="2083"/>
      <c r="AC53" s="2082"/>
      <c r="AD53" s="2082"/>
      <c r="AE53" s="2076"/>
      <c r="AF53" s="2076"/>
      <c r="AG53" s="2076"/>
      <c r="AH53" s="2076"/>
      <c r="AI53" s="2076"/>
      <c r="AJ53" s="1457"/>
      <c r="AK53" s="2076"/>
      <c r="AL53" s="2083"/>
      <c r="AM53" s="2082"/>
      <c r="AN53" s="2082"/>
      <c r="AO53" s="1457"/>
      <c r="AP53" s="2086"/>
      <c r="AQ53" s="2083"/>
      <c r="AR53" s="2082"/>
      <c r="AS53" s="2081"/>
      <c r="AT53" s="2076"/>
      <c r="AU53" s="2076"/>
      <c r="AV53" s="2086"/>
      <c r="AW53" s="2082"/>
      <c r="AX53" s="2082"/>
      <c r="AY53" s="1457">
        <v>1000</v>
      </c>
      <c r="AZ53" s="1463">
        <v>1</v>
      </c>
      <c r="BA53" s="2083">
        <v>43098</v>
      </c>
      <c r="BB53" s="2087">
        <v>48</v>
      </c>
      <c r="BC53" s="2085">
        <v>43107</v>
      </c>
      <c r="BF53" s="2088"/>
    </row>
    <row r="54" spans="1:58">
      <c r="A54" s="2076" t="s">
        <v>2111</v>
      </c>
      <c r="B54" s="2077" t="s">
        <v>2990</v>
      </c>
      <c r="C54" s="2090" t="s">
        <v>2991</v>
      </c>
      <c r="D54" s="2079">
        <f t="shared" si="0"/>
        <v>70000</v>
      </c>
      <c r="E54" s="2080">
        <v>1.4145273665521895E-3</v>
      </c>
      <c r="F54" s="1462"/>
      <c r="G54" s="1458"/>
      <c r="H54" s="2081"/>
      <c r="I54" s="2082"/>
      <c r="J54" s="2082"/>
      <c r="K54" s="1457"/>
      <c r="L54" s="1461"/>
      <c r="M54" s="2081"/>
      <c r="N54" s="2082"/>
      <c r="O54" s="2082"/>
      <c r="P54" s="1457"/>
      <c r="Q54" s="1461"/>
      <c r="R54" s="2081"/>
      <c r="S54" s="2082"/>
      <c r="T54" s="2082"/>
      <c r="U54" s="1457"/>
      <c r="V54" s="1461"/>
      <c r="W54" s="2081"/>
      <c r="X54" s="2082"/>
      <c r="Y54" s="2082"/>
      <c r="Z54" s="1462"/>
      <c r="AA54" s="1463"/>
      <c r="AB54" s="2083"/>
      <c r="AC54" s="2082"/>
      <c r="AD54" s="2082"/>
      <c r="AE54" s="2076"/>
      <c r="AF54" s="2076"/>
      <c r="AG54" s="2076"/>
      <c r="AH54" s="2076"/>
      <c r="AI54" s="2076"/>
      <c r="AJ54" s="1457"/>
      <c r="AK54" s="2076"/>
      <c r="AL54" s="2083"/>
      <c r="AM54" s="2082"/>
      <c r="AN54" s="2082"/>
      <c r="AO54" s="1457"/>
      <c r="AP54" s="2086"/>
      <c r="AQ54" s="2083"/>
      <c r="AR54" s="2082"/>
      <c r="AS54" s="2082"/>
      <c r="AT54" s="2084">
        <v>50000</v>
      </c>
      <c r="AU54" s="2076">
        <v>1</v>
      </c>
      <c r="AV54" s="2083">
        <v>42933</v>
      </c>
      <c r="AW54" s="2082">
        <v>48</v>
      </c>
      <c r="AX54" s="2081">
        <v>42940</v>
      </c>
      <c r="AY54" s="1457">
        <v>20000</v>
      </c>
      <c r="AZ54" s="1463">
        <v>1</v>
      </c>
      <c r="BA54" s="2083">
        <v>43098</v>
      </c>
      <c r="BB54" s="2087">
        <v>48</v>
      </c>
      <c r="BC54" s="2085">
        <v>43107</v>
      </c>
      <c r="BF54" s="2088"/>
    </row>
    <row r="55" spans="1:58">
      <c r="A55" s="2076" t="s">
        <v>2114</v>
      </c>
      <c r="B55" s="2077" t="s">
        <v>2115</v>
      </c>
      <c r="C55" s="2090" t="s">
        <v>2083</v>
      </c>
      <c r="D55" s="2079">
        <f t="shared" si="0"/>
        <v>2000</v>
      </c>
      <c r="E55" s="2080">
        <v>4.041506761577684E-5</v>
      </c>
      <c r="F55" s="1462"/>
      <c r="G55" s="1458"/>
      <c r="H55" s="2081"/>
      <c r="I55" s="2082"/>
      <c r="J55" s="2082"/>
      <c r="K55" s="1457"/>
      <c r="L55" s="1461"/>
      <c r="M55" s="2081"/>
      <c r="N55" s="2082"/>
      <c r="O55" s="2082"/>
      <c r="P55" s="1457"/>
      <c r="Q55" s="1461"/>
      <c r="R55" s="2081"/>
      <c r="S55" s="2082"/>
      <c r="T55" s="2082"/>
      <c r="U55" s="1457"/>
      <c r="V55" s="1461"/>
      <c r="W55" s="2081"/>
      <c r="X55" s="2082"/>
      <c r="Y55" s="2082"/>
      <c r="Z55" s="1462"/>
      <c r="AA55" s="1463"/>
      <c r="AB55" s="2083"/>
      <c r="AC55" s="2082"/>
      <c r="AD55" s="2082"/>
      <c r="AE55" s="2076"/>
      <c r="AF55" s="2076"/>
      <c r="AG55" s="2076"/>
      <c r="AH55" s="2076"/>
      <c r="AI55" s="2076"/>
      <c r="AJ55" s="1457"/>
      <c r="AK55" s="2076"/>
      <c r="AL55" s="2083"/>
      <c r="AM55" s="2082"/>
      <c r="AN55" s="2082"/>
      <c r="AO55" s="1457"/>
      <c r="AP55" s="2086"/>
      <c r="AQ55" s="2083"/>
      <c r="AR55" s="2082"/>
      <c r="AS55" s="2082"/>
      <c r="AT55" s="2084"/>
      <c r="AU55" s="2076"/>
      <c r="AV55" s="2083"/>
      <c r="AW55" s="2082"/>
      <c r="AX55" s="2081"/>
      <c r="AY55" s="1457">
        <v>2000</v>
      </c>
      <c r="AZ55" s="1463">
        <v>1</v>
      </c>
      <c r="BA55" s="2083">
        <v>43098</v>
      </c>
      <c r="BB55" s="2087">
        <v>48</v>
      </c>
      <c r="BC55" s="2085">
        <v>43107</v>
      </c>
      <c r="BF55" s="2088"/>
    </row>
    <row r="56" spans="1:58">
      <c r="A56" s="2076" t="s">
        <v>2116</v>
      </c>
      <c r="B56" s="2077" t="s">
        <v>2117</v>
      </c>
      <c r="C56" s="2090" t="s">
        <v>2118</v>
      </c>
      <c r="D56" s="2079">
        <f t="shared" si="0"/>
        <v>1000</v>
      </c>
      <c r="E56" s="2080">
        <v>2.020753380788842E-5</v>
      </c>
      <c r="F56" s="1462"/>
      <c r="G56" s="1458"/>
      <c r="H56" s="2081"/>
      <c r="I56" s="2082"/>
      <c r="J56" s="2082"/>
      <c r="K56" s="1457"/>
      <c r="L56" s="1461"/>
      <c r="M56" s="2081"/>
      <c r="N56" s="2082"/>
      <c r="O56" s="2082"/>
      <c r="P56" s="1457"/>
      <c r="Q56" s="1461"/>
      <c r="R56" s="2081"/>
      <c r="S56" s="2082"/>
      <c r="T56" s="2082"/>
      <c r="U56" s="1457"/>
      <c r="V56" s="1461"/>
      <c r="W56" s="2081"/>
      <c r="X56" s="2082"/>
      <c r="Y56" s="2082"/>
      <c r="Z56" s="1462"/>
      <c r="AA56" s="1463"/>
      <c r="AB56" s="2083"/>
      <c r="AC56" s="2082"/>
      <c r="AD56" s="2082"/>
      <c r="AE56" s="2076"/>
      <c r="AF56" s="2076"/>
      <c r="AG56" s="2076"/>
      <c r="AH56" s="2076"/>
      <c r="AI56" s="2076"/>
      <c r="AJ56" s="1457"/>
      <c r="AK56" s="2076"/>
      <c r="AL56" s="2083"/>
      <c r="AM56" s="2082"/>
      <c r="AN56" s="2082"/>
      <c r="AO56" s="1457"/>
      <c r="AP56" s="2086"/>
      <c r="AQ56" s="2083"/>
      <c r="AR56" s="2082"/>
      <c r="AS56" s="2082"/>
      <c r="AT56" s="2084"/>
      <c r="AU56" s="2076"/>
      <c r="AV56" s="2083"/>
      <c r="AW56" s="2082"/>
      <c r="AX56" s="2081"/>
      <c r="AY56" s="1457">
        <v>1000</v>
      </c>
      <c r="AZ56" s="1463">
        <v>1</v>
      </c>
      <c r="BA56" s="2083">
        <v>43098</v>
      </c>
      <c r="BB56" s="2087">
        <v>48</v>
      </c>
      <c r="BC56" s="2085">
        <v>43107</v>
      </c>
      <c r="BF56" s="2088"/>
    </row>
    <row r="57" spans="1:58">
      <c r="A57" s="2076" t="s">
        <v>2119</v>
      </c>
      <c r="B57" s="2077" t="s">
        <v>2120</v>
      </c>
      <c r="C57" s="2090" t="s">
        <v>2121</v>
      </c>
      <c r="D57" s="2079">
        <f t="shared" si="0"/>
        <v>2000</v>
      </c>
      <c r="E57" s="2080">
        <v>4.041506761577684E-5</v>
      </c>
      <c r="F57" s="1462"/>
      <c r="G57" s="1458"/>
      <c r="H57" s="2081"/>
      <c r="I57" s="2082"/>
      <c r="J57" s="2082"/>
      <c r="K57" s="1457"/>
      <c r="L57" s="1461"/>
      <c r="M57" s="2081"/>
      <c r="N57" s="2082"/>
      <c r="O57" s="2082"/>
      <c r="P57" s="1457"/>
      <c r="Q57" s="1461"/>
      <c r="R57" s="2081"/>
      <c r="S57" s="2082"/>
      <c r="T57" s="2082"/>
      <c r="U57" s="1457"/>
      <c r="V57" s="1461"/>
      <c r="W57" s="2081"/>
      <c r="X57" s="2082"/>
      <c r="Y57" s="2082"/>
      <c r="Z57" s="1462"/>
      <c r="AA57" s="1463"/>
      <c r="AB57" s="2083"/>
      <c r="AC57" s="2082"/>
      <c r="AD57" s="2082"/>
      <c r="AE57" s="2076"/>
      <c r="AF57" s="2076"/>
      <c r="AG57" s="2076"/>
      <c r="AH57" s="2076"/>
      <c r="AI57" s="2076"/>
      <c r="AJ57" s="1457"/>
      <c r="AK57" s="2076"/>
      <c r="AL57" s="2083"/>
      <c r="AM57" s="2082"/>
      <c r="AN57" s="2082"/>
      <c r="AO57" s="1457"/>
      <c r="AP57" s="2086"/>
      <c r="AQ57" s="2083"/>
      <c r="AR57" s="2082"/>
      <c r="AS57" s="2082"/>
      <c r="AT57" s="2084"/>
      <c r="AU57" s="2076"/>
      <c r="AV57" s="2083"/>
      <c r="AW57" s="2082"/>
      <c r="AX57" s="2081"/>
      <c r="AY57" s="1457">
        <v>2000</v>
      </c>
      <c r="AZ57" s="1463">
        <v>1</v>
      </c>
      <c r="BA57" s="2083">
        <v>43098</v>
      </c>
      <c r="BB57" s="2087">
        <v>48</v>
      </c>
      <c r="BC57" s="2085">
        <v>43107</v>
      </c>
      <c r="BF57" s="2088"/>
    </row>
    <row r="58" spans="1:58">
      <c r="A58" s="2076" t="s">
        <v>2122</v>
      </c>
      <c r="B58" s="2077" t="s">
        <v>2123</v>
      </c>
      <c r="C58" s="2090" t="s">
        <v>2110</v>
      </c>
      <c r="D58" s="2079">
        <f t="shared" si="0"/>
        <v>1000</v>
      </c>
      <c r="E58" s="2080">
        <v>2.020753380788842E-5</v>
      </c>
      <c r="F58" s="1462"/>
      <c r="G58" s="1458"/>
      <c r="H58" s="2081"/>
      <c r="I58" s="2082"/>
      <c r="J58" s="2082"/>
      <c r="K58" s="1457"/>
      <c r="L58" s="1461"/>
      <c r="M58" s="2081"/>
      <c r="N58" s="2082"/>
      <c r="O58" s="2082"/>
      <c r="P58" s="1457"/>
      <c r="Q58" s="1461"/>
      <c r="R58" s="2081"/>
      <c r="S58" s="2082"/>
      <c r="T58" s="2082"/>
      <c r="U58" s="1457"/>
      <c r="V58" s="1461"/>
      <c r="W58" s="2081"/>
      <c r="X58" s="2082"/>
      <c r="Y58" s="2082"/>
      <c r="Z58" s="1462"/>
      <c r="AA58" s="1463"/>
      <c r="AB58" s="2083"/>
      <c r="AC58" s="2082"/>
      <c r="AD58" s="2082"/>
      <c r="AE58" s="2076"/>
      <c r="AF58" s="2076"/>
      <c r="AG58" s="2076"/>
      <c r="AH58" s="2076"/>
      <c r="AI58" s="2076"/>
      <c r="AJ58" s="1457"/>
      <c r="AK58" s="2076"/>
      <c r="AL58" s="2083"/>
      <c r="AM58" s="2082"/>
      <c r="AN58" s="2082"/>
      <c r="AO58" s="1457"/>
      <c r="AP58" s="2086"/>
      <c r="AQ58" s="2083"/>
      <c r="AR58" s="2082"/>
      <c r="AS58" s="2082"/>
      <c r="AT58" s="2084"/>
      <c r="AU58" s="2076"/>
      <c r="AV58" s="2083"/>
      <c r="AW58" s="2082"/>
      <c r="AX58" s="2081"/>
      <c r="AY58" s="1457">
        <v>1000</v>
      </c>
      <c r="AZ58" s="1463">
        <v>1</v>
      </c>
      <c r="BA58" s="2083">
        <v>43098</v>
      </c>
      <c r="BB58" s="2087">
        <v>48</v>
      </c>
      <c r="BC58" s="2085">
        <v>43107</v>
      </c>
      <c r="BF58" s="2088"/>
    </row>
    <row r="59" spans="1:58">
      <c r="A59" s="2076" t="s">
        <v>2124</v>
      </c>
      <c r="B59" s="2077" t="s">
        <v>2125</v>
      </c>
      <c r="C59" s="2090" t="s">
        <v>2126</v>
      </c>
      <c r="D59" s="2079">
        <f t="shared" si="0"/>
        <v>1000</v>
      </c>
      <c r="E59" s="2080">
        <v>2.020753380788842E-5</v>
      </c>
      <c r="F59" s="1462"/>
      <c r="G59" s="1458"/>
      <c r="H59" s="2081"/>
      <c r="I59" s="2082"/>
      <c r="J59" s="2082"/>
      <c r="K59" s="1457"/>
      <c r="L59" s="1461"/>
      <c r="M59" s="2081"/>
      <c r="N59" s="2082"/>
      <c r="O59" s="2082"/>
      <c r="P59" s="1457"/>
      <c r="Q59" s="1461"/>
      <c r="R59" s="2081"/>
      <c r="S59" s="2082"/>
      <c r="T59" s="2082"/>
      <c r="U59" s="1457"/>
      <c r="V59" s="1461"/>
      <c r="W59" s="2081"/>
      <c r="X59" s="2082"/>
      <c r="Y59" s="2082"/>
      <c r="Z59" s="1462"/>
      <c r="AA59" s="1463"/>
      <c r="AB59" s="2083"/>
      <c r="AC59" s="2082"/>
      <c r="AD59" s="2082"/>
      <c r="AE59" s="2076"/>
      <c r="AF59" s="2076"/>
      <c r="AG59" s="2076"/>
      <c r="AH59" s="2076"/>
      <c r="AI59" s="2076"/>
      <c r="AJ59" s="1457"/>
      <c r="AK59" s="2076"/>
      <c r="AL59" s="2083"/>
      <c r="AM59" s="2082"/>
      <c r="AN59" s="2082"/>
      <c r="AO59" s="1457"/>
      <c r="AP59" s="2086"/>
      <c r="AQ59" s="2083"/>
      <c r="AR59" s="2082"/>
      <c r="AS59" s="2082"/>
      <c r="AT59" s="2084"/>
      <c r="AU59" s="2076"/>
      <c r="AV59" s="2083"/>
      <c r="AW59" s="2082"/>
      <c r="AX59" s="2081"/>
      <c r="AY59" s="1457">
        <v>1000</v>
      </c>
      <c r="AZ59" s="1463">
        <v>1</v>
      </c>
      <c r="BA59" s="2083">
        <v>43098</v>
      </c>
      <c r="BB59" s="2087">
        <v>48</v>
      </c>
      <c r="BC59" s="2085">
        <v>43107</v>
      </c>
      <c r="BF59" s="2088"/>
    </row>
    <row r="60" spans="1:58">
      <c r="A60" s="2076" t="s">
        <v>2127</v>
      </c>
      <c r="B60" s="2077" t="s">
        <v>2992</v>
      </c>
      <c r="C60" s="2090" t="s">
        <v>2993</v>
      </c>
      <c r="D60" s="2079">
        <f t="shared" si="0"/>
        <v>100000</v>
      </c>
      <c r="E60" s="2080">
        <v>2.020753380788842E-3</v>
      </c>
      <c r="F60" s="1457"/>
      <c r="G60" s="1461"/>
      <c r="H60" s="2081"/>
      <c r="I60" s="2082"/>
      <c r="J60" s="2082"/>
      <c r="K60" s="1457"/>
      <c r="L60" s="1461"/>
      <c r="M60" s="2081"/>
      <c r="N60" s="2082"/>
      <c r="O60" s="2082"/>
      <c r="P60" s="1457"/>
      <c r="Q60" s="1461"/>
      <c r="R60" s="2081"/>
      <c r="S60" s="2082"/>
      <c r="T60" s="2082"/>
      <c r="U60" s="1457"/>
      <c r="V60" s="1461"/>
      <c r="W60" s="2081"/>
      <c r="X60" s="2082"/>
      <c r="Y60" s="2082"/>
      <c r="Z60" s="1462"/>
      <c r="AA60" s="1475"/>
      <c r="AB60" s="2085"/>
      <c r="AC60" s="2082"/>
      <c r="AD60" s="2082"/>
      <c r="AE60" s="2076"/>
      <c r="AF60" s="2076"/>
      <c r="AG60" s="2076"/>
      <c r="AH60" s="2076"/>
      <c r="AI60" s="2076"/>
      <c r="AJ60" s="1457"/>
      <c r="AK60" s="2076"/>
      <c r="AL60" s="2085"/>
      <c r="AM60" s="2082"/>
      <c r="AN60" s="2082"/>
      <c r="AO60" s="1457"/>
      <c r="AP60" s="2076"/>
      <c r="AQ60" s="2085"/>
      <c r="AR60" s="2082"/>
      <c r="AS60" s="2082"/>
      <c r="AT60" s="2084">
        <v>100000</v>
      </c>
      <c r="AU60" s="2076">
        <v>10</v>
      </c>
      <c r="AV60" s="2085">
        <v>42962</v>
      </c>
      <c r="AW60" s="2082">
        <v>48</v>
      </c>
      <c r="AX60" s="2081">
        <v>42940</v>
      </c>
      <c r="AY60" s="1457"/>
      <c r="AZ60" s="1463"/>
      <c r="BA60" s="2083"/>
      <c r="BB60" s="2087"/>
      <c r="BC60" s="2085"/>
      <c r="BF60" s="2088"/>
    </row>
    <row r="61" spans="1:58">
      <c r="A61" s="2076" t="s">
        <v>2130</v>
      </c>
      <c r="B61" s="2077" t="s">
        <v>2994</v>
      </c>
      <c r="C61" s="2076" t="s">
        <v>2995</v>
      </c>
      <c r="D61" s="2079">
        <f t="shared" si="0"/>
        <v>1000</v>
      </c>
      <c r="E61" s="2080">
        <v>2.020753380788842E-5</v>
      </c>
      <c r="F61" s="1457"/>
      <c r="G61" s="1461"/>
      <c r="H61" s="2081"/>
      <c r="I61" s="2082"/>
      <c r="J61" s="2082"/>
      <c r="K61" s="1457"/>
      <c r="L61" s="1461"/>
      <c r="M61" s="2081"/>
      <c r="N61" s="2082"/>
      <c r="O61" s="2082"/>
      <c r="P61" s="1457"/>
      <c r="Q61" s="1461"/>
      <c r="R61" s="2081"/>
      <c r="S61" s="2082"/>
      <c r="T61" s="2082"/>
      <c r="U61" s="1457"/>
      <c r="V61" s="1461"/>
      <c r="W61" s="2081"/>
      <c r="X61" s="2082"/>
      <c r="Y61" s="2082"/>
      <c r="Z61" s="1462"/>
      <c r="AA61" s="1475"/>
      <c r="AB61" s="2085"/>
      <c r="AC61" s="2082"/>
      <c r="AD61" s="2082"/>
      <c r="AE61" s="2076"/>
      <c r="AF61" s="2076"/>
      <c r="AG61" s="2076"/>
      <c r="AH61" s="2076"/>
      <c r="AI61" s="2076"/>
      <c r="AJ61" s="1457"/>
      <c r="AK61" s="2076"/>
      <c r="AL61" s="2085"/>
      <c r="AM61" s="2082"/>
      <c r="AN61" s="2082"/>
      <c r="AO61" s="1457"/>
      <c r="AP61" s="2076"/>
      <c r="AQ61" s="2085"/>
      <c r="AR61" s="2082"/>
      <c r="AS61" s="2082"/>
      <c r="AT61" s="2084"/>
      <c r="AU61" s="2076"/>
      <c r="AV61" s="2085"/>
      <c r="AW61" s="2082"/>
      <c r="AX61" s="2081"/>
      <c r="AY61" s="1457">
        <v>1000</v>
      </c>
      <c r="AZ61" s="1463">
        <v>1</v>
      </c>
      <c r="BA61" s="2083">
        <v>43098</v>
      </c>
      <c r="BB61" s="2087">
        <v>48</v>
      </c>
      <c r="BC61" s="2085">
        <v>43107</v>
      </c>
      <c r="BF61" s="2088"/>
    </row>
    <row r="62" spans="1:58">
      <c r="A62" s="2076" t="s">
        <v>2133</v>
      </c>
      <c r="B62" s="2077" t="s">
        <v>2996</v>
      </c>
      <c r="C62" s="2076" t="s">
        <v>2997</v>
      </c>
      <c r="D62" s="2079">
        <f t="shared" si="0"/>
        <v>1000</v>
      </c>
      <c r="E62" s="2080">
        <v>2.020753380788842E-5</v>
      </c>
      <c r="F62" s="1457"/>
      <c r="G62" s="1461"/>
      <c r="H62" s="2081"/>
      <c r="I62" s="2082"/>
      <c r="J62" s="2082"/>
      <c r="K62" s="1457"/>
      <c r="L62" s="1461"/>
      <c r="M62" s="2081"/>
      <c r="N62" s="2082"/>
      <c r="O62" s="2082"/>
      <c r="P62" s="1457"/>
      <c r="Q62" s="1461"/>
      <c r="R62" s="2081"/>
      <c r="S62" s="2082"/>
      <c r="T62" s="2082"/>
      <c r="U62" s="1457"/>
      <c r="V62" s="1461"/>
      <c r="W62" s="2081"/>
      <c r="X62" s="2082"/>
      <c r="Y62" s="2082"/>
      <c r="Z62" s="1462"/>
      <c r="AA62" s="1475"/>
      <c r="AB62" s="2085"/>
      <c r="AC62" s="2082"/>
      <c r="AD62" s="2082"/>
      <c r="AE62" s="2076"/>
      <c r="AF62" s="2076"/>
      <c r="AG62" s="2076"/>
      <c r="AH62" s="2076"/>
      <c r="AI62" s="2076"/>
      <c r="AJ62" s="1457"/>
      <c r="AK62" s="2076"/>
      <c r="AL62" s="2085"/>
      <c r="AM62" s="2082"/>
      <c r="AN62" s="2082"/>
      <c r="AO62" s="1457"/>
      <c r="AP62" s="2076"/>
      <c r="AQ62" s="2085"/>
      <c r="AR62" s="2082"/>
      <c r="AS62" s="2082"/>
      <c r="AT62" s="2084"/>
      <c r="AU62" s="2076"/>
      <c r="AV62" s="2085"/>
      <c r="AW62" s="2082"/>
      <c r="AX62" s="2081"/>
      <c r="AY62" s="1457">
        <v>1000</v>
      </c>
      <c r="AZ62" s="1463">
        <v>1</v>
      </c>
      <c r="BA62" s="2083">
        <v>43098</v>
      </c>
      <c r="BB62" s="2087">
        <v>48</v>
      </c>
      <c r="BC62" s="2085">
        <v>43107</v>
      </c>
      <c r="BF62" s="2088"/>
    </row>
    <row r="63" spans="1:58">
      <c r="A63" s="2076" t="s">
        <v>2136</v>
      </c>
      <c r="B63" s="2077" t="s">
        <v>2998</v>
      </c>
      <c r="C63" s="2076" t="s">
        <v>2999</v>
      </c>
      <c r="D63" s="2079">
        <f t="shared" si="0"/>
        <v>100000</v>
      </c>
      <c r="E63" s="2080">
        <v>2.020753380788842E-3</v>
      </c>
      <c r="F63" s="1462"/>
      <c r="G63" s="1458"/>
      <c r="H63" s="2081"/>
      <c r="I63" s="2082"/>
      <c r="J63" s="2082"/>
      <c r="K63" s="1457"/>
      <c r="L63" s="1461"/>
      <c r="M63" s="2081"/>
      <c r="N63" s="2082"/>
      <c r="O63" s="2082"/>
      <c r="P63" s="1457"/>
      <c r="Q63" s="1461"/>
      <c r="R63" s="2081"/>
      <c r="S63" s="2082"/>
      <c r="T63" s="2082"/>
      <c r="U63" s="1457"/>
      <c r="V63" s="1461"/>
      <c r="W63" s="2081"/>
      <c r="X63" s="2082"/>
      <c r="Y63" s="2082"/>
      <c r="Z63" s="1462"/>
      <c r="AA63" s="1463"/>
      <c r="AB63" s="2083"/>
      <c r="AC63" s="2082"/>
      <c r="AD63" s="2082"/>
      <c r="AE63" s="2076"/>
      <c r="AF63" s="2076"/>
      <c r="AG63" s="2076"/>
      <c r="AH63" s="2076"/>
      <c r="AI63" s="2076"/>
      <c r="AJ63" s="1457"/>
      <c r="AK63" s="2076"/>
      <c r="AL63" s="2083"/>
      <c r="AM63" s="2082"/>
      <c r="AN63" s="2082"/>
      <c r="AO63" s="1457"/>
      <c r="AP63" s="2076"/>
      <c r="AQ63" s="2083"/>
      <c r="AR63" s="2082"/>
      <c r="AS63" s="2082"/>
      <c r="AT63" s="2084">
        <v>100000</v>
      </c>
      <c r="AU63" s="2076">
        <v>1</v>
      </c>
      <c r="AV63" s="2085">
        <v>43006</v>
      </c>
      <c r="AW63" s="2082">
        <v>48</v>
      </c>
      <c r="AX63" s="2081">
        <v>43107</v>
      </c>
      <c r="AY63" s="1457"/>
      <c r="AZ63" s="1463"/>
      <c r="BA63" s="2083"/>
      <c r="BB63" s="2087"/>
      <c r="BC63" s="2085"/>
      <c r="BF63" s="2088"/>
    </row>
    <row r="64" spans="1:58">
      <c r="A64" s="2076" t="s">
        <v>2139</v>
      </c>
      <c r="B64" s="2077" t="s">
        <v>3000</v>
      </c>
      <c r="C64" s="2076" t="s">
        <v>3001</v>
      </c>
      <c r="D64" s="2079">
        <f t="shared" si="0"/>
        <v>1000</v>
      </c>
      <c r="E64" s="2080">
        <v>2.020753380788842E-5</v>
      </c>
      <c r="F64" s="1462"/>
      <c r="G64" s="1458"/>
      <c r="H64" s="2081"/>
      <c r="I64" s="2082"/>
      <c r="J64" s="2082"/>
      <c r="K64" s="1457"/>
      <c r="L64" s="1461"/>
      <c r="M64" s="2081"/>
      <c r="N64" s="2082"/>
      <c r="O64" s="2082"/>
      <c r="P64" s="1457"/>
      <c r="Q64" s="1461"/>
      <c r="R64" s="2081"/>
      <c r="S64" s="2082"/>
      <c r="T64" s="2082"/>
      <c r="U64" s="1457"/>
      <c r="V64" s="1461"/>
      <c r="W64" s="2081"/>
      <c r="X64" s="2082"/>
      <c r="Y64" s="2082"/>
      <c r="Z64" s="1462"/>
      <c r="AA64" s="1463"/>
      <c r="AB64" s="2083"/>
      <c r="AC64" s="2082"/>
      <c r="AD64" s="2082"/>
      <c r="AE64" s="2076"/>
      <c r="AF64" s="2076"/>
      <c r="AG64" s="2076"/>
      <c r="AH64" s="2076"/>
      <c r="AI64" s="2076"/>
      <c r="AJ64" s="1457"/>
      <c r="AK64" s="2076"/>
      <c r="AL64" s="2083"/>
      <c r="AM64" s="2082"/>
      <c r="AN64" s="2082"/>
      <c r="AO64" s="1457"/>
      <c r="AP64" s="2076"/>
      <c r="AQ64" s="2083"/>
      <c r="AR64" s="2082"/>
      <c r="AS64" s="2082"/>
      <c r="AT64" s="2084"/>
      <c r="AU64" s="2076"/>
      <c r="AV64" s="2085"/>
      <c r="AW64" s="2082"/>
      <c r="AX64" s="2081"/>
      <c r="AY64" s="1457">
        <v>1000</v>
      </c>
      <c r="AZ64" s="1463">
        <v>1</v>
      </c>
      <c r="BA64" s="2083">
        <v>43098</v>
      </c>
      <c r="BB64" s="2087">
        <v>48</v>
      </c>
      <c r="BC64" s="2085">
        <v>43107</v>
      </c>
      <c r="BF64" s="2088"/>
    </row>
    <row r="65" spans="1:58">
      <c r="A65" s="2076" t="s">
        <v>2142</v>
      </c>
      <c r="B65" s="2077" t="s">
        <v>3002</v>
      </c>
      <c r="C65" s="2076" t="s">
        <v>3003</v>
      </c>
      <c r="D65" s="2079">
        <f t="shared" si="0"/>
        <v>1000</v>
      </c>
      <c r="E65" s="2080">
        <v>2.020753380788842E-5</v>
      </c>
      <c r="F65" s="1462"/>
      <c r="G65" s="1458"/>
      <c r="H65" s="2081"/>
      <c r="I65" s="2082"/>
      <c r="J65" s="2082"/>
      <c r="K65" s="1457"/>
      <c r="L65" s="1461"/>
      <c r="M65" s="2081"/>
      <c r="N65" s="2082"/>
      <c r="O65" s="2082"/>
      <c r="P65" s="1457"/>
      <c r="Q65" s="1461"/>
      <c r="R65" s="2081"/>
      <c r="S65" s="2082"/>
      <c r="T65" s="2082"/>
      <c r="U65" s="1457"/>
      <c r="V65" s="1458"/>
      <c r="W65" s="2081"/>
      <c r="X65" s="2082"/>
      <c r="Y65" s="2082"/>
      <c r="Z65" s="1462"/>
      <c r="AA65" s="1463"/>
      <c r="AB65" s="2083"/>
      <c r="AC65" s="2082"/>
      <c r="AD65" s="2082"/>
      <c r="AE65" s="2076"/>
      <c r="AF65" s="2076"/>
      <c r="AG65" s="2076"/>
      <c r="AH65" s="2076"/>
      <c r="AI65" s="2076"/>
      <c r="AJ65" s="1457"/>
      <c r="AK65" s="2076"/>
      <c r="AL65" s="2083"/>
      <c r="AM65" s="2082"/>
      <c r="AN65" s="2082"/>
      <c r="AO65" s="1457"/>
      <c r="AP65" s="2076"/>
      <c r="AQ65" s="2083"/>
      <c r="AR65" s="2082"/>
      <c r="AS65" s="2082"/>
      <c r="AT65" s="2084"/>
      <c r="AU65" s="2076"/>
      <c r="AV65" s="2085"/>
      <c r="AW65" s="2082"/>
      <c r="AX65" s="2081"/>
      <c r="AY65" s="1457">
        <v>1000</v>
      </c>
      <c r="AZ65" s="1463">
        <v>1</v>
      </c>
      <c r="BA65" s="2083">
        <v>43098</v>
      </c>
      <c r="BB65" s="2087">
        <v>48</v>
      </c>
      <c r="BC65" s="2085">
        <v>43107</v>
      </c>
      <c r="BF65" s="2088"/>
    </row>
    <row r="66" spans="1:58">
      <c r="A66" s="2076" t="s">
        <v>2145</v>
      </c>
      <c r="B66" s="2077" t="s">
        <v>3004</v>
      </c>
      <c r="C66" s="2076" t="s">
        <v>3005</v>
      </c>
      <c r="D66" s="2079">
        <f t="shared" si="0"/>
        <v>5000</v>
      </c>
      <c r="E66" s="2080">
        <v>1.0103766903944211E-4</v>
      </c>
      <c r="F66" s="1462"/>
      <c r="G66" s="1458"/>
      <c r="H66" s="2081"/>
      <c r="I66" s="2082"/>
      <c r="J66" s="2082"/>
      <c r="K66" s="1457"/>
      <c r="L66" s="1461"/>
      <c r="M66" s="2081"/>
      <c r="N66" s="2082"/>
      <c r="O66" s="2082"/>
      <c r="P66" s="1457"/>
      <c r="Q66" s="1461"/>
      <c r="R66" s="2081"/>
      <c r="S66" s="2082"/>
      <c r="T66" s="2082"/>
      <c r="U66" s="1457"/>
      <c r="V66" s="1458"/>
      <c r="W66" s="2081"/>
      <c r="X66" s="2082"/>
      <c r="Y66" s="2082"/>
      <c r="Z66" s="1462"/>
      <c r="AA66" s="1463"/>
      <c r="AB66" s="2083"/>
      <c r="AC66" s="2082"/>
      <c r="AD66" s="2082"/>
      <c r="AE66" s="2076"/>
      <c r="AF66" s="2076"/>
      <c r="AG66" s="2076"/>
      <c r="AH66" s="2076"/>
      <c r="AI66" s="2076"/>
      <c r="AJ66" s="1457"/>
      <c r="AK66" s="2076"/>
      <c r="AL66" s="2083"/>
      <c r="AM66" s="2082"/>
      <c r="AN66" s="2082"/>
      <c r="AO66" s="1457"/>
      <c r="AP66" s="2076"/>
      <c r="AQ66" s="2083"/>
      <c r="AR66" s="2082"/>
      <c r="AS66" s="2082"/>
      <c r="AT66" s="2084"/>
      <c r="AU66" s="2076"/>
      <c r="AV66" s="2085"/>
      <c r="AW66" s="2082"/>
      <c r="AX66" s="2081"/>
      <c r="AY66" s="1457">
        <v>5000</v>
      </c>
      <c r="AZ66" s="1463">
        <v>1</v>
      </c>
      <c r="BA66" s="2083">
        <v>43098</v>
      </c>
      <c r="BB66" s="2087">
        <v>48</v>
      </c>
      <c r="BC66" s="2085">
        <v>43107</v>
      </c>
      <c r="BF66" s="2088"/>
    </row>
    <row r="67" spans="1:58">
      <c r="A67" s="2076" t="s">
        <v>2148</v>
      </c>
      <c r="B67" s="2077" t="s">
        <v>3006</v>
      </c>
      <c r="C67" s="2076" t="s">
        <v>3007</v>
      </c>
      <c r="D67" s="2079">
        <f t="shared" si="0"/>
        <v>1000</v>
      </c>
      <c r="E67" s="2080">
        <v>2.020753380788842E-5</v>
      </c>
      <c r="F67" s="1462"/>
      <c r="G67" s="1458"/>
      <c r="H67" s="2081"/>
      <c r="I67" s="2082"/>
      <c r="J67" s="2082"/>
      <c r="K67" s="1457"/>
      <c r="L67" s="1461"/>
      <c r="M67" s="2081"/>
      <c r="N67" s="2082"/>
      <c r="O67" s="2082"/>
      <c r="P67" s="1457"/>
      <c r="Q67" s="1461"/>
      <c r="R67" s="2081"/>
      <c r="S67" s="2082"/>
      <c r="T67" s="2082"/>
      <c r="U67" s="1457"/>
      <c r="V67" s="1458"/>
      <c r="W67" s="2081"/>
      <c r="X67" s="2082"/>
      <c r="Y67" s="2082"/>
      <c r="Z67" s="1462"/>
      <c r="AA67" s="1463"/>
      <c r="AB67" s="2083"/>
      <c r="AC67" s="2082"/>
      <c r="AD67" s="2082"/>
      <c r="AE67" s="2076"/>
      <c r="AF67" s="2076"/>
      <c r="AG67" s="2076"/>
      <c r="AH67" s="2076"/>
      <c r="AI67" s="2076"/>
      <c r="AJ67" s="1457"/>
      <c r="AK67" s="2076"/>
      <c r="AL67" s="2083"/>
      <c r="AM67" s="2082"/>
      <c r="AN67" s="2082"/>
      <c r="AO67" s="1457"/>
      <c r="AP67" s="2076"/>
      <c r="AQ67" s="2083"/>
      <c r="AR67" s="2082"/>
      <c r="AS67" s="2082"/>
      <c r="AT67" s="2084"/>
      <c r="AU67" s="2076"/>
      <c r="AV67" s="2085"/>
      <c r="AW67" s="2082"/>
      <c r="AX67" s="2081"/>
      <c r="AY67" s="1457">
        <v>1000</v>
      </c>
      <c r="AZ67" s="1463">
        <v>1</v>
      </c>
      <c r="BA67" s="2083">
        <v>43098</v>
      </c>
      <c r="BB67" s="2087">
        <v>48</v>
      </c>
      <c r="BC67" s="2085">
        <v>43107</v>
      </c>
      <c r="BF67" s="2088"/>
    </row>
    <row r="68" spans="1:58">
      <c r="A68" s="2076" t="s">
        <v>2151</v>
      </c>
      <c r="B68" s="2077" t="s">
        <v>3008</v>
      </c>
      <c r="C68" s="2076" t="s">
        <v>3009</v>
      </c>
      <c r="D68" s="2079">
        <f t="shared" ref="D68:D80" si="1">F68+K68+P68+U68+Z68+AE68+AJ68+AO68+AT68+AY68</f>
        <v>1000</v>
      </c>
      <c r="E68" s="2080">
        <v>2.020753380788842E-5</v>
      </c>
      <c r="F68" s="1462"/>
      <c r="G68" s="1458"/>
      <c r="H68" s="2081"/>
      <c r="I68" s="2082"/>
      <c r="J68" s="2082"/>
      <c r="K68" s="1457"/>
      <c r="L68" s="1461"/>
      <c r="M68" s="2081"/>
      <c r="N68" s="2082"/>
      <c r="O68" s="2082"/>
      <c r="P68" s="1457"/>
      <c r="Q68" s="1461"/>
      <c r="R68" s="2081"/>
      <c r="S68" s="2082"/>
      <c r="T68" s="2082"/>
      <c r="U68" s="1457"/>
      <c r="V68" s="1458"/>
      <c r="W68" s="2081"/>
      <c r="X68" s="2082"/>
      <c r="Y68" s="2082"/>
      <c r="Z68" s="1462"/>
      <c r="AA68" s="1463"/>
      <c r="AB68" s="2083"/>
      <c r="AC68" s="2082"/>
      <c r="AD68" s="2082"/>
      <c r="AE68" s="2076"/>
      <c r="AF68" s="2076"/>
      <c r="AG68" s="2076"/>
      <c r="AH68" s="2076"/>
      <c r="AI68" s="2076"/>
      <c r="AJ68" s="1457"/>
      <c r="AK68" s="2076"/>
      <c r="AL68" s="2083"/>
      <c r="AM68" s="2082"/>
      <c r="AN68" s="2082"/>
      <c r="AO68" s="1457"/>
      <c r="AP68" s="2076"/>
      <c r="AQ68" s="2083"/>
      <c r="AR68" s="2082"/>
      <c r="AS68" s="2082"/>
      <c r="AT68" s="2084"/>
      <c r="AU68" s="2076"/>
      <c r="AV68" s="2085"/>
      <c r="AW68" s="2082"/>
      <c r="AX68" s="2081"/>
      <c r="AY68" s="1457">
        <v>1000</v>
      </c>
      <c r="AZ68" s="1463">
        <v>1</v>
      </c>
      <c r="BA68" s="2083">
        <v>43098</v>
      </c>
      <c r="BB68" s="2087">
        <v>48</v>
      </c>
      <c r="BC68" s="2085">
        <v>43107</v>
      </c>
      <c r="BF68" s="2088"/>
    </row>
    <row r="69" spans="1:58">
      <c r="A69" s="2076" t="s">
        <v>2154</v>
      </c>
      <c r="B69" s="2077" t="s">
        <v>3010</v>
      </c>
      <c r="C69" s="2076" t="s">
        <v>3011</v>
      </c>
      <c r="D69" s="2079">
        <f t="shared" si="1"/>
        <v>60000</v>
      </c>
      <c r="E69" s="2080">
        <v>1.2124520284733052E-3</v>
      </c>
      <c r="F69" s="1462"/>
      <c r="G69" s="1458"/>
      <c r="H69" s="2081"/>
      <c r="I69" s="2082"/>
      <c r="J69" s="2082"/>
      <c r="K69" s="1457"/>
      <c r="L69" s="1461"/>
      <c r="M69" s="2081"/>
      <c r="N69" s="2082"/>
      <c r="O69" s="2082"/>
      <c r="P69" s="1457"/>
      <c r="Q69" s="1461"/>
      <c r="R69" s="2081"/>
      <c r="S69" s="2082"/>
      <c r="T69" s="2082"/>
      <c r="U69" s="1457"/>
      <c r="V69" s="1461"/>
      <c r="W69" s="2081"/>
      <c r="X69" s="2082"/>
      <c r="Y69" s="2082"/>
      <c r="Z69" s="1462"/>
      <c r="AA69" s="1463"/>
      <c r="AB69" s="2083"/>
      <c r="AC69" s="2082"/>
      <c r="AD69" s="2082"/>
      <c r="AE69" s="2076"/>
      <c r="AF69" s="2076"/>
      <c r="AG69" s="2076"/>
      <c r="AH69" s="2076"/>
      <c r="AI69" s="2076"/>
      <c r="AJ69" s="1457"/>
      <c r="AK69" s="2076"/>
      <c r="AL69" s="2083"/>
      <c r="AM69" s="2082"/>
      <c r="AN69" s="2082"/>
      <c r="AO69" s="1457"/>
      <c r="AP69" s="2076"/>
      <c r="AQ69" s="2083"/>
      <c r="AR69" s="2082"/>
      <c r="AS69" s="2082"/>
      <c r="AT69" s="2084">
        <v>60000</v>
      </c>
      <c r="AU69" s="2076">
        <v>1</v>
      </c>
      <c r="AV69" s="2085">
        <v>43087</v>
      </c>
      <c r="AW69" s="2082">
        <v>48</v>
      </c>
      <c r="AX69" s="2081">
        <v>43107</v>
      </c>
      <c r="AY69" s="1457"/>
      <c r="AZ69" s="2076"/>
      <c r="BA69" s="2076"/>
      <c r="BB69" s="2076"/>
      <c r="BC69" s="2076"/>
      <c r="BF69" s="2088"/>
    </row>
    <row r="70" spans="1:58">
      <c r="A70" s="2076" t="s">
        <v>3012</v>
      </c>
      <c r="B70" s="2077" t="s">
        <v>3013</v>
      </c>
      <c r="C70" s="2076" t="s">
        <v>3014</v>
      </c>
      <c r="D70" s="2079">
        <f t="shared" si="1"/>
        <v>2226892</v>
      </c>
      <c r="E70" s="2080">
        <v>4.4999995376516264E-2</v>
      </c>
      <c r="F70" s="1462"/>
      <c r="G70" s="1458"/>
      <c r="H70" s="2081"/>
      <c r="I70" s="2082"/>
      <c r="J70" s="2082"/>
      <c r="K70" s="1457"/>
      <c r="L70" s="1461"/>
      <c r="M70" s="2081"/>
      <c r="N70" s="2082"/>
      <c r="O70" s="2082"/>
      <c r="P70" s="1457"/>
      <c r="Q70" s="1461"/>
      <c r="R70" s="2081"/>
      <c r="S70" s="2082"/>
      <c r="T70" s="2082"/>
      <c r="U70" s="1457"/>
      <c r="V70" s="1461"/>
      <c r="W70" s="2081"/>
      <c r="X70" s="2082"/>
      <c r="Y70" s="2082"/>
      <c r="Z70" s="1462"/>
      <c r="AA70" s="1463"/>
      <c r="AB70" s="2083"/>
      <c r="AC70" s="2082"/>
      <c r="AD70" s="2082"/>
      <c r="AE70" s="2076"/>
      <c r="AF70" s="2076"/>
      <c r="AG70" s="2076"/>
      <c r="AH70" s="2076"/>
      <c r="AI70" s="2076"/>
      <c r="AJ70" s="1457"/>
      <c r="AK70" s="2076"/>
      <c r="AL70" s="2083"/>
      <c r="AM70" s="2082"/>
      <c r="AN70" s="2082"/>
      <c r="AO70" s="1457"/>
      <c r="AP70" s="2076"/>
      <c r="AQ70" s="2083"/>
      <c r="AR70" s="2082"/>
      <c r="AS70" s="2082"/>
      <c r="AT70" s="2084"/>
      <c r="AU70" s="2076"/>
      <c r="AV70" s="2085"/>
      <c r="AW70" s="2082"/>
      <c r="AX70" s="2081"/>
      <c r="AY70" s="1476">
        <v>2226892</v>
      </c>
      <c r="AZ70" s="1463"/>
      <c r="BA70" s="2083">
        <v>43091</v>
      </c>
      <c r="BB70" s="2087">
        <v>48</v>
      </c>
      <c r="BC70" s="2085">
        <v>43107</v>
      </c>
    </row>
    <row r="71" spans="1:58">
      <c r="A71" s="2076" t="s">
        <v>2160</v>
      </c>
      <c r="B71" s="2077" t="s">
        <v>3015</v>
      </c>
      <c r="C71" s="2076" t="s">
        <v>3016</v>
      </c>
      <c r="D71" s="2079">
        <f t="shared" si="1"/>
        <v>80000</v>
      </c>
      <c r="E71" s="2080">
        <v>1.6166027046310737E-3</v>
      </c>
      <c r="F71" s="1462"/>
      <c r="G71" s="1458"/>
      <c r="H71" s="2081"/>
      <c r="I71" s="2082"/>
      <c r="J71" s="2082"/>
      <c r="K71" s="1457"/>
      <c r="L71" s="1461"/>
      <c r="M71" s="2081"/>
      <c r="N71" s="2082"/>
      <c r="O71" s="2082"/>
      <c r="P71" s="1457"/>
      <c r="Q71" s="1461"/>
      <c r="R71" s="2081"/>
      <c r="S71" s="2082"/>
      <c r="T71" s="2082"/>
      <c r="U71" s="1457"/>
      <c r="V71" s="1461"/>
      <c r="W71" s="2081"/>
      <c r="X71" s="2082"/>
      <c r="Y71" s="2082"/>
      <c r="Z71" s="1462"/>
      <c r="AA71" s="1463"/>
      <c r="AB71" s="2083"/>
      <c r="AC71" s="2082"/>
      <c r="AD71" s="2082"/>
      <c r="AE71" s="2076"/>
      <c r="AF71" s="2076"/>
      <c r="AG71" s="2076"/>
      <c r="AH71" s="2076"/>
      <c r="AI71" s="2076"/>
      <c r="AJ71" s="1457"/>
      <c r="AK71" s="2076"/>
      <c r="AL71" s="2083"/>
      <c r="AM71" s="2082"/>
      <c r="AN71" s="2082"/>
      <c r="AO71" s="1457"/>
      <c r="AP71" s="2076"/>
      <c r="AQ71" s="2083"/>
      <c r="AR71" s="2082"/>
      <c r="AS71" s="2082"/>
      <c r="AT71" s="2084">
        <v>80000</v>
      </c>
      <c r="AU71" s="2076">
        <v>1</v>
      </c>
      <c r="AV71" s="2085">
        <v>43129</v>
      </c>
      <c r="AW71" s="2082">
        <v>48</v>
      </c>
      <c r="AX71" s="2081">
        <v>43107</v>
      </c>
      <c r="AY71" s="1457"/>
      <c r="AZ71" s="2076"/>
      <c r="BA71" s="2076"/>
      <c r="BB71" s="2076"/>
      <c r="BC71" s="2076"/>
    </row>
    <row r="72" spans="1:58" ht="30">
      <c r="A72" s="2086" t="s">
        <v>3017</v>
      </c>
      <c r="B72" s="2093" t="s">
        <v>2164</v>
      </c>
      <c r="C72" s="2086" t="s">
        <v>3018</v>
      </c>
      <c r="D72" s="2079">
        <f t="shared" si="1"/>
        <v>70000</v>
      </c>
      <c r="E72" s="2080">
        <v>1.4145273665521895E-3</v>
      </c>
      <c r="F72" s="1478">
        <v>30000</v>
      </c>
      <c r="G72" s="1458">
        <v>1</v>
      </c>
      <c r="H72" s="2094">
        <v>40391</v>
      </c>
      <c r="I72" s="2095">
        <v>36</v>
      </c>
      <c r="J72" s="2094">
        <v>41529</v>
      </c>
      <c r="K72" s="2096"/>
      <c r="L72" s="2086"/>
      <c r="M72" s="2094"/>
      <c r="N72" s="2082"/>
      <c r="O72" s="2095"/>
      <c r="P72" s="2096"/>
      <c r="Q72" s="2086"/>
      <c r="R72" s="2094"/>
      <c r="S72" s="2095"/>
      <c r="T72" s="2095"/>
      <c r="U72" s="2096"/>
      <c r="V72" s="2086"/>
      <c r="W72" s="2094"/>
      <c r="X72" s="2082"/>
      <c r="Y72" s="2082"/>
      <c r="Z72" s="1478">
        <v>40000</v>
      </c>
      <c r="AA72" s="1463">
        <v>3.5</v>
      </c>
      <c r="AB72" s="2083">
        <v>42360</v>
      </c>
      <c r="AC72" s="2082">
        <v>48</v>
      </c>
      <c r="AD72" s="2081">
        <v>42380</v>
      </c>
      <c r="AE72" s="2086"/>
      <c r="AF72" s="2086"/>
      <c r="AG72" s="2086"/>
      <c r="AH72" s="2076"/>
      <c r="AI72" s="2076"/>
      <c r="AJ72" s="1468"/>
      <c r="AK72" s="2086"/>
      <c r="AL72" s="2083"/>
      <c r="AM72" s="2082"/>
      <c r="AN72" s="2095"/>
      <c r="AO72" s="1468"/>
      <c r="AP72" s="2086"/>
      <c r="AQ72" s="2083"/>
      <c r="AR72" s="2082"/>
      <c r="AS72" s="2082"/>
      <c r="AT72" s="2086"/>
      <c r="AU72" s="2086"/>
      <c r="AV72" s="2086"/>
      <c r="AW72" s="2095"/>
      <c r="AX72" s="2095"/>
      <c r="AY72" s="1457"/>
      <c r="AZ72" s="2076"/>
      <c r="BA72" s="2076"/>
      <c r="BB72" s="2076"/>
      <c r="BC72" s="2076"/>
    </row>
    <row r="73" spans="1:58" ht="30">
      <c r="A73" s="2076" t="s">
        <v>3019</v>
      </c>
      <c r="B73" s="2077" t="s">
        <v>3020</v>
      </c>
      <c r="C73" s="2076" t="s">
        <v>3018</v>
      </c>
      <c r="D73" s="2079">
        <f t="shared" si="1"/>
        <v>80000</v>
      </c>
      <c r="E73" s="2080">
        <v>1.6166027046310737E-3</v>
      </c>
      <c r="F73" s="1462">
        <v>30000</v>
      </c>
      <c r="G73" s="1458">
        <v>1</v>
      </c>
      <c r="H73" s="2081">
        <v>40391</v>
      </c>
      <c r="I73" s="2082">
        <v>36</v>
      </c>
      <c r="J73" s="2081">
        <v>41529</v>
      </c>
      <c r="K73" s="2097"/>
      <c r="L73" s="2076"/>
      <c r="M73" s="2081"/>
      <c r="N73" s="2082"/>
      <c r="O73" s="2082"/>
      <c r="P73" s="2097"/>
      <c r="Q73" s="2086"/>
      <c r="R73" s="2081"/>
      <c r="S73" s="2082"/>
      <c r="T73" s="2082"/>
      <c r="U73" s="2097"/>
      <c r="V73" s="2086"/>
      <c r="W73" s="2081"/>
      <c r="X73" s="2082"/>
      <c r="Y73" s="2082"/>
      <c r="Z73" s="1462">
        <v>50000</v>
      </c>
      <c r="AA73" s="1463">
        <v>3.5</v>
      </c>
      <c r="AB73" s="2083">
        <v>42360</v>
      </c>
      <c r="AC73" s="2082">
        <v>48</v>
      </c>
      <c r="AD73" s="2081">
        <v>42380</v>
      </c>
      <c r="AE73" s="2076"/>
      <c r="AF73" s="2076"/>
      <c r="AG73" s="2076"/>
      <c r="AH73" s="2076"/>
      <c r="AI73" s="2076"/>
      <c r="AJ73" s="1457"/>
      <c r="AK73" s="2076"/>
      <c r="AL73" s="2083"/>
      <c r="AM73" s="2082"/>
      <c r="AN73" s="2082"/>
      <c r="AO73" s="1457"/>
      <c r="AP73" s="2076"/>
      <c r="AQ73" s="2083"/>
      <c r="AR73" s="2082"/>
      <c r="AS73" s="2082"/>
      <c r="AT73" s="2076"/>
      <c r="AU73" s="2076"/>
      <c r="AV73" s="2076"/>
      <c r="AW73" s="2082"/>
      <c r="AX73" s="2082"/>
      <c r="AY73" s="1457"/>
      <c r="AZ73" s="2076"/>
      <c r="BA73" s="2076"/>
      <c r="BB73" s="2076"/>
      <c r="BC73" s="2076"/>
    </row>
    <row r="74" spans="1:58" ht="30">
      <c r="A74" s="2076" t="s">
        <v>2168</v>
      </c>
      <c r="B74" s="2077" t="s">
        <v>3021</v>
      </c>
      <c r="C74" s="2076" t="s">
        <v>3018</v>
      </c>
      <c r="D74" s="2079">
        <f t="shared" si="1"/>
        <v>70000</v>
      </c>
      <c r="E74" s="2080">
        <v>1.4145273665521895E-3</v>
      </c>
      <c r="F74" s="1462">
        <v>30000</v>
      </c>
      <c r="G74" s="1458">
        <v>1</v>
      </c>
      <c r="H74" s="2081">
        <v>40391</v>
      </c>
      <c r="I74" s="2082">
        <v>36</v>
      </c>
      <c r="J74" s="2081">
        <v>41529</v>
      </c>
      <c r="K74" s="2097"/>
      <c r="L74" s="2076"/>
      <c r="M74" s="2081"/>
      <c r="N74" s="2082"/>
      <c r="O74" s="2082"/>
      <c r="P74" s="2097"/>
      <c r="Q74" s="2086"/>
      <c r="R74" s="2081"/>
      <c r="S74" s="2082"/>
      <c r="T74" s="2082"/>
      <c r="U74" s="2097"/>
      <c r="V74" s="2086"/>
      <c r="W74" s="2081"/>
      <c r="X74" s="2082"/>
      <c r="Y74" s="2082"/>
      <c r="Z74" s="1462">
        <v>40000</v>
      </c>
      <c r="AA74" s="1463">
        <v>3.5</v>
      </c>
      <c r="AB74" s="2083">
        <v>42360</v>
      </c>
      <c r="AC74" s="2082">
        <v>48</v>
      </c>
      <c r="AD74" s="2081">
        <v>42380</v>
      </c>
      <c r="AE74" s="2076"/>
      <c r="AF74" s="2076"/>
      <c r="AG74" s="2076"/>
      <c r="AH74" s="2076"/>
      <c r="AI74" s="2076"/>
      <c r="AJ74" s="1457"/>
      <c r="AK74" s="2076"/>
      <c r="AL74" s="2083"/>
      <c r="AM74" s="2082"/>
      <c r="AN74" s="2082"/>
      <c r="AO74" s="1457"/>
      <c r="AP74" s="2086"/>
      <c r="AQ74" s="2083"/>
      <c r="AR74" s="2082"/>
      <c r="AS74" s="2082"/>
      <c r="AT74" s="2076"/>
      <c r="AU74" s="2076"/>
      <c r="AV74" s="2076"/>
      <c r="AW74" s="2082"/>
      <c r="AX74" s="2082"/>
      <c r="AY74" s="1457"/>
      <c r="AZ74" s="2076"/>
      <c r="BA74" s="2076"/>
      <c r="BB74" s="2076"/>
      <c r="BC74" s="2076"/>
    </row>
    <row r="75" spans="1:58" ht="30">
      <c r="A75" s="2076" t="s">
        <v>2170</v>
      </c>
      <c r="B75" s="2077" t="s">
        <v>3022</v>
      </c>
      <c r="C75" s="2076" t="s">
        <v>3018</v>
      </c>
      <c r="D75" s="2079">
        <f t="shared" si="1"/>
        <v>70000</v>
      </c>
      <c r="E75" s="2080">
        <v>1.4145273665521895E-3</v>
      </c>
      <c r="F75" s="1462">
        <v>30000</v>
      </c>
      <c r="G75" s="1458">
        <v>1</v>
      </c>
      <c r="H75" s="2081">
        <v>40940</v>
      </c>
      <c r="I75" s="2082">
        <v>36</v>
      </c>
      <c r="J75" s="2081">
        <v>41529</v>
      </c>
      <c r="K75" s="2097"/>
      <c r="L75" s="2086"/>
      <c r="M75" s="2081"/>
      <c r="N75" s="2082"/>
      <c r="O75" s="2082"/>
      <c r="P75" s="2097"/>
      <c r="Q75" s="2086"/>
      <c r="R75" s="2081"/>
      <c r="S75" s="2082"/>
      <c r="T75" s="2082"/>
      <c r="U75" s="2097"/>
      <c r="V75" s="1458"/>
      <c r="W75" s="2081"/>
      <c r="X75" s="2082"/>
      <c r="Y75" s="2082"/>
      <c r="Z75" s="1462">
        <v>40000</v>
      </c>
      <c r="AA75" s="1463">
        <v>3.5</v>
      </c>
      <c r="AB75" s="2083">
        <v>42360</v>
      </c>
      <c r="AC75" s="2082">
        <v>48</v>
      </c>
      <c r="AD75" s="2081">
        <v>42380</v>
      </c>
      <c r="AE75" s="2076"/>
      <c r="AF75" s="2076"/>
      <c r="AG75" s="2076"/>
      <c r="AH75" s="2076"/>
      <c r="AI75" s="2076"/>
      <c r="AJ75" s="1457"/>
      <c r="AK75" s="2076"/>
      <c r="AL75" s="2083"/>
      <c r="AM75" s="2082"/>
      <c r="AN75" s="2082"/>
      <c r="AO75" s="1457"/>
      <c r="AP75" s="2086"/>
      <c r="AQ75" s="2083"/>
      <c r="AR75" s="2082"/>
      <c r="AS75" s="2082"/>
      <c r="AT75" s="2076"/>
      <c r="AU75" s="2076"/>
      <c r="AV75" s="2076"/>
      <c r="AW75" s="2082"/>
      <c r="AX75" s="2082"/>
      <c r="AY75" s="1457"/>
      <c r="AZ75" s="2076"/>
      <c r="BA75" s="2076"/>
      <c r="BB75" s="2076"/>
      <c r="BC75" s="2076"/>
    </row>
    <row r="76" spans="1:58">
      <c r="A76" s="2076" t="s">
        <v>2172</v>
      </c>
      <c r="B76" s="2077" t="s">
        <v>3023</v>
      </c>
      <c r="C76" s="2076" t="s">
        <v>3018</v>
      </c>
      <c r="D76" s="2079">
        <f t="shared" si="1"/>
        <v>60000</v>
      </c>
      <c r="E76" s="2080">
        <v>1.2124520284733052E-3</v>
      </c>
      <c r="F76" s="2098"/>
      <c r="G76" s="1458"/>
      <c r="H76" s="2076"/>
      <c r="I76" s="2082"/>
      <c r="J76" s="2082"/>
      <c r="K76" s="2097"/>
      <c r="L76" s="2086"/>
      <c r="M76" s="2076"/>
      <c r="N76" s="2082"/>
      <c r="O76" s="2082"/>
      <c r="P76" s="2097"/>
      <c r="Q76" s="2086"/>
      <c r="R76" s="2076"/>
      <c r="S76" s="2082"/>
      <c r="T76" s="2082"/>
      <c r="U76" s="2097">
        <v>10000</v>
      </c>
      <c r="V76" s="1458">
        <v>1</v>
      </c>
      <c r="W76" s="2081">
        <v>41964</v>
      </c>
      <c r="X76" s="2082">
        <v>48</v>
      </c>
      <c r="Y76" s="2081">
        <v>41977</v>
      </c>
      <c r="Z76" s="1462">
        <v>50000</v>
      </c>
      <c r="AA76" s="1463">
        <v>3.5</v>
      </c>
      <c r="AB76" s="2083">
        <v>42360</v>
      </c>
      <c r="AC76" s="2082">
        <v>48</v>
      </c>
      <c r="AD76" s="2081">
        <v>42380</v>
      </c>
      <c r="AE76" s="2076"/>
      <c r="AF76" s="2076"/>
      <c r="AG76" s="2076"/>
      <c r="AH76" s="2076"/>
      <c r="AI76" s="2076"/>
      <c r="AJ76" s="1457"/>
      <c r="AK76" s="2076"/>
      <c r="AL76" s="2083"/>
      <c r="AM76" s="2082"/>
      <c r="AN76" s="2082"/>
      <c r="AO76" s="1457"/>
      <c r="AP76" s="2086"/>
      <c r="AQ76" s="2083"/>
      <c r="AR76" s="2082"/>
      <c r="AS76" s="2082"/>
      <c r="AT76" s="2076"/>
      <c r="AU76" s="2076"/>
      <c r="AV76" s="2076"/>
      <c r="AW76" s="2082"/>
      <c r="AX76" s="2082"/>
      <c r="AY76" s="1457"/>
      <c r="AZ76" s="2076"/>
      <c r="BA76" s="2076"/>
      <c r="BB76" s="2076"/>
      <c r="BC76" s="2076"/>
    </row>
    <row r="77" spans="1:58">
      <c r="A77" s="2076" t="s">
        <v>2174</v>
      </c>
      <c r="B77" s="2077" t="s">
        <v>3024</v>
      </c>
      <c r="C77" s="2076" t="s">
        <v>3018</v>
      </c>
      <c r="D77" s="2079">
        <f t="shared" si="1"/>
        <v>30000</v>
      </c>
      <c r="E77" s="2080">
        <v>6.0622601423665262E-4</v>
      </c>
      <c r="F77" s="2097"/>
      <c r="G77" s="1458"/>
      <c r="H77" s="2076"/>
      <c r="I77" s="2082"/>
      <c r="J77" s="2082"/>
      <c r="K77" s="2097"/>
      <c r="L77" s="2086"/>
      <c r="M77" s="2076"/>
      <c r="N77" s="2082"/>
      <c r="O77" s="2082"/>
      <c r="P77" s="2097"/>
      <c r="Q77" s="2086"/>
      <c r="R77" s="2076"/>
      <c r="S77" s="2082"/>
      <c r="T77" s="2082"/>
      <c r="U77" s="2097">
        <v>20000</v>
      </c>
      <c r="V77" s="1458">
        <v>1</v>
      </c>
      <c r="W77" s="2081">
        <v>41964</v>
      </c>
      <c r="X77" s="2082">
        <v>48</v>
      </c>
      <c r="Y77" s="2081">
        <v>41977</v>
      </c>
      <c r="Z77" s="1462">
        <v>10000</v>
      </c>
      <c r="AA77" s="1463">
        <v>3.5</v>
      </c>
      <c r="AB77" s="2083">
        <v>42360</v>
      </c>
      <c r="AC77" s="2082">
        <v>48</v>
      </c>
      <c r="AD77" s="2081">
        <v>42380</v>
      </c>
      <c r="AE77" s="2076"/>
      <c r="AF77" s="2076"/>
      <c r="AG77" s="2076"/>
      <c r="AH77" s="2076"/>
      <c r="AI77" s="2076"/>
      <c r="AJ77" s="1457"/>
      <c r="AK77" s="2076"/>
      <c r="AL77" s="2083"/>
      <c r="AM77" s="2082"/>
      <c r="AN77" s="2082"/>
      <c r="AO77" s="1457"/>
      <c r="AP77" s="2086"/>
      <c r="AQ77" s="2083"/>
      <c r="AR77" s="2082"/>
      <c r="AS77" s="2082"/>
      <c r="AT77" s="2076"/>
      <c r="AU77" s="2076"/>
      <c r="AV77" s="2076"/>
      <c r="AW77" s="2082"/>
      <c r="AX77" s="2082"/>
      <c r="AY77" s="1457"/>
      <c r="AZ77" s="2076"/>
      <c r="BA77" s="2076"/>
      <c r="BB77" s="2076"/>
      <c r="BC77" s="2076"/>
    </row>
    <row r="78" spans="1:58">
      <c r="A78" s="2076" t="s">
        <v>2176</v>
      </c>
      <c r="B78" s="2077" t="s">
        <v>3025</v>
      </c>
      <c r="C78" s="2076" t="s">
        <v>2178</v>
      </c>
      <c r="D78" s="2079">
        <f t="shared" si="1"/>
        <v>30000</v>
      </c>
      <c r="E78" s="2080">
        <v>6.0622601423665262E-4</v>
      </c>
      <c r="F78" s="2097"/>
      <c r="G78" s="1458"/>
      <c r="H78" s="2076"/>
      <c r="I78" s="2082"/>
      <c r="J78" s="2082"/>
      <c r="K78" s="2097"/>
      <c r="L78" s="2076"/>
      <c r="M78" s="2076"/>
      <c r="N78" s="2082"/>
      <c r="O78" s="2082"/>
      <c r="P78" s="2097"/>
      <c r="Q78" s="2086"/>
      <c r="R78" s="2076"/>
      <c r="S78" s="2082"/>
      <c r="T78" s="2082"/>
      <c r="U78" s="2097">
        <v>20000</v>
      </c>
      <c r="V78" s="1458">
        <v>1</v>
      </c>
      <c r="W78" s="2081">
        <v>41964</v>
      </c>
      <c r="X78" s="2082">
        <v>48</v>
      </c>
      <c r="Y78" s="2081">
        <v>41977</v>
      </c>
      <c r="Z78" s="1462">
        <v>10000</v>
      </c>
      <c r="AA78" s="1463">
        <v>3.5</v>
      </c>
      <c r="AB78" s="2083">
        <v>42360</v>
      </c>
      <c r="AC78" s="2082">
        <v>48</v>
      </c>
      <c r="AD78" s="2081">
        <v>42380</v>
      </c>
      <c r="AE78" s="2076"/>
      <c r="AF78" s="2076"/>
      <c r="AG78" s="2076"/>
      <c r="AH78" s="2076"/>
      <c r="AI78" s="2076"/>
      <c r="AJ78" s="1457"/>
      <c r="AK78" s="2076"/>
      <c r="AL78" s="2083"/>
      <c r="AM78" s="2082"/>
      <c r="AN78" s="2082"/>
      <c r="AO78" s="1457"/>
      <c r="AP78" s="2086"/>
      <c r="AQ78" s="2083"/>
      <c r="AR78" s="2082"/>
      <c r="AS78" s="2082"/>
      <c r="AT78" s="2076"/>
      <c r="AU78" s="2076"/>
      <c r="AV78" s="2076"/>
      <c r="AW78" s="2082"/>
      <c r="AX78" s="2082"/>
      <c r="AY78" s="1457"/>
      <c r="AZ78" s="2076"/>
      <c r="BA78" s="2076"/>
      <c r="BB78" s="2076"/>
      <c r="BC78" s="2076"/>
    </row>
    <row r="79" spans="1:58" ht="30">
      <c r="A79" s="2076" t="s">
        <v>2179</v>
      </c>
      <c r="B79" s="2077" t="s">
        <v>2180</v>
      </c>
      <c r="C79" s="2076" t="s">
        <v>2178</v>
      </c>
      <c r="D79" s="2079">
        <f t="shared" si="1"/>
        <v>10000</v>
      </c>
      <c r="E79" s="2080">
        <v>2.0207533807888422E-4</v>
      </c>
      <c r="F79" s="2097"/>
      <c r="G79" s="1458"/>
      <c r="H79" s="2076"/>
      <c r="I79" s="2082"/>
      <c r="J79" s="2082"/>
      <c r="K79" s="2097"/>
      <c r="L79" s="2076"/>
      <c r="M79" s="2076"/>
      <c r="N79" s="2082"/>
      <c r="O79" s="2082"/>
      <c r="P79" s="2097"/>
      <c r="Q79" s="2076"/>
      <c r="R79" s="2076"/>
      <c r="S79" s="2082"/>
      <c r="T79" s="2082"/>
      <c r="U79" s="2097"/>
      <c r="V79" s="1458"/>
      <c r="W79" s="2081"/>
      <c r="X79" s="2082"/>
      <c r="Y79" s="2082"/>
      <c r="Z79" s="1462">
        <v>10000</v>
      </c>
      <c r="AA79" s="1463">
        <v>3.5</v>
      </c>
      <c r="AB79" s="2083">
        <v>42360</v>
      </c>
      <c r="AC79" s="2082">
        <v>48</v>
      </c>
      <c r="AD79" s="2081">
        <v>42380</v>
      </c>
      <c r="AE79" s="2076"/>
      <c r="AF79" s="2076"/>
      <c r="AG79" s="2076"/>
      <c r="AH79" s="2076"/>
      <c r="AI79" s="2076"/>
      <c r="AJ79" s="1457"/>
      <c r="AK79" s="2076"/>
      <c r="AL79" s="2083"/>
      <c r="AM79" s="2082"/>
      <c r="AN79" s="2082"/>
      <c r="AO79" s="1457"/>
      <c r="AP79" s="2086"/>
      <c r="AQ79" s="2083"/>
      <c r="AR79" s="2082"/>
      <c r="AS79" s="2082"/>
      <c r="AT79" s="2076"/>
      <c r="AU79" s="2076"/>
      <c r="AV79" s="2076"/>
      <c r="AW79" s="2082"/>
      <c r="AX79" s="2082"/>
      <c r="AY79" s="1457"/>
      <c r="AZ79" s="2076"/>
      <c r="BA79" s="2076"/>
      <c r="BB79" s="2076"/>
      <c r="BC79" s="2076"/>
    </row>
    <row r="80" spans="1:58">
      <c r="A80" s="2076" t="s">
        <v>2181</v>
      </c>
      <c r="B80" s="2077" t="s">
        <v>3026</v>
      </c>
      <c r="C80" s="2076"/>
      <c r="D80" s="2079">
        <f t="shared" si="1"/>
        <v>70000</v>
      </c>
      <c r="E80" s="2080">
        <v>1.4145273665521895E-3</v>
      </c>
      <c r="F80" s="2097"/>
      <c r="G80" s="1458"/>
      <c r="H80" s="2076"/>
      <c r="I80" s="2082"/>
      <c r="J80" s="2082"/>
      <c r="K80" s="2097"/>
      <c r="L80" s="2076"/>
      <c r="M80" s="2076"/>
      <c r="N80" s="2082"/>
      <c r="O80" s="2082"/>
      <c r="P80" s="2097"/>
      <c r="Q80" s="2076"/>
      <c r="R80" s="2076"/>
      <c r="S80" s="2082"/>
      <c r="T80" s="2082"/>
      <c r="U80" s="1457"/>
      <c r="V80" s="1461"/>
      <c r="W80" s="2081"/>
      <c r="X80" s="2082"/>
      <c r="Y80" s="2082"/>
      <c r="Z80" s="1462">
        <v>70000</v>
      </c>
      <c r="AA80" s="1463">
        <v>4</v>
      </c>
      <c r="AB80" s="2083">
        <v>42444</v>
      </c>
      <c r="AC80" s="2082">
        <v>12</v>
      </c>
      <c r="AD80" s="2081">
        <v>42444</v>
      </c>
      <c r="AE80" s="2076"/>
      <c r="AF80" s="2076"/>
      <c r="AG80" s="2076"/>
      <c r="AH80" s="2076"/>
      <c r="AI80" s="2076"/>
      <c r="AJ80" s="1457"/>
      <c r="AK80" s="2076"/>
      <c r="AL80" s="2083"/>
      <c r="AM80" s="2082"/>
      <c r="AN80" s="2082"/>
      <c r="AO80" s="1457"/>
      <c r="AP80" s="2086"/>
      <c r="AQ80" s="2083"/>
      <c r="AR80" s="2082"/>
      <c r="AS80" s="2082"/>
      <c r="AT80" s="2076"/>
      <c r="AU80" s="2076"/>
      <c r="AV80" s="2076"/>
      <c r="AW80" s="2082"/>
      <c r="AX80" s="2082"/>
      <c r="AY80" s="1457"/>
      <c r="AZ80" s="2076"/>
      <c r="BA80" s="2076"/>
      <c r="BB80" s="2076"/>
      <c r="BC80" s="2076"/>
    </row>
    <row r="81" spans="1:55" s="2104" customFormat="1">
      <c r="A81" s="2076"/>
      <c r="B81" s="2099" t="s">
        <v>3027</v>
      </c>
      <c r="C81" s="2100"/>
      <c r="D81" s="2101">
        <f>SUM(D4:D80)</f>
        <v>5824757</v>
      </c>
      <c r="E81" s="2102">
        <f>SUM(E4:E71)</f>
        <v>0.10780228243436939</v>
      </c>
      <c r="F81" s="2101">
        <f>SUM(F4:F80)</f>
        <v>270000</v>
      </c>
      <c r="G81" s="2101"/>
      <c r="H81" s="2101"/>
      <c r="I81" s="2101"/>
      <c r="J81" s="2101"/>
      <c r="K81" s="2101">
        <f>SUM(K4:K80)</f>
        <v>75000</v>
      </c>
      <c r="L81" s="2101"/>
      <c r="M81" s="2101"/>
      <c r="N81" s="2101"/>
      <c r="O81" s="2101"/>
      <c r="P81" s="2101">
        <f>SUM(P4:P80)</f>
        <v>125000</v>
      </c>
      <c r="Q81" s="2101"/>
      <c r="R81" s="2101"/>
      <c r="S81" s="2101"/>
      <c r="T81" s="2101"/>
      <c r="U81" s="2101">
        <f>SUM(U4:U80)</f>
        <v>700000</v>
      </c>
      <c r="V81" s="2101"/>
      <c r="W81" s="2101"/>
      <c r="X81" s="2101"/>
      <c r="Y81" s="2101"/>
      <c r="Z81" s="2101">
        <f>SUM(Z4:Z80)</f>
        <v>960000</v>
      </c>
      <c r="AA81" s="2101"/>
      <c r="AB81" s="2101"/>
      <c r="AC81" s="2101"/>
      <c r="AD81" s="2101"/>
      <c r="AE81" s="2101">
        <f>SUM(AE4:AE80)</f>
        <v>75000</v>
      </c>
      <c r="AF81" s="2101"/>
      <c r="AG81" s="2101"/>
      <c r="AH81" s="2101"/>
      <c r="AI81" s="2101"/>
      <c r="AJ81" s="2101">
        <f>SUM(AJ4:AJ80)</f>
        <v>10000</v>
      </c>
      <c r="AK81" s="2101"/>
      <c r="AL81" s="2101"/>
      <c r="AM81" s="2101"/>
      <c r="AN81" s="2101"/>
      <c r="AO81" s="2101">
        <f>SUM(AO4:AO80)</f>
        <v>498000</v>
      </c>
      <c r="AP81" s="2101"/>
      <c r="AQ81" s="2101"/>
      <c r="AR81" s="2101"/>
      <c r="AS81" s="2101"/>
      <c r="AT81" s="2101">
        <f>SUM(AT4:AT80)</f>
        <v>390000</v>
      </c>
      <c r="AU81" s="2101"/>
      <c r="AV81" s="2101"/>
      <c r="AW81" s="2101"/>
      <c r="AX81" s="2101"/>
      <c r="AY81" s="2101">
        <f>SUM(AY4:AY80)</f>
        <v>2721757</v>
      </c>
      <c r="AZ81" s="2103"/>
      <c r="BA81" s="2103"/>
      <c r="BB81" s="2103"/>
      <c r="BC81" s="2103"/>
    </row>
    <row r="83" spans="1:55">
      <c r="AB83" s="2105"/>
      <c r="AC83" s="2105"/>
      <c r="AD83" s="2105"/>
      <c r="AE83" s="2106"/>
      <c r="AF83" s="2105"/>
    </row>
    <row r="84" spans="1:55">
      <c r="D84" s="2107"/>
      <c r="AE84" s="2108"/>
    </row>
    <row r="88" spans="1:55" ht="90">
      <c r="E88" s="1442"/>
      <c r="F88" s="1494" t="str">
        <f>F2</f>
        <v>Committed at employment/contract_Granted</v>
      </c>
      <c r="G88" s="1494" t="str">
        <f>K2</f>
        <v>CTA filing in 2012</v>
      </c>
      <c r="H88" s="1494" t="str">
        <f>P2</f>
        <v>CTA approval in 2013</v>
      </c>
      <c r="I88" s="1495" t="str">
        <f>U2</f>
        <v>Achieving both Ph Ib and NDF in 2014</v>
      </c>
      <c r="J88" s="1495" t="str">
        <f>Z2</f>
        <v>Ph Ic/Id/PhII&amp;III CTP Milestones in 2015</v>
      </c>
      <c r="K88" s="1494" t="str">
        <f>AE2</f>
        <v>Series C financing in 2016</v>
      </c>
      <c r="L88" s="1494" t="str">
        <f>AJ2</f>
        <v>2016 New Hire</v>
      </c>
      <c r="M88" s="1494" t="str">
        <f>AO2</f>
        <v>Enter into Phase III in 2016</v>
      </c>
      <c r="N88" s="1494" t="str">
        <f>AT2</f>
        <v>2017 New Hire</v>
      </c>
      <c r="O88" s="1494" t="str">
        <f>AY2</f>
        <v>2017 Year End Award</v>
      </c>
      <c r="P88" s="1440" t="s">
        <v>81</v>
      </c>
    </row>
    <row r="89" spans="1:55">
      <c r="E89" s="1493">
        <v>1</v>
      </c>
      <c r="F89" s="1496">
        <f t="shared" ref="F89:F94" si="2">SUMIF($G$4:$G$80,$E89,$F$4:$F$80)</f>
        <v>270000</v>
      </c>
      <c r="G89" s="1496">
        <f t="shared" ref="G89:G94" si="3">SUMIF($L$4:$L$80,$E89,$K$4:$K$80)</f>
        <v>75000</v>
      </c>
      <c r="H89" s="1496">
        <f t="shared" ref="H89:H94" si="4">SUMIF($Q$4:$Q$80,$E89,$P$4:$P$80)</f>
        <v>125000</v>
      </c>
      <c r="I89" s="1496">
        <f t="shared" ref="I89:I94" si="5">SUMIF($V$4:$V$80,$E89,$U$4:$U$80)</f>
        <v>700000</v>
      </c>
      <c r="J89" s="1496">
        <f t="shared" ref="J89:J94" si="6">SUMIF($AA$4:$AA$80,$E89,$Z$4:$Z$80)</f>
        <v>0</v>
      </c>
      <c r="K89" s="1496">
        <f t="shared" ref="K89:K94" si="7">SUMIF($AF$4:$AF$80,$E89,$AE$4:$AE$80)</f>
        <v>0</v>
      </c>
      <c r="L89" s="1496">
        <f t="shared" ref="L89:L94" si="8">SUMIF($AK$4:$AK$80,$E89,$AJ$4:$AJ$80)</f>
        <v>0</v>
      </c>
      <c r="M89" s="1496">
        <f t="shared" ref="M89:M94" si="9">SUMIF($AP$4:$AP$80,$E89,$AO$4:$AO$80)</f>
        <v>0</v>
      </c>
      <c r="N89" s="1496">
        <f t="shared" ref="N89:N94" si="10">SUMIF($AU$4:$AU$80,$E89,$AT$4:$AT$80)</f>
        <v>290000</v>
      </c>
      <c r="O89" s="1496">
        <f t="shared" ref="O89:O94" si="11">SUMIF($AZ$4:$AZ$80,$E89,$AY$4:$AY$80)</f>
        <v>488865</v>
      </c>
      <c r="P89" s="1496">
        <f t="shared" ref="P89:P95" si="12">SUM(F89:O89)</f>
        <v>1948865</v>
      </c>
    </row>
    <row r="90" spans="1:55">
      <c r="E90" s="1493">
        <v>3.5</v>
      </c>
      <c r="F90" s="1496">
        <f t="shared" si="2"/>
        <v>0</v>
      </c>
      <c r="G90" s="1496">
        <f t="shared" si="3"/>
        <v>0</v>
      </c>
      <c r="H90" s="1496">
        <f t="shared" si="4"/>
        <v>0</v>
      </c>
      <c r="I90" s="1496">
        <f t="shared" si="5"/>
        <v>0</v>
      </c>
      <c r="J90" s="1496">
        <f t="shared" si="6"/>
        <v>890000</v>
      </c>
      <c r="K90" s="1496">
        <f t="shared" si="7"/>
        <v>0</v>
      </c>
      <c r="L90" s="1496">
        <f t="shared" si="8"/>
        <v>0</v>
      </c>
      <c r="M90" s="1496">
        <f t="shared" si="9"/>
        <v>0</v>
      </c>
      <c r="N90" s="1496">
        <f t="shared" si="10"/>
        <v>0</v>
      </c>
      <c r="O90" s="1496">
        <f t="shared" si="11"/>
        <v>0</v>
      </c>
      <c r="P90" s="1496">
        <f t="shared" si="12"/>
        <v>890000</v>
      </c>
    </row>
    <row r="91" spans="1:55">
      <c r="E91" s="1493">
        <v>4</v>
      </c>
      <c r="F91" s="1496">
        <f t="shared" si="2"/>
        <v>0</v>
      </c>
      <c r="G91" s="1496">
        <f t="shared" si="3"/>
        <v>0</v>
      </c>
      <c r="H91" s="1496">
        <f t="shared" si="4"/>
        <v>0</v>
      </c>
      <c r="I91" s="1496">
        <f t="shared" si="5"/>
        <v>0</v>
      </c>
      <c r="J91" s="1496">
        <f t="shared" si="6"/>
        <v>70000</v>
      </c>
      <c r="K91" s="1496">
        <f t="shared" si="7"/>
        <v>0</v>
      </c>
      <c r="L91" s="1496">
        <f t="shared" si="8"/>
        <v>0</v>
      </c>
      <c r="M91" s="1496">
        <f t="shared" si="9"/>
        <v>0</v>
      </c>
      <c r="N91" s="1496">
        <f t="shared" si="10"/>
        <v>0</v>
      </c>
      <c r="O91" s="1496">
        <f t="shared" si="11"/>
        <v>0</v>
      </c>
      <c r="P91" s="1496">
        <f t="shared" si="12"/>
        <v>70000</v>
      </c>
    </row>
    <row r="92" spans="1:55">
      <c r="E92" s="1493">
        <v>6</v>
      </c>
      <c r="F92" s="1496">
        <f t="shared" si="2"/>
        <v>0</v>
      </c>
      <c r="G92" s="1496">
        <f t="shared" si="3"/>
        <v>0</v>
      </c>
      <c r="H92" s="1496">
        <f t="shared" si="4"/>
        <v>0</v>
      </c>
      <c r="I92" s="1496">
        <f t="shared" si="5"/>
        <v>0</v>
      </c>
      <c r="J92" s="1496">
        <f t="shared" si="6"/>
        <v>0</v>
      </c>
      <c r="K92" s="1496">
        <f t="shared" si="7"/>
        <v>75000</v>
      </c>
      <c r="L92" s="1496">
        <f t="shared" si="8"/>
        <v>0</v>
      </c>
      <c r="M92" s="1496">
        <f t="shared" si="9"/>
        <v>0</v>
      </c>
      <c r="N92" s="1496">
        <f t="shared" si="10"/>
        <v>0</v>
      </c>
      <c r="O92" s="1496">
        <f t="shared" si="11"/>
        <v>0</v>
      </c>
      <c r="P92" s="1496">
        <f t="shared" si="12"/>
        <v>75000</v>
      </c>
    </row>
    <row r="93" spans="1:55">
      <c r="E93" s="1493">
        <v>7</v>
      </c>
      <c r="F93" s="1496">
        <f t="shared" si="2"/>
        <v>0</v>
      </c>
      <c r="G93" s="1496">
        <f t="shared" si="3"/>
        <v>0</v>
      </c>
      <c r="H93" s="1496">
        <f t="shared" si="4"/>
        <v>0</v>
      </c>
      <c r="I93" s="1496">
        <f t="shared" si="5"/>
        <v>0</v>
      </c>
      <c r="J93" s="1496">
        <f t="shared" si="6"/>
        <v>0</v>
      </c>
      <c r="K93" s="1496">
        <f t="shared" si="7"/>
        <v>0</v>
      </c>
      <c r="L93" s="1496">
        <f t="shared" si="8"/>
        <v>10000</v>
      </c>
      <c r="M93" s="1496">
        <f t="shared" si="9"/>
        <v>498000</v>
      </c>
      <c r="N93" s="1496">
        <f t="shared" si="10"/>
        <v>0</v>
      </c>
      <c r="O93" s="1496">
        <f t="shared" si="11"/>
        <v>0</v>
      </c>
      <c r="P93" s="1496">
        <f t="shared" si="12"/>
        <v>508000</v>
      </c>
    </row>
    <row r="94" spans="1:55">
      <c r="E94" s="1493">
        <v>10</v>
      </c>
      <c r="F94" s="1496">
        <f t="shared" si="2"/>
        <v>0</v>
      </c>
      <c r="G94" s="1496">
        <f t="shared" si="3"/>
        <v>0</v>
      </c>
      <c r="H94" s="1496">
        <f t="shared" si="4"/>
        <v>0</v>
      </c>
      <c r="I94" s="1496">
        <f t="shared" si="5"/>
        <v>0</v>
      </c>
      <c r="J94" s="1496">
        <f t="shared" si="6"/>
        <v>0</v>
      </c>
      <c r="K94" s="1496">
        <f t="shared" si="7"/>
        <v>0</v>
      </c>
      <c r="L94" s="1496">
        <f t="shared" si="8"/>
        <v>0</v>
      </c>
      <c r="M94" s="1496">
        <f t="shared" si="9"/>
        <v>0</v>
      </c>
      <c r="N94" s="1496">
        <f t="shared" si="10"/>
        <v>100000</v>
      </c>
      <c r="O94" s="1496">
        <f t="shared" si="11"/>
        <v>0</v>
      </c>
      <c r="P94" s="1496">
        <f t="shared" si="12"/>
        <v>100000</v>
      </c>
    </row>
    <row r="95" spans="1:55">
      <c r="E95" s="1442"/>
      <c r="F95" s="1497">
        <f>SUM(F89:F94)</f>
        <v>270000</v>
      </c>
      <c r="G95" s="1497">
        <f t="shared" ref="G95:O95" si="13">SUM(G89:G94)</f>
        <v>75000</v>
      </c>
      <c r="H95" s="1497">
        <f t="shared" si="13"/>
        <v>125000</v>
      </c>
      <c r="I95" s="1497">
        <f t="shared" si="13"/>
        <v>700000</v>
      </c>
      <c r="J95" s="1497">
        <f t="shared" si="13"/>
        <v>960000</v>
      </c>
      <c r="K95" s="1497">
        <f t="shared" si="13"/>
        <v>75000</v>
      </c>
      <c r="L95" s="1497">
        <f t="shared" si="13"/>
        <v>10000</v>
      </c>
      <c r="M95" s="1497">
        <f t="shared" si="13"/>
        <v>498000</v>
      </c>
      <c r="N95" s="1497">
        <f t="shared" si="13"/>
        <v>390000</v>
      </c>
      <c r="O95" s="1497">
        <f t="shared" si="13"/>
        <v>488865</v>
      </c>
      <c r="P95" s="1497">
        <f t="shared" si="12"/>
        <v>3591865</v>
      </c>
    </row>
    <row r="96" spans="1:55">
      <c r="E96" s="1442"/>
      <c r="F96" s="1440" t="b">
        <f>F81=F95</f>
        <v>1</v>
      </c>
      <c r="G96" s="1440" t="b">
        <f>K81=G95</f>
        <v>1</v>
      </c>
      <c r="H96" s="1440" t="b">
        <f>P81=H95</f>
        <v>1</v>
      </c>
      <c r="I96" s="1441" t="b">
        <f>I95=U81</f>
        <v>1</v>
      </c>
      <c r="J96" s="1441" t="b">
        <f>J95=Z81</f>
        <v>1</v>
      </c>
      <c r="K96" s="1440" t="b">
        <f>K95=AE81</f>
        <v>1</v>
      </c>
      <c r="L96" s="1440" t="b">
        <f>AJ81=L95</f>
        <v>1</v>
      </c>
      <c r="M96" s="1440" t="b">
        <f>M95=AO81</f>
        <v>1</v>
      </c>
      <c r="N96" s="1440" t="b">
        <f>N95=AT81</f>
        <v>1</v>
      </c>
      <c r="O96" s="1440" t="b">
        <f>O95=(AY81-AY70-AY18-AY7)</f>
        <v>1</v>
      </c>
      <c r="P96" s="1440"/>
    </row>
    <row r="97" spans="5:16">
      <c r="E97" s="1442"/>
      <c r="F97" s="1440"/>
      <c r="G97" s="1440"/>
      <c r="H97" s="1440"/>
      <c r="I97" s="1441"/>
      <c r="J97" s="1441"/>
      <c r="K97" s="1440"/>
      <c r="L97" s="1440"/>
      <c r="M97" s="1440"/>
      <c r="N97" s="1440" t="s">
        <v>2184</v>
      </c>
      <c r="O97" s="1498">
        <f>AY81-O95</f>
        <v>2232892</v>
      </c>
      <c r="P97" s="1440"/>
    </row>
  </sheetData>
  <mergeCells count="11">
    <mergeCell ref="AE2:AI2"/>
    <mergeCell ref="AJ2:AN2"/>
    <mergeCell ref="AO2:AS2"/>
    <mergeCell ref="AT2:AX2"/>
    <mergeCell ref="AY2:BC2"/>
    <mergeCell ref="Z2:AD2"/>
    <mergeCell ref="A2:C2"/>
    <mergeCell ref="F2:J2"/>
    <mergeCell ref="K2:O2"/>
    <mergeCell ref="P2:T2"/>
    <mergeCell ref="U2:Y2"/>
  </mergeCells>
  <pageMargins left="0.7" right="0.7" top="0.75" bottom="0.75" header="0.3" footer="0.3"/>
  <pageSetup paperSize="9" orientation="landscape" verticalDpi="0"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93"/>
  <sheetViews>
    <sheetView topLeftCell="A58" zoomScale="85" zoomScaleNormal="85" workbookViewId="0">
      <pane xSplit="1" topLeftCell="B1" activePane="topRight" state="frozen"/>
      <selection activeCell="F19" sqref="F19"/>
      <selection pane="topRight" activeCell="R62" sqref="R62"/>
    </sheetView>
  </sheetViews>
  <sheetFormatPr defaultColWidth="10.5" defaultRowHeight="15"/>
  <cols>
    <col min="1" max="1" width="62" style="1883" customWidth="1"/>
    <col min="2" max="2" width="19.33203125" style="1883" customWidth="1"/>
    <col min="3" max="3" width="13.83203125" style="1883" customWidth="1"/>
    <col min="4" max="4" width="17.6640625" style="1883" customWidth="1"/>
    <col min="5" max="5" width="14" style="1911" customWidth="1"/>
    <col min="6" max="7" width="15.33203125" style="1911" customWidth="1"/>
    <col min="8" max="8" width="17.5" style="1883" customWidth="1"/>
    <col min="9" max="9" width="13.33203125" style="1883" customWidth="1"/>
    <col min="10" max="10" width="16.1640625" style="1883" customWidth="1"/>
    <col min="11" max="11" width="13.33203125" style="1883" customWidth="1"/>
    <col min="12" max="12" width="17.33203125" style="1883" customWidth="1"/>
    <col min="13" max="13" width="17" style="1883" customWidth="1"/>
    <col min="14" max="14" width="13.33203125" style="1883" customWidth="1"/>
    <col min="15" max="15" width="14.33203125" style="1883" customWidth="1"/>
    <col min="16" max="16" width="16.83203125" style="1883" customWidth="1"/>
    <col min="17" max="17" width="15.33203125" style="1893" customWidth="1"/>
    <col min="18" max="19" width="19.83203125" style="1883" customWidth="1"/>
    <col min="20" max="20" width="23.83203125" style="1883" customWidth="1"/>
    <col min="21" max="21" width="18.83203125" style="1883" customWidth="1"/>
    <col min="22" max="22" width="13.83203125" style="1883" customWidth="1"/>
    <col min="23" max="23" width="15.33203125" style="1883" customWidth="1"/>
    <col min="24" max="24" width="19.5" style="1883" customWidth="1"/>
    <col min="25" max="25" width="19.33203125" style="1883" customWidth="1"/>
    <col min="26" max="26" width="14.1640625" style="1883" customWidth="1"/>
    <col min="27" max="27" width="11" style="1884" customWidth="1"/>
    <col min="28" max="28" width="16.83203125" style="1883" customWidth="1"/>
    <col min="29" max="29" width="22.6640625" style="1883" customWidth="1"/>
    <col min="30" max="31" width="19.5" style="1883" customWidth="1"/>
    <col min="32" max="32" width="20.1640625" style="1883" customWidth="1"/>
    <col min="33" max="16384" width="10.5" style="1883"/>
  </cols>
  <sheetData>
    <row r="1" spans="1:32">
      <c r="A1" s="2656" t="s">
        <v>1251</v>
      </c>
      <c r="B1" s="2656"/>
      <c r="C1" s="2656"/>
      <c r="D1" s="2656"/>
      <c r="E1" s="2656"/>
      <c r="F1" s="2656"/>
      <c r="G1" s="2656"/>
      <c r="H1" s="2656"/>
      <c r="I1" s="2656"/>
      <c r="J1" s="2656"/>
      <c r="K1" s="2656"/>
      <c r="L1" s="2656"/>
      <c r="M1" s="2656"/>
      <c r="N1" s="2656"/>
      <c r="O1" s="2656"/>
      <c r="P1" s="2656"/>
      <c r="Q1" s="2656"/>
      <c r="R1" s="1882"/>
      <c r="S1" s="1882"/>
    </row>
    <row r="2" spans="1:32" ht="33" customHeight="1">
      <c r="A2" s="2657" t="s">
        <v>2808</v>
      </c>
      <c r="B2" s="2656"/>
      <c r="C2" s="2656"/>
      <c r="D2" s="2656"/>
      <c r="E2" s="2656"/>
      <c r="F2" s="2656"/>
      <c r="G2" s="2656"/>
      <c r="H2" s="2656"/>
      <c r="I2" s="2656"/>
      <c r="J2" s="2656"/>
      <c r="K2" s="2656"/>
      <c r="L2" s="2656"/>
      <c r="M2" s="2656"/>
      <c r="N2" s="2656"/>
      <c r="O2" s="2656"/>
      <c r="P2" s="2656"/>
      <c r="Q2" s="2656"/>
      <c r="R2" s="1882"/>
      <c r="S2" s="1882"/>
    </row>
    <row r="3" spans="1:32" ht="154.9" customHeight="1">
      <c r="A3" s="1885"/>
      <c r="B3" s="1885" t="s">
        <v>1253</v>
      </c>
      <c r="C3" s="1886" t="s">
        <v>1254</v>
      </c>
      <c r="D3" s="1885" t="s">
        <v>2809</v>
      </c>
      <c r="E3" s="1886" t="s">
        <v>1256</v>
      </c>
      <c r="F3" s="1886" t="s">
        <v>1257</v>
      </c>
      <c r="G3" s="1886" t="s">
        <v>1258</v>
      </c>
      <c r="H3" s="1885" t="s">
        <v>2810</v>
      </c>
      <c r="I3" s="1886" t="s">
        <v>1260</v>
      </c>
      <c r="J3" s="1885" t="s">
        <v>2811</v>
      </c>
      <c r="K3" s="1886" t="s">
        <v>1262</v>
      </c>
      <c r="L3" s="1886" t="s">
        <v>1263</v>
      </c>
      <c r="M3" s="1885" t="s">
        <v>2812</v>
      </c>
      <c r="N3" s="1886" t="s">
        <v>1265</v>
      </c>
      <c r="O3" s="1886" t="s">
        <v>1266</v>
      </c>
      <c r="P3" s="1887" t="s">
        <v>1267</v>
      </c>
      <c r="Q3" s="1888" t="s">
        <v>1268</v>
      </c>
      <c r="R3" s="1887" t="s">
        <v>1269</v>
      </c>
      <c r="S3" s="1887" t="s">
        <v>1270</v>
      </c>
      <c r="T3" s="1885" t="s">
        <v>2813</v>
      </c>
      <c r="U3" s="1886" t="s">
        <v>2814</v>
      </c>
      <c r="V3" s="1886" t="s">
        <v>2815</v>
      </c>
      <c r="W3" s="1889" t="s">
        <v>2816</v>
      </c>
      <c r="X3" s="1889" t="s">
        <v>1275</v>
      </c>
      <c r="Y3" s="1885" t="s">
        <v>2817</v>
      </c>
      <c r="Z3" s="1886" t="s">
        <v>2818</v>
      </c>
      <c r="AA3" s="1886" t="s">
        <v>1278</v>
      </c>
      <c r="AB3" s="1885" t="s">
        <v>2819</v>
      </c>
      <c r="AC3" s="1885" t="s">
        <v>1280</v>
      </c>
      <c r="AD3" s="1885" t="s">
        <v>2820</v>
      </c>
      <c r="AE3" s="1890" t="s">
        <v>1282</v>
      </c>
      <c r="AF3" s="1885" t="s">
        <v>1283</v>
      </c>
    </row>
    <row r="4" spans="1:32">
      <c r="A4" s="1891" t="s">
        <v>1284</v>
      </c>
      <c r="B4" s="1892">
        <v>500000</v>
      </c>
      <c r="C4" s="1893">
        <f>B4/B53</f>
        <v>6.7329602914240672E-2</v>
      </c>
      <c r="D4" s="1892">
        <f t="shared" ref="D4:D12" si="0">E4+F4</f>
        <v>6320717</v>
      </c>
      <c r="E4" s="1894">
        <v>1420444</v>
      </c>
      <c r="F4" s="1894">
        <v>4900273</v>
      </c>
      <c r="G4" s="1893">
        <f>D4/D52</f>
        <v>0.2392723870709447</v>
      </c>
      <c r="H4" s="1892">
        <v>1428571</v>
      </c>
      <c r="I4" s="1893">
        <f>H4/H52</f>
        <v>0.19999994399999887</v>
      </c>
      <c r="K4" s="1893"/>
      <c r="L4" s="1893"/>
      <c r="M4" s="1893"/>
      <c r="N4" s="1893"/>
      <c r="O4" s="1893"/>
      <c r="P4" s="1893">
        <f>(D4+H4)/M54</f>
        <v>0.20217795823782031</v>
      </c>
      <c r="Q4" s="1893">
        <f>(B4+D4+H4)/M56</f>
        <v>0.16669776704928849</v>
      </c>
      <c r="R4" s="1895">
        <v>1000000</v>
      </c>
      <c r="S4" s="1895">
        <f>T4*11.1141</f>
        <v>1000002.2616000001</v>
      </c>
      <c r="T4" s="1892">
        <f t="shared" ref="T4:T10" si="1">ROUND(R4/11.1141,0)</f>
        <v>89976</v>
      </c>
      <c r="U4" s="1893">
        <f>T4/T52</f>
        <v>3.4003429971663807E-2</v>
      </c>
      <c r="V4" s="1893"/>
      <c r="W4" s="1893">
        <f>(D4+H4+T4)/T54</f>
        <v>0.19131760813943052</v>
      </c>
      <c r="X4" s="1896" t="s">
        <v>1285</v>
      </c>
      <c r="Y4" s="1896" t="s">
        <v>1285</v>
      </c>
      <c r="Z4" s="1893">
        <f>T4/(T52+Y52)</f>
        <v>2.0000053347701649E-2</v>
      </c>
      <c r="AB4" s="1893">
        <f>(B4+D4+H4+T4)/Y56</f>
        <v>0.14789788660422734</v>
      </c>
      <c r="AC4" s="1896" t="s">
        <v>1285</v>
      </c>
      <c r="AD4" s="1896" t="s">
        <v>1285</v>
      </c>
      <c r="AE4" s="1897">
        <f>B4+D4+H4+T4</f>
        <v>8339264</v>
      </c>
      <c r="AF4" s="1898">
        <f t="shared" ref="AF4:AF25" si="2">AE4/AD$56</f>
        <v>0.13570786710175631</v>
      </c>
    </row>
    <row r="5" spans="1:32">
      <c r="A5" s="1891" t="s">
        <v>1478</v>
      </c>
      <c r="B5" s="1892">
        <v>250000</v>
      </c>
      <c r="C5" s="1893">
        <f>B5/B53</f>
        <v>3.3664801457120336E-2</v>
      </c>
      <c r="D5" s="1892">
        <f t="shared" si="0"/>
        <v>2837989</v>
      </c>
      <c r="E5" s="1894">
        <v>645656</v>
      </c>
      <c r="F5" s="1894">
        <v>2192333</v>
      </c>
      <c r="G5" s="1893">
        <f>D5/D52</f>
        <v>0.10743281221277322</v>
      </c>
      <c r="H5" s="1892">
        <v>316210</v>
      </c>
      <c r="I5" s="1893">
        <f>H5/H52</f>
        <v>4.426940088538802E-2</v>
      </c>
      <c r="K5" s="1893"/>
      <c r="L5" s="1893"/>
      <c r="M5" s="1893"/>
      <c r="N5" s="1893"/>
      <c r="O5" s="1893"/>
      <c r="P5" s="1893">
        <f>(D5+H5)/M54</f>
        <v>8.229265884759665E-2</v>
      </c>
      <c r="Q5" s="1893">
        <f>(B5+D5+H5)/M56</f>
        <v>6.8790466751969481E-2</v>
      </c>
      <c r="R5" s="1895">
        <f>2060000</f>
        <v>2060000</v>
      </c>
      <c r="S5" s="1895">
        <f t="shared" ref="S5:S32" si="3">T5*11.1141</f>
        <v>2059998.4350000001</v>
      </c>
      <c r="T5" s="1892">
        <f t="shared" si="1"/>
        <v>185350</v>
      </c>
      <c r="U5" s="1893">
        <f>T5/T52</f>
        <v>7.0046854108294282E-2</v>
      </c>
      <c r="V5" s="1893"/>
      <c r="W5" s="1893">
        <f>(D5+H5+T5)/T54</f>
        <v>8.1501851059541705E-2</v>
      </c>
      <c r="X5" s="1896" t="s">
        <v>1285</v>
      </c>
      <c r="Y5" s="1896" t="s">
        <v>1285</v>
      </c>
      <c r="Z5" s="1893">
        <f>T5/(T52+Y52)</f>
        <v>4.1199985418294886E-2</v>
      </c>
      <c r="AB5" s="1893">
        <f>(B5+D5+H5+T5)/Y56</f>
        <v>6.3661098984552786E-2</v>
      </c>
      <c r="AC5" s="1896" t="s">
        <v>1285</v>
      </c>
      <c r="AD5" s="1896" t="s">
        <v>1285</v>
      </c>
      <c r="AE5" s="1897">
        <f>B5+D5+H5+T5</f>
        <v>3589549</v>
      </c>
      <c r="AF5" s="1898">
        <f t="shared" si="2"/>
        <v>5.8414032538991717E-2</v>
      </c>
    </row>
    <row r="6" spans="1:32" ht="15.75" customHeight="1">
      <c r="A6" s="1899" t="s">
        <v>2821</v>
      </c>
      <c r="B6" s="1892">
        <v>250000</v>
      </c>
      <c r="C6" s="1893">
        <f>B6/B53</f>
        <v>3.3664801457120336E-2</v>
      </c>
      <c r="D6" s="1892">
        <f t="shared" si="0"/>
        <v>2837989</v>
      </c>
      <c r="E6" s="1894">
        <v>645656</v>
      </c>
      <c r="F6" s="1894">
        <v>2192333</v>
      </c>
      <c r="G6" s="1893">
        <f>D6/D52</f>
        <v>0.10743281221277322</v>
      </c>
      <c r="H6" s="1892">
        <v>316210</v>
      </c>
      <c r="I6" s="1893">
        <f>H6/H52</f>
        <v>4.426940088538802E-2</v>
      </c>
      <c r="K6" s="1893"/>
      <c r="L6" s="1893"/>
      <c r="M6" s="1893"/>
      <c r="N6" s="1893"/>
      <c r="O6" s="1893"/>
      <c r="P6" s="1893">
        <f>(D6+H6)/M54</f>
        <v>8.229265884759665E-2</v>
      </c>
      <c r="Q6" s="1893">
        <f>(B6+D6+H6)/M56</f>
        <v>6.8790466751969481E-2</v>
      </c>
      <c r="R6" s="1895">
        <v>500000</v>
      </c>
      <c r="S6" s="1895">
        <f t="shared" si="3"/>
        <v>500001.13080000004</v>
      </c>
      <c r="T6" s="1892">
        <f t="shared" si="1"/>
        <v>44988</v>
      </c>
      <c r="U6" s="1893">
        <f>T6/T52</f>
        <v>1.7001714985831903E-2</v>
      </c>
      <c r="V6" s="1893"/>
      <c r="W6" s="1893">
        <f>(D6+H6+T6)/T54</f>
        <v>7.8076309820763828E-2</v>
      </c>
      <c r="X6" s="1896" t="s">
        <v>1285</v>
      </c>
      <c r="Y6" s="1896" t="s">
        <v>1285</v>
      </c>
      <c r="Z6" s="1893">
        <f>T6/(T52+Y52)</f>
        <v>1.0000026673850824E-2</v>
      </c>
      <c r="AB6" s="1893">
        <f>(B6+D6+H6+T6)/Y56</f>
        <v>6.1171761417167639E-2</v>
      </c>
      <c r="AC6" s="1896" t="s">
        <v>1285</v>
      </c>
      <c r="AD6" s="1896" t="s">
        <v>1285</v>
      </c>
      <c r="AE6" s="1897">
        <f>B6+D6+H6+T6</f>
        <v>3449187</v>
      </c>
      <c r="AF6" s="1898">
        <f t="shared" si="2"/>
        <v>5.6129870814151647E-2</v>
      </c>
    </row>
    <row r="7" spans="1:32" ht="15.75" customHeight="1">
      <c r="A7" s="1899" t="s">
        <v>1288</v>
      </c>
      <c r="B7" s="1892"/>
      <c r="C7" s="1893"/>
      <c r="D7" s="1892"/>
      <c r="E7" s="1894"/>
      <c r="F7" s="1894"/>
      <c r="G7" s="1893"/>
      <c r="H7" s="1892"/>
      <c r="I7" s="1893"/>
      <c r="K7" s="1893"/>
      <c r="L7" s="1893"/>
      <c r="M7" s="1893"/>
      <c r="N7" s="1893"/>
      <c r="O7" s="1893"/>
      <c r="P7" s="1893"/>
      <c r="R7" s="1895">
        <v>1560000</v>
      </c>
      <c r="S7" s="1895">
        <f t="shared" si="3"/>
        <v>1559997.3042000001</v>
      </c>
      <c r="T7" s="1892">
        <f t="shared" si="1"/>
        <v>140362</v>
      </c>
      <c r="U7" s="1893">
        <f>T7/T52</f>
        <v>5.3045139122462386E-2</v>
      </c>
      <c r="V7" s="1893"/>
      <c r="W7" s="1893">
        <f>T7/T54</f>
        <v>3.4255412387778684E-3</v>
      </c>
      <c r="X7" s="1896" t="s">
        <v>1285</v>
      </c>
      <c r="Y7" s="1896" t="s">
        <v>1285</v>
      </c>
      <c r="Z7" s="1893">
        <f>T7/(T52+Y52)</f>
        <v>3.1199958744444058E-2</v>
      </c>
      <c r="AB7" s="1893">
        <f>T7/Y56</f>
        <v>2.48933756738515E-3</v>
      </c>
      <c r="AC7" s="1896" t="s">
        <v>1285</v>
      </c>
      <c r="AD7" s="1896" t="s">
        <v>1285</v>
      </c>
      <c r="AE7" s="1897">
        <f>T7</f>
        <v>140362</v>
      </c>
      <c r="AF7" s="1898">
        <f t="shared" si="2"/>
        <v>2.2841617248400719E-3</v>
      </c>
    </row>
    <row r="8" spans="1:32">
      <c r="A8" s="1891" t="s">
        <v>1289</v>
      </c>
      <c r="B8" s="1892">
        <v>451150</v>
      </c>
      <c r="C8" s="1893">
        <f>B8/B53</f>
        <v>6.0751500709519353E-2</v>
      </c>
      <c r="D8" s="1892">
        <f t="shared" si="0"/>
        <v>5121436</v>
      </c>
      <c r="E8" s="1894">
        <v>1165151</v>
      </c>
      <c r="F8" s="1894">
        <v>3956285</v>
      </c>
      <c r="G8" s="1893">
        <f>D8/D52</f>
        <v>0.19387329268990697</v>
      </c>
      <c r="H8" s="1892">
        <v>570634</v>
      </c>
      <c r="I8" s="1893">
        <f>H8/H52</f>
        <v>7.9888761597775235E-2</v>
      </c>
      <c r="J8" s="1892"/>
      <c r="K8" s="1893"/>
      <c r="L8" s="1893"/>
      <c r="M8" s="1893"/>
      <c r="N8" s="1893"/>
      <c r="O8" s="1893"/>
      <c r="P8" s="1893">
        <f>(D8+H8)/M54</f>
        <v>0.14850539697927731</v>
      </c>
      <c r="Q8" s="1893">
        <f>(B8+D8+H8)/M56</f>
        <v>0.12413932650824289</v>
      </c>
      <c r="R8" s="1895">
        <f>1000000*90.23%</f>
        <v>902300</v>
      </c>
      <c r="S8" s="1895">
        <f t="shared" si="3"/>
        <v>902298.20850000007</v>
      </c>
      <c r="T8" s="1892">
        <f t="shared" si="1"/>
        <v>81185</v>
      </c>
      <c r="U8" s="1893">
        <f>T8/T52</f>
        <v>3.0681164557765695E-2</v>
      </c>
      <c r="V8" s="1893"/>
      <c r="W8" s="1893">
        <f>(D8+H8+T8)/T54</f>
        <v>0.14089656092447048</v>
      </c>
      <c r="X8" s="1896" t="s">
        <v>1285</v>
      </c>
      <c r="Y8" s="1896" t="s">
        <v>1285</v>
      </c>
      <c r="Z8" s="1893">
        <f>T8/(T52+Y52)</f>
        <v>1.8045971492766495E-2</v>
      </c>
      <c r="AB8" s="1893">
        <f>(B8+D8+H8+T8)/Y56</f>
        <v>0.11039059860304046</v>
      </c>
      <c r="AC8" s="1896" t="s">
        <v>1285</v>
      </c>
      <c r="AD8" s="1896" t="s">
        <v>1285</v>
      </c>
      <c r="AE8" s="1897">
        <f>B8+D8+H8+T8</f>
        <v>6224405</v>
      </c>
      <c r="AF8" s="1898">
        <f t="shared" si="2"/>
        <v>0.10129199969295941</v>
      </c>
    </row>
    <row r="9" spans="1:32">
      <c r="A9" s="1900" t="s">
        <v>1290</v>
      </c>
      <c r="B9" s="1901">
        <v>38250</v>
      </c>
      <c r="C9" s="1898">
        <f>B9/B53</f>
        <v>5.1507146229394108E-3</v>
      </c>
      <c r="D9" s="1901">
        <f t="shared" si="0"/>
        <v>434211</v>
      </c>
      <c r="E9" s="1902">
        <v>98785</v>
      </c>
      <c r="F9" s="1902">
        <v>335426</v>
      </c>
      <c r="G9" s="1898">
        <f>D9/D52</f>
        <v>1.6437170413176539E-2</v>
      </c>
      <c r="H9" s="1901">
        <v>48380</v>
      </c>
      <c r="I9" s="1898">
        <f>H9/H52</f>
        <v>6.7732001354640029E-3</v>
      </c>
      <c r="J9" s="1901"/>
      <c r="K9" s="1898"/>
      <c r="L9" s="1898"/>
      <c r="M9" s="1898"/>
      <c r="N9" s="1898"/>
      <c r="O9" s="1898"/>
      <c r="P9" s="1898">
        <f>(D9+H9)/M54</f>
        <v>1.2590739051632606E-2</v>
      </c>
      <c r="Q9" s="1898">
        <f>(B9+D9+H9)/M56</f>
        <v>1.0524912172749753E-2</v>
      </c>
      <c r="R9" s="1903">
        <f>1000000*7.65%</f>
        <v>76500</v>
      </c>
      <c r="S9" s="1895">
        <f>T9*11.1141</f>
        <v>76498.350300000006</v>
      </c>
      <c r="T9" s="1892">
        <f t="shared" si="1"/>
        <v>6883</v>
      </c>
      <c r="U9" s="1893">
        <f>T9/T52</f>
        <v>2.6012004144989995E-3</v>
      </c>
      <c r="V9" s="1898"/>
      <c r="W9" s="1898">
        <f>(D9+H9)/T54</f>
        <v>1.1777656145987164E-2</v>
      </c>
      <c r="X9" s="1896" t="s">
        <v>1285</v>
      </c>
      <c r="Y9" s="1896" t="s">
        <v>1285</v>
      </c>
      <c r="Z9" s="1904">
        <f>T9/(T52+Y52)</f>
        <v>1.5299676268363835E-3</v>
      </c>
      <c r="AA9" s="1905"/>
      <c r="AB9" s="1898">
        <f>(B9+D9+H9+T9)/Y56</f>
        <v>9.3592509255408223E-3</v>
      </c>
      <c r="AC9" s="1896" t="s">
        <v>1285</v>
      </c>
      <c r="AD9" s="1896" t="s">
        <v>1285</v>
      </c>
      <c r="AE9" s="1897">
        <f>B9+D9+H9+T9</f>
        <v>527724</v>
      </c>
      <c r="AF9" s="1898">
        <f t="shared" si="2"/>
        <v>8.5878440181780119E-3</v>
      </c>
    </row>
    <row r="10" spans="1:32">
      <c r="A10" s="1900" t="s">
        <v>1291</v>
      </c>
      <c r="B10" s="1901">
        <v>10600</v>
      </c>
      <c r="C10" s="1898">
        <f>B10/B53</f>
        <v>1.4273875817819022E-3</v>
      </c>
      <c r="D10" s="1901">
        <f t="shared" si="0"/>
        <v>120331</v>
      </c>
      <c r="E10" s="1902">
        <v>27376</v>
      </c>
      <c r="F10" s="1902">
        <v>92955</v>
      </c>
      <c r="G10" s="1898">
        <f>D10/D52</f>
        <v>4.5551613224629178E-3</v>
      </c>
      <c r="H10" s="1901">
        <v>13406</v>
      </c>
      <c r="I10" s="1898">
        <f>H10/H52</f>
        <v>1.8768400375368008E-3</v>
      </c>
      <c r="J10" s="1901"/>
      <c r="K10" s="1898"/>
      <c r="L10" s="1898"/>
      <c r="M10" s="1898"/>
      <c r="N10" s="1898"/>
      <c r="O10" s="1898"/>
      <c r="P10" s="1898">
        <f>(D10+H10)/M54</f>
        <v>3.4891816642833992E-3</v>
      </c>
      <c r="Q10" s="1898">
        <f>(B10+D10+H10)/M56</f>
        <v>2.916694822946314E-3</v>
      </c>
      <c r="R10" s="1903">
        <f>1000000*2.12%</f>
        <v>21200</v>
      </c>
      <c r="S10" s="1895">
        <f t="shared" si="3"/>
        <v>21194.5887</v>
      </c>
      <c r="T10" s="1892">
        <f t="shared" si="1"/>
        <v>1907</v>
      </c>
      <c r="U10" s="1893">
        <f>T10/T52</f>
        <v>7.2068708273276077E-4</v>
      </c>
      <c r="V10" s="1898"/>
      <c r="W10" s="1898">
        <f>(D10+H10)/T54</f>
        <v>3.2638578009036336E-3</v>
      </c>
      <c r="X10" s="1896" t="s">
        <v>1285</v>
      </c>
      <c r="Y10" s="1896" t="s">
        <v>1285</v>
      </c>
      <c r="Z10" s="1904">
        <f>T10/(T52+Y52)</f>
        <v>4.2389194600856941E-4</v>
      </c>
      <c r="AA10" s="1905"/>
      <c r="AB10" s="1898">
        <f>(B10+D10+H10+T10)/Y56</f>
        <v>2.5936555706293292E-3</v>
      </c>
      <c r="AC10" s="1896" t="s">
        <v>1285</v>
      </c>
      <c r="AD10" s="1896" t="s">
        <v>1285</v>
      </c>
      <c r="AE10" s="1897">
        <f>B10+D10+H10+T10</f>
        <v>146244</v>
      </c>
      <c r="AF10" s="1898">
        <f t="shared" si="2"/>
        <v>2.379881643803248E-3</v>
      </c>
    </row>
    <row r="11" spans="1:32">
      <c r="A11" s="1900" t="s">
        <v>1292</v>
      </c>
      <c r="B11" s="1901">
        <v>150000</v>
      </c>
      <c r="C11" s="1898">
        <f>B11/B53</f>
        <v>2.0198880874272202E-2</v>
      </c>
      <c r="D11" s="1901">
        <f t="shared" si="0"/>
        <v>3444006</v>
      </c>
      <c r="E11" s="1902">
        <v>734845</v>
      </c>
      <c r="F11" s="1902">
        <v>2709161</v>
      </c>
      <c r="G11" s="1898">
        <f>D11/D52</f>
        <v>0.13037374347034617</v>
      </c>
      <c r="H11" s="1901">
        <v>383732</v>
      </c>
      <c r="I11" s="1898">
        <f>H11/H52</f>
        <v>5.3722481074449623E-2</v>
      </c>
      <c r="J11" s="1901"/>
      <c r="K11" s="1898"/>
      <c r="L11" s="1898"/>
      <c r="M11" s="1898"/>
      <c r="N11" s="1898"/>
      <c r="O11" s="1898"/>
      <c r="P11" s="1898">
        <f>(D11+H11)/M54</f>
        <v>9.9865207424129521E-2</v>
      </c>
      <c r="Q11" s="1898">
        <f>(B11+D11+H11)/M56</f>
        <v>8.0380275547065713E-2</v>
      </c>
      <c r="R11" s="1903" t="s">
        <v>1285</v>
      </c>
      <c r="S11" s="1895" t="s">
        <v>1285</v>
      </c>
      <c r="T11" s="1906" t="s">
        <v>1285</v>
      </c>
      <c r="U11" s="1904" t="s">
        <v>1285</v>
      </c>
      <c r="V11" s="1898"/>
      <c r="W11" s="1898">
        <f>(D11+H11)/T54</f>
        <v>9.3416126659901691E-2</v>
      </c>
      <c r="X11" s="1896" t="s">
        <v>1285</v>
      </c>
      <c r="Y11" s="1896" t="s">
        <v>1285</v>
      </c>
      <c r="Z11" s="1904" t="s">
        <v>1285</v>
      </c>
      <c r="AA11" s="1905"/>
      <c r="AB11" s="1898">
        <f>(B11+D11+H11)/Y56</f>
        <v>7.0545679290801439E-2</v>
      </c>
      <c r="AC11" s="1896" t="s">
        <v>1285</v>
      </c>
      <c r="AD11" s="1896" t="s">
        <v>1285</v>
      </c>
      <c r="AE11" s="1897">
        <f>B11+D11+H11</f>
        <v>3977738</v>
      </c>
      <c r="AF11" s="1898">
        <f t="shared" si="2"/>
        <v>6.4731172903220946E-2</v>
      </c>
    </row>
    <row r="12" spans="1:32">
      <c r="A12" s="1900" t="s">
        <v>1293</v>
      </c>
      <c r="B12" s="1907"/>
      <c r="C12" s="1898"/>
      <c r="D12" s="1901">
        <f t="shared" si="0"/>
        <v>3756921</v>
      </c>
      <c r="E12" s="1902">
        <v>762086</v>
      </c>
      <c r="F12" s="1902">
        <v>2994835</v>
      </c>
      <c r="G12" s="1898">
        <f>D12/D52</f>
        <v>0.14221922223490793</v>
      </c>
      <c r="H12" s="1901">
        <v>922857</v>
      </c>
      <c r="I12" s="1898">
        <f>H12/H52</f>
        <v>0.12919998258399965</v>
      </c>
      <c r="J12" s="1901"/>
      <c r="K12" s="1898"/>
      <c r="L12" s="1898"/>
      <c r="M12" s="1898"/>
      <c r="N12" s="1898"/>
      <c r="O12" s="1898"/>
      <c r="P12" s="1898">
        <f>(D12+H12)/M54</f>
        <v>0.12209482484665304</v>
      </c>
      <c r="Q12" s="1898">
        <f>(D12+H12)/M56</f>
        <v>9.4566772658002146E-2</v>
      </c>
      <c r="R12" s="1908">
        <v>2840000</v>
      </c>
      <c r="S12" s="1895">
        <f t="shared" si="3"/>
        <v>2839997.0871000001</v>
      </c>
      <c r="T12" s="1901">
        <f t="shared" ref="T12:T17" si="4">ROUND(R12/11.1141,0)</f>
        <v>255531</v>
      </c>
      <c r="U12" s="1898">
        <f>T12/T52</f>
        <v>9.6569423669525478E-2</v>
      </c>
      <c r="V12" s="1898"/>
      <c r="W12" s="1898">
        <f>(D12+H12+T12)/T54</f>
        <v>0.12044644922138159</v>
      </c>
      <c r="X12" s="1896" t="s">
        <v>1285</v>
      </c>
      <c r="Y12" s="1896" t="s">
        <v>1285</v>
      </c>
      <c r="Z12" s="1898">
        <f>T12/(T52+Y52)</f>
        <v>5.679996479051691E-2</v>
      </c>
      <c r="AA12" s="1905"/>
      <c r="AB12" s="1898">
        <f>(D12+H12+T12)/Y56</f>
        <v>8.7528320345635124E-2</v>
      </c>
      <c r="AC12" s="1896" t="s">
        <v>1285</v>
      </c>
      <c r="AD12" s="1896" t="s">
        <v>1285</v>
      </c>
      <c r="AE12" s="1897">
        <f>D12+H12+T12</f>
        <v>4935309</v>
      </c>
      <c r="AF12" s="1898">
        <f t="shared" si="2"/>
        <v>8.0314073025881158E-2</v>
      </c>
    </row>
    <row r="13" spans="1:32">
      <c r="A13" s="1900" t="s">
        <v>1294</v>
      </c>
      <c r="B13" s="1901">
        <v>1000000</v>
      </c>
      <c r="C13" s="1898">
        <f>B13/B53</f>
        <v>0.13465920582848134</v>
      </c>
      <c r="D13" s="1901">
        <v>771404</v>
      </c>
      <c r="E13" s="1909"/>
      <c r="F13" s="1902">
        <v>771404</v>
      </c>
      <c r="G13" s="1898">
        <f>D13/D52</f>
        <v>2.920169918635418E-2</v>
      </c>
      <c r="H13" s="1907"/>
      <c r="I13" s="1898"/>
      <c r="J13" s="1901"/>
      <c r="K13" s="1898"/>
      <c r="L13" s="1898"/>
      <c r="M13" s="1898"/>
      <c r="N13" s="1898"/>
      <c r="O13" s="1898"/>
      <c r="P13" s="1898">
        <f>D13/M54</f>
        <v>2.0125834231027099E-2</v>
      </c>
      <c r="Q13" s="1898">
        <f>(B13+D13)/M56</f>
        <v>3.579570641032024E-2</v>
      </c>
      <c r="R13" s="1908">
        <v>1070000</v>
      </c>
      <c r="S13" s="1895">
        <f t="shared" si="3"/>
        <v>1069998.8634000001</v>
      </c>
      <c r="T13" s="1901">
        <f t="shared" si="4"/>
        <v>96274</v>
      </c>
      <c r="U13" s="1898">
        <f>T13/T52</f>
        <v>3.6383549136347039E-2</v>
      </c>
      <c r="V13" s="1898"/>
      <c r="W13" s="1898">
        <f>(D13+T13)/T54</f>
        <v>2.1175722567221208E-2</v>
      </c>
      <c r="X13" s="1896" t="s">
        <v>1285</v>
      </c>
      <c r="Y13" s="1896" t="s">
        <v>1285</v>
      </c>
      <c r="Z13" s="1898">
        <f>T13/(T52+Y52)</f>
        <v>2.1399985951771901E-2</v>
      </c>
      <c r="AA13" s="1905"/>
      <c r="AB13" s="1898">
        <f>(B13+D13+T13)/Y56</f>
        <v>3.312350215285307E-2</v>
      </c>
      <c r="AC13" s="1896" t="s">
        <v>1285</v>
      </c>
      <c r="AD13" s="1896" t="s">
        <v>1285</v>
      </c>
      <c r="AE13" s="1897">
        <f>B13+D13+T13</f>
        <v>1867678</v>
      </c>
      <c r="AF13" s="1898">
        <f t="shared" si="2"/>
        <v>3.039340136166381E-2</v>
      </c>
    </row>
    <row r="14" spans="1:32">
      <c r="A14" s="1900" t="s">
        <v>1295</v>
      </c>
      <c r="B14" s="1907"/>
      <c r="C14" s="1898"/>
      <c r="D14" s="1901">
        <v>771404</v>
      </c>
      <c r="E14" s="1909"/>
      <c r="F14" s="1902">
        <v>771404</v>
      </c>
      <c r="G14" s="1898">
        <f>D14/D52</f>
        <v>2.920169918635418E-2</v>
      </c>
      <c r="H14" s="1907"/>
      <c r="I14" s="1898"/>
      <c r="J14" s="1901"/>
      <c r="K14" s="1898"/>
      <c r="L14" s="1898"/>
      <c r="M14" s="1898"/>
      <c r="N14" s="1898"/>
      <c r="O14" s="1898"/>
      <c r="P14" s="1898">
        <f>D14/M54</f>
        <v>2.0125834231027099E-2</v>
      </c>
      <c r="Q14" s="1898">
        <f>D14/M56</f>
        <v>1.5588172493539968E-2</v>
      </c>
      <c r="R14" s="1908">
        <v>468000</v>
      </c>
      <c r="S14" s="1895">
        <f t="shared" si="3"/>
        <v>467992.52280000004</v>
      </c>
      <c r="T14" s="1901">
        <f>ROUNDDOWN(R14/11.1141,0)</f>
        <v>42108</v>
      </c>
      <c r="U14" s="1898">
        <f>T14/T52</f>
        <v>1.5913314986738904E-2</v>
      </c>
      <c r="V14" s="1898"/>
      <c r="W14" s="1898">
        <f>(D14+T14)/T54</f>
        <v>1.9853798779161463E-2</v>
      </c>
      <c r="X14" s="1896" t="s">
        <v>1285</v>
      </c>
      <c r="Y14" s="1896" t="s">
        <v>1285</v>
      </c>
      <c r="Z14" s="1898">
        <f>T14/(T52+Y52)</f>
        <v>9.3598542540790988E-3</v>
      </c>
      <c r="AA14" s="1905"/>
      <c r="AB14" s="1898">
        <f>(D14+T14)/Y56</f>
        <v>1.4427736731584248E-2</v>
      </c>
      <c r="AC14" s="1896" t="s">
        <v>1285</v>
      </c>
      <c r="AD14" s="1896" t="s">
        <v>1285</v>
      </c>
      <c r="AE14" s="1897">
        <f>D14+T14</f>
        <v>813512</v>
      </c>
      <c r="AF14" s="1898">
        <f t="shared" si="2"/>
        <v>1.3238575776193676E-2</v>
      </c>
    </row>
    <row r="15" spans="1:32">
      <c r="A15" s="1900" t="s">
        <v>1296</v>
      </c>
      <c r="B15" s="1901">
        <v>333333</v>
      </c>
      <c r="C15" s="1898">
        <f>B15/B53</f>
        <v>4.4886357056425172E-2</v>
      </c>
      <c r="D15" s="1907"/>
      <c r="E15" s="1909"/>
      <c r="F15" s="1909"/>
      <c r="G15" s="1898"/>
      <c r="H15" s="1907"/>
      <c r="I15" s="1898"/>
      <c r="J15" s="1901"/>
      <c r="K15" s="1898"/>
      <c r="L15" s="1898"/>
      <c r="M15" s="1898"/>
      <c r="N15" s="1898"/>
      <c r="O15" s="1898"/>
      <c r="P15" s="1898"/>
      <c r="Q15" s="1898">
        <f>B15/M56</f>
        <v>6.7358379030821175E-3</v>
      </c>
      <c r="R15" s="1908"/>
      <c r="S15" s="1895">
        <f t="shared" si="3"/>
        <v>0</v>
      </c>
      <c r="T15" s="1901">
        <f t="shared" si="4"/>
        <v>0</v>
      </c>
      <c r="U15" s="1898">
        <f>T15/T52</f>
        <v>0</v>
      </c>
      <c r="V15" s="1898"/>
      <c r="W15" s="1898">
        <f>T15/T54</f>
        <v>0</v>
      </c>
      <c r="X15" s="1896" t="s">
        <v>1285</v>
      </c>
      <c r="Y15" s="1896" t="s">
        <v>1285</v>
      </c>
      <c r="Z15" s="1898">
        <f>T15/(T52+Y52)</f>
        <v>0</v>
      </c>
      <c r="AA15" s="1905"/>
      <c r="AB15" s="1898">
        <f>(B15+T15)/Y56</f>
        <v>5.9117023079551037E-3</v>
      </c>
      <c r="AC15" s="1896" t="s">
        <v>1285</v>
      </c>
      <c r="AD15" s="1896" t="s">
        <v>1285</v>
      </c>
      <c r="AE15" s="1897">
        <f>B15+T15</f>
        <v>333333</v>
      </c>
      <c r="AF15" s="1898">
        <f t="shared" si="2"/>
        <v>5.4244487840449393E-3</v>
      </c>
    </row>
    <row r="16" spans="1:32">
      <c r="A16" s="1900" t="s">
        <v>1297</v>
      </c>
      <c r="B16" s="1901">
        <v>333333</v>
      </c>
      <c r="C16" s="1898">
        <f>B16/B53</f>
        <v>4.4886357056425172E-2</v>
      </c>
      <c r="D16" s="1907"/>
      <c r="E16" s="1909"/>
      <c r="F16" s="1909"/>
      <c r="G16" s="1898"/>
      <c r="H16" s="1907"/>
      <c r="I16" s="1898"/>
      <c r="J16" s="1901"/>
      <c r="K16" s="1898"/>
      <c r="L16" s="1898"/>
      <c r="M16" s="1898"/>
      <c r="N16" s="1898"/>
      <c r="O16" s="1898"/>
      <c r="P16" s="1898"/>
      <c r="Q16" s="1898">
        <f>B16/M56</f>
        <v>6.7358379030821175E-3</v>
      </c>
      <c r="R16" s="1908"/>
      <c r="S16" s="1895">
        <f t="shared" si="3"/>
        <v>0</v>
      </c>
      <c r="T16" s="1901">
        <f t="shared" si="4"/>
        <v>0</v>
      </c>
      <c r="U16" s="1898">
        <f>T16/T52</f>
        <v>0</v>
      </c>
      <c r="V16" s="1898"/>
      <c r="W16" s="1898">
        <f>T16/T54</f>
        <v>0</v>
      </c>
      <c r="X16" s="1896" t="s">
        <v>1285</v>
      </c>
      <c r="Y16" s="1896" t="s">
        <v>1285</v>
      </c>
      <c r="Z16" s="1898">
        <f>T16/(T52+Y52)</f>
        <v>0</v>
      </c>
      <c r="AA16" s="1905"/>
      <c r="AB16" s="1898">
        <f>(B16+T16)/Y56</f>
        <v>5.9117023079551037E-3</v>
      </c>
      <c r="AC16" s="1896" t="s">
        <v>1285</v>
      </c>
      <c r="AD16" s="1896" t="s">
        <v>1285</v>
      </c>
      <c r="AE16" s="1897">
        <f>B16+T16</f>
        <v>333333</v>
      </c>
      <c r="AF16" s="1898">
        <f t="shared" si="2"/>
        <v>5.4244487840449393E-3</v>
      </c>
    </row>
    <row r="17" spans="1:32">
      <c r="A17" s="1900" t="s">
        <v>1298</v>
      </c>
      <c r="B17" s="1901">
        <v>333334</v>
      </c>
      <c r="C17" s="1898">
        <f>B17/B53</f>
        <v>4.4886491715630999E-2</v>
      </c>
      <c r="D17" s="1907"/>
      <c r="E17" s="1909"/>
      <c r="F17" s="1909"/>
      <c r="G17" s="1898"/>
      <c r="H17" s="1907"/>
      <c r="I17" s="1898"/>
      <c r="J17" s="1901"/>
      <c r="K17" s="1898"/>
      <c r="L17" s="1898"/>
      <c r="M17" s="1898"/>
      <c r="N17" s="1898"/>
      <c r="O17" s="1898"/>
      <c r="P17" s="1898"/>
      <c r="Q17" s="1898">
        <f>B17/M56</f>
        <v>6.7358581106160345E-3</v>
      </c>
      <c r="R17" s="1908"/>
      <c r="S17" s="1895">
        <f t="shared" si="3"/>
        <v>0</v>
      </c>
      <c r="T17" s="1901">
        <f t="shared" si="4"/>
        <v>0</v>
      </c>
      <c r="U17" s="1898">
        <f>T17/T52</f>
        <v>0</v>
      </c>
      <c r="V17" s="1898"/>
      <c r="W17" s="1898">
        <f>T17/T54</f>
        <v>0</v>
      </c>
      <c r="X17" s="1896" t="s">
        <v>1285</v>
      </c>
      <c r="Y17" s="1896" t="s">
        <v>1285</v>
      </c>
      <c r="Z17" s="1898">
        <f>T17/(T52+Y52)</f>
        <v>0</v>
      </c>
      <c r="AA17" s="1905"/>
      <c r="AB17" s="1898">
        <f>(B17+T17)/Y56</f>
        <v>5.9117200430797625E-3</v>
      </c>
      <c r="AC17" s="1896" t="s">
        <v>1285</v>
      </c>
      <c r="AD17" s="1896" t="s">
        <v>1285</v>
      </c>
      <c r="AE17" s="1897">
        <f>B17+T17</f>
        <v>333334</v>
      </c>
      <c r="AF17" s="1898">
        <f t="shared" si="2"/>
        <v>5.4244650574075647E-3</v>
      </c>
    </row>
    <row r="18" spans="1:32">
      <c r="A18" s="1900" t="s">
        <v>1299</v>
      </c>
      <c r="B18" s="1901">
        <v>125000</v>
      </c>
      <c r="C18" s="1898">
        <f>B18/B53</f>
        <v>1.6832400728560168E-2</v>
      </c>
      <c r="D18" s="1907"/>
      <c r="E18" s="1909"/>
      <c r="F18" s="1909"/>
      <c r="G18" s="1898"/>
      <c r="H18" s="1907"/>
      <c r="I18" s="1898"/>
      <c r="J18" s="1901"/>
      <c r="K18" s="1898"/>
      <c r="L18" s="1898"/>
      <c r="M18" s="1898"/>
      <c r="N18" s="1898"/>
      <c r="O18" s="1898"/>
      <c r="P18" s="1898"/>
      <c r="Q18" s="1898">
        <f>B18/M56</f>
        <v>2.5259417395975337E-3</v>
      </c>
      <c r="R18" s="1903" t="s">
        <v>1285</v>
      </c>
      <c r="S18" s="1895" t="s">
        <v>1285</v>
      </c>
      <c r="T18" s="1906" t="s">
        <v>1285</v>
      </c>
      <c r="U18" s="1904" t="s">
        <v>1285</v>
      </c>
      <c r="V18" s="1904"/>
      <c r="W18" s="1904" t="s">
        <v>1285</v>
      </c>
      <c r="X18" s="1896" t="s">
        <v>1285</v>
      </c>
      <c r="Y18" s="1896" t="s">
        <v>1285</v>
      </c>
      <c r="Z18" s="1904" t="s">
        <v>1285</v>
      </c>
      <c r="AA18" s="1905"/>
      <c r="AB18" s="1898">
        <f>B18/Y56</f>
        <v>2.2168905823737465E-3</v>
      </c>
      <c r="AC18" s="1896" t="s">
        <v>1285</v>
      </c>
      <c r="AD18" s="1896" t="s">
        <v>1285</v>
      </c>
      <c r="AE18" s="1897">
        <f>B18</f>
        <v>125000</v>
      </c>
      <c r="AF18" s="1898">
        <f t="shared" si="2"/>
        <v>2.0341703281871802E-3</v>
      </c>
    </row>
    <row r="19" spans="1:32">
      <c r="A19" s="1900" t="s">
        <v>1300</v>
      </c>
      <c r="B19" s="1901">
        <v>1600769</v>
      </c>
      <c r="C19" s="1898">
        <f>B19/B53</f>
        <v>0.21555828225485224</v>
      </c>
      <c r="D19" s="1907"/>
      <c r="E19" s="1909"/>
      <c r="F19" s="1909"/>
      <c r="G19" s="1898"/>
      <c r="H19" s="1907"/>
      <c r="I19" s="1898"/>
      <c r="J19" s="1901"/>
      <c r="K19" s="1898"/>
      <c r="L19" s="1898"/>
      <c r="M19" s="1898"/>
      <c r="N19" s="1898"/>
      <c r="O19" s="1898"/>
      <c r="P19" s="1898"/>
      <c r="Q19" s="1898">
        <f>B19/M56</f>
        <v>3.2347593860430436E-2</v>
      </c>
      <c r="R19" s="1908">
        <v>970000</v>
      </c>
      <c r="S19" s="1895">
        <f>T19*11.1141</f>
        <v>970005.30570000003</v>
      </c>
      <c r="T19" s="1906">
        <f>ROUND(R19/11.1141,0)</f>
        <v>87277</v>
      </c>
      <c r="U19" s="1898">
        <f>T19/T52</f>
        <v>3.2983432889180472E-2</v>
      </c>
      <c r="V19" s="1898"/>
      <c r="W19" s="1898">
        <f>T19/T54</f>
        <v>2.1299993067697529E-3</v>
      </c>
      <c r="X19" s="1896" t="s">
        <v>1285</v>
      </c>
      <c r="Y19" s="1896" t="s">
        <v>1285</v>
      </c>
      <c r="Z19" s="1898">
        <f>T19/(T52+Y52)</f>
        <v>1.9400113986255855E-2</v>
      </c>
      <c r="AA19" s="1905"/>
      <c r="AB19" s="1898">
        <f>(B19+T19)/Y56</f>
        <v>2.9937706240109382E-2</v>
      </c>
      <c r="AC19" s="1896" t="s">
        <v>1285</v>
      </c>
      <c r="AD19" s="1896" t="s">
        <v>1285</v>
      </c>
      <c r="AE19" s="1897">
        <f>B19+T19</f>
        <v>1688046</v>
      </c>
      <c r="AF19" s="1898">
        <f t="shared" si="2"/>
        <v>2.7470184686520457E-2</v>
      </c>
    </row>
    <row r="20" spans="1:32">
      <c r="A20" s="1900" t="s">
        <v>1301</v>
      </c>
      <c r="B20" s="1901">
        <v>500000</v>
      </c>
      <c r="C20" s="1898">
        <f>B20/B53</f>
        <v>6.7329602914240672E-2</v>
      </c>
      <c r="D20" s="1907"/>
      <c r="E20" s="1909"/>
      <c r="F20" s="1909"/>
      <c r="G20" s="1898"/>
      <c r="H20" s="1907"/>
      <c r="I20" s="1898"/>
      <c r="J20" s="1901"/>
      <c r="K20" s="1898"/>
      <c r="L20" s="1898"/>
      <c r="M20" s="1898"/>
      <c r="N20" s="1898"/>
      <c r="O20" s="1898"/>
      <c r="P20" s="1898"/>
      <c r="Q20" s="1898">
        <f>B20/M56</f>
        <v>1.0103766958390135E-2</v>
      </c>
      <c r="R20" s="1908">
        <v>300000</v>
      </c>
      <c r="S20" s="1895">
        <f t="shared" si="3"/>
        <v>300002.90130000003</v>
      </c>
      <c r="T20" s="1906">
        <f>ROUND(R20/11.1141,0)</f>
        <v>26993</v>
      </c>
      <c r="U20" s="1898">
        <f>T20/T52</f>
        <v>1.0201104574832413E-2</v>
      </c>
      <c r="V20" s="1898"/>
      <c r="W20" s="1898">
        <f>T20/T54</f>
        <v>6.5876543977950585E-4</v>
      </c>
      <c r="X20" s="1896" t="s">
        <v>1285</v>
      </c>
      <c r="Y20" s="1896" t="s">
        <v>1285</v>
      </c>
      <c r="Z20" s="1898">
        <f>T20/(T52+Y52)</f>
        <v>6.0000604607285341E-3</v>
      </c>
      <c r="AA20" s="1905"/>
      <c r="AB20" s="1898">
        <f>(B20+T20)/Y56</f>
        <v>9.3462865494151007E-3</v>
      </c>
      <c r="AC20" s="1896" t="s">
        <v>1285</v>
      </c>
      <c r="AD20" s="1896" t="s">
        <v>1285</v>
      </c>
      <c r="AE20" s="1897">
        <f>B20+T20</f>
        <v>526993</v>
      </c>
      <c r="AF20" s="1898">
        <f t="shared" si="2"/>
        <v>8.5759481900987734E-3</v>
      </c>
    </row>
    <row r="21" spans="1:32">
      <c r="A21" s="1900" t="s">
        <v>1302</v>
      </c>
      <c r="B21" s="1901">
        <v>500000</v>
      </c>
      <c r="C21" s="1898">
        <f>B21/B53</f>
        <v>6.7329602914240672E-2</v>
      </c>
      <c r="D21" s="1907"/>
      <c r="E21" s="1909"/>
      <c r="F21" s="1909"/>
      <c r="G21" s="1898"/>
      <c r="H21" s="1907"/>
      <c r="I21" s="1898"/>
      <c r="J21" s="1901"/>
      <c r="K21" s="1898"/>
      <c r="L21" s="1898"/>
      <c r="M21" s="1898"/>
      <c r="N21" s="1898"/>
      <c r="O21" s="1898"/>
      <c r="P21" s="1898"/>
      <c r="Q21" s="1898">
        <f>B21/M56</f>
        <v>1.0103766958390135E-2</v>
      </c>
      <c r="R21" s="1908">
        <v>300000</v>
      </c>
      <c r="S21" s="1895">
        <f t="shared" si="3"/>
        <v>300002.90130000003</v>
      </c>
      <c r="T21" s="1906">
        <f>ROUND(R21/11.1141,0)</f>
        <v>26993</v>
      </c>
      <c r="U21" s="1898">
        <f>T21/T52</f>
        <v>1.0201104574832413E-2</v>
      </c>
      <c r="V21" s="1898"/>
      <c r="W21" s="1898">
        <f>T21/T54</f>
        <v>6.5876543977950585E-4</v>
      </c>
      <c r="X21" s="1896" t="s">
        <v>1285</v>
      </c>
      <c r="Y21" s="1896" t="s">
        <v>1285</v>
      </c>
      <c r="Z21" s="1898">
        <f>T21/(T52+Y52)</f>
        <v>6.0000604607285341E-3</v>
      </c>
      <c r="AA21" s="1905"/>
      <c r="AB21" s="1898">
        <f>(B21+T21)/Y56</f>
        <v>9.3462865494151007E-3</v>
      </c>
      <c r="AC21" s="1896" t="s">
        <v>1285</v>
      </c>
      <c r="AD21" s="1896" t="s">
        <v>1285</v>
      </c>
      <c r="AE21" s="1897">
        <f>B21+T21</f>
        <v>526993</v>
      </c>
      <c r="AF21" s="1898">
        <f t="shared" si="2"/>
        <v>8.5759481900987734E-3</v>
      </c>
    </row>
    <row r="22" spans="1:32">
      <c r="A22" s="1910" t="s">
        <v>1303</v>
      </c>
      <c r="B22" s="1901"/>
      <c r="C22" s="1898"/>
      <c r="D22" s="1907"/>
      <c r="E22" s="1909"/>
      <c r="F22" s="1909"/>
      <c r="G22" s="1898"/>
      <c r="H22" s="1907"/>
      <c r="I22" s="1898"/>
      <c r="J22" s="1901"/>
      <c r="K22" s="1898"/>
      <c r="L22" s="1898"/>
      <c r="M22" s="1898"/>
      <c r="N22" s="1898"/>
      <c r="O22" s="1898"/>
      <c r="P22" s="1898"/>
      <c r="Q22" s="1898"/>
      <c r="R22" s="1908">
        <v>368888</v>
      </c>
      <c r="S22" s="1895">
        <f t="shared" si="3"/>
        <v>368888.0931</v>
      </c>
      <c r="T22" s="1901">
        <f>ROUND(R22/11.1141,0)</f>
        <v>33191</v>
      </c>
      <c r="U22" s="1898">
        <f>T22/T52</f>
        <v>1.2543432072880473E-2</v>
      </c>
      <c r="V22" s="1898"/>
      <c r="W22" s="1898">
        <f>T22/T54</f>
        <v>8.1002792248811102E-4</v>
      </c>
      <c r="X22" s="1896" t="s">
        <v>1285</v>
      </c>
      <c r="Y22" s="1896" t="s">
        <v>1285</v>
      </c>
      <c r="Z22" s="1898">
        <f>T22/(T52+Y52)</f>
        <v>7.377764855778934E-3</v>
      </c>
      <c r="AA22" s="1905"/>
      <c r="AB22" s="1898">
        <f>(T22+B22)/Y56</f>
        <v>5.8864652255653609E-4</v>
      </c>
      <c r="AC22" s="1895">
        <f>AD22*13.3013</f>
        <v>168886.6061</v>
      </c>
      <c r="AD22" s="1901">
        <f>ROUND(168888/13.3013,0)</f>
        <v>12697</v>
      </c>
      <c r="AE22" s="1897">
        <f>T22+B22+AD22</f>
        <v>45888</v>
      </c>
      <c r="AF22" s="1898">
        <f t="shared" si="2"/>
        <v>7.4675206415882663E-4</v>
      </c>
    </row>
    <row r="23" spans="1:32">
      <c r="A23" s="1900" t="s">
        <v>1304</v>
      </c>
      <c r="B23" s="1901">
        <v>1050385</v>
      </c>
      <c r="C23" s="1898">
        <f>B23/B53</f>
        <v>0.14144400991414938</v>
      </c>
      <c r="D23" s="1907"/>
      <c r="E23" s="1909"/>
      <c r="F23" s="1909"/>
      <c r="G23" s="1898"/>
      <c r="H23" s="1907"/>
      <c r="I23" s="1898"/>
      <c r="J23" s="1901"/>
      <c r="K23" s="1898"/>
      <c r="L23" s="1898"/>
      <c r="M23" s="1898"/>
      <c r="N23" s="1898"/>
      <c r="O23" s="1898"/>
      <c r="P23" s="1898"/>
      <c r="Q23" s="1898">
        <f>B23/M56</f>
        <v>2.1225690513177246E-2</v>
      </c>
      <c r="R23" s="1903" t="s">
        <v>1285</v>
      </c>
      <c r="S23" s="1895" t="s">
        <v>1285</v>
      </c>
      <c r="T23" s="1906" t="s">
        <v>1285</v>
      </c>
      <c r="U23" s="1904" t="s">
        <v>1285</v>
      </c>
      <c r="V23" s="1904"/>
      <c r="W23" s="1904" t="s">
        <v>1285</v>
      </c>
      <c r="X23" s="1896" t="s">
        <v>1285</v>
      </c>
      <c r="Y23" s="1896" t="s">
        <v>1285</v>
      </c>
      <c r="Z23" s="1904" t="s">
        <v>1285</v>
      </c>
      <c r="AA23" s="1905"/>
      <c r="AB23" s="1898">
        <f>B23/Y56</f>
        <v>1.8628708914933179E-2</v>
      </c>
      <c r="AC23" s="1896" t="s">
        <v>1285</v>
      </c>
      <c r="AD23" s="1896" t="s">
        <v>1285</v>
      </c>
      <c r="AE23" s="1897">
        <f>B23</f>
        <v>1050385</v>
      </c>
      <c r="AF23" s="1898">
        <f t="shared" si="2"/>
        <v>1.7093296001383131E-2</v>
      </c>
    </row>
    <row r="24" spans="1:32">
      <c r="A24" s="1891" t="s">
        <v>1305</v>
      </c>
      <c r="B24" s="1892"/>
      <c r="C24" s="1893"/>
      <c r="G24" s="1893"/>
      <c r="H24" s="1892">
        <v>2285715</v>
      </c>
      <c r="I24" s="1893">
        <f>H24/H52</f>
        <v>0.32000010640000215</v>
      </c>
      <c r="P24" s="1893">
        <f>H24/M54</f>
        <v>5.9634019514252075E-2</v>
      </c>
      <c r="Q24" s="1893">
        <f>H24/M56</f>
        <v>4.6188663386593415E-2</v>
      </c>
      <c r="R24" s="1895">
        <v>1390000</v>
      </c>
      <c r="S24" s="1895">
        <f t="shared" si="3"/>
        <v>1389996.0306000002</v>
      </c>
      <c r="T24" s="1892">
        <f>ROUND(R24/11.1141,0)</f>
        <v>125066</v>
      </c>
      <c r="U24" s="1893">
        <f>T24/T52</f>
        <v>4.726452579394623E-2</v>
      </c>
      <c r="V24" s="1893"/>
      <c r="W24" s="1893">
        <f>(H24+T24)/T54</f>
        <v>5.8835224157265845E-2</v>
      </c>
      <c r="X24" s="1896" t="s">
        <v>1285</v>
      </c>
      <c r="Y24" s="1896" t="s">
        <v>1285</v>
      </c>
      <c r="Z24" s="1893">
        <f>T24/(T52+Y52)</f>
        <v>2.7799931892767565E-2</v>
      </c>
      <c r="AB24" s="1893">
        <f>(H24+T24)/Y56</f>
        <v>4.2755501560524496E-2</v>
      </c>
      <c r="AC24" s="1896" t="s">
        <v>1285</v>
      </c>
      <c r="AD24" s="1896" t="s">
        <v>1285</v>
      </c>
      <c r="AE24" s="1897">
        <f>H24+T24</f>
        <v>2410781</v>
      </c>
      <c r="AF24" s="1898">
        <f t="shared" si="2"/>
        <v>3.9231513423659346E-2</v>
      </c>
    </row>
    <row r="25" spans="1:32">
      <c r="A25" s="1912" t="s">
        <v>2822</v>
      </c>
      <c r="B25" s="1892"/>
      <c r="C25" s="1893"/>
      <c r="G25" s="1893"/>
      <c r="H25" s="1892">
        <v>571428</v>
      </c>
      <c r="I25" s="1893">
        <f>H25/H52</f>
        <v>7.9999921599998428E-2</v>
      </c>
      <c r="P25" s="1893">
        <f>H25/M54</f>
        <v>1.490848531115648E-2</v>
      </c>
      <c r="Q25" s="1893">
        <f>H25/M56</f>
        <v>1.1547150690997916E-2</v>
      </c>
      <c r="R25" s="1908"/>
      <c r="S25" s="1908"/>
      <c r="T25" s="1901"/>
      <c r="U25" s="1904" t="s">
        <v>1285</v>
      </c>
      <c r="V25" s="1898"/>
      <c r="W25" s="1898">
        <f>(H25+T25)/T54</f>
        <v>1.3945727326429944E-2</v>
      </c>
      <c r="X25" s="1913" t="s">
        <v>1285</v>
      </c>
      <c r="Y25" s="1914" t="s">
        <v>1285</v>
      </c>
      <c r="Z25" s="1904" t="s">
        <v>1285</v>
      </c>
      <c r="AA25" s="1905"/>
      <c r="AB25" s="1898">
        <f>(H25+T25)/Y56</f>
        <v>1.0134346813637321E-2</v>
      </c>
      <c r="AC25" s="1896" t="s">
        <v>1285</v>
      </c>
      <c r="AD25" s="1896" t="s">
        <v>1285</v>
      </c>
      <c r="AE25" s="1897">
        <f>H25</f>
        <v>571428</v>
      </c>
      <c r="AF25" s="1898">
        <f t="shared" si="2"/>
        <v>9.2990550583627526E-3</v>
      </c>
    </row>
    <row r="26" spans="1:32">
      <c r="A26" s="1912" t="s">
        <v>2823</v>
      </c>
      <c r="B26" s="1892"/>
      <c r="C26" s="1893"/>
      <c r="G26" s="1893"/>
      <c r="H26" s="1892"/>
      <c r="I26" s="1893"/>
      <c r="P26" s="1893"/>
      <c r="R26" s="1908">
        <f>350000+4550000</f>
        <v>4900000</v>
      </c>
      <c r="S26" s="1908">
        <f>T26*11.1141</f>
        <v>4654996.3017000007</v>
      </c>
      <c r="T26" s="1915">
        <v>418837</v>
      </c>
      <c r="U26" s="1898">
        <f>T26/T52</f>
        <v>0.15828548278476209</v>
      </c>
      <c r="V26" s="1898"/>
      <c r="W26" s="1898">
        <f>T26/T54</f>
        <v>1.0221736765121657E-2</v>
      </c>
      <c r="X26" s="1913"/>
      <c r="Y26" s="1914"/>
      <c r="Z26" s="1898">
        <f>T26/(T52+Y52)</f>
        <v>9.309996381247572E-2</v>
      </c>
      <c r="AA26" s="1905"/>
      <c r="AB26" s="1898">
        <f>T26/Y56</f>
        <v>7.4281264067973824E-3</v>
      </c>
      <c r="AC26" s="1896" t="s">
        <v>1285</v>
      </c>
      <c r="AD26" s="1896" t="s">
        <v>1285</v>
      </c>
      <c r="AE26" s="1897">
        <f>T26</f>
        <v>418837</v>
      </c>
      <c r="AF26" s="1898">
        <f>AE26/AD56</f>
        <v>6.8158863819754723E-3</v>
      </c>
    </row>
    <row r="27" spans="1:32">
      <c r="A27" s="1912" t="s">
        <v>2824</v>
      </c>
      <c r="B27" s="1892"/>
      <c r="C27" s="1893"/>
      <c r="G27" s="1893"/>
      <c r="H27" s="1892"/>
      <c r="I27" s="1893"/>
      <c r="P27" s="1893"/>
      <c r="R27" s="1908"/>
      <c r="S27" s="1908">
        <f>T27*11.1141</f>
        <v>244999.22040000002</v>
      </c>
      <c r="T27" s="1915">
        <v>22044</v>
      </c>
      <c r="U27" s="1898">
        <f>T27/T52</f>
        <v>8.3307949930576716E-3</v>
      </c>
      <c r="V27" s="1898"/>
      <c r="W27" s="1898">
        <f>T27/T54</f>
        <v>5.3798486105654901E-4</v>
      </c>
      <c r="X27" s="1913"/>
      <c r="Y27" s="1914"/>
      <c r="Z27" s="1898">
        <f>T27/(T52+Y52)</f>
        <v>4.8999863963360797E-3</v>
      </c>
      <c r="AA27" s="1905"/>
      <c r="AB27" s="1898">
        <f>T27/Y56</f>
        <v>3.9095308798277491E-4</v>
      </c>
      <c r="AC27" s="1896" t="s">
        <v>1285</v>
      </c>
      <c r="AD27" s="1896" t="s">
        <v>1285</v>
      </c>
      <c r="AE27" s="1897">
        <f>T27</f>
        <v>22044</v>
      </c>
      <c r="AF27" s="1898">
        <f>AE27/AD56</f>
        <v>3.5873000571646563E-4</v>
      </c>
    </row>
    <row r="28" spans="1:32">
      <c r="A28" s="1891" t="s">
        <v>1307</v>
      </c>
      <c r="B28" s="1892"/>
      <c r="C28" s="1893"/>
      <c r="G28" s="1893"/>
      <c r="H28" s="1892">
        <v>285714</v>
      </c>
      <c r="I28" s="1893">
        <f>H28/H52</f>
        <v>3.9999960799999214E-2</v>
      </c>
      <c r="J28" s="1892"/>
      <c r="K28" s="1893"/>
      <c r="L28" s="1893"/>
      <c r="M28" s="1893"/>
      <c r="N28" s="1893"/>
      <c r="O28" s="1893"/>
      <c r="P28" s="1893">
        <f>H28/M54</f>
        <v>7.4542426555782399E-3</v>
      </c>
      <c r="Q28" s="1893">
        <f>H28/M56</f>
        <v>5.773575345498958E-3</v>
      </c>
      <c r="R28" s="1895">
        <v>170000</v>
      </c>
      <c r="S28" s="1895">
        <f t="shared" si="3"/>
        <v>170001.27360000001</v>
      </c>
      <c r="T28" s="1892">
        <f>ROUND(R28/11.1141,0)</f>
        <v>15296</v>
      </c>
      <c r="U28" s="1893">
        <f>T28/T52</f>
        <v>5.7806133285161557E-3</v>
      </c>
      <c r="V28" s="1893"/>
      <c r="W28" s="1893">
        <f>(H28+T28)/T54</f>
        <v>7.3461632655884516E-3</v>
      </c>
      <c r="X28" s="1896" t="s">
        <v>1285</v>
      </c>
      <c r="Y28" s="1896" t="s">
        <v>1285</v>
      </c>
      <c r="Z28" s="1893">
        <f>T28/(T52+Y52)</f>
        <v>3.4000268516764958E-3</v>
      </c>
      <c r="AB28" s="1893">
        <f>(H28+T28)/Y56</f>
        <v>5.3384498736025708E-3</v>
      </c>
      <c r="AC28" s="1896" t="s">
        <v>1285</v>
      </c>
      <c r="AD28" s="1896" t="s">
        <v>1285</v>
      </c>
      <c r="AE28" s="1897">
        <f>H28+T28</f>
        <v>301010</v>
      </c>
      <c r="AF28" s="1898">
        <f t="shared" ref="AF28:AF51" si="5">AE28/AD$56</f>
        <v>4.8984448839009855E-3</v>
      </c>
    </row>
    <row r="29" spans="1:32">
      <c r="A29" s="1916" t="s">
        <v>2825</v>
      </c>
      <c r="B29" s="1917"/>
      <c r="C29" s="1918"/>
      <c r="D29" s="1919"/>
      <c r="E29" s="1920"/>
      <c r="F29" s="1920"/>
      <c r="G29" s="1918"/>
      <c r="H29" s="1917"/>
      <c r="I29" s="1918"/>
      <c r="J29" s="1917">
        <f>5000000/G59</f>
        <v>496852.37777777773</v>
      </c>
      <c r="K29" s="1918">
        <f>J29/J52</f>
        <v>0.43478315149586827</v>
      </c>
      <c r="L29" s="1918"/>
      <c r="M29" s="1917">
        <f>J29+2981113</f>
        <v>3477965.3777777776</v>
      </c>
      <c r="N29" s="1918">
        <f>M29/M52</f>
        <v>0.72916687806706559</v>
      </c>
      <c r="O29" s="1918"/>
      <c r="P29" s="1918">
        <f>M29/M54</f>
        <v>9.0739683297477197E-2</v>
      </c>
      <c r="Q29" s="1918">
        <f>M29/M56</f>
        <v>7.0281103332831954E-2</v>
      </c>
      <c r="R29" s="1921" t="s">
        <v>1285</v>
      </c>
      <c r="S29" s="1922"/>
      <c r="T29" s="1917">
        <v>899758</v>
      </c>
      <c r="U29" s="1923" t="s">
        <v>1285</v>
      </c>
      <c r="V29" s="1924"/>
      <c r="W29" s="1918">
        <f>(M29+T29)/T54</f>
        <v>0.10683854577834259</v>
      </c>
      <c r="X29" s="1925" t="s">
        <v>1285</v>
      </c>
      <c r="Y29" s="1925" t="s">
        <v>1285</v>
      </c>
      <c r="Z29" s="1926" t="s">
        <v>1285</v>
      </c>
      <c r="AA29" s="1924"/>
      <c r="AB29" s="1927">
        <f>(M29+T29)/Y56</f>
        <v>7.7639469827463531E-2</v>
      </c>
      <c r="AC29" s="1896" t="s">
        <v>1285</v>
      </c>
      <c r="AD29" s="1896" t="s">
        <v>1285</v>
      </c>
      <c r="AE29" s="1897">
        <f>M29+T29</f>
        <v>4377723.3777777776</v>
      </c>
      <c r="AF29" s="1898">
        <f t="shared" si="5"/>
        <v>7.1240280000695308E-2</v>
      </c>
    </row>
    <row r="30" spans="1:32">
      <c r="A30" s="1900" t="s">
        <v>1309</v>
      </c>
      <c r="B30" s="1901"/>
      <c r="C30" s="1898"/>
      <c r="D30" s="1907"/>
      <c r="E30" s="1909"/>
      <c r="F30" s="1909"/>
      <c r="G30" s="1898"/>
      <c r="H30" s="1901"/>
      <c r="I30" s="1898"/>
      <c r="J30" s="1901">
        <f>1000000/G59</f>
        <v>99370.475555555546</v>
      </c>
      <c r="K30" s="1898">
        <f>J30/J52</f>
        <v>8.6956630299173651E-2</v>
      </c>
      <c r="L30" s="1898"/>
      <c r="M30" s="1901">
        <f>J30*2-1</f>
        <v>198739.95111111109</v>
      </c>
      <c r="N30" s="1898">
        <f>M30/M52</f>
        <v>4.1666484268305833E-2</v>
      </c>
      <c r="O30" s="1928"/>
      <c r="P30" s="1898">
        <f>M30/M54</f>
        <v>5.1851005583904829E-3</v>
      </c>
      <c r="Q30" s="1898">
        <f>M30/M56</f>
        <v>4.0160443026970305E-3</v>
      </c>
      <c r="R30" s="1903" t="s">
        <v>1285</v>
      </c>
      <c r="S30" s="1895" t="s">
        <v>1285</v>
      </c>
      <c r="T30" s="1906" t="s">
        <v>1285</v>
      </c>
      <c r="U30" s="1904" t="s">
        <v>1285</v>
      </c>
      <c r="V30" s="1904"/>
      <c r="W30" s="1898">
        <f>M30/T54</f>
        <v>4.8502578926191454E-3</v>
      </c>
      <c r="X30" s="1896" t="s">
        <v>1285</v>
      </c>
      <c r="Y30" s="1896" t="s">
        <v>1285</v>
      </c>
      <c r="Z30" s="1898"/>
      <c r="AA30" s="1905"/>
      <c r="AB30" s="1898">
        <f>M30/T56</f>
        <v>3.6444259959852025E-3</v>
      </c>
      <c r="AC30" s="1896" t="s">
        <v>1285</v>
      </c>
      <c r="AD30" s="1896" t="s">
        <v>1285</v>
      </c>
      <c r="AE30" s="1897">
        <f>M30</f>
        <v>198739.95111111109</v>
      </c>
      <c r="AF30" s="1898">
        <f t="shared" si="5"/>
        <v>3.2341672926047443E-3</v>
      </c>
    </row>
    <row r="31" spans="1:32">
      <c r="A31" s="1900" t="s">
        <v>1310</v>
      </c>
      <c r="B31" s="1901"/>
      <c r="C31" s="1898"/>
      <c r="D31" s="1907"/>
      <c r="E31" s="1909"/>
      <c r="F31" s="1909"/>
      <c r="G31" s="1898"/>
      <c r="H31" s="1901"/>
      <c r="I31" s="1898"/>
      <c r="J31" s="1901">
        <f>2000000/G59</f>
        <v>198740.95111111109</v>
      </c>
      <c r="K31" s="1898">
        <f>J31/J52</f>
        <v>0.1739132605983473</v>
      </c>
      <c r="L31" s="1898"/>
      <c r="M31" s="1901">
        <f>J31*2</f>
        <v>397481.90222222218</v>
      </c>
      <c r="N31" s="1898">
        <f>M31/M52</f>
        <v>8.3333387843188278E-2</v>
      </c>
      <c r="O31" s="1928"/>
      <c r="P31" s="1898">
        <f>M31/M54</f>
        <v>1.0370253296531734E-2</v>
      </c>
      <c r="Q31" s="1898">
        <f>M31/M56</f>
        <v>8.0321290204618933E-3</v>
      </c>
      <c r="R31" s="1908">
        <v>312000</v>
      </c>
      <c r="S31" s="1895">
        <f t="shared" si="3"/>
        <v>311995.01520000002</v>
      </c>
      <c r="T31" s="1901">
        <f>ROUND(R31/11.1141,0)</f>
        <v>28072</v>
      </c>
      <c r="U31" s="1898">
        <f>T31/T52</f>
        <v>1.0608876657825936E-2</v>
      </c>
      <c r="V31" s="1898"/>
      <c r="W31" s="1898">
        <f>(M31+T31)/T54</f>
        <v>1.0385663081069427E-2</v>
      </c>
      <c r="X31" s="1896" t="s">
        <v>1285</v>
      </c>
      <c r="Y31" s="1896" t="s">
        <v>1285</v>
      </c>
      <c r="Z31" s="1898">
        <f>T31/(T52+Y52)</f>
        <v>6.2399028360527325E-3</v>
      </c>
      <c r="AA31" s="1905"/>
      <c r="AB31" s="1898">
        <f>(M31+T31)/Y56</f>
        <v>7.5472515050307391E-3</v>
      </c>
      <c r="AC31" s="1896" t="s">
        <v>1285</v>
      </c>
      <c r="AD31" s="1896" t="s">
        <v>1285</v>
      </c>
      <c r="AE31" s="1897">
        <f>M31+T31</f>
        <v>425553.90222222218</v>
      </c>
      <c r="AF31" s="1898">
        <f t="shared" si="5"/>
        <v>6.9251929675577034E-3</v>
      </c>
    </row>
    <row r="32" spans="1:32">
      <c r="A32" s="1900" t="s">
        <v>1311</v>
      </c>
      <c r="B32" s="1901"/>
      <c r="C32" s="1898"/>
      <c r="D32" s="1907"/>
      <c r="E32" s="1909"/>
      <c r="F32" s="1909"/>
      <c r="G32" s="1898"/>
      <c r="H32" s="1901"/>
      <c r="I32" s="1898"/>
      <c r="J32" s="1901"/>
      <c r="K32" s="1898"/>
      <c r="L32" s="1898"/>
      <c r="M32" s="1901"/>
      <c r="N32" s="1898"/>
      <c r="O32" s="1928"/>
      <c r="P32" s="1898"/>
      <c r="Q32" s="1898"/>
      <c r="R32" s="1908">
        <v>200000</v>
      </c>
      <c r="S32" s="1895">
        <f t="shared" si="3"/>
        <v>199998.22950000002</v>
      </c>
      <c r="T32" s="1901">
        <f>ROUND(R32/11.1141,0)</f>
        <v>17995</v>
      </c>
      <c r="U32" s="1898">
        <f>T32/T52</f>
        <v>6.8006104109994917E-3</v>
      </c>
      <c r="V32" s="1898"/>
      <c r="W32" s="1898">
        <f>T32/T54</f>
        <v>4.3916882483726184E-4</v>
      </c>
      <c r="X32" s="1896" t="s">
        <v>1285</v>
      </c>
      <c r="Y32" s="1896" t="s">
        <v>1285</v>
      </c>
      <c r="Z32" s="1898">
        <f>T32/(T52+Y52)</f>
        <v>3.9999662131222895E-3</v>
      </c>
      <c r="AA32" s="1905"/>
      <c r="AB32" s="1898">
        <f>T32/Y56</f>
        <v>3.1914356823852452E-4</v>
      </c>
      <c r="AC32" s="1896" t="s">
        <v>1285</v>
      </c>
      <c r="AD32" s="1896" t="s">
        <v>1285</v>
      </c>
      <c r="AE32" s="1897">
        <f>T32</f>
        <v>17995</v>
      </c>
      <c r="AF32" s="1898">
        <f t="shared" si="5"/>
        <v>2.9283916044582647E-4</v>
      </c>
    </row>
    <row r="33" spans="1:34">
      <c r="A33" s="1929" t="s">
        <v>2826</v>
      </c>
      <c r="B33" s="1930"/>
      <c r="C33" s="1931"/>
      <c r="D33" s="1932"/>
      <c r="E33" s="1933"/>
      <c r="F33" s="1933"/>
      <c r="G33" s="1931"/>
      <c r="H33" s="1930"/>
      <c r="I33" s="1931"/>
      <c r="J33" s="1930">
        <v>248426</v>
      </c>
      <c r="K33" s="1931">
        <f>J33/J52</f>
        <v>0.21739141045596805</v>
      </c>
      <c r="L33" s="1931">
        <f>J33/J56</f>
        <v>5.4171141428353831E-3</v>
      </c>
      <c r="M33" s="1930">
        <f>J33*2</f>
        <v>496852</v>
      </c>
      <c r="N33" s="1931">
        <f>M33/M52</f>
        <v>0.104166655601632</v>
      </c>
      <c r="O33" s="1934">
        <f>M33/M56</f>
        <v>1.0040153641620111E-2</v>
      </c>
      <c r="P33" s="1931">
        <f>M33/M54</f>
        <v>1.2962806764489524E-2</v>
      </c>
      <c r="Q33" s="1931">
        <f>M33/M56</f>
        <v>1.0040153641620111E-2</v>
      </c>
      <c r="R33" s="1935" t="s">
        <v>1285</v>
      </c>
      <c r="S33" s="1935" t="s">
        <v>1285</v>
      </c>
      <c r="T33" s="1935" t="s">
        <v>1285</v>
      </c>
      <c r="U33" s="1935" t="s">
        <v>1285</v>
      </c>
      <c r="V33" s="1935"/>
      <c r="W33" s="1904">
        <f>M33/T54</f>
        <v>1.2125696524481424E-2</v>
      </c>
      <c r="X33" s="1913" t="s">
        <v>1285</v>
      </c>
      <c r="Y33" s="1914" t="s">
        <v>1285</v>
      </c>
      <c r="Z33" s="1904" t="s">
        <v>1285</v>
      </c>
      <c r="AA33" s="1936">
        <f>AB33</f>
        <v>8.8117321570684842E-3</v>
      </c>
      <c r="AB33" s="1935">
        <f>M33/Y56</f>
        <v>8.8117321570684842E-3</v>
      </c>
      <c r="AC33" s="1896" t="s">
        <v>1285</v>
      </c>
      <c r="AD33" s="1896" t="s">
        <v>1285</v>
      </c>
      <c r="AE33" s="1897">
        <f>M33</f>
        <v>496852</v>
      </c>
      <c r="AF33" s="1898">
        <f t="shared" si="5"/>
        <v>8.0854527672036547E-3</v>
      </c>
    </row>
    <row r="34" spans="1:34">
      <c r="A34" s="1929" t="s">
        <v>2827</v>
      </c>
      <c r="B34" s="1930"/>
      <c r="C34" s="1931"/>
      <c r="D34" s="1932"/>
      <c r="E34" s="1933"/>
      <c r="F34" s="1933"/>
      <c r="G34" s="1931"/>
      <c r="H34" s="1930"/>
      <c r="I34" s="1931"/>
      <c r="J34" s="1930">
        <v>49685</v>
      </c>
      <c r="K34" s="1931">
        <f>J34/J52</f>
        <v>4.3478107076170662E-2</v>
      </c>
      <c r="L34" s="1931">
        <f>J34/J56</f>
        <v>1.0834184674179675E-3</v>
      </c>
      <c r="M34" s="1930">
        <f>J34*2</f>
        <v>99370</v>
      </c>
      <c r="N34" s="1931">
        <f>M34/M52</f>
        <v>2.0833247259011076E-2</v>
      </c>
      <c r="O34" s="1934">
        <f>M34/M56</f>
        <v>2.0080226453104556E-3</v>
      </c>
      <c r="P34" s="1931">
        <f>M34/M54</f>
        <v>2.5925509169477511E-3</v>
      </c>
      <c r="Q34" s="1931">
        <f>M34/M56</f>
        <v>2.0080226453104556E-3</v>
      </c>
      <c r="R34" s="1935" t="s">
        <v>1285</v>
      </c>
      <c r="S34" s="1935" t="s">
        <v>1285</v>
      </c>
      <c r="T34" s="1935" t="s">
        <v>1285</v>
      </c>
      <c r="U34" s="1935" t="s">
        <v>1285</v>
      </c>
      <c r="V34" s="1937"/>
      <c r="W34" s="1898">
        <f>M34/T54</f>
        <v>2.4251295428773939E-3</v>
      </c>
      <c r="X34" s="1913" t="s">
        <v>1285</v>
      </c>
      <c r="Y34" s="1914" t="s">
        <v>1285</v>
      </c>
      <c r="Z34" s="1904" t="s">
        <v>1285</v>
      </c>
      <c r="AA34" s="1936">
        <f>AB34</f>
        <v>1.7623393373638334E-3</v>
      </c>
      <c r="AB34" s="1935">
        <f>M34/Y56</f>
        <v>1.7623393373638334E-3</v>
      </c>
      <c r="AC34" s="1896" t="s">
        <v>1285</v>
      </c>
      <c r="AD34" s="1896" t="s">
        <v>1285</v>
      </c>
      <c r="AE34" s="1897">
        <f>M34</f>
        <v>99370</v>
      </c>
      <c r="AF34" s="1898">
        <f t="shared" si="5"/>
        <v>1.6170840440956809E-3</v>
      </c>
    </row>
    <row r="35" spans="1:34" ht="15" customHeight="1">
      <c r="A35" s="1929" t="s">
        <v>1318</v>
      </c>
      <c r="B35" s="1930"/>
      <c r="C35" s="1931"/>
      <c r="D35" s="1932"/>
      <c r="E35" s="1933"/>
      <c r="F35" s="1933"/>
      <c r="G35" s="1931"/>
      <c r="H35" s="1930"/>
      <c r="I35" s="1931"/>
      <c r="J35" s="1930">
        <f>500000/G59</f>
        <v>49685.237777777773</v>
      </c>
      <c r="K35" s="1931">
        <f>J35/J52</f>
        <v>4.3478315149586826E-2</v>
      </c>
      <c r="L35" s="1931">
        <f>J35/J56</f>
        <v>1.083423652339686E-3</v>
      </c>
      <c r="M35" s="1930">
        <f>J35*2</f>
        <v>99370.475555555546</v>
      </c>
      <c r="N35" s="1931">
        <f>M35/M52</f>
        <v>2.0833346960797069E-2</v>
      </c>
      <c r="O35" s="1934">
        <f>M35/M56</f>
        <v>2.0080322551154733E-3</v>
      </c>
      <c r="P35" s="1931">
        <f>M35/M54</f>
        <v>2.5925633241329336E-3</v>
      </c>
      <c r="Q35" s="1931">
        <f>M35/M56</f>
        <v>2.0080322551154733E-3</v>
      </c>
      <c r="R35" s="1935" t="s">
        <v>1285</v>
      </c>
      <c r="S35" s="1935" t="s">
        <v>1285</v>
      </c>
      <c r="T35" s="1935" t="s">
        <v>1285</v>
      </c>
      <c r="U35" s="1935" t="s">
        <v>1285</v>
      </c>
      <c r="V35" s="1937"/>
      <c r="W35" s="1898">
        <f>M35/T54</f>
        <v>2.4251411488331858E-3</v>
      </c>
      <c r="X35" s="1913" t="s">
        <v>1285</v>
      </c>
      <c r="Y35" s="1914" t="s">
        <v>1285</v>
      </c>
      <c r="Z35" s="1904" t="s">
        <v>1285</v>
      </c>
      <c r="AA35" s="1936">
        <f>AB35</f>
        <v>1.7623477714008933E-3</v>
      </c>
      <c r="AB35" s="1935">
        <f>M35/Y56</f>
        <v>1.7623477714008933E-3</v>
      </c>
      <c r="AC35" s="1896" t="s">
        <v>1285</v>
      </c>
      <c r="AD35" s="1896" t="s">
        <v>1285</v>
      </c>
      <c r="AE35" s="1897">
        <f>M35</f>
        <v>99370.475555555546</v>
      </c>
      <c r="AF35" s="1898">
        <f t="shared" si="5"/>
        <v>1.6170917829836848E-3</v>
      </c>
    </row>
    <row r="36" spans="1:34" ht="15" customHeight="1">
      <c r="A36" s="1900" t="s">
        <v>2828</v>
      </c>
      <c r="B36" s="1930"/>
      <c r="C36" s="1931"/>
      <c r="D36" s="1932"/>
      <c r="E36" s="1933"/>
      <c r="F36" s="1933"/>
      <c r="G36" s="1931"/>
      <c r="H36" s="1930"/>
      <c r="I36" s="1931"/>
      <c r="J36" s="1930"/>
      <c r="K36" s="1931"/>
      <c r="L36" s="1931"/>
      <c r="M36" s="1930"/>
      <c r="N36" s="1931"/>
      <c r="O36" s="1934"/>
      <c r="P36" s="1931"/>
      <c r="Q36" s="1931"/>
      <c r="R36" s="1931"/>
      <c r="S36" s="1931"/>
      <c r="T36" s="1898"/>
      <c r="U36" s="1898"/>
      <c r="V36" s="1898"/>
      <c r="W36" s="1898"/>
      <c r="X36" s="1895">
        <f>Y36*11.1141</f>
        <v>7999995.8646</v>
      </c>
      <c r="Y36" s="1901">
        <f>ROUND(8000000/11.1141,0)</f>
        <v>719806</v>
      </c>
      <c r="Z36" s="1898">
        <f t="shared" ref="Z36:Z42" si="6">Y36/(T$52+Y$52)</f>
        <v>0.15999998221743278</v>
      </c>
      <c r="AA36" s="1905"/>
      <c r="AB36" s="1898">
        <f t="shared" ref="AB36:AB42" si="7">Y36/Y$56</f>
        <v>1.2765849140288934E-2</v>
      </c>
      <c r="AC36" s="1895">
        <f>AD36*13.3013</f>
        <v>16999992.491</v>
      </c>
      <c r="AD36" s="1901">
        <f>ROUNDDOWN(17000000/13.3013,0)</f>
        <v>1278070</v>
      </c>
      <c r="AE36" s="1897">
        <f>Y36+AD36</f>
        <v>1997876</v>
      </c>
      <c r="AF36" s="1898">
        <f t="shared" si="5"/>
        <v>3.2512160628778326E-2</v>
      </c>
      <c r="AH36" s="1892"/>
    </row>
    <row r="37" spans="1:34" ht="15" customHeight="1">
      <c r="A37" s="1900" t="s">
        <v>2829</v>
      </c>
      <c r="B37" s="1930"/>
      <c r="C37" s="1931"/>
      <c r="D37" s="1932"/>
      <c r="E37" s="1933"/>
      <c r="F37" s="1933"/>
      <c r="G37" s="1931"/>
      <c r="H37" s="1930"/>
      <c r="I37" s="1931"/>
      <c r="J37" s="1930"/>
      <c r="K37" s="1931"/>
      <c r="L37" s="1931"/>
      <c r="M37" s="1930"/>
      <c r="N37" s="1931"/>
      <c r="O37" s="1934"/>
      <c r="P37" s="1931"/>
      <c r="Q37" s="1931"/>
      <c r="R37" s="1931"/>
      <c r="S37" s="1931"/>
      <c r="T37" s="1898"/>
      <c r="U37" s="1898"/>
      <c r="V37" s="1898"/>
      <c r="W37" s="1898"/>
      <c r="X37" s="1895">
        <f t="shared" ref="X37:X42" si="8">Y37*11.1141</f>
        <v>7999995.8646</v>
      </c>
      <c r="Y37" s="1901">
        <f>ROUND(8000000/11.1141,0)</f>
        <v>719806</v>
      </c>
      <c r="Z37" s="1898">
        <f t="shared" si="6"/>
        <v>0.15999998221743278</v>
      </c>
      <c r="AA37" s="1905"/>
      <c r="AB37" s="1898">
        <f t="shared" si="7"/>
        <v>1.2765849140288934E-2</v>
      </c>
      <c r="AC37" s="1895">
        <f t="shared" ref="AC37:AC49" si="9">AD37*13.3013</f>
        <v>16999992.491</v>
      </c>
      <c r="AD37" s="1901">
        <f>ROUNDDOWN(17000000/13.3013,0)</f>
        <v>1278070</v>
      </c>
      <c r="AE37" s="1897">
        <f t="shared" ref="AE37:AE49" si="10">Y37+AD37</f>
        <v>1997876</v>
      </c>
      <c r="AF37" s="1898">
        <f t="shared" si="5"/>
        <v>3.2512160628778326E-2</v>
      </c>
      <c r="AH37" s="1892"/>
    </row>
    <row r="38" spans="1:34" ht="15" customHeight="1">
      <c r="A38" s="1900" t="s">
        <v>2830</v>
      </c>
      <c r="B38" s="1930"/>
      <c r="C38" s="1931"/>
      <c r="D38" s="1932"/>
      <c r="E38" s="1933"/>
      <c r="F38" s="1933"/>
      <c r="G38" s="1931"/>
      <c r="H38" s="1930"/>
      <c r="I38" s="1931"/>
      <c r="J38" s="1930"/>
      <c r="K38" s="1931"/>
      <c r="L38" s="1931"/>
      <c r="M38" s="1930"/>
      <c r="N38" s="1931"/>
      <c r="O38" s="1934"/>
      <c r="P38" s="1931"/>
      <c r="Q38" s="1931"/>
      <c r="R38" s="1931"/>
      <c r="S38" s="1931"/>
      <c r="T38" s="1898"/>
      <c r="U38" s="1898"/>
      <c r="V38" s="1898"/>
      <c r="W38" s="1898"/>
      <c r="X38" s="1895">
        <f t="shared" si="8"/>
        <v>2000004.5232000002</v>
      </c>
      <c r="Y38" s="1901">
        <f>ROUND(2000000/11.1141,0)</f>
        <v>179952</v>
      </c>
      <c r="Z38" s="1898">
        <f t="shared" si="6"/>
        <v>4.0000106695403298E-2</v>
      </c>
      <c r="AA38" s="1905"/>
      <c r="AB38" s="1898">
        <f t="shared" si="7"/>
        <v>3.191471152634563E-3</v>
      </c>
      <c r="AC38" s="1895">
        <f t="shared" si="9"/>
        <v>8000000.3784999996</v>
      </c>
      <c r="AD38" s="1901">
        <f>ROUND(8000000/13.3013,0)</f>
        <v>601445</v>
      </c>
      <c r="AE38" s="1897">
        <f t="shared" si="10"/>
        <v>781397</v>
      </c>
      <c r="AF38" s="1898">
        <f t="shared" si="5"/>
        <v>1.2715956735475825E-2</v>
      </c>
      <c r="AH38" s="1892"/>
    </row>
    <row r="39" spans="1:34" ht="15" customHeight="1">
      <c r="A39" s="1900" t="s">
        <v>2831</v>
      </c>
      <c r="B39" s="1930"/>
      <c r="C39" s="1931"/>
      <c r="D39" s="1932"/>
      <c r="E39" s="1933"/>
      <c r="F39" s="1933"/>
      <c r="G39" s="1931"/>
      <c r="H39" s="1930"/>
      <c r="I39" s="1931"/>
      <c r="J39" s="1930"/>
      <c r="K39" s="1931"/>
      <c r="L39" s="1931"/>
      <c r="M39" s="1930"/>
      <c r="N39" s="1931"/>
      <c r="O39" s="1934"/>
      <c r="P39" s="1931"/>
      <c r="Q39" s="1931"/>
      <c r="R39" s="1931"/>
      <c r="S39" s="1931"/>
      <c r="T39" s="1898"/>
      <c r="U39" s="1898"/>
      <c r="V39" s="1898"/>
      <c r="W39" s="1898"/>
      <c r="X39" s="1908">
        <f t="shared" si="8"/>
        <v>800004.03210000007</v>
      </c>
      <c r="Y39" s="1901">
        <f>ROUND(800000/11.1141,0)</f>
        <v>71981</v>
      </c>
      <c r="Z39" s="1898">
        <f t="shared" si="6"/>
        <v>1.6000087134579358E-2</v>
      </c>
      <c r="AA39" s="1905"/>
      <c r="AB39" s="1898">
        <f t="shared" si="7"/>
        <v>1.2765920080787571E-3</v>
      </c>
      <c r="AC39" s="1908">
        <f>AD39*13.3013</f>
        <v>3200000.1513999999</v>
      </c>
      <c r="AD39" s="1901">
        <f>ROUND(3200000/13.3013,0)</f>
        <v>240578</v>
      </c>
      <c r="AE39" s="1897">
        <f t="shared" si="10"/>
        <v>312559</v>
      </c>
      <c r="AF39" s="1898">
        <f t="shared" si="5"/>
        <v>5.0863859488628552E-3</v>
      </c>
      <c r="AH39" s="1892"/>
    </row>
    <row r="40" spans="1:34" ht="15" customHeight="1">
      <c r="A40" s="1900" t="s">
        <v>2832</v>
      </c>
      <c r="B40" s="1930"/>
      <c r="C40" s="1931"/>
      <c r="D40" s="1932"/>
      <c r="E40" s="1933"/>
      <c r="F40" s="1933"/>
      <c r="G40" s="1931"/>
      <c r="H40" s="1930"/>
      <c r="I40" s="1931"/>
      <c r="J40" s="1930"/>
      <c r="K40" s="1931"/>
      <c r="L40" s="1931"/>
      <c r="M40" s="1930"/>
      <c r="N40" s="1931"/>
      <c r="O40" s="1934"/>
      <c r="P40" s="1931"/>
      <c r="Q40" s="1931"/>
      <c r="R40" s="1931"/>
      <c r="S40" s="1931"/>
      <c r="T40" s="1898"/>
      <c r="U40" s="1898"/>
      <c r="V40" s="1898"/>
      <c r="W40" s="1898"/>
      <c r="X40" s="1908">
        <f t="shared" si="8"/>
        <v>199998.22950000002</v>
      </c>
      <c r="Y40" s="1901">
        <f>ROUND(200000/11.1141,0)</f>
        <v>17995</v>
      </c>
      <c r="Z40" s="1898">
        <f t="shared" si="6"/>
        <v>3.9999662131222895E-3</v>
      </c>
      <c r="AA40" s="1905"/>
      <c r="AB40" s="1898">
        <f t="shared" si="7"/>
        <v>3.1914356823852452E-4</v>
      </c>
      <c r="AC40" s="1908">
        <f t="shared" si="9"/>
        <v>799993.3872</v>
      </c>
      <c r="AD40" s="1901">
        <f>ROUND(800000/13.3013,0)</f>
        <v>60144</v>
      </c>
      <c r="AE40" s="1897">
        <f t="shared" si="10"/>
        <v>78139</v>
      </c>
      <c r="AF40" s="1898">
        <f t="shared" si="5"/>
        <v>1.2715842821937446E-3</v>
      </c>
      <c r="AH40" s="1892"/>
    </row>
    <row r="41" spans="1:34" ht="15" customHeight="1">
      <c r="A41" s="1900" t="s">
        <v>2833</v>
      </c>
      <c r="B41" s="1930"/>
      <c r="C41" s="1931"/>
      <c r="D41" s="1932"/>
      <c r="E41" s="1933"/>
      <c r="F41" s="1933"/>
      <c r="G41" s="1931"/>
      <c r="H41" s="1930"/>
      <c r="I41" s="1931"/>
      <c r="J41" s="1930"/>
      <c r="K41" s="1931"/>
      <c r="L41" s="1931"/>
      <c r="M41" s="1930"/>
      <c r="N41" s="1931"/>
      <c r="O41" s="1934"/>
      <c r="P41" s="1931"/>
      <c r="Q41" s="1931"/>
      <c r="R41" s="1931"/>
      <c r="S41" s="1931"/>
      <c r="T41" s="1898"/>
      <c r="U41" s="1898"/>
      <c r="V41" s="1898"/>
      <c r="W41" s="1898"/>
      <c r="X41" s="1908">
        <f t="shared" si="8"/>
        <v>82788.930900000007</v>
      </c>
      <c r="Y41" s="1901">
        <v>7449</v>
      </c>
      <c r="Z41" s="1898">
        <f t="shared" si="6"/>
        <v>1.6557792898887435E-3</v>
      </c>
      <c r="AA41" s="1905"/>
      <c r="AB41" s="1898">
        <f t="shared" si="7"/>
        <v>1.321089435848163E-4</v>
      </c>
      <c r="AC41" s="1908">
        <f t="shared" si="9"/>
        <v>260146.8254</v>
      </c>
      <c r="AD41" s="1901">
        <v>19558</v>
      </c>
      <c r="AE41" s="1897">
        <f t="shared" si="10"/>
        <v>27007</v>
      </c>
      <c r="AF41" s="1898">
        <f t="shared" si="5"/>
        <v>4.3949470442680944E-4</v>
      </c>
      <c r="AH41" s="1892"/>
    </row>
    <row r="42" spans="1:34" ht="15" customHeight="1">
      <c r="A42" s="1900" t="s">
        <v>2834</v>
      </c>
      <c r="B42" s="1930"/>
      <c r="C42" s="1931"/>
      <c r="D42" s="1932"/>
      <c r="E42" s="1933"/>
      <c r="F42" s="1933"/>
      <c r="G42" s="1931"/>
      <c r="H42" s="1930"/>
      <c r="I42" s="1931"/>
      <c r="J42" s="1930"/>
      <c r="K42" s="1931"/>
      <c r="L42" s="1931"/>
      <c r="M42" s="1930"/>
      <c r="N42" s="1931"/>
      <c r="O42" s="1934"/>
      <c r="P42" s="1931"/>
      <c r="Q42" s="1931"/>
      <c r="R42" s="1931"/>
      <c r="S42" s="1931"/>
      <c r="T42" s="1898"/>
      <c r="U42" s="1898"/>
      <c r="V42" s="1898"/>
      <c r="W42" s="1898"/>
      <c r="X42" s="1908">
        <f t="shared" si="8"/>
        <v>1508327.8533000001</v>
      </c>
      <c r="Y42" s="1901">
        <v>135713</v>
      </c>
      <c r="Z42" s="1898">
        <f t="shared" si="6"/>
        <v>3.016656930711116E-2</v>
      </c>
      <c r="AA42" s="1905"/>
      <c r="AB42" s="1898">
        <f t="shared" si="7"/>
        <v>2.406886972845506E-3</v>
      </c>
      <c r="AC42" s="1908">
        <f t="shared" si="9"/>
        <v>4739851.7484999998</v>
      </c>
      <c r="AD42" s="1901">
        <v>356345</v>
      </c>
      <c r="AE42" s="1897">
        <f t="shared" si="10"/>
        <v>492058</v>
      </c>
      <c r="AF42" s="1898">
        <f t="shared" si="5"/>
        <v>8.007438266777021E-3</v>
      </c>
      <c r="AH42" s="1892"/>
    </row>
    <row r="43" spans="1:34" ht="15" customHeight="1">
      <c r="A43" s="1900" t="s">
        <v>2835</v>
      </c>
      <c r="B43" s="1930"/>
      <c r="C43" s="1931"/>
      <c r="D43" s="1932"/>
      <c r="E43" s="1933"/>
      <c r="F43" s="1933"/>
      <c r="G43" s="1931"/>
      <c r="H43" s="1930"/>
      <c r="I43" s="1931"/>
      <c r="J43" s="1930"/>
      <c r="K43" s="1931"/>
      <c r="L43" s="1931"/>
      <c r="M43" s="1930"/>
      <c r="N43" s="1931"/>
      <c r="O43" s="1934"/>
      <c r="P43" s="1931"/>
      <c r="Q43" s="1931"/>
      <c r="R43" s="1931"/>
      <c r="S43" s="1931"/>
      <c r="T43" s="1898"/>
      <c r="U43" s="1898"/>
      <c r="V43" s="1898"/>
      <c r="W43" s="1898"/>
      <c r="X43" s="1908"/>
      <c r="Y43" s="1901"/>
      <c r="Z43" s="1898"/>
      <c r="AA43" s="1905"/>
      <c r="AB43" s="1898"/>
      <c r="AC43" s="1908">
        <f>AD43*13.3013</f>
        <v>3000001.8045999999</v>
      </c>
      <c r="AD43" s="1901">
        <f>ROUND(3000000/13.3013,0)</f>
        <v>225542</v>
      </c>
      <c r="AE43" s="1897">
        <f>AD43</f>
        <v>225542</v>
      </c>
      <c r="AF43" s="1898">
        <f t="shared" si="5"/>
        <v>3.6703267532799443E-3</v>
      </c>
      <c r="AH43" s="1892"/>
    </row>
    <row r="44" spans="1:34" ht="15" customHeight="1">
      <c r="A44" s="1900" t="s">
        <v>2836</v>
      </c>
      <c r="B44" s="1930"/>
      <c r="C44" s="1931"/>
      <c r="D44" s="1932"/>
      <c r="E44" s="1933"/>
      <c r="F44" s="1933"/>
      <c r="G44" s="1931"/>
      <c r="H44" s="1930"/>
      <c r="I44" s="1931"/>
      <c r="J44" s="1930"/>
      <c r="K44" s="1931"/>
      <c r="L44" s="1931"/>
      <c r="M44" s="1930"/>
      <c r="N44" s="1931"/>
      <c r="O44" s="1934"/>
      <c r="P44" s="1931"/>
      <c r="Q44" s="1931"/>
      <c r="R44" s="1931"/>
      <c r="S44" s="1931"/>
      <c r="T44" s="1898"/>
      <c r="U44" s="1898"/>
      <c r="V44" s="1898"/>
      <c r="W44" s="1898"/>
      <c r="X44" s="1895"/>
      <c r="Y44" s="1901"/>
      <c r="Z44" s="1898"/>
      <c r="AA44" s="1905"/>
      <c r="AB44" s="1896" t="s">
        <v>1285</v>
      </c>
      <c r="AC44" s="1895">
        <v>6999995.3499999996</v>
      </c>
      <c r="AD44" s="1901">
        <f>ROUND(7000000/13.3013,0)</f>
        <v>526264</v>
      </c>
      <c r="AE44" s="1897">
        <f t="shared" si="10"/>
        <v>526264</v>
      </c>
      <c r="AF44" s="1898">
        <f t="shared" si="5"/>
        <v>8.5640849087447856E-3</v>
      </c>
      <c r="AH44" s="1892"/>
    </row>
    <row r="45" spans="1:34" ht="15" customHeight="1">
      <c r="A45" s="1900" t="s">
        <v>2837</v>
      </c>
      <c r="B45" s="1930"/>
      <c r="C45" s="1931"/>
      <c r="E45" s="1933"/>
      <c r="F45" s="1933"/>
      <c r="G45" s="1931"/>
      <c r="H45" s="1930"/>
      <c r="I45" s="1931"/>
      <c r="J45" s="1930"/>
      <c r="K45" s="1931"/>
      <c r="L45" s="1931"/>
      <c r="M45" s="1930"/>
      <c r="N45" s="1931"/>
      <c r="O45" s="1934"/>
      <c r="P45" s="1931"/>
      <c r="Q45" s="1931"/>
      <c r="R45" s="1931"/>
      <c r="S45" s="1931"/>
      <c r="T45" s="1898"/>
      <c r="U45" s="1898"/>
      <c r="V45" s="1898"/>
      <c r="W45" s="1898"/>
      <c r="X45" s="1895"/>
      <c r="Y45" s="1901"/>
      <c r="Z45" s="1898"/>
      <c r="AA45" s="1905"/>
      <c r="AB45" s="1896"/>
      <c r="AC45" s="1895">
        <v>10000005.029999999</v>
      </c>
      <c r="AD45" s="1901">
        <f>ROUND(1000000/13.3013,0)</f>
        <v>75181</v>
      </c>
      <c r="AE45" s="1897">
        <f t="shared" si="10"/>
        <v>75181</v>
      </c>
      <c r="AF45" s="1898">
        <f t="shared" si="5"/>
        <v>1.2234476755475232E-3</v>
      </c>
      <c r="AH45" s="1892"/>
    </row>
    <row r="46" spans="1:34" ht="15" customHeight="1">
      <c r="A46" s="1900" t="s">
        <v>2838</v>
      </c>
      <c r="B46" s="1930"/>
      <c r="C46" s="1931"/>
      <c r="D46" s="1932"/>
      <c r="E46" s="1933"/>
      <c r="F46" s="1933"/>
      <c r="G46" s="1931"/>
      <c r="H46" s="1930"/>
      <c r="I46" s="1931"/>
      <c r="J46" s="1930"/>
      <c r="K46" s="1931"/>
      <c r="L46" s="1931"/>
      <c r="M46" s="1930"/>
      <c r="N46" s="1931"/>
      <c r="O46" s="1934"/>
      <c r="P46" s="1931"/>
      <c r="Q46" s="1931"/>
      <c r="R46" s="1931"/>
      <c r="S46" s="1931"/>
      <c r="T46" s="1898"/>
      <c r="U46" s="1898"/>
      <c r="V46" s="1898"/>
      <c r="W46" s="1898"/>
      <c r="X46" s="1895"/>
      <c r="Y46" s="1901"/>
      <c r="Z46" s="1898"/>
      <c r="AA46" s="1905"/>
      <c r="AB46" s="1896" t="s">
        <v>1285</v>
      </c>
      <c r="AC46" s="1895">
        <f t="shared" si="9"/>
        <v>3999993.5385999996</v>
      </c>
      <c r="AD46" s="1901">
        <f>ROUND(4000000/13.3013,0)</f>
        <v>300722</v>
      </c>
      <c r="AE46" s="1897">
        <f t="shared" si="10"/>
        <v>300722</v>
      </c>
      <c r="AF46" s="1898">
        <f t="shared" si="5"/>
        <v>4.8937581554648422E-3</v>
      </c>
      <c r="AH46" s="1892"/>
    </row>
    <row r="47" spans="1:34" ht="15" customHeight="1">
      <c r="A47" s="1900" t="s">
        <v>2839</v>
      </c>
      <c r="B47" s="1930"/>
      <c r="C47" s="1931"/>
      <c r="D47" s="1932"/>
      <c r="E47" s="1933"/>
      <c r="F47" s="1933"/>
      <c r="G47" s="1931"/>
      <c r="H47" s="1930"/>
      <c r="I47" s="1931"/>
      <c r="J47" s="1930"/>
      <c r="K47" s="1931"/>
      <c r="L47" s="1931"/>
      <c r="M47" s="1930"/>
      <c r="N47" s="1931"/>
      <c r="O47" s="1934"/>
      <c r="P47" s="1931"/>
      <c r="Q47" s="1931"/>
      <c r="R47" s="1931"/>
      <c r="S47" s="1931"/>
      <c r="T47" s="1898"/>
      <c r="U47" s="1898"/>
      <c r="V47" s="1898"/>
      <c r="W47" s="1898"/>
      <c r="X47" s="1895"/>
      <c r="Y47" s="1901"/>
      <c r="Z47" s="1898"/>
      <c r="AA47" s="1905"/>
      <c r="AB47" s="1896" t="s">
        <v>1285</v>
      </c>
      <c r="AC47" s="1895">
        <f t="shared" si="9"/>
        <v>1000005.0353</v>
      </c>
      <c r="AD47" s="1901">
        <f>ROUND(1000000/13.3013,0)</f>
        <v>75181</v>
      </c>
      <c r="AE47" s="1897">
        <f t="shared" si="10"/>
        <v>75181</v>
      </c>
      <c r="AF47" s="1898">
        <f t="shared" si="5"/>
        <v>1.2234476755475232E-3</v>
      </c>
      <c r="AH47" s="1892"/>
    </row>
    <row r="48" spans="1:34" ht="15" customHeight="1">
      <c r="A48" s="1900" t="s">
        <v>2840</v>
      </c>
      <c r="B48" s="1930"/>
      <c r="C48" s="1931"/>
      <c r="D48" s="1932"/>
      <c r="E48" s="1933"/>
      <c r="F48" s="1933"/>
      <c r="G48" s="1931"/>
      <c r="H48" s="1930"/>
      <c r="I48" s="1931"/>
      <c r="J48" s="1930"/>
      <c r="K48" s="1931"/>
      <c r="L48" s="1931"/>
      <c r="M48" s="1930"/>
      <c r="N48" s="1931"/>
      <c r="O48" s="1934"/>
      <c r="P48" s="1931"/>
      <c r="Q48" s="1931"/>
      <c r="R48" s="1931"/>
      <c r="S48" s="1931"/>
      <c r="T48" s="1898"/>
      <c r="U48" s="1898"/>
      <c r="V48" s="1898"/>
      <c r="W48" s="1898"/>
      <c r="X48" s="1895"/>
      <c r="Y48" s="1901"/>
      <c r="Z48" s="1898"/>
      <c r="AA48" s="1905"/>
      <c r="AB48" s="1896" t="s">
        <v>1285</v>
      </c>
      <c r="AC48" s="1895">
        <f t="shared" si="9"/>
        <v>99999.1734</v>
      </c>
      <c r="AD48" s="1901">
        <f>ROUND(100000/13.3013,0)</f>
        <v>7518</v>
      </c>
      <c r="AE48" s="1897">
        <f t="shared" si="10"/>
        <v>7518</v>
      </c>
      <c r="AF48" s="1898">
        <f t="shared" si="5"/>
        <v>1.2234314021848978E-4</v>
      </c>
      <c r="AH48" s="1892"/>
    </row>
    <row r="49" spans="1:34" ht="15" customHeight="1">
      <c r="A49" s="1900" t="s">
        <v>2841</v>
      </c>
      <c r="B49" s="1930"/>
      <c r="C49" s="1931"/>
      <c r="D49" s="1932"/>
      <c r="E49" s="1933"/>
      <c r="F49" s="1933"/>
      <c r="G49" s="1931"/>
      <c r="H49" s="1930"/>
      <c r="I49" s="1931"/>
      <c r="J49" s="1930"/>
      <c r="K49" s="1931"/>
      <c r="L49" s="1931"/>
      <c r="M49" s="1930"/>
      <c r="N49" s="1931"/>
      <c r="O49" s="1934"/>
      <c r="P49" s="1931"/>
      <c r="Q49" s="1931"/>
      <c r="R49" s="1931"/>
      <c r="S49" s="1931"/>
      <c r="T49" s="1898"/>
      <c r="U49" s="1898"/>
      <c r="V49" s="1898"/>
      <c r="W49" s="1898"/>
      <c r="X49" s="1895"/>
      <c r="Y49" s="1901"/>
      <c r="Z49" s="1898"/>
      <c r="AA49" s="1905"/>
      <c r="AB49" s="1896" t="s">
        <v>1285</v>
      </c>
      <c r="AC49" s="1895">
        <f t="shared" si="9"/>
        <v>99999.1734</v>
      </c>
      <c r="AD49" s="1901">
        <f>ROUND(100000/13.3013,0)</f>
        <v>7518</v>
      </c>
      <c r="AE49" s="1897">
        <f t="shared" si="10"/>
        <v>7518</v>
      </c>
      <c r="AF49" s="1898">
        <f t="shared" si="5"/>
        <v>1.2234314021848978E-4</v>
      </c>
      <c r="AH49" s="1892"/>
    </row>
    <row r="50" spans="1:34" ht="15" customHeight="1">
      <c r="A50" s="1938" t="s">
        <v>1331</v>
      </c>
      <c r="B50" s="1939">
        <v>2935000</v>
      </c>
      <c r="C50" s="1940"/>
      <c r="D50" s="1941"/>
      <c r="E50" s="1942"/>
      <c r="F50" s="1942"/>
      <c r="G50" s="1940"/>
      <c r="H50" s="1943"/>
      <c r="I50" s="1940"/>
      <c r="J50" s="1943"/>
      <c r="K50" s="1940"/>
      <c r="L50" s="1940"/>
      <c r="M50" s="1943"/>
      <c r="N50" s="1940"/>
      <c r="O50" s="1944"/>
      <c r="P50" s="1940"/>
      <c r="Q50" s="1940"/>
      <c r="R50" s="1940"/>
      <c r="S50" s="1940"/>
      <c r="T50" s="1945"/>
      <c r="U50" s="1945"/>
      <c r="V50" s="1945"/>
      <c r="W50" s="1945"/>
      <c r="X50" s="1945"/>
      <c r="Y50" s="1939"/>
      <c r="Z50" s="1945"/>
      <c r="AA50" s="1946"/>
      <c r="AB50" s="1945">
        <f>B50/Y56</f>
        <v>5.2052590874135565E-2</v>
      </c>
      <c r="AC50" s="1947" t="s">
        <v>1285</v>
      </c>
      <c r="AD50" s="1896" t="s">
        <v>1285</v>
      </c>
      <c r="AE50" s="1897">
        <f>B50</f>
        <v>2935000</v>
      </c>
      <c r="AF50" s="1898">
        <f t="shared" si="5"/>
        <v>4.7762319305834994E-2</v>
      </c>
    </row>
    <row r="51" spans="1:34">
      <c r="A51" s="1938" t="s">
        <v>1332</v>
      </c>
      <c r="B51" s="1939">
        <f>B79+B80</f>
        <v>3196295</v>
      </c>
      <c r="C51" s="1939"/>
      <c r="D51" s="1948"/>
      <c r="E51" s="1949"/>
      <c r="F51" s="1949"/>
      <c r="G51" s="1945"/>
      <c r="H51" s="1948"/>
      <c r="I51" s="1945"/>
      <c r="J51" s="1948"/>
      <c r="K51" s="1945"/>
      <c r="L51" s="1945"/>
      <c r="M51" s="1945"/>
      <c r="N51" s="1945"/>
      <c r="O51" s="1950"/>
      <c r="P51" s="1945"/>
      <c r="Q51" s="1945">
        <f>3731295/M56</f>
        <v>7.5400270266012634E-2</v>
      </c>
      <c r="R51" s="1945"/>
      <c r="S51" s="1945"/>
      <c r="T51" s="1939"/>
      <c r="U51" s="1945"/>
      <c r="V51" s="1945"/>
      <c r="W51" s="1945"/>
      <c r="X51" s="1945"/>
      <c r="Y51" s="1948"/>
      <c r="Z51" s="1948"/>
      <c r="AA51" s="1946"/>
      <c r="AB51" s="1945">
        <f>B51/Y56</f>
        <v>5.668669027190635E-2</v>
      </c>
      <c r="AC51" s="1947" t="s">
        <v>1285</v>
      </c>
      <c r="AD51" s="1896" t="s">
        <v>1285</v>
      </c>
      <c r="AE51" s="1897">
        <f>B51</f>
        <v>3196295</v>
      </c>
      <c r="AF51" s="1898">
        <f t="shared" si="5"/>
        <v>5.2014467593064349E-2</v>
      </c>
    </row>
    <row r="52" spans="1:34" ht="20.25" customHeight="1">
      <c r="A52" s="1891" t="s">
        <v>1333</v>
      </c>
      <c r="B52" s="1892">
        <f>SUM(B4:B51)</f>
        <v>13557449</v>
      </c>
      <c r="C52" s="1893">
        <f>SUM(C4:C23)</f>
        <v>1.0000000000000002</v>
      </c>
      <c r="D52" s="1892">
        <f>SUM(D4:D14)</f>
        <v>26416408</v>
      </c>
      <c r="E52" s="1892">
        <f>SUM(E4:E14)</f>
        <v>5499999</v>
      </c>
      <c r="F52" s="1894">
        <f>SUM(F4:F14)</f>
        <v>20916409</v>
      </c>
      <c r="G52" s="1893"/>
      <c r="H52" s="1892">
        <f>SUM(H4:H28)</f>
        <v>7142857</v>
      </c>
      <c r="I52" s="1893">
        <f>SUM(I4:I28)</f>
        <v>1</v>
      </c>
      <c r="J52" s="1892">
        <f>SUM(J28:J35)-1</f>
        <v>1142759.0422222221</v>
      </c>
      <c r="K52" s="1893">
        <f>SUM(K28:K35)</f>
        <v>1.0000008750751148</v>
      </c>
      <c r="L52" s="1893"/>
      <c r="M52" s="1892">
        <f>SUM(M28:M35)</f>
        <v>4769779.706666667</v>
      </c>
      <c r="N52" s="1893">
        <f>SUM(N28:N35)</f>
        <v>0.99999999999999978</v>
      </c>
      <c r="O52" s="1951"/>
      <c r="P52" s="1893">
        <f>SUM(P4:P35)</f>
        <v>1.0000000000000002</v>
      </c>
      <c r="Q52" s="1893">
        <f>SUM(Q4:Q51)</f>
        <v>0.99999999999999989</v>
      </c>
      <c r="R52" s="1895">
        <f>SUM(R4:R51)</f>
        <v>19408888</v>
      </c>
      <c r="S52" s="1952">
        <f>SUM(S4:S51)</f>
        <v>19408864.024800006</v>
      </c>
      <c r="T52" s="1892">
        <f>SUM(T4:T51)</f>
        <v>2646086</v>
      </c>
      <c r="U52" s="1893">
        <f>SUM(U4:U51)</f>
        <v>0.65996645611669469</v>
      </c>
      <c r="V52" s="1893"/>
      <c r="W52" s="1893">
        <f>ROUND(SUM(W4:W35),0)</f>
        <v>1</v>
      </c>
      <c r="X52" s="1952">
        <f>SUM(X36:X42)</f>
        <v>20591115.2982</v>
      </c>
      <c r="Y52" s="1892">
        <f>SUM(Y36:Y42)</f>
        <v>1852702</v>
      </c>
      <c r="Z52" s="1893">
        <f>SUM(Z4:Z42)</f>
        <v>0.79999991108716384</v>
      </c>
      <c r="AB52" s="1893">
        <f>ROUND(SUM(AB4:AB51),0)</f>
        <v>1</v>
      </c>
      <c r="AC52" s="1953">
        <f>AD52*13.3013</f>
        <v>67368863.182899997</v>
      </c>
      <c r="AD52" s="1901">
        <f>SUM(AD4:AD51)</f>
        <v>5064833</v>
      </c>
      <c r="AE52" s="1897">
        <f>SUM(AE4:AE51)</f>
        <v>61450114.706666663</v>
      </c>
      <c r="AF52" s="1893">
        <f>SUM(AF4:AF51)</f>
        <v>1.0000000000000002</v>
      </c>
    </row>
    <row r="53" spans="1:34">
      <c r="A53" s="1891" t="s">
        <v>1334</v>
      </c>
      <c r="B53" s="1892">
        <f>B52-B51-B50</f>
        <v>7426154</v>
      </c>
      <c r="C53" s="1892"/>
      <c r="H53" s="1954"/>
      <c r="I53" s="1955"/>
      <c r="J53" s="1955"/>
      <c r="K53" s="1955"/>
      <c r="L53" s="1955"/>
      <c r="M53" s="1955"/>
      <c r="N53" s="1955"/>
      <c r="O53" s="1951"/>
      <c r="P53" s="1955"/>
      <c r="T53" s="1892"/>
      <c r="Y53" s="1892">
        <f>T52+Y52</f>
        <v>4498788</v>
      </c>
      <c r="AA53" s="1956">
        <f>SUM(AA33:AA35)</f>
        <v>1.2336419265833211E-2</v>
      </c>
      <c r="AC53" s="1957"/>
    </row>
    <row r="54" spans="1:34">
      <c r="A54" s="1891" t="s">
        <v>1335</v>
      </c>
      <c r="B54" s="1892"/>
      <c r="C54" s="1892"/>
      <c r="H54" s="1954"/>
      <c r="I54" s="1955"/>
      <c r="J54" s="1955"/>
      <c r="K54" s="1955"/>
      <c r="L54" s="1955"/>
      <c r="M54" s="1958">
        <f>D52+H52+M52</f>
        <v>38329044.706666663</v>
      </c>
      <c r="N54" s="1955"/>
      <c r="O54" s="1951"/>
      <c r="P54" s="1955"/>
      <c r="S54" s="1959"/>
      <c r="T54" s="1958">
        <f>M54+T52</f>
        <v>40975130.706666663</v>
      </c>
      <c r="U54" s="1892"/>
      <c r="Y54" s="1958">
        <f>T54+Y52</f>
        <v>42827832.706666663</v>
      </c>
      <c r="AA54" s="1956">
        <f>1-AA53</f>
        <v>0.98766358073416682</v>
      </c>
      <c r="AD54" s="1958">
        <f>Y54+AD52</f>
        <v>47892665.706666663</v>
      </c>
    </row>
    <row r="55" spans="1:34">
      <c r="A55" s="1891"/>
      <c r="B55" s="1892"/>
      <c r="C55" s="1893"/>
      <c r="D55" s="1892"/>
      <c r="H55" s="1901">
        <f>B52+D52+H52-B80</f>
        <v>44716714</v>
      </c>
      <c r="I55" s="1901"/>
      <c r="J55" s="1901"/>
      <c r="K55" s="1901"/>
      <c r="L55" s="1901"/>
      <c r="N55" s="1901"/>
      <c r="O55" s="1951"/>
      <c r="P55" s="1901"/>
      <c r="T55" s="1893"/>
    </row>
    <row r="56" spans="1:34">
      <c r="A56" s="1891" t="s">
        <v>1336</v>
      </c>
      <c r="C56" s="1893"/>
      <c r="H56" s="1892"/>
      <c r="J56" s="1892">
        <f>B52+D52+H52+J52-B80</f>
        <v>45859473.042222224</v>
      </c>
      <c r="L56" s="1893"/>
      <c r="M56" s="1960">
        <f>H55+M52</f>
        <v>49486493.706666663</v>
      </c>
      <c r="O56" s="1951"/>
      <c r="T56" s="1897">
        <f>M56+T52+B80</f>
        <v>54532579.706666663</v>
      </c>
      <c r="Y56" s="1897">
        <f>T56+Y52</f>
        <v>56385281.706666663</v>
      </c>
      <c r="AD56" s="1897">
        <f>Y56+AD52</f>
        <v>61450114.706666663</v>
      </c>
      <c r="AE56" s="1892"/>
    </row>
    <row r="57" spans="1:34">
      <c r="F57" s="1909"/>
      <c r="G57" s="1909"/>
      <c r="H57" s="1907"/>
      <c r="T57" s="1883" t="s">
        <v>1337</v>
      </c>
      <c r="Y57" s="1883" t="s">
        <v>1337</v>
      </c>
    </row>
    <row r="58" spans="1:34">
      <c r="A58" s="1891" t="s">
        <v>2842</v>
      </c>
      <c r="C58" s="1893"/>
      <c r="F58" s="1909"/>
      <c r="G58" s="1909"/>
      <c r="H58" s="1901"/>
      <c r="T58" s="1961"/>
      <c r="AD58" s="1892">
        <f>AD52-AD22-AD44</f>
        <v>4525872</v>
      </c>
    </row>
    <row r="59" spans="1:34" ht="45.75" thickBot="1">
      <c r="A59" s="1962"/>
      <c r="B59" s="1962" t="s">
        <v>214</v>
      </c>
      <c r="C59" s="1963"/>
      <c r="F59" s="1954" t="s">
        <v>1339</v>
      </c>
      <c r="G59" s="1909">
        <f>450000000/H55</f>
        <v>10.063351256087378</v>
      </c>
      <c r="K59" s="1964"/>
      <c r="L59" s="1964"/>
      <c r="M59" s="1892"/>
      <c r="N59" s="1965"/>
      <c r="O59" s="1965"/>
      <c r="P59" s="1964"/>
      <c r="Q59" s="1966"/>
      <c r="R59" s="1967"/>
      <c r="S59" s="1968"/>
      <c r="T59" s="1969"/>
      <c r="W59" s="1970" t="s">
        <v>2843</v>
      </c>
      <c r="X59" s="1952">
        <f>S52+X52+10000000</f>
        <v>49999979.323000006</v>
      </c>
      <c r="AB59" s="1970" t="s">
        <v>1341</v>
      </c>
      <c r="AC59" s="1952">
        <f>X59+AC52</f>
        <v>117368842.5059</v>
      </c>
    </row>
    <row r="60" spans="1:34" ht="15.75">
      <c r="A60" s="1971" t="s">
        <v>1289</v>
      </c>
      <c r="B60" s="1972">
        <v>0.90229999999999999</v>
      </c>
      <c r="C60" s="1972"/>
      <c r="D60" s="1892"/>
      <c r="F60" s="1911" t="s">
        <v>1342</v>
      </c>
      <c r="G60" s="1911">
        <v>10.06335</v>
      </c>
      <c r="H60" s="1892"/>
      <c r="K60" s="1964"/>
      <c r="L60" s="1964"/>
      <c r="M60" s="1964"/>
      <c r="N60" s="1965"/>
      <c r="O60" s="1965"/>
      <c r="P60" s="1964"/>
      <c r="Q60" s="1966"/>
      <c r="R60" s="1967"/>
      <c r="S60" s="1967"/>
      <c r="T60" s="1969"/>
      <c r="X60" s="1883" t="s">
        <v>2844</v>
      </c>
    </row>
    <row r="61" spans="1:34" ht="15.75">
      <c r="A61" s="1971" t="s">
        <v>1290</v>
      </c>
      <c r="B61" s="1972">
        <v>7.6499999999999999E-2</v>
      </c>
      <c r="C61" s="1972"/>
      <c r="D61" s="1892"/>
      <c r="J61" s="1973"/>
      <c r="K61" s="1964"/>
      <c r="L61" s="1964"/>
      <c r="M61" s="1964"/>
      <c r="N61" s="1965"/>
      <c r="O61" s="1965"/>
      <c r="P61" s="1964"/>
      <c r="Q61" s="1966"/>
      <c r="R61" s="1967"/>
      <c r="S61" s="1967"/>
      <c r="T61" s="1964"/>
      <c r="X61" s="1883" t="s">
        <v>2845</v>
      </c>
    </row>
    <row r="62" spans="1:34" ht="16.5" thickBot="1">
      <c r="A62" s="1962" t="s">
        <v>1291</v>
      </c>
      <c r="B62" s="1974">
        <v>2.12E-2</v>
      </c>
      <c r="C62" s="1975"/>
      <c r="D62" s="1892"/>
      <c r="J62" s="1973"/>
      <c r="K62" s="1964"/>
      <c r="L62" s="1964"/>
      <c r="M62" s="1964"/>
      <c r="N62" s="1965"/>
      <c r="O62" s="1965"/>
      <c r="P62" s="1964"/>
      <c r="Q62" s="1966"/>
      <c r="R62" s="1967"/>
      <c r="S62" s="1967"/>
      <c r="T62" s="1964"/>
    </row>
    <row r="63" spans="1:34" ht="16.5" thickBot="1">
      <c r="A63" s="1976" t="s">
        <v>1343</v>
      </c>
      <c r="B63" s="1977">
        <v>1</v>
      </c>
      <c r="C63" s="1978"/>
      <c r="J63" s="1973"/>
      <c r="K63" s="1964"/>
      <c r="L63" s="1964"/>
      <c r="M63" s="1979"/>
      <c r="N63" s="1969"/>
      <c r="O63" s="1969"/>
      <c r="P63" s="1964"/>
      <c r="Q63" s="1980"/>
      <c r="R63" s="1964"/>
      <c r="S63" s="1964"/>
      <c r="T63" s="1964"/>
    </row>
    <row r="64" spans="1:34" ht="15.75">
      <c r="J64" s="1973"/>
      <c r="K64" s="1964"/>
      <c r="L64" s="1964"/>
      <c r="M64" s="1979"/>
      <c r="N64" s="1964"/>
      <c r="O64" s="1964"/>
      <c r="P64" s="1964"/>
      <c r="Q64" s="1980"/>
      <c r="R64" s="1969"/>
      <c r="S64" s="1969"/>
      <c r="T64" s="1964"/>
    </row>
    <row r="65" spans="1:24">
      <c r="A65" s="2658" t="s">
        <v>2846</v>
      </c>
      <c r="B65" s="2658"/>
      <c r="C65" s="2658"/>
      <c r="D65" s="2658"/>
      <c r="E65" s="2658"/>
      <c r="F65" s="2658"/>
      <c r="G65" s="2658"/>
      <c r="H65" s="2658"/>
      <c r="I65" s="2658"/>
      <c r="J65" s="2658"/>
      <c r="K65" s="2658"/>
      <c r="L65" s="2658"/>
      <c r="M65" s="2658"/>
      <c r="N65" s="2658"/>
      <c r="O65" s="2658"/>
      <c r="P65" s="2658"/>
      <c r="Q65" s="2658"/>
      <c r="R65" s="1981"/>
      <c r="S65" s="1981"/>
      <c r="T65" s="1964"/>
    </row>
    <row r="66" spans="1:24">
      <c r="A66" s="2658" t="s">
        <v>2847</v>
      </c>
      <c r="B66" s="2658"/>
      <c r="C66" s="2658"/>
      <c r="D66" s="2658"/>
      <c r="E66" s="2658"/>
      <c r="F66" s="2658"/>
      <c r="G66" s="2658"/>
      <c r="H66" s="2658"/>
      <c r="I66" s="2658"/>
      <c r="J66" s="2658"/>
      <c r="K66" s="2658"/>
      <c r="L66" s="2658"/>
      <c r="M66" s="2658"/>
      <c r="N66" s="2658"/>
      <c r="O66" s="2658"/>
      <c r="P66" s="2658"/>
      <c r="Q66" s="2658"/>
      <c r="R66" s="1981"/>
      <c r="S66" s="1981"/>
      <c r="T66" s="1964"/>
    </row>
    <row r="67" spans="1:24">
      <c r="A67" s="2658" t="s">
        <v>2848</v>
      </c>
      <c r="B67" s="2658"/>
      <c r="C67" s="2658"/>
      <c r="D67" s="2658"/>
      <c r="E67" s="2658"/>
      <c r="F67" s="2658"/>
      <c r="G67" s="2658"/>
      <c r="H67" s="2658"/>
      <c r="I67" s="2658"/>
      <c r="J67" s="2658"/>
      <c r="K67" s="2658"/>
      <c r="L67" s="2658"/>
      <c r="M67" s="2658"/>
      <c r="N67" s="2658"/>
      <c r="O67" s="2658"/>
      <c r="P67" s="2658"/>
      <c r="Q67" s="2658"/>
      <c r="R67" s="1981"/>
      <c r="S67" s="1981"/>
      <c r="T67" s="1964"/>
    </row>
    <row r="68" spans="1:24" ht="39.4" customHeight="1">
      <c r="A68" s="2655" t="s">
        <v>1347</v>
      </c>
      <c r="B68" s="2655"/>
      <c r="C68" s="2655"/>
      <c r="D68" s="2655"/>
      <c r="E68" s="2655"/>
      <c r="F68" s="2655"/>
      <c r="G68" s="2655"/>
      <c r="H68" s="2655"/>
      <c r="I68" s="2655"/>
      <c r="J68" s="2655"/>
      <c r="K68" s="2655"/>
      <c r="L68" s="2655"/>
      <c r="M68" s="2655"/>
      <c r="N68" s="2655"/>
      <c r="O68" s="2655"/>
      <c r="P68" s="2655"/>
      <c r="Q68" s="2655"/>
      <c r="R68" s="1982"/>
      <c r="S68" s="1982"/>
      <c r="T68" s="1964"/>
      <c r="X68" s="2023"/>
    </row>
    <row r="69" spans="1:24" ht="36" customHeight="1">
      <c r="A69" s="2655" t="s">
        <v>1348</v>
      </c>
      <c r="B69" s="2655"/>
      <c r="C69" s="2655"/>
      <c r="D69" s="2655"/>
      <c r="E69" s="2655"/>
      <c r="F69" s="2655"/>
      <c r="G69" s="2655"/>
      <c r="H69" s="2655"/>
      <c r="I69" s="2655"/>
      <c r="J69" s="2655"/>
      <c r="K69" s="2655"/>
      <c r="L69" s="2655"/>
      <c r="M69" s="2655"/>
      <c r="N69" s="2655"/>
      <c r="O69" s="2655"/>
      <c r="P69" s="2655"/>
      <c r="Q69" s="2655"/>
      <c r="R69" s="1982"/>
      <c r="S69" s="1982"/>
      <c r="T69" s="1964"/>
      <c r="X69" s="2023"/>
    </row>
    <row r="70" spans="1:24">
      <c r="A70" s="1909"/>
      <c r="B70" s="1909"/>
      <c r="C70" s="1909"/>
      <c r="D70" s="1909"/>
      <c r="E70" s="1909"/>
      <c r="F70" s="1909"/>
      <c r="G70" s="1909"/>
      <c r="H70" s="1909"/>
      <c r="I70" s="1909"/>
      <c r="J70" s="1909"/>
      <c r="K70" s="1909"/>
      <c r="L70" s="1909"/>
      <c r="M70" s="1909"/>
      <c r="N70" s="1964"/>
      <c r="O70" s="1964"/>
      <c r="P70" s="1964"/>
      <c r="Q70" s="1980"/>
      <c r="R70" s="1964"/>
      <c r="S70" s="1964"/>
      <c r="T70" s="1964"/>
    </row>
    <row r="71" spans="1:24" ht="15.75">
      <c r="A71" s="1909"/>
      <c r="B71" s="1909"/>
      <c r="C71" s="1909"/>
      <c r="D71" s="1909"/>
      <c r="E71" s="1909"/>
      <c r="F71" s="1909"/>
      <c r="G71" s="1909"/>
      <c r="H71" s="1909"/>
      <c r="I71" s="1909"/>
      <c r="J71" s="1909"/>
      <c r="K71" s="1909"/>
      <c r="L71" s="1909"/>
      <c r="M71" s="1909"/>
      <c r="N71" s="1965"/>
      <c r="O71" s="1965"/>
      <c r="P71" s="1964"/>
      <c r="Q71" s="1980"/>
      <c r="R71" s="1964"/>
      <c r="S71" s="1964"/>
      <c r="T71" s="1964"/>
    </row>
    <row r="72" spans="1:24">
      <c r="E72" s="1983"/>
      <c r="F72" s="1983"/>
      <c r="G72" s="1967"/>
      <c r="H72" s="1967"/>
      <c r="I72" s="1964"/>
      <c r="J72" s="1964"/>
      <c r="K72" s="1964"/>
      <c r="L72" s="1964"/>
      <c r="M72" s="1964"/>
      <c r="N72" s="1964"/>
      <c r="O72" s="1964"/>
      <c r="P72" s="1964"/>
      <c r="Q72" s="1980"/>
      <c r="R72" s="1964"/>
      <c r="S72" s="1964"/>
    </row>
    <row r="73" spans="1:24">
      <c r="A73" s="1984" t="s">
        <v>1351</v>
      </c>
      <c r="B73" s="1985">
        <v>550000000</v>
      </c>
      <c r="E73" s="1983"/>
      <c r="F73" s="1983"/>
      <c r="G73" s="1967"/>
      <c r="H73" s="1967"/>
      <c r="I73" s="1964"/>
      <c r="J73" s="1964"/>
      <c r="K73" s="1964"/>
      <c r="L73" s="1964"/>
      <c r="M73" s="1964"/>
      <c r="N73" s="1964"/>
      <c r="O73" s="1964"/>
      <c r="P73" s="1964"/>
      <c r="Q73" s="1980"/>
      <c r="R73" s="1964"/>
      <c r="S73" s="1964"/>
    </row>
    <row r="74" spans="1:24">
      <c r="A74" s="1984" t="s">
        <v>1352</v>
      </c>
      <c r="B74" s="1985">
        <v>30000000</v>
      </c>
      <c r="E74" s="1983"/>
      <c r="F74" s="1983"/>
      <c r="G74" s="1967"/>
      <c r="H74" s="1967"/>
      <c r="I74" s="1964"/>
      <c r="J74" s="1964"/>
      <c r="K74" s="1964"/>
      <c r="L74" s="1964"/>
      <c r="M74" s="1964"/>
      <c r="N74" s="1964"/>
      <c r="O74" s="1964"/>
      <c r="P74" s="1964"/>
      <c r="Q74" s="1980"/>
      <c r="R74" s="1964"/>
      <c r="S74" s="1964"/>
    </row>
    <row r="75" spans="1:24">
      <c r="A75" s="1984" t="s">
        <v>1353</v>
      </c>
      <c r="B75" s="1985">
        <v>20000000</v>
      </c>
      <c r="E75" s="1983"/>
      <c r="F75" s="1983"/>
      <c r="G75" s="1967"/>
      <c r="H75" s="1967"/>
      <c r="I75" s="1964"/>
      <c r="J75" s="1964"/>
      <c r="K75" s="1964"/>
      <c r="L75" s="1964"/>
      <c r="M75" s="1964"/>
      <c r="N75" s="1964"/>
      <c r="O75" s="1964"/>
      <c r="P75" s="1964"/>
      <c r="Q75" s="1980"/>
      <c r="R75" s="1964"/>
      <c r="S75" s="1964"/>
    </row>
    <row r="76" spans="1:24" ht="15.75">
      <c r="A76" s="1984" t="s">
        <v>1354</v>
      </c>
      <c r="B76" s="1986">
        <f>B73/M56</f>
        <v>11.114143654229149</v>
      </c>
      <c r="C76" s="1987"/>
      <c r="E76" s="1983"/>
      <c r="F76" s="1983"/>
      <c r="G76" s="1967"/>
      <c r="H76" s="1967"/>
      <c r="I76" s="1964"/>
      <c r="J76" s="1964"/>
      <c r="K76" s="1964"/>
      <c r="L76" s="1964"/>
      <c r="M76" s="1964"/>
      <c r="N76" s="1964"/>
      <c r="O76" s="1964"/>
      <c r="P76" s="1967"/>
      <c r="Q76" s="1966"/>
      <c r="R76" s="1967"/>
      <c r="S76" s="1967"/>
    </row>
    <row r="77" spans="1:24" ht="15.75">
      <c r="C77" s="1987"/>
      <c r="E77" s="1983"/>
      <c r="F77" s="1983"/>
      <c r="G77" s="1965"/>
      <c r="H77" s="1967"/>
      <c r="I77" s="1964"/>
      <c r="J77" s="1964"/>
      <c r="K77" s="1964"/>
      <c r="L77" s="1964"/>
      <c r="M77" s="1964"/>
      <c r="N77" s="1964"/>
      <c r="O77" s="1964"/>
      <c r="P77" s="1967"/>
      <c r="Q77" s="1966"/>
      <c r="R77" s="1967"/>
      <c r="S77" s="1967"/>
    </row>
    <row r="78" spans="1:24" ht="15.75">
      <c r="A78" s="1988" t="s">
        <v>1355</v>
      </c>
      <c r="B78" s="1939">
        <v>3731295</v>
      </c>
      <c r="C78" s="1987"/>
      <c r="E78" s="1983"/>
      <c r="F78" s="1983"/>
      <c r="G78" s="1965"/>
      <c r="H78" s="1967"/>
      <c r="I78" s="1964"/>
      <c r="J78" s="1964"/>
      <c r="K78" s="1964"/>
      <c r="L78" s="1964"/>
      <c r="M78" s="1964"/>
      <c r="N78" s="1964"/>
      <c r="O78" s="1964"/>
      <c r="P78" s="1967"/>
      <c r="Q78" s="1966"/>
      <c r="R78" s="1967"/>
      <c r="S78" s="1967"/>
    </row>
    <row r="79" spans="1:24" ht="15.75">
      <c r="A79" s="1988" t="s">
        <v>1356</v>
      </c>
      <c r="B79" s="1939">
        <f>B78-B50</f>
        <v>796295</v>
      </c>
      <c r="E79" s="1983"/>
      <c r="F79" s="1983"/>
      <c r="G79" s="1967"/>
      <c r="H79" s="1967"/>
      <c r="I79" s="1964"/>
      <c r="J79" s="1964"/>
      <c r="K79" s="1964"/>
      <c r="L79" s="1964"/>
      <c r="M79" s="1964"/>
      <c r="N79" s="1964"/>
      <c r="O79" s="1964"/>
      <c r="P79" s="1967"/>
      <c r="Q79" s="1966"/>
      <c r="R79" s="1967"/>
      <c r="S79" s="1967"/>
    </row>
    <row r="80" spans="1:24" ht="15.75">
      <c r="A80" s="1988" t="s">
        <v>1357</v>
      </c>
      <c r="B80" s="1939">
        <v>2400000</v>
      </c>
      <c r="E80" s="1983"/>
      <c r="F80" s="1983"/>
      <c r="G80" s="1967"/>
      <c r="H80" s="1967"/>
      <c r="I80" s="1964"/>
      <c r="J80" s="1964"/>
      <c r="K80" s="1964"/>
      <c r="L80" s="1964"/>
      <c r="M80" s="1964"/>
      <c r="N80" s="1964"/>
      <c r="O80" s="1964"/>
      <c r="P80" s="1967"/>
      <c r="Q80" s="1966"/>
      <c r="R80" s="1967"/>
      <c r="S80" s="1967"/>
    </row>
    <row r="81" spans="1:19" ht="15.75">
      <c r="A81" s="1988" t="s">
        <v>1358</v>
      </c>
      <c r="B81" s="1939">
        <v>2226892</v>
      </c>
      <c r="E81" s="1983"/>
      <c r="F81" s="1983"/>
      <c r="G81" s="1967"/>
      <c r="H81" s="1967"/>
      <c r="I81" s="1964"/>
      <c r="J81" s="1964"/>
      <c r="K81" s="1964"/>
      <c r="L81" s="1964"/>
      <c r="M81" s="1964"/>
      <c r="N81" s="1964"/>
      <c r="O81" s="1964"/>
      <c r="P81" s="1969"/>
      <c r="Q81" s="1980"/>
      <c r="R81" s="1969"/>
      <c r="S81" s="1969"/>
    </row>
    <row r="82" spans="1:19" ht="15.75">
      <c r="A82" s="1988" t="s">
        <v>1359</v>
      </c>
      <c r="B82" s="1939">
        <f>B79+B80-B81</f>
        <v>969403</v>
      </c>
      <c r="E82" s="1983"/>
      <c r="F82" s="1983"/>
      <c r="G82" s="1983"/>
      <c r="H82" s="1964"/>
      <c r="I82" s="1964"/>
      <c r="J82" s="1964"/>
      <c r="K82" s="1964"/>
      <c r="L82" s="1964"/>
      <c r="M82" s="1964"/>
      <c r="N82" s="1964"/>
      <c r="O82" s="1964"/>
      <c r="P82" s="1964"/>
      <c r="Q82" s="1980"/>
      <c r="R82" s="1964"/>
      <c r="S82" s="1964"/>
    </row>
    <row r="83" spans="1:19" ht="15.75">
      <c r="A83" s="1988" t="s">
        <v>1360</v>
      </c>
      <c r="B83" s="1939">
        <f>B78+B80</f>
        <v>6131295</v>
      </c>
      <c r="E83" s="1983"/>
      <c r="F83" s="1983"/>
      <c r="G83" s="1983"/>
      <c r="H83" s="1964"/>
      <c r="I83" s="1964"/>
      <c r="J83" s="1964"/>
      <c r="K83" s="1964"/>
      <c r="L83" s="1964"/>
      <c r="M83" s="1964"/>
      <c r="N83" s="1964"/>
      <c r="O83" s="1964"/>
      <c r="P83" s="1964"/>
      <c r="Q83" s="1980"/>
      <c r="R83" s="1964"/>
      <c r="S83" s="1964"/>
    </row>
    <row r="84" spans="1:19">
      <c r="E84" s="1983"/>
      <c r="F84" s="1983"/>
      <c r="G84" s="1983"/>
      <c r="H84" s="1964"/>
      <c r="I84" s="1964"/>
      <c r="J84" s="1964"/>
      <c r="K84" s="1964"/>
      <c r="L84" s="1964"/>
      <c r="M84" s="1964"/>
      <c r="N84" s="1964"/>
      <c r="O84" s="1964"/>
      <c r="P84" s="1964"/>
      <c r="Q84" s="1980"/>
      <c r="R84" s="1964"/>
      <c r="S84" s="1964"/>
    </row>
    <row r="86" spans="1:19">
      <c r="A86" s="1984" t="s">
        <v>1361</v>
      </c>
      <c r="B86" s="1985">
        <v>750000000</v>
      </c>
    </row>
    <row r="87" spans="1:19">
      <c r="A87" s="1984" t="s">
        <v>1362</v>
      </c>
      <c r="B87" s="1985">
        <v>51000000</v>
      </c>
    </row>
    <row r="88" spans="1:19">
      <c r="A88" s="1984" t="s">
        <v>1363</v>
      </c>
      <c r="B88" s="1986">
        <f>B86/Y56</f>
        <v>13.301343494242477</v>
      </c>
    </row>
    <row r="91" spans="1:19">
      <c r="A91" s="1883" t="s">
        <v>1364</v>
      </c>
      <c r="B91" s="1892">
        <v>150000000</v>
      </c>
    </row>
    <row r="92" spans="1:19">
      <c r="A92" s="1883" t="s">
        <v>1365</v>
      </c>
      <c r="B92" s="1892">
        <f>E52+F52+H52+M52+Y53+3+AD52</f>
        <v>47892668.706666663</v>
      </c>
    </row>
    <row r="93" spans="1:19">
      <c r="A93" s="1892" t="s">
        <v>1366</v>
      </c>
      <c r="B93" s="1892">
        <f>B91-B92</f>
        <v>102107331.29333334</v>
      </c>
    </row>
  </sheetData>
  <mergeCells count="7">
    <mergeCell ref="A69:Q69"/>
    <mergeCell ref="A1:Q1"/>
    <mergeCell ref="A2:Q2"/>
    <mergeCell ref="A65:Q65"/>
    <mergeCell ref="A66:Q66"/>
    <mergeCell ref="A67:Q67"/>
    <mergeCell ref="A68:Q68"/>
  </mergeCells>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4"/>
  <sheetViews>
    <sheetView topLeftCell="A10" zoomScale="70" zoomScaleNormal="70" workbookViewId="0">
      <selection activeCell="F19" sqref="F19"/>
    </sheetView>
  </sheetViews>
  <sheetFormatPr defaultColWidth="10.5" defaultRowHeight="15"/>
  <cols>
    <col min="1" max="1" width="22.33203125" style="1884" customWidth="1"/>
    <col min="2" max="2" width="18" style="1884" customWidth="1"/>
    <col min="3" max="3" width="14.5" style="1884" customWidth="1"/>
    <col min="4" max="4" width="19.5" style="1884" customWidth="1"/>
    <col min="5" max="5" width="17.33203125" style="1884" customWidth="1"/>
    <col min="6" max="6" width="20.1640625" style="1884" customWidth="1"/>
    <col min="7" max="7" width="18.5" style="1884" customWidth="1"/>
    <col min="8" max="8" width="24.33203125" style="1884" customWidth="1"/>
    <col min="9" max="9" width="18.1640625" style="1884" customWidth="1"/>
    <col min="10" max="10" width="17.33203125" style="1884" customWidth="1"/>
    <col min="11" max="11" width="21.1640625" style="1884" customWidth="1"/>
    <col min="12" max="12" width="19.83203125" style="1884" customWidth="1"/>
    <col min="13" max="13" width="18.1640625" style="1884" customWidth="1"/>
    <col min="14" max="14" width="19.6640625" style="1884" customWidth="1"/>
    <col min="15" max="15" width="21.5" style="1884" customWidth="1"/>
    <col min="16" max="16" width="25.6640625" style="1884" bestFit="1" customWidth="1"/>
    <col min="17" max="17" width="10.5" style="1884"/>
    <col min="18" max="18" width="28.5" style="1884" customWidth="1"/>
    <col min="19" max="16384" width="10.5" style="1884"/>
  </cols>
  <sheetData>
    <row r="1" spans="1:16">
      <c r="A1" s="2656" t="s">
        <v>1367</v>
      </c>
      <c r="B1" s="2656"/>
      <c r="C1" s="2656"/>
      <c r="D1" s="2656"/>
      <c r="E1" s="2656"/>
      <c r="F1" s="2656"/>
      <c r="G1" s="2656"/>
      <c r="H1" s="2656"/>
      <c r="I1" s="2656"/>
      <c r="J1" s="2656"/>
      <c r="K1" s="2656"/>
      <c r="L1" s="2656"/>
    </row>
    <row r="2" spans="1:16" ht="26.45" customHeight="1">
      <c r="A2" s="2657" t="s">
        <v>2849</v>
      </c>
      <c r="B2" s="2656"/>
      <c r="C2" s="2656"/>
      <c r="D2" s="2656"/>
      <c r="E2" s="2656"/>
      <c r="F2" s="2656"/>
      <c r="G2" s="2656"/>
      <c r="H2" s="2656"/>
      <c r="I2" s="2656"/>
      <c r="J2" s="2656"/>
      <c r="K2" s="2656"/>
      <c r="L2" s="2656"/>
    </row>
    <row r="3" spans="1:16" ht="49.7" customHeight="1">
      <c r="A3" s="1882"/>
      <c r="B3" s="1882" t="s">
        <v>1369</v>
      </c>
      <c r="C3" s="1882"/>
      <c r="D3" s="1882"/>
      <c r="E3" s="1899" t="s">
        <v>1370</v>
      </c>
      <c r="F3" s="1899"/>
      <c r="G3" s="1899"/>
      <c r="H3" s="2656" t="s">
        <v>1371</v>
      </c>
      <c r="I3" s="2656"/>
      <c r="J3" s="1882"/>
      <c r="K3" s="1882"/>
      <c r="L3" s="1882" t="s">
        <v>314</v>
      </c>
      <c r="N3" s="1885" t="s">
        <v>2850</v>
      </c>
    </row>
    <row r="4" spans="1:16" ht="49.7" customHeight="1">
      <c r="A4" s="1882"/>
      <c r="B4" s="1885" t="s">
        <v>1373</v>
      </c>
      <c r="C4" s="1885" t="s">
        <v>1374</v>
      </c>
      <c r="D4" s="1885" t="s">
        <v>1375</v>
      </c>
      <c r="E4" s="1885" t="s">
        <v>1373</v>
      </c>
      <c r="F4" s="1885" t="s">
        <v>1374</v>
      </c>
      <c r="G4" s="1885" t="s">
        <v>1375</v>
      </c>
      <c r="H4" s="1885" t="s">
        <v>1373</v>
      </c>
      <c r="I4" s="1885" t="s">
        <v>1374</v>
      </c>
      <c r="J4" s="1885" t="s">
        <v>1375</v>
      </c>
      <c r="K4" s="1885" t="s">
        <v>2851</v>
      </c>
      <c r="L4" s="1885" t="s">
        <v>1373</v>
      </c>
      <c r="M4" s="1885" t="s">
        <v>1374</v>
      </c>
      <c r="N4" s="1885" t="s">
        <v>2852</v>
      </c>
    </row>
    <row r="5" spans="1:16" ht="35.450000000000003" customHeight="1">
      <c r="A5" s="1891" t="s">
        <v>1381</v>
      </c>
      <c r="B5" s="1892">
        <v>20000000</v>
      </c>
      <c r="C5" s="1989">
        <v>1</v>
      </c>
      <c r="D5" s="1990">
        <v>8000000</v>
      </c>
      <c r="E5" s="1990">
        <f>D5/B14+B5</f>
        <v>20355555.555555556</v>
      </c>
      <c r="F5" s="1991">
        <v>0.96623999999999999</v>
      </c>
      <c r="G5" s="1892">
        <v>11000000</v>
      </c>
      <c r="H5" s="1892">
        <f>B5+G5/B14+1</f>
        <v>20488889.888888888</v>
      </c>
      <c r="I5" s="1951">
        <v>0.92569999999999997</v>
      </c>
      <c r="J5" s="1992" t="s">
        <v>2853</v>
      </c>
      <c r="K5" s="1993">
        <v>2683081</v>
      </c>
      <c r="L5" s="1892">
        <v>23171971</v>
      </c>
      <c r="M5" s="1991">
        <v>0.91884999999999994</v>
      </c>
      <c r="N5" s="1994">
        <f>M5+M6+M7+M8+M9</f>
        <v>0.98766999999999983</v>
      </c>
      <c r="O5" s="1995">
        <f>SUM(L5:L9)</f>
        <v>24907727.93333333</v>
      </c>
      <c r="P5" s="1892"/>
    </row>
    <row r="6" spans="1:16" ht="39">
      <c r="A6" s="1996" t="s">
        <v>2854</v>
      </c>
      <c r="B6" s="1997"/>
      <c r="C6" s="1883"/>
      <c r="D6" s="1990">
        <v>12500000</v>
      </c>
      <c r="E6" s="1990">
        <f>D6/B14</f>
        <v>555555.5555555555</v>
      </c>
      <c r="F6" s="1991">
        <v>2.6370000000000001E-2</v>
      </c>
      <c r="G6" s="1990">
        <v>12500000</v>
      </c>
      <c r="H6" s="1990">
        <f>G6/B14</f>
        <v>555555.5555555555</v>
      </c>
      <c r="I6" s="1951">
        <f>H6/H13</f>
        <v>2.5100400925993149E-2</v>
      </c>
      <c r="J6" s="1993">
        <v>10000000</v>
      </c>
      <c r="K6" s="1993">
        <f>ROUNDDOWN(J6/C15,0)</f>
        <v>402424</v>
      </c>
      <c r="L6" s="1998">
        <f>K6+H6</f>
        <v>957979.5555555555</v>
      </c>
      <c r="M6" s="1991">
        <v>3.7990000000000003E-2</v>
      </c>
      <c r="N6" s="1991">
        <v>0</v>
      </c>
    </row>
    <row r="7" spans="1:16" ht="109.5">
      <c r="A7" s="1996" t="s">
        <v>2855</v>
      </c>
      <c r="B7" s="1997" t="s">
        <v>1384</v>
      </c>
      <c r="C7" s="1883" t="s">
        <v>1384</v>
      </c>
      <c r="D7" s="1990" t="s">
        <v>1384</v>
      </c>
      <c r="E7" s="1990" t="s">
        <v>1384</v>
      </c>
      <c r="F7" s="1991" t="s">
        <v>1384</v>
      </c>
      <c r="G7" s="1892">
        <f>5500000</f>
        <v>5500000</v>
      </c>
      <c r="H7" s="1990">
        <f>G7/B14</f>
        <v>244444.44444444444</v>
      </c>
      <c r="I7" s="1951">
        <f>H7/H13</f>
        <v>1.1044176407436986E-2</v>
      </c>
      <c r="J7" s="1993"/>
      <c r="K7" s="1993"/>
      <c r="L7" s="1999">
        <f t="shared" ref="L7:L12" si="0">H7</f>
        <v>244444.44444444444</v>
      </c>
      <c r="M7" s="1991">
        <v>9.6900000000000007E-3</v>
      </c>
      <c r="N7" s="1991">
        <v>0</v>
      </c>
    </row>
    <row r="8" spans="1:16" ht="109.5">
      <c r="A8" s="1996" t="s">
        <v>2856</v>
      </c>
      <c r="B8" s="1997" t="s">
        <v>1384</v>
      </c>
      <c r="C8" s="1883" t="s">
        <v>1384</v>
      </c>
      <c r="D8" s="1990" t="s">
        <v>1384</v>
      </c>
      <c r="E8" s="1990" t="s">
        <v>1384</v>
      </c>
      <c r="F8" s="1991" t="s">
        <v>1384</v>
      </c>
      <c r="G8" s="1892">
        <v>6000000</v>
      </c>
      <c r="H8" s="2000">
        <f>G8/B14-0.2</f>
        <v>266666.46666666667</v>
      </c>
      <c r="I8" s="1951">
        <f>H8/H13</f>
        <v>1.2048183408332381E-2</v>
      </c>
      <c r="J8" s="1993"/>
      <c r="K8" s="1993"/>
      <c r="L8" s="2001">
        <f t="shared" si="0"/>
        <v>266666.46666666667</v>
      </c>
      <c r="M8" s="1991">
        <v>1.057E-2</v>
      </c>
      <c r="N8" s="1991">
        <v>0</v>
      </c>
    </row>
    <row r="9" spans="1:16" ht="69.75">
      <c r="A9" s="1996" t="s">
        <v>2857</v>
      </c>
      <c r="B9" s="1997" t="s">
        <v>1384</v>
      </c>
      <c r="C9" s="1997" t="s">
        <v>1384</v>
      </c>
      <c r="D9" s="1997" t="s">
        <v>1384</v>
      </c>
      <c r="E9" s="1997" t="s">
        <v>1384</v>
      </c>
      <c r="F9" s="1997" t="s">
        <v>1384</v>
      </c>
      <c r="G9" s="1892">
        <v>6000000</v>
      </c>
      <c r="H9" s="2000">
        <f>G9/B14-0.2</f>
        <v>266666.46666666667</v>
      </c>
      <c r="I9" s="1951">
        <f>H9/H13</f>
        <v>1.2048183408332381E-2</v>
      </c>
      <c r="J9" s="1993"/>
      <c r="K9" s="1993"/>
      <c r="L9" s="2001">
        <f t="shared" si="0"/>
        <v>266666.46666666667</v>
      </c>
      <c r="M9" s="1991">
        <v>1.057E-2</v>
      </c>
      <c r="N9" s="1991">
        <v>0</v>
      </c>
    </row>
    <row r="10" spans="1:16" ht="54.75">
      <c r="A10" s="1996" t="s">
        <v>2858</v>
      </c>
      <c r="B10" s="1997"/>
      <c r="C10" s="1883"/>
      <c r="D10" s="1990">
        <v>2500000</v>
      </c>
      <c r="E10" s="1990">
        <f>D10/B14</f>
        <v>111111.11111111111</v>
      </c>
      <c r="F10" s="1991">
        <v>5.2700000000000004E-3</v>
      </c>
      <c r="G10" s="1892">
        <v>5000000</v>
      </c>
      <c r="H10" s="1990">
        <f>G10/B14+1</f>
        <v>222223.22222222222</v>
      </c>
      <c r="I10" s="1991">
        <f>'Cayman Consolidated_March'!O33</f>
        <v>1.0040153641620111E-2</v>
      </c>
      <c r="J10" s="1993"/>
      <c r="K10" s="1993"/>
      <c r="L10" s="1990">
        <f t="shared" si="0"/>
        <v>222223.22222222222</v>
      </c>
      <c r="M10" s="1991">
        <f>'Cayman Consolidated_March'!AA33</f>
        <v>8.8117321570684842E-3</v>
      </c>
      <c r="N10" s="1991">
        <f>M10</f>
        <v>8.8117321570684842E-3</v>
      </c>
    </row>
    <row r="11" spans="1:16" ht="54.75">
      <c r="A11" s="1996" t="s">
        <v>2859</v>
      </c>
      <c r="B11" s="1997"/>
      <c r="C11" s="1883"/>
      <c r="D11" s="1990">
        <v>500000</v>
      </c>
      <c r="E11" s="1990">
        <v>22222</v>
      </c>
      <c r="F11" s="1991">
        <v>1.0499999999999999E-3</v>
      </c>
      <c r="G11" s="1892">
        <v>1000000</v>
      </c>
      <c r="H11" s="1990">
        <f>G11/B14</f>
        <v>44444.444444444445</v>
      </c>
      <c r="I11" s="1991">
        <f>'Cayman Consolidated_March'!$O$34</f>
        <v>2.0080226453104556E-3</v>
      </c>
      <c r="J11" s="1993"/>
      <c r="K11" s="1993"/>
      <c r="L11" s="1990">
        <f t="shared" si="0"/>
        <v>44444.444444444445</v>
      </c>
      <c r="M11" s="1991">
        <f>'Cayman Consolidated_March'!AA34</f>
        <v>1.7623393373638334E-3</v>
      </c>
      <c r="N11" s="1991">
        <f>M11</f>
        <v>1.7623393373638334E-3</v>
      </c>
    </row>
    <row r="12" spans="1:16" ht="57.6" customHeight="1">
      <c r="A12" s="1996" t="s">
        <v>2860</v>
      </c>
      <c r="B12" s="1997"/>
      <c r="C12" s="1883"/>
      <c r="D12" s="1990">
        <v>500000</v>
      </c>
      <c r="E12" s="1990">
        <f>D12/B14</f>
        <v>22222.222222222223</v>
      </c>
      <c r="F12" s="1991">
        <v>1.0499999999999999E-3</v>
      </c>
      <c r="G12" s="1892">
        <v>1000000</v>
      </c>
      <c r="H12" s="1990">
        <f>G12/B14</f>
        <v>44444.444444444445</v>
      </c>
      <c r="I12" s="1991">
        <f>'Cayman Consolidated_March'!$O$35</f>
        <v>2.0080322551154733E-3</v>
      </c>
      <c r="J12" s="1993"/>
      <c r="K12" s="1993"/>
      <c r="L12" s="1990">
        <f t="shared" si="0"/>
        <v>44444.444444444445</v>
      </c>
      <c r="M12" s="1991">
        <f>'Cayman Consolidated_March'!AA35</f>
        <v>1.7623477714008933E-3</v>
      </c>
      <c r="N12" s="1991">
        <f>M12</f>
        <v>1.7623477714008933E-3</v>
      </c>
    </row>
    <row r="13" spans="1:16" s="2012" customFormat="1" ht="21.2" customHeight="1">
      <c r="A13" s="2002" t="s">
        <v>81</v>
      </c>
      <c r="B13" s="2003"/>
      <c r="C13" s="2003"/>
      <c r="D13" s="2004">
        <f>SUM(D5:D12)</f>
        <v>24000000</v>
      </c>
      <c r="E13" s="2005">
        <f>SUM(E5:E12)+1</f>
        <v>21066667.444444448</v>
      </c>
      <c r="F13" s="2006">
        <f>SUM(F5:F12)</f>
        <v>0.99997999999999998</v>
      </c>
      <c r="G13" s="2004">
        <f>SUM(G5:G12)</f>
        <v>48000000</v>
      </c>
      <c r="H13" s="2005">
        <f>SUM(H5:H12)-1</f>
        <v>22133333.93333333</v>
      </c>
      <c r="I13" s="2007">
        <f>SUM(I5:I12)</f>
        <v>0.99999715269214084</v>
      </c>
      <c r="J13" s="2008"/>
      <c r="K13" s="2008"/>
      <c r="L13" s="1912">
        <f>ROUNDDOWN(SUM(L5:L12),0)-1</f>
        <v>25218839</v>
      </c>
      <c r="M13" s="2009">
        <f>SUM(M5:M12)</f>
        <v>1.0000064192658329</v>
      </c>
      <c r="N13" s="2010">
        <f>SUM(N5:N12)</f>
        <v>1.0000064192658329</v>
      </c>
      <c r="O13" s="2011"/>
    </row>
    <row r="14" spans="1:16" ht="36.75">
      <c r="A14" s="2013" t="s">
        <v>2861</v>
      </c>
      <c r="B14" s="2014">
        <f>450000000/B5</f>
        <v>22.5</v>
      </c>
      <c r="C14" s="2014"/>
      <c r="D14" s="2015"/>
      <c r="E14" s="1883"/>
      <c r="F14" s="1883"/>
      <c r="G14" s="1883"/>
      <c r="H14" s="1883"/>
      <c r="I14" s="1883"/>
      <c r="J14" s="1892" t="s">
        <v>2862</v>
      </c>
      <c r="K14" s="1892">
        <f>L6/M6</f>
        <v>25216624.257845629</v>
      </c>
      <c r="L14" s="1892">
        <f>ROUND(K14,0)</f>
        <v>25216624</v>
      </c>
    </row>
    <row r="15" spans="1:16" ht="36.75">
      <c r="A15" s="2013" t="s">
        <v>2863</v>
      </c>
      <c r="B15" s="2014">
        <f>550000000/H13</f>
        <v>24.84939691673322</v>
      </c>
      <c r="C15" s="2014">
        <f>24.8494</f>
        <v>24.849399999999999</v>
      </c>
      <c r="D15" s="2016"/>
      <c r="G15" s="2017"/>
      <c r="J15" s="2017"/>
      <c r="M15" s="1991"/>
    </row>
    <row r="16" spans="1:16">
      <c r="A16" s="2013" t="s">
        <v>1393</v>
      </c>
      <c r="B16" s="2014" t="s">
        <v>1394</v>
      </c>
      <c r="C16" s="2014"/>
      <c r="D16" s="2014"/>
      <c r="I16" s="1956"/>
    </row>
    <row r="17" spans="4:11">
      <c r="J17" s="2018"/>
      <c r="K17" s="2017"/>
    </row>
    <row r="18" spans="4:11">
      <c r="D18" s="2019"/>
      <c r="E18" s="2019"/>
      <c r="F18" s="2019"/>
      <c r="J18" s="2017"/>
    </row>
    <row r="19" spans="4:11">
      <c r="D19" s="2019"/>
      <c r="E19" s="2020"/>
      <c r="F19" s="2020"/>
      <c r="K19" s="2008"/>
    </row>
    <row r="20" spans="4:11">
      <c r="D20" s="2019"/>
      <c r="E20" s="2020"/>
      <c r="F20" s="2020"/>
    </row>
    <row r="21" spans="4:11">
      <c r="D21" s="1969"/>
      <c r="E21" s="2020"/>
      <c r="F21" s="2020"/>
    </row>
    <row r="22" spans="4:11">
      <c r="D22" s="2021"/>
      <c r="E22" s="1892"/>
      <c r="F22" s="2020"/>
      <c r="J22" s="2017"/>
    </row>
    <row r="23" spans="4:11">
      <c r="E23" s="1892"/>
    </row>
    <row r="24" spans="4:11">
      <c r="E24" s="2017"/>
    </row>
  </sheetData>
  <mergeCells count="3">
    <mergeCell ref="A1:L1"/>
    <mergeCell ref="A2:L2"/>
    <mergeCell ref="H3:I3"/>
  </mergeCells>
  <pageMargins left="0.7" right="0.7" top="0.75" bottom="0.75" header="0.3" footer="0.3"/>
  <pageSetup paperSize="9"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5"/>
  <sheetViews>
    <sheetView topLeftCell="A28" workbookViewId="0">
      <selection activeCell="G37" sqref="G37"/>
    </sheetView>
  </sheetViews>
  <sheetFormatPr defaultRowHeight="15"/>
  <cols>
    <col min="1" max="1" width="92.6640625" style="1012" customWidth="1"/>
    <col min="2" max="2" width="18.6640625" style="1012" customWidth="1"/>
    <col min="3" max="3" width="19.83203125" style="1012" customWidth="1"/>
    <col min="4" max="4" width="33" style="1012" customWidth="1"/>
    <col min="5" max="5" width="18.83203125" style="1012" bestFit="1" customWidth="1"/>
    <col min="6" max="16384" width="9.33203125" style="1012"/>
  </cols>
  <sheetData>
    <row r="1" spans="1:6" ht="15.75">
      <c r="A1" s="1047" t="s">
        <v>1370</v>
      </c>
    </row>
    <row r="2" spans="1:6" ht="65.25" customHeight="1">
      <c r="A2" s="2045" t="s">
        <v>1460</v>
      </c>
      <c r="B2" s="2045" t="s">
        <v>2915</v>
      </c>
      <c r="C2" s="2045" t="s">
        <v>2916</v>
      </c>
      <c r="D2" s="2046" t="s">
        <v>1464</v>
      </c>
      <c r="E2" s="2047" t="s">
        <v>418</v>
      </c>
    </row>
    <row r="3" spans="1:6" ht="19.5" customHeight="1">
      <c r="A3" s="2048" t="s">
        <v>1284</v>
      </c>
      <c r="B3" s="2049">
        <v>89976</v>
      </c>
      <c r="C3" s="2049">
        <v>1000002.26</v>
      </c>
      <c r="D3" s="2050">
        <v>43098</v>
      </c>
      <c r="E3" s="2049">
        <v>999983.93</v>
      </c>
      <c r="F3" s="2051"/>
    </row>
    <row r="4" spans="1:6" ht="19.5" customHeight="1">
      <c r="A4" s="2048" t="s">
        <v>1478</v>
      </c>
      <c r="B4" s="2049">
        <v>185350</v>
      </c>
      <c r="C4" s="2049">
        <v>2059998.4350000001</v>
      </c>
      <c r="D4" s="2050">
        <v>43123</v>
      </c>
      <c r="E4" s="2049">
        <v>2059980.11</v>
      </c>
      <c r="F4" s="2051"/>
    </row>
    <row r="5" spans="1:6" ht="21.75" customHeight="1">
      <c r="A5" s="2048" t="s">
        <v>1479</v>
      </c>
      <c r="B5" s="2049">
        <v>44988</v>
      </c>
      <c r="C5" s="2049">
        <v>500001.13080000004</v>
      </c>
      <c r="D5" s="2050">
        <v>43123</v>
      </c>
      <c r="E5" s="2049">
        <v>499982.8</v>
      </c>
      <c r="F5" s="2051"/>
    </row>
    <row r="6" spans="1:6">
      <c r="A6" s="2048" t="s">
        <v>1288</v>
      </c>
      <c r="B6" s="2049">
        <v>140362</v>
      </c>
      <c r="C6" s="2049">
        <v>1559997.3042000001</v>
      </c>
      <c r="D6" s="2050">
        <v>43123</v>
      </c>
      <c r="E6" s="2049">
        <v>1559978.97</v>
      </c>
      <c r="F6" s="2051"/>
    </row>
    <row r="7" spans="1:6">
      <c r="A7" s="2048" t="s">
        <v>1289</v>
      </c>
      <c r="B7" s="2049">
        <v>81185</v>
      </c>
      <c r="C7" s="2049">
        <v>902298.20850000007</v>
      </c>
      <c r="D7" s="2050">
        <v>43118</v>
      </c>
      <c r="E7" s="2049">
        <v>902279.88</v>
      </c>
      <c r="F7" s="2051"/>
    </row>
    <row r="8" spans="1:6">
      <c r="A8" s="2048" t="s">
        <v>1290</v>
      </c>
      <c r="B8" s="2049">
        <v>6883</v>
      </c>
      <c r="C8" s="2049">
        <v>76498.350300000006</v>
      </c>
      <c r="D8" s="2050">
        <v>43118</v>
      </c>
      <c r="E8" s="2049">
        <v>76480.02</v>
      </c>
      <c r="F8" s="2051"/>
    </row>
    <row r="9" spans="1:6">
      <c r="A9" s="2048" t="s">
        <v>1291</v>
      </c>
      <c r="B9" s="2049">
        <v>1907</v>
      </c>
      <c r="C9" s="2049">
        <v>21194.5887</v>
      </c>
      <c r="D9" s="2050">
        <v>43118</v>
      </c>
      <c r="E9" s="2049">
        <v>21176.26</v>
      </c>
      <c r="F9" s="2051"/>
    </row>
    <row r="10" spans="1:6">
      <c r="A10" s="2048" t="s">
        <v>1480</v>
      </c>
      <c r="B10" s="2049">
        <v>255531</v>
      </c>
      <c r="C10" s="2049">
        <v>2839997.0871000001</v>
      </c>
      <c r="D10" s="2050">
        <v>43118</v>
      </c>
      <c r="E10" s="2049">
        <v>2839978.76</v>
      </c>
      <c r="F10" s="2051"/>
    </row>
    <row r="11" spans="1:6">
      <c r="A11" s="2048" t="s">
        <v>1294</v>
      </c>
      <c r="B11" s="2049">
        <v>96274</v>
      </c>
      <c r="C11" s="2049">
        <v>1069998.8634000001</v>
      </c>
      <c r="D11" s="2050">
        <v>43098</v>
      </c>
      <c r="E11" s="2049">
        <v>1069998.8600000001</v>
      </c>
      <c r="F11" s="2051"/>
    </row>
    <row r="12" spans="1:6">
      <c r="A12" s="2048" t="s">
        <v>1295</v>
      </c>
      <c r="B12" s="2049">
        <v>42108</v>
      </c>
      <c r="C12" s="2049">
        <v>467992.52280000004</v>
      </c>
      <c r="D12" s="2050">
        <v>43092</v>
      </c>
      <c r="E12" s="2049">
        <v>468000</v>
      </c>
      <c r="F12" s="2051"/>
    </row>
    <row r="13" spans="1:6">
      <c r="A13" s="2048" t="s">
        <v>1300</v>
      </c>
      <c r="B13" s="2049">
        <v>87277</v>
      </c>
      <c r="C13" s="2049">
        <v>970005.30570000003</v>
      </c>
      <c r="D13" s="2659" t="s">
        <v>2917</v>
      </c>
      <c r="E13" s="2662">
        <v>11700000</v>
      </c>
      <c r="F13" s="2051"/>
    </row>
    <row r="14" spans="1:6">
      <c r="A14" s="2048" t="s">
        <v>1301</v>
      </c>
      <c r="B14" s="2049">
        <v>26993</v>
      </c>
      <c r="C14" s="2049">
        <v>300002.90130000003</v>
      </c>
      <c r="D14" s="2660"/>
      <c r="E14" s="2663"/>
      <c r="F14" s="2051"/>
    </row>
    <row r="15" spans="1:6">
      <c r="A15" s="2048" t="s">
        <v>1302</v>
      </c>
      <c r="B15" s="2049">
        <v>26993</v>
      </c>
      <c r="C15" s="2049">
        <v>300002.90130000003</v>
      </c>
      <c r="D15" s="2661"/>
      <c r="E15" s="2664"/>
      <c r="F15" s="2051"/>
    </row>
    <row r="16" spans="1:6">
      <c r="A16" s="2048" t="s">
        <v>1303</v>
      </c>
      <c r="B16" s="2049">
        <v>33191</v>
      </c>
      <c r="C16" s="2049">
        <v>368888.0931</v>
      </c>
      <c r="D16" s="2050">
        <v>43098</v>
      </c>
      <c r="E16" s="2049">
        <v>368888.09</v>
      </c>
      <c r="F16" s="2051"/>
    </row>
    <row r="17" spans="1:6">
      <c r="A17" s="2048" t="s">
        <v>1305</v>
      </c>
      <c r="B17" s="2049">
        <v>125066</v>
      </c>
      <c r="C17" s="2049">
        <v>1389996.0305999999</v>
      </c>
      <c r="D17" s="2050">
        <v>43118</v>
      </c>
      <c r="E17" s="2049">
        <v>1389977.7</v>
      </c>
      <c r="F17" s="2051"/>
    </row>
    <row r="18" spans="1:6">
      <c r="A18" s="2048" t="s">
        <v>2823</v>
      </c>
      <c r="B18" s="2049">
        <v>418837</v>
      </c>
      <c r="C18" s="2049">
        <v>4654996.3017000007</v>
      </c>
      <c r="D18" s="2050">
        <v>43123</v>
      </c>
      <c r="E18" s="2049">
        <v>4654977.97</v>
      </c>
      <c r="F18" s="2051"/>
    </row>
    <row r="19" spans="1:6">
      <c r="A19" s="2048" t="s">
        <v>2824</v>
      </c>
      <c r="B19" s="2049">
        <v>22044</v>
      </c>
      <c r="C19" s="2049">
        <v>244999.22040000002</v>
      </c>
      <c r="D19" s="2050">
        <v>43123</v>
      </c>
      <c r="E19" s="2049">
        <v>244980.89</v>
      </c>
      <c r="F19" s="2051"/>
    </row>
    <row r="20" spans="1:6">
      <c r="A20" s="2048" t="s">
        <v>1307</v>
      </c>
      <c r="B20" s="2049">
        <v>15296</v>
      </c>
      <c r="C20" s="2049">
        <v>170001.27360000001</v>
      </c>
      <c r="D20" s="2050">
        <v>43117</v>
      </c>
      <c r="E20" s="2049">
        <v>169982.94</v>
      </c>
      <c r="F20" s="2051"/>
    </row>
    <row r="21" spans="1:6">
      <c r="A21" s="2048" t="s">
        <v>1310</v>
      </c>
      <c r="B21" s="2049">
        <v>28072</v>
      </c>
      <c r="C21" s="2049">
        <v>311995.01520000002</v>
      </c>
      <c r="D21" s="2050">
        <v>43132</v>
      </c>
      <c r="E21" s="2049">
        <v>311976.69</v>
      </c>
      <c r="F21" s="2051"/>
    </row>
    <row r="22" spans="1:6">
      <c r="A22" s="2048" t="s">
        <v>1311</v>
      </c>
      <c r="B22" s="2049">
        <v>17995</v>
      </c>
      <c r="C22" s="2049">
        <v>199998.22950000002</v>
      </c>
      <c r="D22" s="2050">
        <v>43111</v>
      </c>
      <c r="E22" s="2049">
        <v>200000</v>
      </c>
      <c r="F22" s="2051"/>
    </row>
    <row r="23" spans="1:6">
      <c r="A23" s="2048" t="s">
        <v>2918</v>
      </c>
      <c r="B23" s="2049"/>
      <c r="C23" s="2049">
        <v>10000000</v>
      </c>
      <c r="D23" s="2050">
        <v>43123</v>
      </c>
      <c r="E23" s="2052">
        <v>64112000</v>
      </c>
      <c r="F23" s="2051"/>
    </row>
    <row r="24" spans="1:6">
      <c r="A24" s="2053" t="s">
        <v>81</v>
      </c>
      <c r="B24" s="2049">
        <v>2646086</v>
      </c>
      <c r="C24" s="2049">
        <v>29408634.978300001</v>
      </c>
      <c r="D24" s="2054" t="s">
        <v>2919</v>
      </c>
      <c r="E24" s="2049">
        <f>SUM(E3:E12,E16:E22)+SUM(C13:C15)+C23</f>
        <v>29408634.978300001</v>
      </c>
    </row>
    <row r="29" spans="1:6" ht="15.75">
      <c r="A29" s="1047" t="s">
        <v>1371</v>
      </c>
    </row>
    <row r="30" spans="1:6" ht="45">
      <c r="A30" s="2045" t="s">
        <v>1460</v>
      </c>
      <c r="B30" s="2045" t="s">
        <v>2915</v>
      </c>
      <c r="C30" s="2045" t="s">
        <v>2916</v>
      </c>
      <c r="D30" s="2046" t="s">
        <v>1464</v>
      </c>
      <c r="E30" s="2047" t="s">
        <v>418</v>
      </c>
    </row>
    <row r="31" spans="1:6">
      <c r="A31" s="2048" t="s">
        <v>2828</v>
      </c>
      <c r="B31" s="2049">
        <v>719806</v>
      </c>
      <c r="C31" s="2049">
        <v>7999995.8646</v>
      </c>
      <c r="D31" s="2050">
        <v>43173</v>
      </c>
      <c r="E31" s="2049">
        <v>7999995.8646</v>
      </c>
      <c r="F31" s="2051">
        <f>B31/$B$38</f>
        <v>0.38851687967088067</v>
      </c>
    </row>
    <row r="32" spans="1:6">
      <c r="A32" s="2048" t="s">
        <v>2829</v>
      </c>
      <c r="B32" s="2049">
        <v>719806</v>
      </c>
      <c r="C32" s="2049">
        <v>7999995.8646</v>
      </c>
      <c r="D32" s="2050">
        <v>43174</v>
      </c>
      <c r="E32" s="2049">
        <v>7999995.8646</v>
      </c>
      <c r="F32" s="2051">
        <f t="shared" ref="F32:F37" si="0">B32/$B$38</f>
        <v>0.38851687967088067</v>
      </c>
    </row>
    <row r="33" spans="1:7">
      <c r="A33" s="2048" t="s">
        <v>2830</v>
      </c>
      <c r="B33" s="2049">
        <v>179952</v>
      </c>
      <c r="C33" s="2049">
        <v>2000004.5231999999</v>
      </c>
      <c r="D33" s="2050">
        <v>43173</v>
      </c>
      <c r="E33" s="2049">
        <v>2000004.5231999999</v>
      </c>
      <c r="F33" s="2051">
        <f t="shared" si="0"/>
        <v>9.7129489793825449E-2</v>
      </c>
    </row>
    <row r="34" spans="1:7">
      <c r="A34" s="2048" t="s">
        <v>2831</v>
      </c>
      <c r="B34" s="2049">
        <v>71981</v>
      </c>
      <c r="C34" s="2049">
        <v>800004.03210000007</v>
      </c>
      <c r="D34" s="2050">
        <v>43174</v>
      </c>
      <c r="E34" s="2049">
        <v>800004.03</v>
      </c>
      <c r="F34" s="2051">
        <f t="shared" si="0"/>
        <v>3.8851903867972291E-2</v>
      </c>
    </row>
    <row r="35" spans="1:7">
      <c r="A35" s="2048" t="s">
        <v>2832</v>
      </c>
      <c r="B35" s="2049">
        <v>17995</v>
      </c>
      <c r="C35" s="2049">
        <v>199998.22949999999</v>
      </c>
      <c r="D35" s="2050">
        <v>43165</v>
      </c>
      <c r="E35" s="2049">
        <v>199998.22949999999</v>
      </c>
      <c r="F35" s="2051">
        <f t="shared" si="0"/>
        <v>9.7128410289404332E-3</v>
      </c>
    </row>
    <row r="36" spans="1:7">
      <c r="A36" s="2048" t="s">
        <v>2833</v>
      </c>
      <c r="B36" s="2049">
        <v>7449</v>
      </c>
      <c r="C36" s="2049">
        <v>82788.930900000007</v>
      </c>
      <c r="D36" s="2050">
        <v>43178</v>
      </c>
      <c r="E36" s="2049">
        <v>82788.929999999993</v>
      </c>
      <c r="F36" s="2051">
        <f t="shared" si="0"/>
        <v>4.0206142164255229E-3</v>
      </c>
    </row>
    <row r="37" spans="1:7" ht="30.75" customHeight="1">
      <c r="A37" s="2048" t="s">
        <v>2834</v>
      </c>
      <c r="B37" s="2049">
        <v>135713</v>
      </c>
      <c r="C37" s="2049">
        <v>1508327.8533000001</v>
      </c>
      <c r="D37" s="2050">
        <v>43174</v>
      </c>
      <c r="E37" s="2049">
        <v>1508309.54</v>
      </c>
      <c r="F37" s="2051">
        <f t="shared" si="0"/>
        <v>7.325139175107491E-2</v>
      </c>
      <c r="G37" s="2055">
        <f>SUMPRODUCT(F31:F37,D31:D37)/SUM(F31:F37)</f>
        <v>43173.443020518142</v>
      </c>
    </row>
    <row r="38" spans="1:7">
      <c r="A38" s="2053" t="s">
        <v>81</v>
      </c>
      <c r="B38" s="2049">
        <v>1852702</v>
      </c>
      <c r="C38" s="2049">
        <v>20591115.2982</v>
      </c>
      <c r="D38" s="2056" t="s">
        <v>2919</v>
      </c>
      <c r="E38" s="2049">
        <f>SUM(E31:E37)</f>
        <v>20591096.981899999</v>
      </c>
      <c r="F38" s="2051"/>
    </row>
    <row r="39" spans="1:7">
      <c r="F39" s="2051"/>
    </row>
    <row r="40" spans="1:7">
      <c r="F40" s="2051"/>
    </row>
    <row r="41" spans="1:7">
      <c r="F41" s="2051"/>
    </row>
    <row r="42" spans="1:7">
      <c r="F42" s="2051"/>
    </row>
    <row r="43" spans="1:7">
      <c r="F43" s="2051"/>
    </row>
    <row r="44" spans="1:7">
      <c r="F44" s="2051"/>
    </row>
    <row r="45" spans="1:7">
      <c r="F45" s="2051"/>
    </row>
  </sheetData>
  <mergeCells count="2">
    <mergeCell ref="D13:D15"/>
    <mergeCell ref="E13:E15"/>
  </mergeCells>
  <pageMargins left="0.7" right="0.7" top="0.75" bottom="0.75" header="0.3" footer="0.3"/>
  <pageSetup paperSize="9" orientation="portrait" horizontalDpi="180" verticalDpi="180"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G18"/>
  <sheetViews>
    <sheetView workbookViewId="0">
      <selection activeCell="G18" sqref="G18"/>
    </sheetView>
  </sheetViews>
  <sheetFormatPr defaultRowHeight="15"/>
  <cols>
    <col min="1" max="1" width="108.33203125" style="1012" customWidth="1"/>
    <col min="2" max="2" width="19.83203125" style="1012" customWidth="1"/>
    <col min="3" max="3" width="20" style="1012" customWidth="1"/>
    <col min="4" max="4" width="13.1640625" style="1012" customWidth="1"/>
    <col min="5" max="5" width="16" style="1012" bestFit="1" customWidth="1"/>
    <col min="6" max="16384" width="9.33203125" style="1012"/>
  </cols>
  <sheetData>
    <row r="2" spans="1:6" ht="45">
      <c r="A2" s="2045" t="s">
        <v>1460</v>
      </c>
      <c r="B2" s="2045" t="s">
        <v>2915</v>
      </c>
      <c r="C2" s="2045" t="s">
        <v>2916</v>
      </c>
      <c r="D2" s="2046" t="s">
        <v>1464</v>
      </c>
      <c r="E2" s="2047" t="s">
        <v>418</v>
      </c>
    </row>
    <row r="3" spans="1:6" ht="18" customHeight="1">
      <c r="A3" s="2048" t="s">
        <v>1303</v>
      </c>
      <c r="B3" s="2049">
        <v>12697</v>
      </c>
      <c r="C3" s="2049">
        <v>168886.6061</v>
      </c>
      <c r="D3" s="2057">
        <v>43168</v>
      </c>
      <c r="E3" s="2049">
        <v>168886.61</v>
      </c>
      <c r="F3" s="2051">
        <f>B3/$B$18</f>
        <v>2.5068941068738101E-3</v>
      </c>
    </row>
    <row r="4" spans="1:6">
      <c r="A4" s="2048" t="s">
        <v>2828</v>
      </c>
      <c r="B4" s="2049">
        <v>1278070</v>
      </c>
      <c r="C4" s="2049">
        <v>16999992.491</v>
      </c>
      <c r="D4" s="2057">
        <v>43173</v>
      </c>
      <c r="E4" s="2049">
        <v>16999992.491</v>
      </c>
      <c r="F4" s="2051">
        <f t="shared" ref="F4:F17" si="0">B4/$B$18</f>
        <v>0.25234198245035916</v>
      </c>
    </row>
    <row r="5" spans="1:6">
      <c r="A5" s="2048" t="s">
        <v>2829</v>
      </c>
      <c r="B5" s="2049">
        <v>1278070</v>
      </c>
      <c r="C5" s="2049">
        <v>16999992.491</v>
      </c>
      <c r="D5" s="2057">
        <v>43174</v>
      </c>
      <c r="E5" s="2049">
        <v>16999992.491</v>
      </c>
      <c r="F5" s="2051">
        <f t="shared" si="0"/>
        <v>0.25234198245035916</v>
      </c>
    </row>
    <row r="6" spans="1:6">
      <c r="A6" s="2048" t="s">
        <v>2830</v>
      </c>
      <c r="B6" s="2049">
        <v>601445</v>
      </c>
      <c r="C6" s="2049">
        <v>8000000.3784999996</v>
      </c>
      <c r="D6" s="2057">
        <v>43173</v>
      </c>
      <c r="E6" s="2049">
        <v>8000000.3784999996</v>
      </c>
      <c r="F6" s="2051">
        <f t="shared" si="0"/>
        <v>0.11874922628248552</v>
      </c>
    </row>
    <row r="7" spans="1:6">
      <c r="A7" s="2048" t="s">
        <v>2831</v>
      </c>
      <c r="B7" s="2049">
        <v>240578</v>
      </c>
      <c r="C7" s="2049">
        <v>3200000.1513999999</v>
      </c>
      <c r="D7" s="2057">
        <v>43174</v>
      </c>
      <c r="E7" s="2049">
        <v>3200000.15</v>
      </c>
      <c r="F7" s="2051">
        <f t="shared" si="0"/>
        <v>4.7499690512994207E-2</v>
      </c>
    </row>
    <row r="8" spans="1:6">
      <c r="A8" s="2048" t="s">
        <v>2832</v>
      </c>
      <c r="B8" s="2049">
        <v>60144</v>
      </c>
      <c r="C8" s="2049">
        <v>799993.3872</v>
      </c>
      <c r="D8" s="2057">
        <v>43165</v>
      </c>
      <c r="E8" s="2049">
        <v>799993.3872</v>
      </c>
      <c r="F8" s="2051">
        <f t="shared" si="0"/>
        <v>1.1874823908310501E-2</v>
      </c>
    </row>
    <row r="9" spans="1:6">
      <c r="A9" s="2048" t="s">
        <v>2833</v>
      </c>
      <c r="B9" s="2049">
        <v>19558</v>
      </c>
      <c r="C9" s="2049">
        <v>260146.8254</v>
      </c>
      <c r="D9" s="2057">
        <v>43178</v>
      </c>
      <c r="E9" s="2049">
        <v>260146.83</v>
      </c>
      <c r="F9" s="2051">
        <f t="shared" si="0"/>
        <v>3.8615290968132612E-3</v>
      </c>
    </row>
    <row r="10" spans="1:6">
      <c r="A10" s="2048" t="s">
        <v>2834</v>
      </c>
      <c r="B10" s="2049">
        <v>356345</v>
      </c>
      <c r="C10" s="2049">
        <v>4739851.7484999998</v>
      </c>
      <c r="D10" s="2057">
        <v>43174</v>
      </c>
      <c r="E10" s="2049">
        <v>4739851.75</v>
      </c>
      <c r="F10" s="2051">
        <f t="shared" si="0"/>
        <v>7.0356712649755682E-2</v>
      </c>
    </row>
    <row r="11" spans="1:6">
      <c r="A11" s="2048" t="s">
        <v>2835</v>
      </c>
      <c r="B11" s="2049">
        <v>225542</v>
      </c>
      <c r="C11" s="2049">
        <v>3000001.8045999999</v>
      </c>
      <c r="D11" s="2057">
        <v>43185</v>
      </c>
      <c r="E11" s="2049">
        <v>3000001.8045999999</v>
      </c>
      <c r="F11" s="2051">
        <f t="shared" si="0"/>
        <v>4.4530984535916585E-2</v>
      </c>
    </row>
    <row r="12" spans="1:6">
      <c r="A12" s="2048" t="s">
        <v>2836</v>
      </c>
      <c r="B12" s="2049">
        <v>526264</v>
      </c>
      <c r="C12" s="2049">
        <v>6999995.3499999996</v>
      </c>
      <c r="D12" s="2057">
        <v>43182</v>
      </c>
      <c r="E12" s="2049">
        <v>6999995.3499999996</v>
      </c>
      <c r="F12" s="2051">
        <f t="shared" si="0"/>
        <v>0.1039054989572213</v>
      </c>
    </row>
    <row r="13" spans="1:6">
      <c r="A13" s="2048" t="s">
        <v>2837</v>
      </c>
      <c r="B13" s="2049">
        <v>75181</v>
      </c>
      <c r="C13" s="2049">
        <v>1000005.03</v>
      </c>
      <c r="D13" s="2057">
        <v>43183</v>
      </c>
      <c r="E13" s="2049">
        <v>999986.73</v>
      </c>
      <c r="F13" s="2051">
        <f t="shared" si="0"/>
        <v>1.4843727325264228E-2</v>
      </c>
    </row>
    <row r="14" spans="1:6">
      <c r="A14" s="2048" t="s">
        <v>2838</v>
      </c>
      <c r="B14" s="2049">
        <v>300722</v>
      </c>
      <c r="C14" s="2049">
        <v>3999993.5385999996</v>
      </c>
      <c r="D14" s="2057">
        <v>43182</v>
      </c>
      <c r="E14" s="2049">
        <v>3999975.24</v>
      </c>
      <c r="F14" s="2051">
        <f t="shared" si="0"/>
        <v>5.937451442130471E-2</v>
      </c>
    </row>
    <row r="15" spans="1:6">
      <c r="A15" s="2048" t="s">
        <v>2839</v>
      </c>
      <c r="B15" s="2049">
        <v>75181</v>
      </c>
      <c r="C15" s="2049">
        <v>1000005.0353</v>
      </c>
      <c r="D15" s="2057">
        <v>43174</v>
      </c>
      <c r="E15" s="2049">
        <v>1000000</v>
      </c>
      <c r="F15" s="2051">
        <f t="shared" si="0"/>
        <v>1.4843727325264228E-2</v>
      </c>
    </row>
    <row r="16" spans="1:6">
      <c r="A16" s="2048" t="s">
        <v>2840</v>
      </c>
      <c r="B16" s="2049">
        <v>7518</v>
      </c>
      <c r="C16" s="2049">
        <v>99999.1734</v>
      </c>
      <c r="D16" s="2057">
        <v>43173</v>
      </c>
      <c r="E16" s="2049">
        <v>99999.17</v>
      </c>
      <c r="F16" s="2051">
        <f t="shared" si="0"/>
        <v>1.4843529885388126E-3</v>
      </c>
    </row>
    <row r="17" spans="1:7">
      <c r="A17" s="2048" t="s">
        <v>2841</v>
      </c>
      <c r="B17" s="2049">
        <v>7518</v>
      </c>
      <c r="C17" s="2049">
        <v>99999.1734</v>
      </c>
      <c r="D17" s="2057">
        <v>43168</v>
      </c>
      <c r="E17" s="2049">
        <v>99999.17</v>
      </c>
      <c r="F17" s="2051">
        <f t="shared" si="0"/>
        <v>1.4843529885388126E-3</v>
      </c>
    </row>
    <row r="18" spans="1:7">
      <c r="A18" s="2048" t="s">
        <v>81</v>
      </c>
      <c r="B18" s="2049">
        <v>5064833</v>
      </c>
      <c r="C18" s="2049">
        <v>67368863.182899997</v>
      </c>
      <c r="D18" s="2058" t="s">
        <v>2919</v>
      </c>
      <c r="E18" s="2049">
        <f>SUM(E3:E17)</f>
        <v>67368821.552300006</v>
      </c>
      <c r="G18" s="2055">
        <f>SUMPRODUCT(F3:F17,D3:D17)/SUM(F3:F17)</f>
        <v>43175.44172413979</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97"/>
  <sheetViews>
    <sheetView showGridLines="0" zoomScaleNormal="100" workbookViewId="0">
      <pane xSplit="4" ySplit="3" topLeftCell="H90" activePane="bottomRight" state="frozen"/>
      <selection activeCell="J90" sqref="J90"/>
      <selection pane="topRight" activeCell="J90" sqref="J90"/>
      <selection pane="bottomLeft" activeCell="J90" sqref="J90"/>
      <selection pane="bottomRight" activeCell="J90" sqref="J90"/>
    </sheetView>
  </sheetViews>
  <sheetFormatPr defaultColWidth="10.5" defaultRowHeight="15"/>
  <cols>
    <col min="1" max="1" width="10.5" style="1440"/>
    <col min="2" max="2" width="19.6640625" style="1441" customWidth="1"/>
    <col min="3" max="3" width="41.5" style="1442" bestFit="1" customWidth="1"/>
    <col min="4" max="4" width="15.83203125" style="1442" bestFit="1" customWidth="1"/>
    <col min="5" max="5" width="13.6640625" style="1440" bestFit="1" customWidth="1"/>
    <col min="6" max="6" width="16" style="1440" customWidth="1"/>
    <col min="7" max="7" width="14.1640625" style="1440" bestFit="1" customWidth="1"/>
    <col min="8" max="8" width="13.1640625" style="1441" customWidth="1"/>
    <col min="9" max="9" width="15" style="1441" customWidth="1"/>
    <col min="10" max="10" width="15" style="1440" bestFit="1" customWidth="1"/>
    <col min="11" max="12" width="13.83203125" style="1440" bestFit="1" customWidth="1"/>
    <col min="13" max="13" width="13.6640625" style="1440" customWidth="1"/>
    <col min="14" max="14" width="14.33203125" style="1440" customWidth="1"/>
    <col min="15" max="16" width="13.83203125" style="1440" customWidth="1"/>
    <col min="17" max="19" width="14" style="1440" customWidth="1"/>
    <col min="20" max="24" width="14.6640625" style="1440" customWidth="1"/>
    <col min="25" max="26" width="14.5" style="1440" customWidth="1"/>
    <col min="27" max="29" width="16.5" style="1440" customWidth="1"/>
    <col min="30" max="30" width="12.33203125" style="1440" customWidth="1"/>
    <col min="31" max="31" width="14.6640625" style="1440" customWidth="1"/>
    <col min="32" max="34" width="12.33203125" style="1440" customWidth="1"/>
    <col min="35" max="36" width="10.6640625" style="1440" bestFit="1" customWidth="1"/>
    <col min="37" max="39" width="13.5" style="1440" customWidth="1"/>
    <col min="40" max="40" width="10.6640625" style="1440" bestFit="1" customWidth="1"/>
    <col min="41" max="41" width="10.5" style="1440"/>
    <col min="42" max="43" width="12.6640625" style="1440" customWidth="1"/>
    <col min="44" max="44" width="14.5" style="1440" customWidth="1"/>
    <col min="45" max="46" width="10.5" style="1440"/>
    <col min="47" max="47" width="13.5" style="1440" customWidth="1"/>
    <col min="48" max="48" width="10.5" style="1440"/>
    <col min="49" max="49" width="12.5" style="1440" customWidth="1"/>
    <col min="50" max="50" width="15.5" style="1440" bestFit="1" customWidth="1"/>
    <col min="51" max="51" width="10.5" style="1440"/>
    <col min="52" max="52" width="13.83203125" style="1440" customWidth="1"/>
    <col min="53" max="53" width="10.5" style="1440"/>
    <col min="54" max="54" width="13.6640625" style="1440" customWidth="1"/>
    <col min="55" max="16384" width="10.5" style="1440"/>
  </cols>
  <sheetData>
    <row r="1" spans="1:54" ht="15.75" thickBot="1"/>
    <row r="2" spans="1:54" s="1443" customFormat="1" ht="24" customHeight="1">
      <c r="A2" s="2668" t="s">
        <v>1940</v>
      </c>
      <c r="B2" s="2669"/>
      <c r="C2" s="2670"/>
      <c r="D2" s="2671" t="s">
        <v>1941</v>
      </c>
      <c r="E2" s="2673" t="s">
        <v>1942</v>
      </c>
      <c r="F2" s="2674"/>
      <c r="G2" s="2674"/>
      <c r="H2" s="2674"/>
      <c r="I2" s="2675"/>
      <c r="J2" s="2673" t="s">
        <v>1943</v>
      </c>
      <c r="K2" s="2674"/>
      <c r="L2" s="2674"/>
      <c r="M2" s="2674"/>
      <c r="N2" s="2675"/>
      <c r="O2" s="2673" t="s">
        <v>1944</v>
      </c>
      <c r="P2" s="2674"/>
      <c r="Q2" s="2674"/>
      <c r="R2" s="2674"/>
      <c r="S2" s="2675"/>
      <c r="T2" s="2673" t="s">
        <v>1945</v>
      </c>
      <c r="U2" s="2674"/>
      <c r="V2" s="2674"/>
      <c r="W2" s="2674"/>
      <c r="X2" s="2675"/>
      <c r="Y2" s="2673" t="s">
        <v>1946</v>
      </c>
      <c r="Z2" s="2674"/>
      <c r="AA2" s="2674"/>
      <c r="AB2" s="2674"/>
      <c r="AC2" s="2675"/>
      <c r="AD2" s="2673" t="s">
        <v>1947</v>
      </c>
      <c r="AE2" s="2674"/>
      <c r="AF2" s="2674"/>
      <c r="AG2" s="2674"/>
      <c r="AH2" s="2675"/>
      <c r="AI2" s="2673" t="s">
        <v>1948</v>
      </c>
      <c r="AJ2" s="2674"/>
      <c r="AK2" s="2674"/>
      <c r="AL2" s="2674"/>
      <c r="AM2" s="2675"/>
      <c r="AN2" s="2673" t="s">
        <v>1949</v>
      </c>
      <c r="AO2" s="2674"/>
      <c r="AP2" s="2674"/>
      <c r="AQ2" s="2674"/>
      <c r="AR2" s="2674"/>
      <c r="AS2" s="2665" t="s">
        <v>1950</v>
      </c>
      <c r="AT2" s="2666"/>
      <c r="AU2" s="2666"/>
      <c r="AV2" s="2666"/>
      <c r="AW2" s="2667"/>
      <c r="AX2" s="2665" t="s">
        <v>1951</v>
      </c>
      <c r="AY2" s="2666"/>
      <c r="AZ2" s="2666"/>
      <c r="BA2" s="2666"/>
      <c r="BB2" s="2667"/>
    </row>
    <row r="3" spans="1:54" s="1443" customFormat="1" ht="60.75" thickBot="1">
      <c r="A3" s="1444" t="s">
        <v>1952</v>
      </c>
      <c r="B3" s="1445" t="s">
        <v>1953</v>
      </c>
      <c r="C3" s="1446" t="s">
        <v>1954</v>
      </c>
      <c r="D3" s="2672"/>
      <c r="E3" s="1447" t="s">
        <v>1955</v>
      </c>
      <c r="F3" s="1448" t="s">
        <v>1956</v>
      </c>
      <c r="G3" s="1449" t="s">
        <v>1957</v>
      </c>
      <c r="H3" s="1449" t="s">
        <v>1958</v>
      </c>
      <c r="I3" s="1450" t="s">
        <v>1959</v>
      </c>
      <c r="J3" s="1451" t="s">
        <v>1955</v>
      </c>
      <c r="K3" s="1448" t="s">
        <v>1956</v>
      </c>
      <c r="L3" s="1449" t="s">
        <v>1957</v>
      </c>
      <c r="M3" s="1448" t="s">
        <v>1958</v>
      </c>
      <c r="N3" s="1450" t="s">
        <v>1959</v>
      </c>
      <c r="O3" s="1447" t="s">
        <v>1955</v>
      </c>
      <c r="P3" s="1449" t="s">
        <v>1956</v>
      </c>
      <c r="Q3" s="1449" t="s">
        <v>1960</v>
      </c>
      <c r="R3" s="1449" t="s">
        <v>1958</v>
      </c>
      <c r="S3" s="1450" t="s">
        <v>1959</v>
      </c>
      <c r="T3" s="1447" t="s">
        <v>1955</v>
      </c>
      <c r="U3" s="1448" t="s">
        <v>1956</v>
      </c>
      <c r="V3" s="1449" t="s">
        <v>1957</v>
      </c>
      <c r="W3" s="1448" t="s">
        <v>1958</v>
      </c>
      <c r="X3" s="1450" t="s">
        <v>1959</v>
      </c>
      <c r="Y3" s="1447" t="s">
        <v>1955</v>
      </c>
      <c r="Z3" s="1448" t="s">
        <v>1956</v>
      </c>
      <c r="AA3" s="1449" t="s">
        <v>1957</v>
      </c>
      <c r="AB3" s="1448" t="s">
        <v>1958</v>
      </c>
      <c r="AC3" s="1450" t="s">
        <v>1959</v>
      </c>
      <c r="AD3" s="1447" t="s">
        <v>1955</v>
      </c>
      <c r="AE3" s="1448" t="s">
        <v>1956</v>
      </c>
      <c r="AF3" s="1449" t="s">
        <v>1957</v>
      </c>
      <c r="AG3" s="1448" t="s">
        <v>1958</v>
      </c>
      <c r="AH3" s="1450" t="s">
        <v>1959</v>
      </c>
      <c r="AI3" s="1447" t="s">
        <v>1955</v>
      </c>
      <c r="AJ3" s="1448" t="s">
        <v>1956</v>
      </c>
      <c r="AK3" s="1449" t="s">
        <v>1957</v>
      </c>
      <c r="AL3" s="1448" t="s">
        <v>1958</v>
      </c>
      <c r="AM3" s="1450" t="s">
        <v>1959</v>
      </c>
      <c r="AN3" s="1447" t="s">
        <v>1955</v>
      </c>
      <c r="AO3" s="1448" t="s">
        <v>1956</v>
      </c>
      <c r="AP3" s="1449" t="s">
        <v>1957</v>
      </c>
      <c r="AQ3" s="1448" t="s">
        <v>1958</v>
      </c>
      <c r="AR3" s="1452" t="s">
        <v>1959</v>
      </c>
      <c r="AS3" s="1447" t="s">
        <v>1955</v>
      </c>
      <c r="AT3" s="1449" t="s">
        <v>1956</v>
      </c>
      <c r="AU3" s="1449" t="s">
        <v>1957</v>
      </c>
      <c r="AV3" s="1449" t="s">
        <v>1958</v>
      </c>
      <c r="AW3" s="1450" t="s">
        <v>1959</v>
      </c>
      <c r="AX3" s="1447" t="s">
        <v>1955</v>
      </c>
      <c r="AY3" s="1449" t="s">
        <v>1956</v>
      </c>
      <c r="AZ3" s="1449" t="s">
        <v>1957</v>
      </c>
      <c r="BA3" s="1449" t="s">
        <v>1958</v>
      </c>
      <c r="BB3" s="1450" t="s">
        <v>1959</v>
      </c>
    </row>
    <row r="4" spans="1:54">
      <c r="A4" s="1453" t="s">
        <v>1961</v>
      </c>
      <c r="B4" s="1454" t="s">
        <v>1962</v>
      </c>
      <c r="C4" s="1455" t="s">
        <v>1963</v>
      </c>
      <c r="D4" s="1456">
        <f t="shared" ref="D4:D67" si="0">E4+J4+O4+T4+Y4+AD4+AI4+AN4+AS4+AX4</f>
        <v>478973</v>
      </c>
      <c r="E4" s="1457"/>
      <c r="F4" s="1458"/>
      <c r="G4" s="1459"/>
      <c r="H4" s="1460"/>
      <c r="I4" s="1810"/>
      <c r="J4" s="1457"/>
      <c r="K4" s="1461"/>
      <c r="L4" s="1459"/>
      <c r="M4" s="1460"/>
      <c r="N4" s="1460"/>
      <c r="O4" s="1462"/>
      <c r="P4" s="1461"/>
      <c r="Q4" s="1459"/>
      <c r="R4" s="1460"/>
      <c r="S4" s="1460"/>
      <c r="T4" s="1462">
        <v>180000</v>
      </c>
      <c r="U4" s="1461">
        <v>1</v>
      </c>
      <c r="V4" s="1459">
        <v>41964</v>
      </c>
      <c r="W4" s="1460">
        <v>48</v>
      </c>
      <c r="X4" s="1459">
        <v>41977</v>
      </c>
      <c r="Y4" s="1462">
        <v>50000</v>
      </c>
      <c r="Z4" s="1463">
        <v>3.5</v>
      </c>
      <c r="AA4" s="1464">
        <v>42360</v>
      </c>
      <c r="AB4" s="1460">
        <v>48</v>
      </c>
      <c r="AC4" s="1459">
        <v>42380</v>
      </c>
      <c r="AD4" s="1465">
        <v>50000</v>
      </c>
      <c r="AE4" s="1453">
        <v>6</v>
      </c>
      <c r="AF4" s="2026">
        <v>42488</v>
      </c>
      <c r="AG4" s="1460">
        <v>48</v>
      </c>
      <c r="AH4" s="2024">
        <v>42570</v>
      </c>
      <c r="AI4" s="1457"/>
      <c r="AJ4" s="1453"/>
      <c r="AK4" s="1464"/>
      <c r="AL4" s="1460"/>
      <c r="AM4" s="1460"/>
      <c r="AN4" s="1457">
        <v>100000</v>
      </c>
      <c r="AO4" s="1467">
        <v>7</v>
      </c>
      <c r="AP4" s="1464">
        <v>42734</v>
      </c>
      <c r="AQ4" s="1460">
        <v>48</v>
      </c>
      <c r="AR4" s="1459">
        <v>42800</v>
      </c>
      <c r="AS4" s="1453"/>
      <c r="AT4" s="1453"/>
      <c r="AU4" s="1453"/>
      <c r="AV4" s="1460"/>
      <c r="AW4" s="1460"/>
      <c r="AX4" s="1468">
        <v>98973</v>
      </c>
      <c r="AY4" s="1463">
        <v>1</v>
      </c>
      <c r="AZ4" s="2027">
        <v>43098</v>
      </c>
      <c r="BA4" s="1469">
        <v>48</v>
      </c>
      <c r="BB4" s="2027">
        <v>43107</v>
      </c>
    </row>
    <row r="5" spans="1:54">
      <c r="A5" s="1453" t="s">
        <v>1964</v>
      </c>
      <c r="B5" s="1454" t="s">
        <v>1965</v>
      </c>
      <c r="C5" s="1455" t="s">
        <v>1966</v>
      </c>
      <c r="D5" s="1456">
        <f t="shared" si="0"/>
        <v>32000</v>
      </c>
      <c r="E5" s="1457"/>
      <c r="F5" s="1458"/>
      <c r="G5" s="1459"/>
      <c r="H5" s="1460"/>
      <c r="I5" s="1810"/>
      <c r="J5" s="1462">
        <v>5000</v>
      </c>
      <c r="K5" s="1458">
        <v>1</v>
      </c>
      <c r="L5" s="1459">
        <v>41214</v>
      </c>
      <c r="M5" s="1460">
        <v>48</v>
      </c>
      <c r="N5" s="1459">
        <v>41358</v>
      </c>
      <c r="O5" s="1462">
        <v>5000</v>
      </c>
      <c r="P5" s="1458">
        <v>1</v>
      </c>
      <c r="Q5" s="1459">
        <v>41518</v>
      </c>
      <c r="R5" s="1460">
        <v>48</v>
      </c>
      <c r="S5" s="1459">
        <v>41358</v>
      </c>
      <c r="T5" s="1462">
        <v>10000</v>
      </c>
      <c r="U5" s="1458">
        <v>1</v>
      </c>
      <c r="V5" s="1459">
        <v>41964</v>
      </c>
      <c r="W5" s="1460">
        <v>48</v>
      </c>
      <c r="X5" s="1459">
        <v>41977</v>
      </c>
      <c r="Y5" s="1462">
        <v>10000</v>
      </c>
      <c r="Z5" s="1463">
        <v>3.5</v>
      </c>
      <c r="AA5" s="1464">
        <v>42360</v>
      </c>
      <c r="AB5" s="1460">
        <v>48</v>
      </c>
      <c r="AC5" s="1459">
        <v>42380</v>
      </c>
      <c r="AD5" s="1453"/>
      <c r="AE5" s="1453"/>
      <c r="AF5" s="2025"/>
      <c r="AG5" s="1453"/>
      <c r="AH5" s="2025"/>
      <c r="AI5" s="1457"/>
      <c r="AJ5" s="1453"/>
      <c r="AK5" s="1464"/>
      <c r="AL5" s="1460"/>
      <c r="AM5" s="1460"/>
      <c r="AN5" s="1457">
        <v>1000</v>
      </c>
      <c r="AO5" s="1467">
        <v>7</v>
      </c>
      <c r="AP5" s="1464">
        <v>42734</v>
      </c>
      <c r="AQ5" s="1460">
        <v>48</v>
      </c>
      <c r="AR5" s="1459">
        <v>42800</v>
      </c>
      <c r="AS5" s="1453"/>
      <c r="AT5" s="1453"/>
      <c r="AU5" s="1453"/>
      <c r="AV5" s="1460"/>
      <c r="AW5" s="1460"/>
      <c r="AX5" s="1457">
        <v>1000</v>
      </c>
      <c r="AY5" s="1463">
        <v>1</v>
      </c>
      <c r="AZ5" s="2027">
        <v>43098</v>
      </c>
      <c r="BA5" s="1469">
        <v>48</v>
      </c>
      <c r="BB5" s="2026">
        <v>43107</v>
      </c>
    </row>
    <row r="6" spans="1:54">
      <c r="A6" s="1453" t="s">
        <v>1967</v>
      </c>
      <c r="B6" s="1454" t="s">
        <v>1968</v>
      </c>
      <c r="C6" s="1455"/>
      <c r="D6" s="1456">
        <f t="shared" si="0"/>
        <v>170000</v>
      </c>
      <c r="E6" s="1462"/>
      <c r="F6" s="1458"/>
      <c r="G6" s="1459"/>
      <c r="H6" s="1460"/>
      <c r="I6" s="1810"/>
      <c r="J6" s="1457"/>
      <c r="K6" s="1461"/>
      <c r="L6" s="1459"/>
      <c r="M6" s="1460"/>
      <c r="N6" s="1460"/>
      <c r="O6" s="1462"/>
      <c r="P6" s="1461"/>
      <c r="Q6" s="1459"/>
      <c r="R6" s="1460"/>
      <c r="S6" s="1460"/>
      <c r="T6" s="1462">
        <v>120000</v>
      </c>
      <c r="U6" s="1458">
        <v>1</v>
      </c>
      <c r="V6" s="1459">
        <v>41964</v>
      </c>
      <c r="W6" s="1460">
        <v>48</v>
      </c>
      <c r="X6" s="1459">
        <v>41977</v>
      </c>
      <c r="Y6" s="1462">
        <v>25000</v>
      </c>
      <c r="Z6" s="1463">
        <v>3.5</v>
      </c>
      <c r="AA6" s="1464">
        <v>42360</v>
      </c>
      <c r="AB6" s="1460">
        <v>48</v>
      </c>
      <c r="AC6" s="1459">
        <v>42380</v>
      </c>
      <c r="AD6" s="1465">
        <v>25000</v>
      </c>
      <c r="AE6" s="1453">
        <v>6</v>
      </c>
      <c r="AF6" s="2026">
        <v>42488</v>
      </c>
      <c r="AG6" s="1460">
        <v>48</v>
      </c>
      <c r="AH6" s="2024">
        <v>42570</v>
      </c>
      <c r="AI6" s="1457"/>
      <c r="AJ6" s="1453"/>
      <c r="AK6" s="1464"/>
      <c r="AL6" s="1460"/>
      <c r="AM6" s="1460"/>
      <c r="AN6" s="1457"/>
      <c r="AO6" s="1467"/>
      <c r="AP6" s="1464"/>
      <c r="AQ6" s="1460"/>
      <c r="AR6" s="1460"/>
      <c r="AS6" s="1453"/>
      <c r="AT6" s="1453"/>
      <c r="AU6" s="1453"/>
      <c r="AV6" s="1460"/>
      <c r="AW6" s="1460"/>
      <c r="AX6" s="1457">
        <v>0</v>
      </c>
      <c r="AY6" s="1463"/>
      <c r="AZ6" s="2027"/>
      <c r="BA6" s="1469"/>
      <c r="BB6" s="2026"/>
    </row>
    <row r="7" spans="1:54">
      <c r="A7" s="1453" t="s">
        <v>1969</v>
      </c>
      <c r="B7" s="1454" t="s">
        <v>1970</v>
      </c>
      <c r="C7" s="1455" t="s">
        <v>1971</v>
      </c>
      <c r="D7" s="1456">
        <f t="shared" si="0"/>
        <v>135000</v>
      </c>
      <c r="E7" s="1462">
        <v>50000</v>
      </c>
      <c r="F7" s="1458">
        <v>1</v>
      </c>
      <c r="G7" s="1459">
        <v>40483</v>
      </c>
      <c r="H7" s="1460">
        <v>48</v>
      </c>
      <c r="I7" s="1810">
        <v>41529</v>
      </c>
      <c r="J7" s="1462">
        <v>20000</v>
      </c>
      <c r="K7" s="1458">
        <v>1</v>
      </c>
      <c r="L7" s="1459">
        <v>41214</v>
      </c>
      <c r="M7" s="1460">
        <v>48</v>
      </c>
      <c r="N7" s="1459">
        <v>41358</v>
      </c>
      <c r="O7" s="1462">
        <v>10000</v>
      </c>
      <c r="P7" s="1458">
        <v>1</v>
      </c>
      <c r="Q7" s="1459">
        <v>41518</v>
      </c>
      <c r="R7" s="1460">
        <v>48</v>
      </c>
      <c r="S7" s="1459">
        <v>41358</v>
      </c>
      <c r="T7" s="1462">
        <v>30000</v>
      </c>
      <c r="U7" s="1458">
        <v>1</v>
      </c>
      <c r="V7" s="1459">
        <v>41964</v>
      </c>
      <c r="W7" s="1460">
        <v>48</v>
      </c>
      <c r="X7" s="1459">
        <v>41977</v>
      </c>
      <c r="Y7" s="1462">
        <v>20000</v>
      </c>
      <c r="Z7" s="1463">
        <v>3.5</v>
      </c>
      <c r="AA7" s="1464">
        <v>42360</v>
      </c>
      <c r="AB7" s="1460">
        <v>48</v>
      </c>
      <c r="AC7" s="1459">
        <v>42380</v>
      </c>
      <c r="AD7" s="1453"/>
      <c r="AE7" s="1453"/>
      <c r="AF7" s="2025"/>
      <c r="AG7" s="1453"/>
      <c r="AH7" s="2025"/>
      <c r="AI7" s="1457"/>
      <c r="AJ7" s="1453"/>
      <c r="AK7" s="1464"/>
      <c r="AL7" s="1460"/>
      <c r="AM7" s="1460"/>
      <c r="AN7" s="1457"/>
      <c r="AO7" s="1467"/>
      <c r="AP7" s="1464"/>
      <c r="AQ7" s="1460"/>
      <c r="AR7" s="1460"/>
      <c r="AS7" s="1453"/>
      <c r="AT7" s="1453"/>
      <c r="AU7" s="1453"/>
      <c r="AV7" s="1460"/>
      <c r="AW7" s="1460"/>
      <c r="AX7" s="1457">
        <v>5000</v>
      </c>
      <c r="AY7" s="1470"/>
      <c r="AZ7" s="2027">
        <v>43098</v>
      </c>
      <c r="BA7" s="1469">
        <v>48</v>
      </c>
      <c r="BB7" s="2026">
        <v>43107</v>
      </c>
    </row>
    <row r="8" spans="1:54">
      <c r="A8" s="1453" t="s">
        <v>1972</v>
      </c>
      <c r="B8" s="1471" t="s">
        <v>1973</v>
      </c>
      <c r="C8" s="1455" t="s">
        <v>1974</v>
      </c>
      <c r="D8" s="1456">
        <f t="shared" si="0"/>
        <v>140000</v>
      </c>
      <c r="E8" s="1462"/>
      <c r="F8" s="1458"/>
      <c r="G8" s="1459"/>
      <c r="H8" s="1460"/>
      <c r="I8" s="1810"/>
      <c r="J8" s="1462">
        <v>10000</v>
      </c>
      <c r="K8" s="1458">
        <v>1</v>
      </c>
      <c r="L8" s="1459">
        <v>41214</v>
      </c>
      <c r="M8" s="1460">
        <v>48</v>
      </c>
      <c r="N8" s="1459">
        <v>41358</v>
      </c>
      <c r="O8" s="1462">
        <v>10000</v>
      </c>
      <c r="P8" s="1458">
        <v>1</v>
      </c>
      <c r="Q8" s="1459">
        <v>41518</v>
      </c>
      <c r="R8" s="1460">
        <v>48</v>
      </c>
      <c r="S8" s="1459">
        <v>41358</v>
      </c>
      <c r="T8" s="1462">
        <v>20000</v>
      </c>
      <c r="U8" s="1458">
        <v>1</v>
      </c>
      <c r="V8" s="1459">
        <v>41964</v>
      </c>
      <c r="W8" s="1460">
        <v>48</v>
      </c>
      <c r="X8" s="1459">
        <v>41977</v>
      </c>
      <c r="Y8" s="1462">
        <v>30000</v>
      </c>
      <c r="Z8" s="1463">
        <v>3.5</v>
      </c>
      <c r="AA8" s="1464">
        <v>42360</v>
      </c>
      <c r="AB8" s="1460">
        <v>48</v>
      </c>
      <c r="AC8" s="1459">
        <v>42380</v>
      </c>
      <c r="AD8" s="1453"/>
      <c r="AE8" s="1453"/>
      <c r="AF8" s="2025"/>
      <c r="AG8" s="1453"/>
      <c r="AH8" s="1453"/>
      <c r="AI8" s="1457"/>
      <c r="AJ8" s="1453"/>
      <c r="AK8" s="1464"/>
      <c r="AL8" s="1460"/>
      <c r="AM8" s="1460"/>
      <c r="AN8" s="1457">
        <v>40000</v>
      </c>
      <c r="AO8" s="1467">
        <v>7</v>
      </c>
      <c r="AP8" s="1464">
        <v>42734</v>
      </c>
      <c r="AQ8" s="1460">
        <v>48</v>
      </c>
      <c r="AR8" s="1459">
        <v>42800</v>
      </c>
      <c r="AS8" s="1453"/>
      <c r="AT8" s="1453"/>
      <c r="AU8" s="1453"/>
      <c r="AV8" s="1460"/>
      <c r="AW8" s="1460"/>
      <c r="AX8" s="1457">
        <v>30000</v>
      </c>
      <c r="AY8" s="1463">
        <v>1</v>
      </c>
      <c r="AZ8" s="2027">
        <v>43098</v>
      </c>
      <c r="BA8" s="1469">
        <v>48</v>
      </c>
      <c r="BB8" s="2026">
        <v>43107</v>
      </c>
    </row>
    <row r="9" spans="1:54">
      <c r="A9" s="1453" t="s">
        <v>1975</v>
      </c>
      <c r="B9" s="1454" t="s">
        <v>1976</v>
      </c>
      <c r="C9" s="1455" t="s">
        <v>1977</v>
      </c>
      <c r="D9" s="1456">
        <f t="shared" si="0"/>
        <v>46000</v>
      </c>
      <c r="E9" s="1457"/>
      <c r="F9" s="1458"/>
      <c r="G9" s="1459"/>
      <c r="H9" s="1460"/>
      <c r="I9" s="1810"/>
      <c r="J9" s="1462">
        <v>5000</v>
      </c>
      <c r="K9" s="1461">
        <v>1</v>
      </c>
      <c r="L9" s="1459">
        <v>41214</v>
      </c>
      <c r="M9" s="1460">
        <v>48</v>
      </c>
      <c r="N9" s="1459">
        <v>41358</v>
      </c>
      <c r="O9" s="1462">
        <v>5000</v>
      </c>
      <c r="P9" s="1461">
        <v>1</v>
      </c>
      <c r="Q9" s="1459">
        <v>41518</v>
      </c>
      <c r="R9" s="1460">
        <v>48</v>
      </c>
      <c r="S9" s="1459">
        <v>41358</v>
      </c>
      <c r="T9" s="1462">
        <v>20000</v>
      </c>
      <c r="U9" s="1458">
        <v>1</v>
      </c>
      <c r="V9" s="1459">
        <v>41964</v>
      </c>
      <c r="W9" s="1460">
        <v>48</v>
      </c>
      <c r="X9" s="1459">
        <v>41977</v>
      </c>
      <c r="Y9" s="1462">
        <v>10000</v>
      </c>
      <c r="Z9" s="1463">
        <v>3.5</v>
      </c>
      <c r="AA9" s="1464">
        <v>42360</v>
      </c>
      <c r="AB9" s="1460">
        <v>48</v>
      </c>
      <c r="AC9" s="1459">
        <v>42380</v>
      </c>
      <c r="AD9" s="1453"/>
      <c r="AE9" s="1453"/>
      <c r="AF9" s="2025"/>
      <c r="AG9" s="1453"/>
      <c r="AH9" s="1453"/>
      <c r="AI9" s="1457"/>
      <c r="AJ9" s="1453"/>
      <c r="AK9" s="1464"/>
      <c r="AL9" s="1460"/>
      <c r="AM9" s="1460"/>
      <c r="AN9" s="1457">
        <v>1000</v>
      </c>
      <c r="AO9" s="1467">
        <v>7</v>
      </c>
      <c r="AP9" s="1464">
        <v>42734</v>
      </c>
      <c r="AQ9" s="1460">
        <v>48</v>
      </c>
      <c r="AR9" s="1459">
        <v>42800</v>
      </c>
      <c r="AS9" s="1453"/>
      <c r="AT9" s="1453"/>
      <c r="AU9" s="1453"/>
      <c r="AV9" s="1460"/>
      <c r="AW9" s="1460"/>
      <c r="AX9" s="1457">
        <v>5000</v>
      </c>
      <c r="AY9" s="1463">
        <v>1</v>
      </c>
      <c r="AZ9" s="2027">
        <v>43098</v>
      </c>
      <c r="BA9" s="1469">
        <v>48</v>
      </c>
      <c r="BB9" s="2026">
        <v>43107</v>
      </c>
    </row>
    <row r="10" spans="1:54">
      <c r="A10" s="1453" t="s">
        <v>1978</v>
      </c>
      <c r="B10" s="1454" t="s">
        <v>1979</v>
      </c>
      <c r="C10" s="1455" t="s">
        <v>1980</v>
      </c>
      <c r="D10" s="1456">
        <f t="shared" si="0"/>
        <v>32000</v>
      </c>
      <c r="E10" s="1457"/>
      <c r="F10" s="1458"/>
      <c r="G10" s="1459"/>
      <c r="H10" s="1460"/>
      <c r="I10" s="1810"/>
      <c r="J10" s="1462">
        <v>5000</v>
      </c>
      <c r="K10" s="1461">
        <v>1</v>
      </c>
      <c r="L10" s="1459">
        <v>41214</v>
      </c>
      <c r="M10" s="1460">
        <v>48</v>
      </c>
      <c r="N10" s="1459">
        <v>41358</v>
      </c>
      <c r="O10" s="1462">
        <v>5000</v>
      </c>
      <c r="P10" s="1461">
        <v>1</v>
      </c>
      <c r="Q10" s="1459">
        <v>41518</v>
      </c>
      <c r="R10" s="1460">
        <v>48</v>
      </c>
      <c r="S10" s="1459">
        <v>41358</v>
      </c>
      <c r="T10" s="1462">
        <v>10000</v>
      </c>
      <c r="U10" s="1458">
        <v>1</v>
      </c>
      <c r="V10" s="1459">
        <v>41964</v>
      </c>
      <c r="W10" s="1460">
        <v>48</v>
      </c>
      <c r="X10" s="1459">
        <v>41977</v>
      </c>
      <c r="Y10" s="1462">
        <v>10000</v>
      </c>
      <c r="Z10" s="1463">
        <v>3.5</v>
      </c>
      <c r="AA10" s="1464">
        <v>42360</v>
      </c>
      <c r="AB10" s="1460">
        <v>48</v>
      </c>
      <c r="AC10" s="1459">
        <v>42380</v>
      </c>
      <c r="AD10" s="1453"/>
      <c r="AE10" s="1453"/>
      <c r="AF10" s="2025"/>
      <c r="AG10" s="1453"/>
      <c r="AH10" s="1453"/>
      <c r="AI10" s="1457"/>
      <c r="AJ10" s="1453"/>
      <c r="AK10" s="1464"/>
      <c r="AL10" s="1460"/>
      <c r="AM10" s="1460"/>
      <c r="AN10" s="1457">
        <v>1000</v>
      </c>
      <c r="AO10" s="1467">
        <v>7</v>
      </c>
      <c r="AP10" s="1464">
        <v>42734</v>
      </c>
      <c r="AQ10" s="1460">
        <v>48</v>
      </c>
      <c r="AR10" s="1459">
        <v>42800</v>
      </c>
      <c r="AS10" s="1453"/>
      <c r="AT10" s="1453"/>
      <c r="AU10" s="1453"/>
      <c r="AV10" s="1460"/>
      <c r="AW10" s="1460"/>
      <c r="AX10" s="1457">
        <v>1000</v>
      </c>
      <c r="AY10" s="1463">
        <v>1</v>
      </c>
      <c r="AZ10" s="2027">
        <v>43098</v>
      </c>
      <c r="BA10" s="1469">
        <v>48</v>
      </c>
      <c r="BB10" s="2026">
        <v>43107</v>
      </c>
    </row>
    <row r="11" spans="1:54">
      <c r="A11" s="1453" t="s">
        <v>1981</v>
      </c>
      <c r="B11" s="1454" t="s">
        <v>1982</v>
      </c>
      <c r="C11" s="1455" t="s">
        <v>1983</v>
      </c>
      <c r="D11" s="1456">
        <f t="shared" si="0"/>
        <v>280000</v>
      </c>
      <c r="E11" s="1462">
        <v>50000</v>
      </c>
      <c r="F11" s="1458">
        <v>1</v>
      </c>
      <c r="G11" s="1466">
        <v>41122</v>
      </c>
      <c r="H11" s="1460">
        <v>48</v>
      </c>
      <c r="I11" s="1810">
        <v>41529</v>
      </c>
      <c r="J11" s="1462">
        <v>30000</v>
      </c>
      <c r="K11" s="1461">
        <v>1</v>
      </c>
      <c r="L11" s="1459">
        <v>41214</v>
      </c>
      <c r="M11" s="1460">
        <v>48</v>
      </c>
      <c r="N11" s="1459">
        <v>41358</v>
      </c>
      <c r="O11" s="1462">
        <v>30000</v>
      </c>
      <c r="P11" s="1461">
        <v>1</v>
      </c>
      <c r="Q11" s="1459">
        <v>41518</v>
      </c>
      <c r="R11" s="1460">
        <v>48</v>
      </c>
      <c r="S11" s="1459">
        <v>41358</v>
      </c>
      <c r="T11" s="1462">
        <v>50000</v>
      </c>
      <c r="U11" s="1458">
        <v>1</v>
      </c>
      <c r="V11" s="1459">
        <v>41964</v>
      </c>
      <c r="W11" s="1460">
        <v>48</v>
      </c>
      <c r="X11" s="1459">
        <v>41977</v>
      </c>
      <c r="Y11" s="1462">
        <v>50000</v>
      </c>
      <c r="Z11" s="1463">
        <v>3.5</v>
      </c>
      <c r="AA11" s="1464">
        <v>42360</v>
      </c>
      <c r="AB11" s="1460">
        <v>48</v>
      </c>
      <c r="AC11" s="1459">
        <v>42380</v>
      </c>
      <c r="AD11" s="1453"/>
      <c r="AE11" s="1453"/>
      <c r="AF11" s="2025"/>
      <c r="AG11" s="1453"/>
      <c r="AH11" s="1453"/>
      <c r="AI11" s="1457"/>
      <c r="AJ11" s="1453"/>
      <c r="AK11" s="1464"/>
      <c r="AL11" s="1460"/>
      <c r="AM11" s="1460"/>
      <c r="AN11" s="1457">
        <v>40000</v>
      </c>
      <c r="AO11" s="1467">
        <v>7</v>
      </c>
      <c r="AP11" s="1464">
        <v>42734</v>
      </c>
      <c r="AQ11" s="1460">
        <v>48</v>
      </c>
      <c r="AR11" s="1459">
        <v>42800</v>
      </c>
      <c r="AS11" s="1453"/>
      <c r="AT11" s="1453"/>
      <c r="AU11" s="1453"/>
      <c r="AV11" s="1460"/>
      <c r="AW11" s="1460"/>
      <c r="AX11" s="1457">
        <v>30000</v>
      </c>
      <c r="AY11" s="1463">
        <v>1</v>
      </c>
      <c r="AZ11" s="2027">
        <v>43098</v>
      </c>
      <c r="BA11" s="1469">
        <v>48</v>
      </c>
      <c r="BB11" s="2026">
        <v>43107</v>
      </c>
    </row>
    <row r="12" spans="1:54">
      <c r="A12" s="1453" t="s">
        <v>1984</v>
      </c>
      <c r="B12" s="1454" t="s">
        <v>1985</v>
      </c>
      <c r="C12" s="1455" t="s">
        <v>1986</v>
      </c>
      <c r="D12" s="1456">
        <f t="shared" si="0"/>
        <v>535000</v>
      </c>
      <c r="E12" s="1462">
        <v>50000</v>
      </c>
      <c r="F12" s="1458">
        <v>1</v>
      </c>
      <c r="G12" s="1459">
        <v>41306</v>
      </c>
      <c r="H12" s="1460">
        <v>48</v>
      </c>
      <c r="I12" s="1810">
        <v>41529</v>
      </c>
      <c r="J12" s="1462"/>
      <c r="K12" s="1461"/>
      <c r="L12" s="1459"/>
      <c r="M12" s="1460"/>
      <c r="N12" s="1460"/>
      <c r="O12" s="1462">
        <v>50000</v>
      </c>
      <c r="P12" s="1461">
        <v>1</v>
      </c>
      <c r="Q12" s="1459">
        <v>41518</v>
      </c>
      <c r="R12" s="1460">
        <v>48</v>
      </c>
      <c r="S12" s="1459">
        <v>41358</v>
      </c>
      <c r="T12" s="1462">
        <v>100000</v>
      </c>
      <c r="U12" s="1461">
        <v>1</v>
      </c>
      <c r="V12" s="1459">
        <v>41964</v>
      </c>
      <c r="W12" s="1460">
        <v>48</v>
      </c>
      <c r="X12" s="1459">
        <v>41977</v>
      </c>
      <c r="Y12" s="1462">
        <v>225000</v>
      </c>
      <c r="Z12" s="1463">
        <v>3.5</v>
      </c>
      <c r="AA12" s="1464">
        <v>42360</v>
      </c>
      <c r="AB12" s="1460">
        <v>48</v>
      </c>
      <c r="AC12" s="1459">
        <v>42380</v>
      </c>
      <c r="AD12" s="1453"/>
      <c r="AE12" s="1453"/>
      <c r="AF12" s="1453"/>
      <c r="AG12" s="1453"/>
      <c r="AH12" s="1453"/>
      <c r="AI12" s="1457"/>
      <c r="AJ12" s="1453"/>
      <c r="AK12" s="1464"/>
      <c r="AL12" s="1460"/>
      <c r="AM12" s="1460"/>
      <c r="AN12" s="1457">
        <v>80000</v>
      </c>
      <c r="AO12" s="1467">
        <v>7</v>
      </c>
      <c r="AP12" s="1464">
        <v>42734</v>
      </c>
      <c r="AQ12" s="1460">
        <v>48</v>
      </c>
      <c r="AR12" s="1459">
        <v>42800</v>
      </c>
      <c r="AS12" s="1453"/>
      <c r="AT12" s="1453"/>
      <c r="AU12" s="1453"/>
      <c r="AV12" s="1460"/>
      <c r="AW12" s="1460"/>
      <c r="AX12" s="1457">
        <v>30000</v>
      </c>
      <c r="AY12" s="1463">
        <v>1</v>
      </c>
      <c r="AZ12" s="2027">
        <v>43098</v>
      </c>
      <c r="BA12" s="1469">
        <v>48</v>
      </c>
      <c r="BB12" s="2026">
        <v>43107</v>
      </c>
    </row>
    <row r="13" spans="1:54">
      <c r="A13" s="1453" t="s">
        <v>1987</v>
      </c>
      <c r="B13" s="1471" t="s">
        <v>1988</v>
      </c>
      <c r="C13" s="1472" t="s">
        <v>1989</v>
      </c>
      <c r="D13" s="1456">
        <f t="shared" si="0"/>
        <v>105000</v>
      </c>
      <c r="E13" s="1457"/>
      <c r="F13" s="1458"/>
      <c r="G13" s="1459"/>
      <c r="H13" s="1460"/>
      <c r="I13" s="1810"/>
      <c r="J13" s="1462"/>
      <c r="K13" s="1461"/>
      <c r="L13" s="1459"/>
      <c r="M13" s="1460"/>
      <c r="N13" s="1460"/>
      <c r="O13" s="1462">
        <v>10000</v>
      </c>
      <c r="P13" s="1461">
        <v>1</v>
      </c>
      <c r="Q13" s="1459">
        <v>41518</v>
      </c>
      <c r="R13" s="1460">
        <v>48</v>
      </c>
      <c r="S13" s="1459">
        <v>41358</v>
      </c>
      <c r="T13" s="1462">
        <v>30000</v>
      </c>
      <c r="U13" s="1461">
        <v>1</v>
      </c>
      <c r="V13" s="1459">
        <v>41964</v>
      </c>
      <c r="W13" s="1460">
        <v>48</v>
      </c>
      <c r="X13" s="1459">
        <v>41977</v>
      </c>
      <c r="Y13" s="1462">
        <v>20000</v>
      </c>
      <c r="Z13" s="1463">
        <v>3.5</v>
      </c>
      <c r="AA13" s="1464">
        <v>42360</v>
      </c>
      <c r="AB13" s="1460">
        <v>48</v>
      </c>
      <c r="AC13" s="1459">
        <v>42380</v>
      </c>
      <c r="AD13" s="1453"/>
      <c r="AE13" s="1453"/>
      <c r="AF13" s="1453"/>
      <c r="AG13" s="1453"/>
      <c r="AH13" s="1453"/>
      <c r="AI13" s="1457"/>
      <c r="AJ13" s="1453"/>
      <c r="AK13" s="1464"/>
      <c r="AL13" s="1460"/>
      <c r="AM13" s="1460"/>
      <c r="AN13" s="1457">
        <v>25000</v>
      </c>
      <c r="AO13" s="1467">
        <v>7</v>
      </c>
      <c r="AP13" s="1464">
        <v>42734</v>
      </c>
      <c r="AQ13" s="1460">
        <v>48</v>
      </c>
      <c r="AR13" s="1459">
        <v>42800</v>
      </c>
      <c r="AS13" s="1453"/>
      <c r="AT13" s="1453"/>
      <c r="AU13" s="1453"/>
      <c r="AV13" s="1460"/>
      <c r="AW13" s="1460"/>
      <c r="AX13" s="1457">
        <v>20000</v>
      </c>
      <c r="AY13" s="1463">
        <v>1</v>
      </c>
      <c r="AZ13" s="2027">
        <v>43098</v>
      </c>
      <c r="BA13" s="1469">
        <v>48</v>
      </c>
      <c r="BB13" s="2026">
        <v>43107</v>
      </c>
    </row>
    <row r="14" spans="1:54">
      <c r="A14" s="1453" t="s">
        <v>1990</v>
      </c>
      <c r="B14" s="1454" t="s">
        <v>1991</v>
      </c>
      <c r="C14" s="1455" t="s">
        <v>1992</v>
      </c>
      <c r="D14" s="1456">
        <f t="shared" si="0"/>
        <v>130000</v>
      </c>
      <c r="E14" s="1457"/>
      <c r="F14" s="1458"/>
      <c r="G14" s="1459"/>
      <c r="H14" s="1460"/>
      <c r="I14" s="1810"/>
      <c r="J14" s="1462"/>
      <c r="K14" s="1461"/>
      <c r="L14" s="1459"/>
      <c r="M14" s="1460"/>
      <c r="N14" s="1460"/>
      <c r="O14" s="1462"/>
      <c r="P14" s="1461"/>
      <c r="Q14" s="1459"/>
      <c r="R14" s="1460"/>
      <c r="S14" s="1460"/>
      <c r="T14" s="1462">
        <v>30000</v>
      </c>
      <c r="U14" s="1461">
        <v>1</v>
      </c>
      <c r="V14" s="1459">
        <v>41964</v>
      </c>
      <c r="W14" s="1460">
        <v>48</v>
      </c>
      <c r="X14" s="1459">
        <v>41977</v>
      </c>
      <c r="Y14" s="1462">
        <v>30000</v>
      </c>
      <c r="Z14" s="1463">
        <v>3.5</v>
      </c>
      <c r="AA14" s="1464">
        <v>42360</v>
      </c>
      <c r="AB14" s="1460">
        <v>48</v>
      </c>
      <c r="AC14" s="1459">
        <v>42380</v>
      </c>
      <c r="AD14" s="1453"/>
      <c r="AE14" s="1453"/>
      <c r="AF14" s="1453"/>
      <c r="AG14" s="1453"/>
      <c r="AH14" s="1453"/>
      <c r="AI14" s="1457"/>
      <c r="AJ14" s="1453"/>
      <c r="AK14" s="1464"/>
      <c r="AL14" s="1460"/>
      <c r="AM14" s="1460"/>
      <c r="AN14" s="1457">
        <v>40000</v>
      </c>
      <c r="AO14" s="1467">
        <v>7</v>
      </c>
      <c r="AP14" s="1464">
        <v>42734</v>
      </c>
      <c r="AQ14" s="1460">
        <v>48</v>
      </c>
      <c r="AR14" s="1459">
        <v>42800</v>
      </c>
      <c r="AS14" s="1453"/>
      <c r="AT14" s="1453"/>
      <c r="AU14" s="1453"/>
      <c r="AV14" s="1460"/>
      <c r="AW14" s="1460"/>
      <c r="AX14" s="1457">
        <v>30000</v>
      </c>
      <c r="AY14" s="1463">
        <v>1</v>
      </c>
      <c r="AZ14" s="2027">
        <v>43098</v>
      </c>
      <c r="BA14" s="1469">
        <v>48</v>
      </c>
      <c r="BB14" s="2026">
        <v>43107</v>
      </c>
    </row>
    <row r="15" spans="1:54">
      <c r="A15" s="1453" t="s">
        <v>1993</v>
      </c>
      <c r="B15" s="1454" t="s">
        <v>1994</v>
      </c>
      <c r="C15" s="1455" t="s">
        <v>1995</v>
      </c>
      <c r="D15" s="1456">
        <f t="shared" si="0"/>
        <v>29000</v>
      </c>
      <c r="E15" s="1457"/>
      <c r="F15" s="1458"/>
      <c r="G15" s="1459"/>
      <c r="H15" s="1460"/>
      <c r="I15" s="1810"/>
      <c r="J15" s="1462"/>
      <c r="K15" s="1461"/>
      <c r="L15" s="1459"/>
      <c r="M15" s="1460"/>
      <c r="N15" s="1460"/>
      <c r="O15" s="1462"/>
      <c r="P15" s="1461"/>
      <c r="Q15" s="1459"/>
      <c r="R15" s="1460"/>
      <c r="S15" s="1460"/>
      <c r="T15" s="1462">
        <v>10000</v>
      </c>
      <c r="U15" s="1461">
        <v>1</v>
      </c>
      <c r="V15" s="1459">
        <v>41964</v>
      </c>
      <c r="W15" s="1460">
        <v>48</v>
      </c>
      <c r="X15" s="1459">
        <v>41977</v>
      </c>
      <c r="Y15" s="1462">
        <v>10000</v>
      </c>
      <c r="Z15" s="1463">
        <v>3.5</v>
      </c>
      <c r="AA15" s="1464">
        <v>42360</v>
      </c>
      <c r="AB15" s="1460">
        <v>48</v>
      </c>
      <c r="AC15" s="1459">
        <v>42380</v>
      </c>
      <c r="AD15" s="1453"/>
      <c r="AE15" s="1453"/>
      <c r="AF15" s="1453"/>
      <c r="AG15" s="1453"/>
      <c r="AH15" s="1453"/>
      <c r="AI15" s="1457"/>
      <c r="AJ15" s="1453"/>
      <c r="AK15" s="1464"/>
      <c r="AL15" s="1460"/>
      <c r="AM15" s="1460"/>
      <c r="AN15" s="1457">
        <v>4000</v>
      </c>
      <c r="AO15" s="1467">
        <v>7</v>
      </c>
      <c r="AP15" s="1464">
        <v>42734</v>
      </c>
      <c r="AQ15" s="1460">
        <v>48</v>
      </c>
      <c r="AR15" s="1459">
        <v>42800</v>
      </c>
      <c r="AS15" s="1453"/>
      <c r="AT15" s="1453"/>
      <c r="AU15" s="1453"/>
      <c r="AV15" s="1460"/>
      <c r="AW15" s="1460"/>
      <c r="AX15" s="1457">
        <v>5000</v>
      </c>
      <c r="AY15" s="1463">
        <v>1</v>
      </c>
      <c r="AZ15" s="2027">
        <v>43098</v>
      </c>
      <c r="BA15" s="1469">
        <v>48</v>
      </c>
      <c r="BB15" s="2026">
        <v>43107</v>
      </c>
    </row>
    <row r="16" spans="1:54">
      <c r="A16" s="1453" t="s">
        <v>1996</v>
      </c>
      <c r="B16" s="1454" t="s">
        <v>1997</v>
      </c>
      <c r="C16" s="1455" t="s">
        <v>1998</v>
      </c>
      <c r="D16" s="1456">
        <f t="shared" si="0"/>
        <v>33000</v>
      </c>
      <c r="E16" s="1457"/>
      <c r="F16" s="1458"/>
      <c r="G16" s="1459"/>
      <c r="H16" s="1460"/>
      <c r="I16" s="1810"/>
      <c r="J16" s="1462"/>
      <c r="K16" s="1461"/>
      <c r="L16" s="1459"/>
      <c r="M16" s="1460"/>
      <c r="N16" s="1460"/>
      <c r="O16" s="1462"/>
      <c r="P16" s="1461"/>
      <c r="Q16" s="1459"/>
      <c r="R16" s="1460"/>
      <c r="S16" s="1460"/>
      <c r="T16" s="1462">
        <v>10000</v>
      </c>
      <c r="U16" s="1461">
        <v>1</v>
      </c>
      <c r="V16" s="1459">
        <v>41964</v>
      </c>
      <c r="W16" s="1460">
        <v>48</v>
      </c>
      <c r="X16" s="1459">
        <v>41977</v>
      </c>
      <c r="Y16" s="1462">
        <v>10000</v>
      </c>
      <c r="Z16" s="1463">
        <v>3.5</v>
      </c>
      <c r="AA16" s="1464">
        <v>42360</v>
      </c>
      <c r="AB16" s="1460">
        <v>48</v>
      </c>
      <c r="AC16" s="1459">
        <v>42380</v>
      </c>
      <c r="AD16" s="1453"/>
      <c r="AE16" s="1453"/>
      <c r="AF16" s="1453"/>
      <c r="AG16" s="1453"/>
      <c r="AH16" s="1453"/>
      <c r="AI16" s="1457"/>
      <c r="AJ16" s="1453"/>
      <c r="AK16" s="1464"/>
      <c r="AL16" s="1460"/>
      <c r="AM16" s="1460"/>
      <c r="AN16" s="1457">
        <v>3000</v>
      </c>
      <c r="AO16" s="1467">
        <v>7</v>
      </c>
      <c r="AP16" s="1464">
        <v>42734</v>
      </c>
      <c r="AQ16" s="1460">
        <v>48</v>
      </c>
      <c r="AR16" s="1459">
        <v>42800</v>
      </c>
      <c r="AS16" s="1453"/>
      <c r="AT16" s="1453"/>
      <c r="AU16" s="1453"/>
      <c r="AV16" s="1460"/>
      <c r="AW16" s="1460"/>
      <c r="AX16" s="1457">
        <v>10000</v>
      </c>
      <c r="AY16" s="1463">
        <v>1</v>
      </c>
      <c r="AZ16" s="2027">
        <v>43098</v>
      </c>
      <c r="BA16" s="1469">
        <v>48</v>
      </c>
      <c r="BB16" s="2026">
        <v>43107</v>
      </c>
    </row>
    <row r="17" spans="1:54">
      <c r="A17" s="1453" t="s">
        <v>1999</v>
      </c>
      <c r="B17" s="1454" t="s">
        <v>2000</v>
      </c>
      <c r="C17" s="1455" t="s">
        <v>2001</v>
      </c>
      <c r="D17" s="1456">
        <f t="shared" si="0"/>
        <v>100000</v>
      </c>
      <c r="E17" s="1457"/>
      <c r="F17" s="1458"/>
      <c r="G17" s="1459"/>
      <c r="H17" s="1460"/>
      <c r="I17" s="1810"/>
      <c r="J17" s="1462"/>
      <c r="K17" s="1461"/>
      <c r="L17" s="1459"/>
      <c r="M17" s="1460"/>
      <c r="N17" s="1460"/>
      <c r="O17" s="1462"/>
      <c r="P17" s="1461"/>
      <c r="Q17" s="1459"/>
      <c r="R17" s="1460"/>
      <c r="S17" s="1460"/>
      <c r="T17" s="1462">
        <v>20000</v>
      </c>
      <c r="U17" s="1461">
        <v>1</v>
      </c>
      <c r="V17" s="1459">
        <v>41964</v>
      </c>
      <c r="W17" s="1460">
        <v>48</v>
      </c>
      <c r="X17" s="1459">
        <v>41977</v>
      </c>
      <c r="Y17" s="1462">
        <v>20000</v>
      </c>
      <c r="Z17" s="1463">
        <v>3.5</v>
      </c>
      <c r="AA17" s="1464">
        <v>42360</v>
      </c>
      <c r="AB17" s="1460">
        <v>48</v>
      </c>
      <c r="AC17" s="1459">
        <v>42380</v>
      </c>
      <c r="AD17" s="1453"/>
      <c r="AE17" s="1453"/>
      <c r="AF17" s="1453"/>
      <c r="AG17" s="1453"/>
      <c r="AH17" s="1453"/>
      <c r="AI17" s="1457"/>
      <c r="AJ17" s="1453"/>
      <c r="AK17" s="1464"/>
      <c r="AL17" s="1460"/>
      <c r="AM17" s="1460"/>
      <c r="AN17" s="1457">
        <v>40000</v>
      </c>
      <c r="AO17" s="1467">
        <v>7</v>
      </c>
      <c r="AP17" s="1464">
        <v>42734</v>
      </c>
      <c r="AQ17" s="1460">
        <v>48</v>
      </c>
      <c r="AR17" s="1459">
        <v>42800</v>
      </c>
      <c r="AS17" s="1453"/>
      <c r="AT17" s="1453"/>
      <c r="AU17" s="1453"/>
      <c r="AV17" s="1460"/>
      <c r="AW17" s="1460"/>
      <c r="AX17" s="1457">
        <v>20000</v>
      </c>
      <c r="AY17" s="1463">
        <v>1</v>
      </c>
      <c r="AZ17" s="2027">
        <v>43098</v>
      </c>
      <c r="BA17" s="1469">
        <v>48</v>
      </c>
      <c r="BB17" s="2026">
        <v>43107</v>
      </c>
    </row>
    <row r="18" spans="1:54">
      <c r="A18" s="1453" t="s">
        <v>2002</v>
      </c>
      <c r="B18" s="1454" t="s">
        <v>2003</v>
      </c>
      <c r="C18" s="1455" t="s">
        <v>2004</v>
      </c>
      <c r="D18" s="1456">
        <f t="shared" si="0"/>
        <v>22000</v>
      </c>
      <c r="E18" s="1457"/>
      <c r="F18" s="1458"/>
      <c r="G18" s="1459"/>
      <c r="H18" s="1460"/>
      <c r="I18" s="1810"/>
      <c r="J18" s="1462"/>
      <c r="K18" s="1461"/>
      <c r="L18" s="1459"/>
      <c r="M18" s="1460"/>
      <c r="N18" s="1460"/>
      <c r="O18" s="1457"/>
      <c r="P18" s="1461"/>
      <c r="Q18" s="1459"/>
      <c r="R18" s="1460"/>
      <c r="S18" s="1460"/>
      <c r="T18" s="1462">
        <v>10000</v>
      </c>
      <c r="U18" s="1461">
        <v>1</v>
      </c>
      <c r="V18" s="1459">
        <v>41964</v>
      </c>
      <c r="W18" s="1460">
        <v>48</v>
      </c>
      <c r="X18" s="1459">
        <v>41977</v>
      </c>
      <c r="Y18" s="1462">
        <v>10000</v>
      </c>
      <c r="Z18" s="1463">
        <v>3.5</v>
      </c>
      <c r="AA18" s="1464">
        <v>42360</v>
      </c>
      <c r="AB18" s="1460">
        <v>48</v>
      </c>
      <c r="AC18" s="1459">
        <v>42380</v>
      </c>
      <c r="AD18" s="1453"/>
      <c r="AE18" s="1453"/>
      <c r="AF18" s="1453"/>
      <c r="AG18" s="1453"/>
      <c r="AH18" s="1453"/>
      <c r="AI18" s="1457"/>
      <c r="AJ18" s="1453"/>
      <c r="AK18" s="1464"/>
      <c r="AL18" s="1460"/>
      <c r="AM18" s="1460"/>
      <c r="AN18" s="1457">
        <v>1000</v>
      </c>
      <c r="AO18" s="1467">
        <v>7</v>
      </c>
      <c r="AP18" s="1464">
        <v>42734</v>
      </c>
      <c r="AQ18" s="1460">
        <v>48</v>
      </c>
      <c r="AR18" s="1459">
        <v>42800</v>
      </c>
      <c r="AS18" s="1453"/>
      <c r="AT18" s="1453"/>
      <c r="AU18" s="1453"/>
      <c r="AV18" s="1460"/>
      <c r="AW18" s="1460"/>
      <c r="AX18" s="1457">
        <v>1000</v>
      </c>
      <c r="AY18" s="1470"/>
      <c r="AZ18" s="2027">
        <v>43098</v>
      </c>
      <c r="BA18" s="1469">
        <v>48</v>
      </c>
      <c r="BB18" s="2026">
        <v>43107</v>
      </c>
    </row>
    <row r="19" spans="1:54">
      <c r="A19" s="1453" t="s">
        <v>2005</v>
      </c>
      <c r="B19" s="1454" t="s">
        <v>2006</v>
      </c>
      <c r="C19" s="1472" t="s">
        <v>2007</v>
      </c>
      <c r="D19" s="1456">
        <f t="shared" si="0"/>
        <v>11000</v>
      </c>
      <c r="E19" s="1457"/>
      <c r="F19" s="1458"/>
      <c r="G19" s="1459"/>
      <c r="H19" s="1460"/>
      <c r="I19" s="1810"/>
      <c r="J19" s="1457"/>
      <c r="K19" s="1461"/>
      <c r="L19" s="1459"/>
      <c r="M19" s="1460"/>
      <c r="N19" s="1460"/>
      <c r="O19" s="1457"/>
      <c r="P19" s="1461"/>
      <c r="Q19" s="1459"/>
      <c r="R19" s="1460"/>
      <c r="S19" s="1460"/>
      <c r="T19" s="1457"/>
      <c r="U19" s="1461"/>
      <c r="V19" s="1459"/>
      <c r="W19" s="1460"/>
      <c r="X19" s="1460"/>
      <c r="Y19" s="1462">
        <v>10000</v>
      </c>
      <c r="Z19" s="1463">
        <v>3.5</v>
      </c>
      <c r="AA19" s="1464">
        <v>42360</v>
      </c>
      <c r="AB19" s="1460">
        <v>48</v>
      </c>
      <c r="AC19" s="1459">
        <v>42380</v>
      </c>
      <c r="AD19" s="1453"/>
      <c r="AE19" s="1453"/>
      <c r="AF19" s="1453"/>
      <c r="AG19" s="1453"/>
      <c r="AH19" s="1453"/>
      <c r="AI19" s="1457"/>
      <c r="AJ19" s="1453"/>
      <c r="AK19" s="1464"/>
      <c r="AL19" s="1460"/>
      <c r="AM19" s="1460"/>
      <c r="AN19" s="1457">
        <v>1000</v>
      </c>
      <c r="AO19" s="1467">
        <v>7</v>
      </c>
      <c r="AP19" s="1464">
        <v>42734</v>
      </c>
      <c r="AQ19" s="1460">
        <v>48</v>
      </c>
      <c r="AR19" s="1459">
        <v>42800</v>
      </c>
      <c r="AS19" s="1453"/>
      <c r="AT19" s="1453"/>
      <c r="AU19" s="1453"/>
      <c r="AV19" s="1460"/>
      <c r="AW19" s="1460"/>
      <c r="AX19" s="1457">
        <v>0</v>
      </c>
      <c r="AY19" s="1463"/>
      <c r="AZ19" s="2027"/>
      <c r="BA19" s="1469"/>
      <c r="BB19" s="2026"/>
    </row>
    <row r="20" spans="1:54">
      <c r="A20" s="1453" t="s">
        <v>2008</v>
      </c>
      <c r="B20" s="1454" t="s">
        <v>2009</v>
      </c>
      <c r="C20" s="1472" t="s">
        <v>2010</v>
      </c>
      <c r="D20" s="1456">
        <f t="shared" si="0"/>
        <v>16000</v>
      </c>
      <c r="E20" s="1457"/>
      <c r="F20" s="1458"/>
      <c r="G20" s="1459"/>
      <c r="H20" s="1460"/>
      <c r="I20" s="1810"/>
      <c r="J20" s="1462"/>
      <c r="K20" s="1461"/>
      <c r="L20" s="1459"/>
      <c r="M20" s="1460"/>
      <c r="N20" s="1460"/>
      <c r="O20" s="1457"/>
      <c r="P20" s="1461"/>
      <c r="Q20" s="1459"/>
      <c r="R20" s="1460"/>
      <c r="S20" s="1460"/>
      <c r="T20" s="1457"/>
      <c r="U20" s="1461"/>
      <c r="V20" s="1459"/>
      <c r="W20" s="1460"/>
      <c r="X20" s="1460"/>
      <c r="Y20" s="1462">
        <v>10000</v>
      </c>
      <c r="Z20" s="1463">
        <v>3.5</v>
      </c>
      <c r="AA20" s="1464">
        <v>42360</v>
      </c>
      <c r="AB20" s="1460">
        <v>48</v>
      </c>
      <c r="AC20" s="1459">
        <v>42380</v>
      </c>
      <c r="AD20" s="1453"/>
      <c r="AE20" s="1453"/>
      <c r="AF20" s="1453"/>
      <c r="AG20" s="1453"/>
      <c r="AH20" s="1453"/>
      <c r="AI20" s="1457"/>
      <c r="AJ20" s="1453"/>
      <c r="AK20" s="1464"/>
      <c r="AL20" s="1460"/>
      <c r="AM20" s="1460"/>
      <c r="AN20" s="1457">
        <v>1000</v>
      </c>
      <c r="AO20" s="1467">
        <v>7</v>
      </c>
      <c r="AP20" s="1464">
        <v>42734</v>
      </c>
      <c r="AQ20" s="1460">
        <v>48</v>
      </c>
      <c r="AR20" s="1459">
        <v>42800</v>
      </c>
      <c r="AS20" s="1453"/>
      <c r="AT20" s="1453"/>
      <c r="AU20" s="1453"/>
      <c r="AV20" s="1460"/>
      <c r="AW20" s="1460"/>
      <c r="AX20" s="1457">
        <v>5000</v>
      </c>
      <c r="AY20" s="1463">
        <v>1</v>
      </c>
      <c r="AZ20" s="2027">
        <v>43098</v>
      </c>
      <c r="BA20" s="1469">
        <v>48</v>
      </c>
      <c r="BB20" s="2026">
        <v>43107</v>
      </c>
    </row>
    <row r="21" spans="1:54">
      <c r="A21" s="1453" t="s">
        <v>2011</v>
      </c>
      <c r="B21" s="1454" t="s">
        <v>2012</v>
      </c>
      <c r="C21" s="1472" t="s">
        <v>2013</v>
      </c>
      <c r="D21" s="1456">
        <f t="shared" si="0"/>
        <v>30000</v>
      </c>
      <c r="E21" s="1457"/>
      <c r="F21" s="1458"/>
      <c r="G21" s="1459"/>
      <c r="H21" s="1460"/>
      <c r="I21" s="1810"/>
      <c r="J21" s="1462"/>
      <c r="K21" s="1461"/>
      <c r="L21" s="1459"/>
      <c r="M21" s="1460"/>
      <c r="N21" s="1460"/>
      <c r="O21" s="1457"/>
      <c r="P21" s="1461"/>
      <c r="Q21" s="1459"/>
      <c r="R21" s="1460"/>
      <c r="S21" s="1460"/>
      <c r="T21" s="1457"/>
      <c r="U21" s="1461"/>
      <c r="V21" s="1459"/>
      <c r="W21" s="1460"/>
      <c r="X21" s="1460"/>
      <c r="Y21" s="1462">
        <v>10000</v>
      </c>
      <c r="Z21" s="1463">
        <v>3.5</v>
      </c>
      <c r="AA21" s="1464">
        <v>42360</v>
      </c>
      <c r="AB21" s="1460">
        <v>48</v>
      </c>
      <c r="AC21" s="1459">
        <v>42380</v>
      </c>
      <c r="AD21" s="1453"/>
      <c r="AE21" s="1453"/>
      <c r="AF21" s="1453"/>
      <c r="AG21" s="1453"/>
      <c r="AH21" s="1453"/>
      <c r="AI21" s="1457"/>
      <c r="AJ21" s="1453"/>
      <c r="AK21" s="1464"/>
      <c r="AL21" s="1460"/>
      <c r="AM21" s="1460"/>
      <c r="AN21" s="1457">
        <v>5000</v>
      </c>
      <c r="AO21" s="1467">
        <v>7</v>
      </c>
      <c r="AP21" s="1464">
        <v>42734</v>
      </c>
      <c r="AQ21" s="1460">
        <v>48</v>
      </c>
      <c r="AR21" s="1459">
        <v>42800</v>
      </c>
      <c r="AS21" s="1453"/>
      <c r="AT21" s="1453"/>
      <c r="AU21" s="1453"/>
      <c r="AV21" s="1460"/>
      <c r="AW21" s="1460"/>
      <c r="AX21" s="1457">
        <v>15000</v>
      </c>
      <c r="AY21" s="1463">
        <v>1</v>
      </c>
      <c r="AZ21" s="2027">
        <v>43098</v>
      </c>
      <c r="BA21" s="1469">
        <v>48</v>
      </c>
      <c r="BB21" s="2026">
        <v>43107</v>
      </c>
    </row>
    <row r="22" spans="1:54">
      <c r="A22" s="1453" t="s">
        <v>2014</v>
      </c>
      <c r="B22" s="1454" t="s">
        <v>2015</v>
      </c>
      <c r="C22" s="1472" t="s">
        <v>2016</v>
      </c>
      <c r="D22" s="1456">
        <f t="shared" si="0"/>
        <v>110000</v>
      </c>
      <c r="E22" s="1457"/>
      <c r="F22" s="1458"/>
      <c r="G22" s="1459"/>
      <c r="H22" s="1460"/>
      <c r="I22" s="1810"/>
      <c r="J22" s="1462"/>
      <c r="K22" s="1461"/>
      <c r="L22" s="1459"/>
      <c r="M22" s="1460"/>
      <c r="N22" s="1460"/>
      <c r="O22" s="1462"/>
      <c r="P22" s="1461"/>
      <c r="Q22" s="1459"/>
      <c r="R22" s="1460"/>
      <c r="S22" s="1460"/>
      <c r="T22" s="1462"/>
      <c r="U22" s="1461"/>
      <c r="V22" s="1459"/>
      <c r="W22" s="1460"/>
      <c r="X22" s="1460"/>
      <c r="Y22" s="1462">
        <v>50000</v>
      </c>
      <c r="Z22" s="1463">
        <v>3.5</v>
      </c>
      <c r="AA22" s="1464">
        <v>42360</v>
      </c>
      <c r="AB22" s="1460">
        <v>48</v>
      </c>
      <c r="AC22" s="1459">
        <v>42380</v>
      </c>
      <c r="AD22" s="1453"/>
      <c r="AE22" s="1453"/>
      <c r="AF22" s="1453"/>
      <c r="AG22" s="1453"/>
      <c r="AH22" s="1453"/>
      <c r="AI22" s="1457"/>
      <c r="AJ22" s="1453"/>
      <c r="AK22" s="1464"/>
      <c r="AL22" s="1460"/>
      <c r="AM22" s="1460"/>
      <c r="AN22" s="1457">
        <v>40000</v>
      </c>
      <c r="AO22" s="1467">
        <v>7</v>
      </c>
      <c r="AP22" s="1464">
        <v>42734</v>
      </c>
      <c r="AQ22" s="1460">
        <v>48</v>
      </c>
      <c r="AR22" s="1459">
        <v>42800</v>
      </c>
      <c r="AS22" s="1453"/>
      <c r="AT22" s="1453"/>
      <c r="AU22" s="1453"/>
      <c r="AV22" s="1460"/>
      <c r="AW22" s="1460"/>
      <c r="AX22" s="1457">
        <v>20000</v>
      </c>
      <c r="AY22" s="1463">
        <v>1</v>
      </c>
      <c r="AZ22" s="2027">
        <v>43098</v>
      </c>
      <c r="BA22" s="1469">
        <v>48</v>
      </c>
      <c r="BB22" s="2026">
        <v>43107</v>
      </c>
    </row>
    <row r="23" spans="1:54">
      <c r="A23" s="1453" t="s">
        <v>2017</v>
      </c>
      <c r="B23" s="1454" t="s">
        <v>2018</v>
      </c>
      <c r="C23" s="1472" t="s">
        <v>2019</v>
      </c>
      <c r="D23" s="1456">
        <f t="shared" si="0"/>
        <v>35000</v>
      </c>
      <c r="E23" s="1457"/>
      <c r="F23" s="1458"/>
      <c r="G23" s="1459"/>
      <c r="H23" s="1460"/>
      <c r="I23" s="1810"/>
      <c r="J23" s="1457"/>
      <c r="K23" s="1461"/>
      <c r="L23" s="1459"/>
      <c r="M23" s="1460"/>
      <c r="N23" s="1460"/>
      <c r="O23" s="1457"/>
      <c r="P23" s="1461"/>
      <c r="Q23" s="1459"/>
      <c r="R23" s="1460"/>
      <c r="S23" s="1460"/>
      <c r="T23" s="1457"/>
      <c r="U23" s="1461"/>
      <c r="V23" s="1459"/>
      <c r="W23" s="1460"/>
      <c r="X23" s="1460"/>
      <c r="Y23" s="1462">
        <v>10000</v>
      </c>
      <c r="Z23" s="1463">
        <v>3.5</v>
      </c>
      <c r="AA23" s="1464">
        <v>42360</v>
      </c>
      <c r="AB23" s="1460">
        <v>48</v>
      </c>
      <c r="AC23" s="1459">
        <v>42380</v>
      </c>
      <c r="AD23" s="1453"/>
      <c r="AE23" s="1453"/>
      <c r="AF23" s="1453"/>
      <c r="AG23" s="1453"/>
      <c r="AH23" s="1453"/>
      <c r="AI23" s="1457"/>
      <c r="AJ23" s="1453"/>
      <c r="AK23" s="1464"/>
      <c r="AL23" s="1460"/>
      <c r="AM23" s="1460"/>
      <c r="AN23" s="1457">
        <v>10000</v>
      </c>
      <c r="AO23" s="1467">
        <v>7</v>
      </c>
      <c r="AP23" s="1464">
        <v>42734</v>
      </c>
      <c r="AQ23" s="1460">
        <v>48</v>
      </c>
      <c r="AR23" s="1459">
        <v>42800</v>
      </c>
      <c r="AS23" s="1453"/>
      <c r="AT23" s="1453"/>
      <c r="AU23" s="1453"/>
      <c r="AV23" s="1460"/>
      <c r="AW23" s="1460"/>
      <c r="AX23" s="1457">
        <v>15000</v>
      </c>
      <c r="AY23" s="1463">
        <v>1</v>
      </c>
      <c r="AZ23" s="2027">
        <v>43098</v>
      </c>
      <c r="BA23" s="1469">
        <v>48</v>
      </c>
      <c r="BB23" s="2026">
        <v>43107</v>
      </c>
    </row>
    <row r="24" spans="1:54">
      <c r="A24" s="1453" t="s">
        <v>2020</v>
      </c>
      <c r="B24" s="1454" t="s">
        <v>2021</v>
      </c>
      <c r="C24" s="1472" t="s">
        <v>2007</v>
      </c>
      <c r="D24" s="1456">
        <f t="shared" si="0"/>
        <v>11000</v>
      </c>
      <c r="E24" s="1457"/>
      <c r="F24" s="1458"/>
      <c r="G24" s="1459"/>
      <c r="H24" s="1460"/>
      <c r="I24" s="1810"/>
      <c r="J24" s="1457"/>
      <c r="K24" s="1461"/>
      <c r="L24" s="1459"/>
      <c r="M24" s="1460"/>
      <c r="N24" s="1460"/>
      <c r="O24" s="1457"/>
      <c r="P24" s="1461"/>
      <c r="Q24" s="1459"/>
      <c r="R24" s="1460"/>
      <c r="S24" s="1460"/>
      <c r="T24" s="1457"/>
      <c r="U24" s="1461"/>
      <c r="V24" s="1459"/>
      <c r="W24" s="1460"/>
      <c r="X24" s="1460"/>
      <c r="Y24" s="1462">
        <v>10000</v>
      </c>
      <c r="Z24" s="1463">
        <v>3.5</v>
      </c>
      <c r="AA24" s="1464">
        <v>42360</v>
      </c>
      <c r="AB24" s="1460">
        <v>48</v>
      </c>
      <c r="AC24" s="1459">
        <v>42380</v>
      </c>
      <c r="AD24" s="1453"/>
      <c r="AE24" s="1453"/>
      <c r="AF24" s="1453"/>
      <c r="AG24" s="1453"/>
      <c r="AH24" s="1453"/>
      <c r="AI24" s="1457"/>
      <c r="AJ24" s="1453"/>
      <c r="AK24" s="1464"/>
      <c r="AL24" s="1460"/>
      <c r="AM24" s="1460"/>
      <c r="AN24" s="1457">
        <v>1000</v>
      </c>
      <c r="AO24" s="1467">
        <v>7</v>
      </c>
      <c r="AP24" s="1464">
        <v>42734</v>
      </c>
      <c r="AQ24" s="1460">
        <v>48</v>
      </c>
      <c r="AR24" s="1459">
        <v>42800</v>
      </c>
      <c r="AS24" s="1453"/>
      <c r="AT24" s="1453"/>
      <c r="AU24" s="1453"/>
      <c r="AV24" s="1460"/>
      <c r="AW24" s="1460"/>
      <c r="AX24" s="1457">
        <v>0</v>
      </c>
      <c r="AY24" s="1463"/>
      <c r="AZ24" s="2027"/>
      <c r="BA24" s="1469"/>
      <c r="BB24" s="2026"/>
    </row>
    <row r="25" spans="1:54">
      <c r="A25" s="1453" t="s">
        <v>2022</v>
      </c>
      <c r="B25" s="1454" t="s">
        <v>2023</v>
      </c>
      <c r="C25" s="1472" t="s">
        <v>2007</v>
      </c>
      <c r="D25" s="1456">
        <f t="shared" si="0"/>
        <v>11000</v>
      </c>
      <c r="E25" s="1457"/>
      <c r="F25" s="1458"/>
      <c r="G25" s="1459"/>
      <c r="H25" s="1460"/>
      <c r="I25" s="1810"/>
      <c r="J25" s="1457"/>
      <c r="K25" s="1461"/>
      <c r="L25" s="1459"/>
      <c r="M25" s="1460"/>
      <c r="N25" s="1460"/>
      <c r="O25" s="1457"/>
      <c r="P25" s="1461"/>
      <c r="Q25" s="1459"/>
      <c r="R25" s="1460"/>
      <c r="S25" s="1460"/>
      <c r="T25" s="1457"/>
      <c r="U25" s="1461"/>
      <c r="V25" s="1459"/>
      <c r="W25" s="1460"/>
      <c r="X25" s="1460"/>
      <c r="Y25" s="1462">
        <v>10000</v>
      </c>
      <c r="Z25" s="1463">
        <v>3.5</v>
      </c>
      <c r="AA25" s="1464">
        <v>42360</v>
      </c>
      <c r="AB25" s="1460">
        <v>48</v>
      </c>
      <c r="AC25" s="1459">
        <v>42380</v>
      </c>
      <c r="AD25" s="1453"/>
      <c r="AE25" s="1453"/>
      <c r="AF25" s="1453"/>
      <c r="AG25" s="1453"/>
      <c r="AH25" s="1453"/>
      <c r="AI25" s="1457"/>
      <c r="AJ25" s="1453"/>
      <c r="AK25" s="1464"/>
      <c r="AL25" s="1460"/>
      <c r="AM25" s="1460"/>
      <c r="AN25" s="1457">
        <v>1000</v>
      </c>
      <c r="AO25" s="1467">
        <v>7</v>
      </c>
      <c r="AP25" s="1464">
        <v>42734</v>
      </c>
      <c r="AQ25" s="1460">
        <v>48</v>
      </c>
      <c r="AR25" s="1459">
        <v>42800</v>
      </c>
      <c r="AS25" s="1453"/>
      <c r="AT25" s="1453"/>
      <c r="AU25" s="1453"/>
      <c r="AV25" s="1460"/>
      <c r="AW25" s="1460"/>
      <c r="AX25" s="1457">
        <v>0</v>
      </c>
      <c r="AY25" s="1463"/>
      <c r="AZ25" s="2027"/>
      <c r="BA25" s="1469"/>
      <c r="BB25" s="2026"/>
    </row>
    <row r="26" spans="1:54">
      <c r="A26" s="1453" t="s">
        <v>2024</v>
      </c>
      <c r="B26" s="1454" t="s">
        <v>2025</v>
      </c>
      <c r="C26" s="1472" t="s">
        <v>2026</v>
      </c>
      <c r="D26" s="1456">
        <f t="shared" si="0"/>
        <v>20000</v>
      </c>
      <c r="E26" s="1457"/>
      <c r="F26" s="1458"/>
      <c r="G26" s="1459"/>
      <c r="H26" s="1460"/>
      <c r="I26" s="1810"/>
      <c r="J26" s="1457"/>
      <c r="K26" s="1461"/>
      <c r="L26" s="1459"/>
      <c r="M26" s="1460"/>
      <c r="N26" s="1460"/>
      <c r="O26" s="1457"/>
      <c r="P26" s="1461"/>
      <c r="Q26" s="1459"/>
      <c r="R26" s="1460"/>
      <c r="S26" s="1460"/>
      <c r="T26" s="1457"/>
      <c r="U26" s="1461"/>
      <c r="V26" s="1459"/>
      <c r="W26" s="1460"/>
      <c r="X26" s="1460"/>
      <c r="Y26" s="1462">
        <v>10000</v>
      </c>
      <c r="Z26" s="1463">
        <v>3.5</v>
      </c>
      <c r="AA26" s="1464">
        <v>42360</v>
      </c>
      <c r="AB26" s="1460">
        <v>48</v>
      </c>
      <c r="AC26" s="1459">
        <v>42380</v>
      </c>
      <c r="AD26" s="1453"/>
      <c r="AE26" s="1453"/>
      <c r="AF26" s="1453"/>
      <c r="AG26" s="1453"/>
      <c r="AH26" s="1453"/>
      <c r="AI26" s="1457"/>
      <c r="AJ26" s="1453"/>
      <c r="AK26" s="1464"/>
      <c r="AL26" s="1460"/>
      <c r="AM26" s="1460"/>
      <c r="AN26" s="1457">
        <v>10000</v>
      </c>
      <c r="AO26" s="1467">
        <v>7</v>
      </c>
      <c r="AP26" s="1464">
        <v>42734</v>
      </c>
      <c r="AQ26" s="1460">
        <v>48</v>
      </c>
      <c r="AR26" s="1459">
        <v>42800</v>
      </c>
      <c r="AS26" s="1453"/>
      <c r="AT26" s="1453"/>
      <c r="AU26" s="1453"/>
      <c r="AV26" s="1460"/>
      <c r="AW26" s="1460"/>
      <c r="AX26" s="1457">
        <v>0</v>
      </c>
      <c r="AY26" s="1463"/>
      <c r="AZ26" s="2027"/>
      <c r="BA26" s="1469"/>
      <c r="BB26" s="2026"/>
    </row>
    <row r="27" spans="1:54">
      <c r="A27" s="1453" t="s">
        <v>2027</v>
      </c>
      <c r="B27" s="1454" t="s">
        <v>2028</v>
      </c>
      <c r="C27" s="1472" t="s">
        <v>2029</v>
      </c>
      <c r="D27" s="1456">
        <f t="shared" si="0"/>
        <v>80000</v>
      </c>
      <c r="E27" s="1457"/>
      <c r="F27" s="1458"/>
      <c r="G27" s="1459"/>
      <c r="H27" s="1460"/>
      <c r="I27" s="1810"/>
      <c r="J27" s="1457"/>
      <c r="K27" s="1461"/>
      <c r="L27" s="1459"/>
      <c r="M27" s="1460"/>
      <c r="N27" s="1460"/>
      <c r="O27" s="1457"/>
      <c r="P27" s="1461"/>
      <c r="Q27" s="1459"/>
      <c r="R27" s="1460"/>
      <c r="S27" s="1460"/>
      <c r="T27" s="1457"/>
      <c r="U27" s="1461"/>
      <c r="V27" s="1459"/>
      <c r="W27" s="1460"/>
      <c r="X27" s="1460"/>
      <c r="Y27" s="1462">
        <v>10000</v>
      </c>
      <c r="Z27" s="1463">
        <v>3.5</v>
      </c>
      <c r="AA27" s="1464">
        <v>42360</v>
      </c>
      <c r="AB27" s="1460">
        <v>48</v>
      </c>
      <c r="AC27" s="1459">
        <v>42380</v>
      </c>
      <c r="AD27" s="1453"/>
      <c r="AE27" s="1453"/>
      <c r="AF27" s="1453"/>
      <c r="AG27" s="1453"/>
      <c r="AH27" s="1453"/>
      <c r="AI27" s="1457"/>
      <c r="AJ27" s="1453"/>
      <c r="AK27" s="1464"/>
      <c r="AL27" s="1460"/>
      <c r="AM27" s="1460"/>
      <c r="AN27" s="1457">
        <v>40000</v>
      </c>
      <c r="AO27" s="1467">
        <v>7</v>
      </c>
      <c r="AP27" s="1464">
        <v>42734</v>
      </c>
      <c r="AQ27" s="1460">
        <v>48</v>
      </c>
      <c r="AR27" s="1459">
        <v>42800</v>
      </c>
      <c r="AS27" s="1453"/>
      <c r="AT27" s="1453"/>
      <c r="AU27" s="1453"/>
      <c r="AV27" s="1460"/>
      <c r="AW27" s="1460"/>
      <c r="AX27" s="1457">
        <v>30000</v>
      </c>
      <c r="AY27" s="1463">
        <v>1</v>
      </c>
      <c r="AZ27" s="2027">
        <v>43098</v>
      </c>
      <c r="BA27" s="1469">
        <v>48</v>
      </c>
      <c r="BB27" s="2026">
        <v>43107</v>
      </c>
    </row>
    <row r="28" spans="1:54">
      <c r="A28" s="1453" t="s">
        <v>2030</v>
      </c>
      <c r="B28" s="1454" t="s">
        <v>2031</v>
      </c>
      <c r="C28" s="1472" t="s">
        <v>2032</v>
      </c>
      <c r="D28" s="1456">
        <f t="shared" si="0"/>
        <v>2000</v>
      </c>
      <c r="E28" s="1457"/>
      <c r="F28" s="1458"/>
      <c r="G28" s="1459"/>
      <c r="H28" s="1460"/>
      <c r="I28" s="1810"/>
      <c r="J28" s="1457"/>
      <c r="K28" s="1461"/>
      <c r="L28" s="1459"/>
      <c r="M28" s="1460"/>
      <c r="N28" s="1460"/>
      <c r="O28" s="1457"/>
      <c r="P28" s="1461"/>
      <c r="Q28" s="1459"/>
      <c r="R28" s="1460"/>
      <c r="S28" s="1460"/>
      <c r="T28" s="1457"/>
      <c r="U28" s="1461"/>
      <c r="V28" s="1459"/>
      <c r="W28" s="1460"/>
      <c r="X28" s="1460"/>
      <c r="Y28" s="1462"/>
      <c r="Z28" s="1463"/>
      <c r="AA28" s="1464"/>
      <c r="AB28" s="1460"/>
      <c r="AC28" s="1460"/>
      <c r="AD28" s="1453"/>
      <c r="AE28" s="1453"/>
      <c r="AF28" s="1453"/>
      <c r="AG28" s="1453"/>
      <c r="AH28" s="1453"/>
      <c r="AI28" s="1457"/>
      <c r="AJ28" s="1453"/>
      <c r="AK28" s="1464"/>
      <c r="AL28" s="1460"/>
      <c r="AM28" s="1460"/>
      <c r="AN28" s="1457">
        <v>1000</v>
      </c>
      <c r="AO28" s="1467">
        <v>7</v>
      </c>
      <c r="AP28" s="1464">
        <v>42734</v>
      </c>
      <c r="AQ28" s="1460">
        <v>48</v>
      </c>
      <c r="AR28" s="1459">
        <v>42800</v>
      </c>
      <c r="AS28" s="1453"/>
      <c r="AT28" s="1453"/>
      <c r="AU28" s="1467"/>
      <c r="AV28" s="1460"/>
      <c r="AW28" s="1460"/>
      <c r="AX28" s="1457">
        <v>1000</v>
      </c>
      <c r="AY28" s="1463">
        <v>1</v>
      </c>
      <c r="AZ28" s="2027">
        <v>43098</v>
      </c>
      <c r="BA28" s="1469">
        <v>48</v>
      </c>
      <c r="BB28" s="2026">
        <v>43107</v>
      </c>
    </row>
    <row r="29" spans="1:54">
      <c r="A29" s="1453" t="s">
        <v>2033</v>
      </c>
      <c r="B29" s="1454" t="s">
        <v>2034</v>
      </c>
      <c r="C29" s="1472" t="s">
        <v>2035</v>
      </c>
      <c r="D29" s="1456">
        <f t="shared" si="0"/>
        <v>5000</v>
      </c>
      <c r="E29" s="1457"/>
      <c r="F29" s="1458"/>
      <c r="G29" s="1459"/>
      <c r="H29" s="1460"/>
      <c r="I29" s="1810"/>
      <c r="J29" s="1457"/>
      <c r="K29" s="1461"/>
      <c r="L29" s="1459"/>
      <c r="M29" s="1460"/>
      <c r="N29" s="1460"/>
      <c r="O29" s="1457"/>
      <c r="P29" s="1461"/>
      <c r="Q29" s="1459"/>
      <c r="R29" s="1460"/>
      <c r="S29" s="1460"/>
      <c r="T29" s="1457"/>
      <c r="U29" s="1461"/>
      <c r="V29" s="1459"/>
      <c r="W29" s="1460"/>
      <c r="X29" s="1460"/>
      <c r="Y29" s="1462"/>
      <c r="Z29" s="1463"/>
      <c r="AA29" s="1464"/>
      <c r="AB29" s="1460"/>
      <c r="AC29" s="1460"/>
      <c r="AD29" s="1453"/>
      <c r="AE29" s="1453"/>
      <c r="AF29" s="1453"/>
      <c r="AG29" s="1453"/>
      <c r="AH29" s="1453"/>
      <c r="AI29" s="1457"/>
      <c r="AJ29" s="1453"/>
      <c r="AK29" s="1464"/>
      <c r="AL29" s="1460"/>
      <c r="AM29" s="1460"/>
      <c r="AN29" s="1457">
        <v>5000</v>
      </c>
      <c r="AO29" s="1467">
        <v>7</v>
      </c>
      <c r="AP29" s="1464">
        <v>42734</v>
      </c>
      <c r="AQ29" s="1460">
        <v>48</v>
      </c>
      <c r="AR29" s="1459">
        <v>42800</v>
      </c>
      <c r="AS29" s="1453"/>
      <c r="AT29" s="1453"/>
      <c r="AU29" s="1467"/>
      <c r="AV29" s="1460"/>
      <c r="AW29" s="1460"/>
      <c r="AX29" s="1457">
        <v>0</v>
      </c>
      <c r="AY29" s="1463"/>
      <c r="AZ29" s="2027"/>
      <c r="BA29" s="1469"/>
      <c r="BB29" s="2026"/>
    </row>
    <row r="30" spans="1:54">
      <c r="A30" s="1453" t="s">
        <v>2036</v>
      </c>
      <c r="B30" s="1454" t="s">
        <v>2037</v>
      </c>
      <c r="C30" s="1472"/>
      <c r="D30" s="1456">
        <f>E30+J30+O30+T30+Y30+AD30+AI30+AN30+AS30+AX30</f>
        <v>50000</v>
      </c>
      <c r="E30" s="1457"/>
      <c r="F30" s="1458"/>
      <c r="G30" s="1459"/>
      <c r="H30" s="1460"/>
      <c r="I30" s="1810"/>
      <c r="J30" s="1462"/>
      <c r="K30" s="1461"/>
      <c r="L30" s="1459"/>
      <c r="M30" s="1460"/>
      <c r="N30" s="1460"/>
      <c r="O30" s="1462"/>
      <c r="P30" s="1461"/>
      <c r="Q30" s="1459"/>
      <c r="R30" s="1460"/>
      <c r="S30" s="1460"/>
      <c r="T30" s="1462"/>
      <c r="U30" s="1461"/>
      <c r="V30" s="1459"/>
      <c r="W30" s="1460"/>
      <c r="X30" s="1460"/>
      <c r="Y30" s="1462">
        <v>50000</v>
      </c>
      <c r="Z30" s="1463">
        <v>3.5</v>
      </c>
      <c r="AA30" s="1464">
        <v>42360</v>
      </c>
      <c r="AB30" s="1460">
        <v>48</v>
      </c>
      <c r="AC30" s="1459">
        <v>42380</v>
      </c>
      <c r="AD30" s="1453"/>
      <c r="AE30" s="1453"/>
      <c r="AF30" s="1453"/>
      <c r="AG30" s="1453"/>
      <c r="AH30" s="1453"/>
      <c r="AI30" s="1457"/>
      <c r="AJ30" s="1453"/>
      <c r="AK30" s="1464"/>
      <c r="AL30" s="1460"/>
      <c r="AM30" s="1460"/>
      <c r="AN30" s="1457"/>
      <c r="AO30" s="1467">
        <v>7</v>
      </c>
      <c r="AP30" s="1464">
        <v>42734</v>
      </c>
      <c r="AQ30" s="1460">
        <v>48</v>
      </c>
      <c r="AR30" s="1459">
        <v>42800</v>
      </c>
      <c r="AS30" s="1453"/>
      <c r="AT30" s="1453"/>
      <c r="AU30" s="1467"/>
      <c r="AV30" s="1460"/>
      <c r="AW30" s="1460"/>
      <c r="AX30" s="1457">
        <v>0</v>
      </c>
      <c r="AY30" s="1463"/>
      <c r="AZ30" s="2027"/>
      <c r="BA30" s="1469"/>
      <c r="BB30" s="2026"/>
    </row>
    <row r="31" spans="1:54">
      <c r="A31" s="1453" t="s">
        <v>2038</v>
      </c>
      <c r="B31" s="1454" t="s">
        <v>2039</v>
      </c>
      <c r="C31" s="1472" t="s">
        <v>2040</v>
      </c>
      <c r="D31" s="1456">
        <f t="shared" si="0"/>
        <v>20000</v>
      </c>
      <c r="E31" s="1457"/>
      <c r="F31" s="1458"/>
      <c r="G31" s="1459"/>
      <c r="H31" s="1460"/>
      <c r="I31" s="1810"/>
      <c r="J31" s="1457"/>
      <c r="K31" s="1461"/>
      <c r="L31" s="1459"/>
      <c r="M31" s="1460"/>
      <c r="N31" s="1460"/>
      <c r="O31" s="1457"/>
      <c r="P31" s="1461"/>
      <c r="Q31" s="1459"/>
      <c r="R31" s="1460"/>
      <c r="S31" s="1460"/>
      <c r="T31" s="1457"/>
      <c r="U31" s="1461"/>
      <c r="V31" s="1459"/>
      <c r="W31" s="1460"/>
      <c r="X31" s="1460"/>
      <c r="Y31" s="1462"/>
      <c r="Z31" s="1463"/>
      <c r="AA31" s="1464"/>
      <c r="AB31" s="1460"/>
      <c r="AC31" s="1460"/>
      <c r="AD31" s="1453"/>
      <c r="AE31" s="1453"/>
      <c r="AF31" s="1453"/>
      <c r="AG31" s="1453"/>
      <c r="AH31" s="1453"/>
      <c r="AI31" s="1457">
        <v>10000</v>
      </c>
      <c r="AJ31" s="1453">
        <v>7</v>
      </c>
      <c r="AK31" s="1464">
        <v>42734</v>
      </c>
      <c r="AL31" s="1460">
        <v>48</v>
      </c>
      <c r="AM31" s="1459">
        <v>42800</v>
      </c>
      <c r="AN31" s="1457"/>
      <c r="AO31" s="1467">
        <v>7</v>
      </c>
      <c r="AP31" s="1464">
        <v>42734</v>
      </c>
      <c r="AQ31" s="1460">
        <v>48</v>
      </c>
      <c r="AR31" s="1459">
        <v>42800</v>
      </c>
      <c r="AS31" s="1453"/>
      <c r="AT31" s="1453"/>
      <c r="AU31" s="1467"/>
      <c r="AV31" s="1460"/>
      <c r="AW31" s="1460"/>
      <c r="AX31" s="1457">
        <v>10000</v>
      </c>
      <c r="AY31" s="1463">
        <v>1</v>
      </c>
      <c r="AZ31" s="2027">
        <v>43098</v>
      </c>
      <c r="BA31" s="1469">
        <v>48</v>
      </c>
      <c r="BB31" s="2026">
        <v>43107</v>
      </c>
    </row>
    <row r="32" spans="1:54">
      <c r="A32" s="1453" t="s">
        <v>2041</v>
      </c>
      <c r="B32" s="1454" t="s">
        <v>2042</v>
      </c>
      <c r="C32" s="1472" t="s">
        <v>2043</v>
      </c>
      <c r="D32" s="1456">
        <f t="shared" si="0"/>
        <v>2000</v>
      </c>
      <c r="E32" s="1457"/>
      <c r="F32" s="1458"/>
      <c r="G32" s="1459"/>
      <c r="H32" s="1460"/>
      <c r="I32" s="1810"/>
      <c r="J32" s="1457"/>
      <c r="K32" s="1461"/>
      <c r="L32" s="1459"/>
      <c r="M32" s="1460"/>
      <c r="N32" s="1460"/>
      <c r="O32" s="1457"/>
      <c r="P32" s="1461"/>
      <c r="Q32" s="1459"/>
      <c r="R32" s="1460"/>
      <c r="S32" s="1460"/>
      <c r="T32" s="1457"/>
      <c r="U32" s="1461"/>
      <c r="V32" s="1459"/>
      <c r="W32" s="1460"/>
      <c r="X32" s="1460"/>
      <c r="Y32" s="1462"/>
      <c r="Z32" s="1463"/>
      <c r="AA32" s="1464"/>
      <c r="AB32" s="1460"/>
      <c r="AC32" s="1460"/>
      <c r="AD32" s="1453"/>
      <c r="AE32" s="1453"/>
      <c r="AF32" s="1453"/>
      <c r="AG32" s="1453"/>
      <c r="AH32" s="1453"/>
      <c r="AI32" s="1457"/>
      <c r="AJ32" s="1453"/>
      <c r="AK32" s="1464"/>
      <c r="AL32" s="1460"/>
      <c r="AM32" s="1460"/>
      <c r="AN32" s="1457">
        <v>1000</v>
      </c>
      <c r="AO32" s="1467">
        <v>7</v>
      </c>
      <c r="AP32" s="1464">
        <v>42734</v>
      </c>
      <c r="AQ32" s="1460">
        <v>48</v>
      </c>
      <c r="AR32" s="1459">
        <v>42800</v>
      </c>
      <c r="AS32" s="1453"/>
      <c r="AT32" s="1453"/>
      <c r="AU32" s="1467"/>
      <c r="AV32" s="1460"/>
      <c r="AW32" s="1460"/>
      <c r="AX32" s="1457">
        <v>1000</v>
      </c>
      <c r="AY32" s="1463">
        <v>1</v>
      </c>
      <c r="AZ32" s="2027">
        <v>43098</v>
      </c>
      <c r="BA32" s="1469">
        <v>48</v>
      </c>
      <c r="BB32" s="2026">
        <v>43107</v>
      </c>
    </row>
    <row r="33" spans="1:54">
      <c r="A33" s="1453" t="s">
        <v>2044</v>
      </c>
      <c r="B33" s="1454" t="s">
        <v>2045</v>
      </c>
      <c r="C33" s="1472" t="s">
        <v>2035</v>
      </c>
      <c r="D33" s="1456">
        <f t="shared" si="0"/>
        <v>7000</v>
      </c>
      <c r="E33" s="1457"/>
      <c r="F33" s="1458"/>
      <c r="G33" s="1459"/>
      <c r="H33" s="1460"/>
      <c r="I33" s="1810"/>
      <c r="J33" s="1457"/>
      <c r="K33" s="1461"/>
      <c r="L33" s="1459"/>
      <c r="M33" s="1460"/>
      <c r="N33" s="1460"/>
      <c r="O33" s="1457"/>
      <c r="P33" s="1461"/>
      <c r="Q33" s="1459"/>
      <c r="R33" s="1460"/>
      <c r="S33" s="1460"/>
      <c r="T33" s="1457"/>
      <c r="U33" s="1461"/>
      <c r="V33" s="1459"/>
      <c r="W33" s="1460"/>
      <c r="X33" s="1460"/>
      <c r="Y33" s="1462"/>
      <c r="Z33" s="1463"/>
      <c r="AA33" s="1464"/>
      <c r="AB33" s="1460"/>
      <c r="AC33" s="1460"/>
      <c r="AD33" s="1453"/>
      <c r="AE33" s="1453"/>
      <c r="AF33" s="1453"/>
      <c r="AG33" s="1453"/>
      <c r="AH33" s="1453"/>
      <c r="AI33" s="1457"/>
      <c r="AJ33" s="1453"/>
      <c r="AK33" s="1464"/>
      <c r="AL33" s="1460"/>
      <c r="AM33" s="1460"/>
      <c r="AN33" s="1457">
        <v>5000</v>
      </c>
      <c r="AO33" s="1467">
        <v>7</v>
      </c>
      <c r="AP33" s="1464">
        <v>42734</v>
      </c>
      <c r="AQ33" s="1460">
        <v>48</v>
      </c>
      <c r="AR33" s="1459">
        <v>42800</v>
      </c>
      <c r="AS33" s="1453"/>
      <c r="AT33" s="1453"/>
      <c r="AU33" s="1467"/>
      <c r="AV33" s="1460"/>
      <c r="AW33" s="1460"/>
      <c r="AX33" s="1457">
        <v>2000</v>
      </c>
      <c r="AY33" s="1463">
        <v>1</v>
      </c>
      <c r="AZ33" s="2027">
        <v>43098</v>
      </c>
      <c r="BA33" s="1469">
        <v>48</v>
      </c>
      <c r="BB33" s="2026">
        <v>43107</v>
      </c>
    </row>
    <row r="34" spans="1:54">
      <c r="A34" s="1453" t="s">
        <v>2046</v>
      </c>
      <c r="B34" s="1454" t="s">
        <v>2047</v>
      </c>
      <c r="C34" s="1472" t="s">
        <v>2048</v>
      </c>
      <c r="D34" s="1456">
        <f t="shared" si="0"/>
        <v>6000</v>
      </c>
      <c r="E34" s="1457"/>
      <c r="F34" s="1458"/>
      <c r="G34" s="1459"/>
      <c r="H34" s="1460"/>
      <c r="I34" s="1810"/>
      <c r="J34" s="1457"/>
      <c r="K34" s="1461"/>
      <c r="L34" s="1459"/>
      <c r="M34" s="1460"/>
      <c r="N34" s="1460"/>
      <c r="O34" s="1457"/>
      <c r="P34" s="1461"/>
      <c r="Q34" s="1459"/>
      <c r="R34" s="1460"/>
      <c r="S34" s="1460"/>
      <c r="T34" s="1457"/>
      <c r="U34" s="1461"/>
      <c r="V34" s="1459"/>
      <c r="W34" s="1460"/>
      <c r="X34" s="1460"/>
      <c r="Y34" s="1462"/>
      <c r="Z34" s="1463"/>
      <c r="AA34" s="1464"/>
      <c r="AB34" s="1460"/>
      <c r="AC34" s="1460"/>
      <c r="AD34" s="1453"/>
      <c r="AE34" s="1453"/>
      <c r="AF34" s="1453"/>
      <c r="AG34" s="1453"/>
      <c r="AH34" s="1453"/>
      <c r="AI34" s="1457"/>
      <c r="AJ34" s="1453"/>
      <c r="AK34" s="1464"/>
      <c r="AL34" s="1460"/>
      <c r="AM34" s="1460"/>
      <c r="AN34" s="1457">
        <v>1000</v>
      </c>
      <c r="AO34" s="1467">
        <v>7</v>
      </c>
      <c r="AP34" s="1464">
        <v>42734</v>
      </c>
      <c r="AQ34" s="1460">
        <v>48</v>
      </c>
      <c r="AR34" s="1459">
        <v>42800</v>
      </c>
      <c r="AS34" s="1453"/>
      <c r="AT34" s="1453"/>
      <c r="AU34" s="1467"/>
      <c r="AV34" s="1460"/>
      <c r="AW34" s="1460"/>
      <c r="AX34" s="1457">
        <v>5000</v>
      </c>
      <c r="AY34" s="1463">
        <v>1</v>
      </c>
      <c r="AZ34" s="2027">
        <v>43098</v>
      </c>
      <c r="BA34" s="1469">
        <v>48</v>
      </c>
      <c r="BB34" s="2026">
        <v>43107</v>
      </c>
    </row>
    <row r="35" spans="1:54">
      <c r="A35" s="1453" t="s">
        <v>2049</v>
      </c>
      <c r="B35" s="1454" t="s">
        <v>2050</v>
      </c>
      <c r="C35" s="1472" t="s">
        <v>2051</v>
      </c>
      <c r="D35" s="1456">
        <f t="shared" si="0"/>
        <v>4000</v>
      </c>
      <c r="E35" s="1457"/>
      <c r="F35" s="1458"/>
      <c r="G35" s="1459"/>
      <c r="H35" s="1460"/>
      <c r="I35" s="1810"/>
      <c r="J35" s="1457"/>
      <c r="K35" s="1461"/>
      <c r="L35" s="1459"/>
      <c r="M35" s="1460"/>
      <c r="N35" s="1460"/>
      <c r="O35" s="1457"/>
      <c r="P35" s="1461"/>
      <c r="Q35" s="1459"/>
      <c r="R35" s="1460"/>
      <c r="S35" s="1460"/>
      <c r="T35" s="1457"/>
      <c r="U35" s="1461"/>
      <c r="V35" s="1459"/>
      <c r="W35" s="1460"/>
      <c r="X35" s="1460"/>
      <c r="Y35" s="1462"/>
      <c r="Z35" s="1463"/>
      <c r="AA35" s="1464"/>
      <c r="AB35" s="1460"/>
      <c r="AC35" s="1460"/>
      <c r="AD35" s="1453"/>
      <c r="AE35" s="1453"/>
      <c r="AF35" s="1453"/>
      <c r="AG35" s="1453"/>
      <c r="AH35" s="1453"/>
      <c r="AI35" s="1457"/>
      <c r="AJ35" s="1453"/>
      <c r="AK35" s="1464"/>
      <c r="AL35" s="1460"/>
      <c r="AM35" s="1460"/>
      <c r="AN35" s="1457">
        <v>1000</v>
      </c>
      <c r="AO35" s="1467">
        <v>7</v>
      </c>
      <c r="AP35" s="1464">
        <v>42734</v>
      </c>
      <c r="AQ35" s="1460">
        <v>48</v>
      </c>
      <c r="AR35" s="1459">
        <v>42800</v>
      </c>
      <c r="AS35" s="1453"/>
      <c r="AT35" s="1453"/>
      <c r="AU35" s="1467"/>
      <c r="AV35" s="1460"/>
      <c r="AW35" s="1460"/>
      <c r="AX35" s="1457">
        <v>3000</v>
      </c>
      <c r="AY35" s="1463">
        <v>1</v>
      </c>
      <c r="AZ35" s="2027">
        <v>43098</v>
      </c>
      <c r="BA35" s="1469">
        <v>48</v>
      </c>
      <c r="BB35" s="2026">
        <v>43107</v>
      </c>
    </row>
    <row r="36" spans="1:54">
      <c r="A36" s="1453" t="s">
        <v>2052</v>
      </c>
      <c r="B36" s="1454" t="s">
        <v>2053</v>
      </c>
      <c r="C36" s="1472" t="s">
        <v>2048</v>
      </c>
      <c r="D36" s="1456">
        <f t="shared" si="0"/>
        <v>4000</v>
      </c>
      <c r="E36" s="1457"/>
      <c r="F36" s="1458"/>
      <c r="G36" s="1459"/>
      <c r="H36" s="1460"/>
      <c r="I36" s="1810"/>
      <c r="J36" s="1457"/>
      <c r="K36" s="1461"/>
      <c r="L36" s="1459"/>
      <c r="M36" s="1460"/>
      <c r="N36" s="1460"/>
      <c r="O36" s="1457"/>
      <c r="P36" s="1461"/>
      <c r="Q36" s="1459"/>
      <c r="R36" s="1460"/>
      <c r="S36" s="1460"/>
      <c r="T36" s="1457"/>
      <c r="U36" s="1461"/>
      <c r="V36" s="1459"/>
      <c r="W36" s="1460"/>
      <c r="X36" s="1460"/>
      <c r="Y36" s="1462"/>
      <c r="Z36" s="1463"/>
      <c r="AA36" s="1464"/>
      <c r="AB36" s="1460"/>
      <c r="AC36" s="1460"/>
      <c r="AD36" s="1453"/>
      <c r="AE36" s="1453"/>
      <c r="AF36" s="1453"/>
      <c r="AG36" s="1453"/>
      <c r="AH36" s="1453"/>
      <c r="AI36" s="1457"/>
      <c r="AJ36" s="1453"/>
      <c r="AK36" s="1464"/>
      <c r="AL36" s="1460"/>
      <c r="AM36" s="1460"/>
      <c r="AN36" s="1457">
        <v>1000</v>
      </c>
      <c r="AO36" s="1467">
        <v>7</v>
      </c>
      <c r="AP36" s="1464">
        <v>42734</v>
      </c>
      <c r="AQ36" s="1460">
        <v>48</v>
      </c>
      <c r="AR36" s="1459">
        <v>42800</v>
      </c>
      <c r="AS36" s="1453"/>
      <c r="AT36" s="1453"/>
      <c r="AU36" s="1467"/>
      <c r="AV36" s="1460"/>
      <c r="AW36" s="1460"/>
      <c r="AX36" s="1457">
        <v>3000</v>
      </c>
      <c r="AY36" s="1463">
        <v>1</v>
      </c>
      <c r="AZ36" s="2027">
        <v>43098</v>
      </c>
      <c r="BA36" s="1469">
        <v>48</v>
      </c>
      <c r="BB36" s="2026">
        <v>43107</v>
      </c>
    </row>
    <row r="37" spans="1:54">
      <c r="A37" s="1453" t="s">
        <v>2054</v>
      </c>
      <c r="B37" s="1454" t="s">
        <v>2055</v>
      </c>
      <c r="C37" s="1472" t="s">
        <v>2056</v>
      </c>
      <c r="D37" s="1456">
        <f t="shared" si="0"/>
        <v>5000</v>
      </c>
      <c r="E37" s="1457"/>
      <c r="F37" s="1458"/>
      <c r="G37" s="1459"/>
      <c r="H37" s="1460"/>
      <c r="I37" s="1810"/>
      <c r="J37" s="1457"/>
      <c r="K37" s="1461"/>
      <c r="L37" s="1459"/>
      <c r="M37" s="1460"/>
      <c r="N37" s="1460"/>
      <c r="O37" s="1457"/>
      <c r="P37" s="1461"/>
      <c r="Q37" s="1459"/>
      <c r="R37" s="1460"/>
      <c r="S37" s="1460"/>
      <c r="T37" s="1457"/>
      <c r="U37" s="1461"/>
      <c r="V37" s="1459"/>
      <c r="W37" s="1460"/>
      <c r="X37" s="1460"/>
      <c r="Y37" s="1462"/>
      <c r="Z37" s="1463"/>
      <c r="AA37" s="1464"/>
      <c r="AB37" s="1460"/>
      <c r="AC37" s="1460"/>
      <c r="AD37" s="1453"/>
      <c r="AE37" s="1453"/>
      <c r="AF37" s="1453"/>
      <c r="AG37" s="1453"/>
      <c r="AH37" s="1453"/>
      <c r="AI37" s="1457"/>
      <c r="AJ37" s="1453"/>
      <c r="AK37" s="1464"/>
      <c r="AL37" s="1460"/>
      <c r="AM37" s="1460"/>
      <c r="AN37" s="1457"/>
      <c r="AO37" s="1467"/>
      <c r="AP37" s="1464"/>
      <c r="AQ37" s="1460"/>
      <c r="AR37" s="1459"/>
      <c r="AS37" s="1453"/>
      <c r="AT37" s="1453"/>
      <c r="AU37" s="1467"/>
      <c r="AV37" s="1460"/>
      <c r="AW37" s="1460"/>
      <c r="AX37" s="1457">
        <v>5000</v>
      </c>
      <c r="AY37" s="1463">
        <v>1</v>
      </c>
      <c r="AZ37" s="2027">
        <v>43098</v>
      </c>
      <c r="BA37" s="1469">
        <v>48</v>
      </c>
      <c r="BB37" s="2026">
        <v>43107</v>
      </c>
    </row>
    <row r="38" spans="1:54">
      <c r="A38" s="1453" t="s">
        <v>2057</v>
      </c>
      <c r="B38" s="1454" t="s">
        <v>2058</v>
      </c>
      <c r="C38" s="1472" t="s">
        <v>2059</v>
      </c>
      <c r="D38" s="1456">
        <f t="shared" si="0"/>
        <v>3000</v>
      </c>
      <c r="E38" s="1457"/>
      <c r="F38" s="1458"/>
      <c r="G38" s="1459"/>
      <c r="H38" s="1460"/>
      <c r="I38" s="1810"/>
      <c r="J38" s="1457"/>
      <c r="K38" s="1461"/>
      <c r="L38" s="1459"/>
      <c r="M38" s="1460"/>
      <c r="N38" s="1460"/>
      <c r="O38" s="1457"/>
      <c r="P38" s="1461"/>
      <c r="Q38" s="1459"/>
      <c r="R38" s="1460"/>
      <c r="S38" s="1460"/>
      <c r="T38" s="1457"/>
      <c r="U38" s="1461"/>
      <c r="V38" s="1459"/>
      <c r="W38" s="1460"/>
      <c r="X38" s="1460"/>
      <c r="Y38" s="1462"/>
      <c r="Z38" s="1463"/>
      <c r="AA38" s="1464"/>
      <c r="AB38" s="1460"/>
      <c r="AC38" s="1460"/>
      <c r="AD38" s="1453"/>
      <c r="AE38" s="1453"/>
      <c r="AF38" s="1453"/>
      <c r="AG38" s="1453"/>
      <c r="AH38" s="1453"/>
      <c r="AI38" s="1457"/>
      <c r="AJ38" s="1453"/>
      <c r="AK38" s="1464"/>
      <c r="AL38" s="1460"/>
      <c r="AM38" s="1460"/>
      <c r="AN38" s="1457"/>
      <c r="AO38" s="1467"/>
      <c r="AP38" s="1464"/>
      <c r="AQ38" s="1460"/>
      <c r="AR38" s="1459"/>
      <c r="AS38" s="1453"/>
      <c r="AT38" s="1453"/>
      <c r="AU38" s="1467"/>
      <c r="AV38" s="1460"/>
      <c r="AW38" s="1460"/>
      <c r="AX38" s="1457">
        <v>3000</v>
      </c>
      <c r="AY38" s="1463">
        <v>1</v>
      </c>
      <c r="AZ38" s="2027">
        <v>43098</v>
      </c>
      <c r="BA38" s="1469">
        <v>48</v>
      </c>
      <c r="BB38" s="2026">
        <v>43107</v>
      </c>
    </row>
    <row r="39" spans="1:54">
      <c r="A39" s="1453" t="s">
        <v>2060</v>
      </c>
      <c r="B39" s="1454" t="s">
        <v>2061</v>
      </c>
      <c r="C39" s="1472" t="s">
        <v>2062</v>
      </c>
      <c r="D39" s="1456">
        <f t="shared" si="0"/>
        <v>8000</v>
      </c>
      <c r="E39" s="1457"/>
      <c r="F39" s="1458"/>
      <c r="G39" s="1459"/>
      <c r="H39" s="1460"/>
      <c r="I39" s="1810"/>
      <c r="J39" s="1457"/>
      <c r="K39" s="1461"/>
      <c r="L39" s="1459"/>
      <c r="M39" s="1460"/>
      <c r="N39" s="1460"/>
      <c r="O39" s="1457"/>
      <c r="P39" s="1461"/>
      <c r="Q39" s="1459"/>
      <c r="R39" s="1460"/>
      <c r="S39" s="1460"/>
      <c r="T39" s="1457"/>
      <c r="U39" s="1461"/>
      <c r="V39" s="1459"/>
      <c r="W39" s="1460"/>
      <c r="X39" s="1460"/>
      <c r="Y39" s="1462"/>
      <c r="Z39" s="1463"/>
      <c r="AA39" s="1464"/>
      <c r="AB39" s="1460"/>
      <c r="AC39" s="1460"/>
      <c r="AD39" s="1453"/>
      <c r="AE39" s="1453"/>
      <c r="AF39" s="1453"/>
      <c r="AG39" s="1453"/>
      <c r="AH39" s="1453"/>
      <c r="AI39" s="1457"/>
      <c r="AJ39" s="1453"/>
      <c r="AK39" s="1464"/>
      <c r="AL39" s="1460"/>
      <c r="AM39" s="1460"/>
      <c r="AN39" s="1457"/>
      <c r="AO39" s="1467"/>
      <c r="AP39" s="1464"/>
      <c r="AQ39" s="1460"/>
      <c r="AR39" s="1459"/>
      <c r="AS39" s="1453"/>
      <c r="AT39" s="1453"/>
      <c r="AU39" s="1467"/>
      <c r="AV39" s="1460"/>
      <c r="AW39" s="1460"/>
      <c r="AX39" s="1457">
        <v>8000</v>
      </c>
      <c r="AY39" s="1463">
        <v>1</v>
      </c>
      <c r="AZ39" s="2027">
        <v>43098</v>
      </c>
      <c r="BA39" s="1469">
        <v>48</v>
      </c>
      <c r="BB39" s="2026">
        <v>43107</v>
      </c>
    </row>
    <row r="40" spans="1:54">
      <c r="A40" s="1453" t="s">
        <v>2063</v>
      </c>
      <c r="B40" s="1454" t="s">
        <v>2064</v>
      </c>
      <c r="C40" s="1472" t="s">
        <v>2065</v>
      </c>
      <c r="D40" s="1456">
        <f t="shared" si="0"/>
        <v>5000</v>
      </c>
      <c r="E40" s="1457"/>
      <c r="F40" s="1458"/>
      <c r="G40" s="1459"/>
      <c r="H40" s="1460"/>
      <c r="I40" s="1810"/>
      <c r="J40" s="1457"/>
      <c r="K40" s="1461"/>
      <c r="L40" s="1459"/>
      <c r="M40" s="1460"/>
      <c r="N40" s="1460"/>
      <c r="O40" s="1457"/>
      <c r="P40" s="1461"/>
      <c r="Q40" s="1459"/>
      <c r="R40" s="1460"/>
      <c r="S40" s="1460"/>
      <c r="T40" s="1457"/>
      <c r="U40" s="1461"/>
      <c r="V40" s="1459"/>
      <c r="W40" s="1460"/>
      <c r="X40" s="1460"/>
      <c r="Y40" s="1462"/>
      <c r="Z40" s="1463"/>
      <c r="AA40" s="1464"/>
      <c r="AB40" s="1460"/>
      <c r="AC40" s="1460"/>
      <c r="AD40" s="1453"/>
      <c r="AE40" s="1453"/>
      <c r="AF40" s="1453"/>
      <c r="AG40" s="1453"/>
      <c r="AH40" s="1453"/>
      <c r="AI40" s="1457"/>
      <c r="AJ40" s="1453"/>
      <c r="AK40" s="1464"/>
      <c r="AL40" s="1460"/>
      <c r="AM40" s="1460"/>
      <c r="AN40" s="1457"/>
      <c r="AO40" s="1467"/>
      <c r="AP40" s="1464"/>
      <c r="AQ40" s="1460"/>
      <c r="AR40" s="1459"/>
      <c r="AS40" s="1453"/>
      <c r="AT40" s="1453"/>
      <c r="AU40" s="1467"/>
      <c r="AV40" s="1460"/>
      <c r="AW40" s="1460"/>
      <c r="AX40" s="1457">
        <v>5000</v>
      </c>
      <c r="AY40" s="1463">
        <v>1</v>
      </c>
      <c r="AZ40" s="2027">
        <v>43098</v>
      </c>
      <c r="BA40" s="1469">
        <v>48</v>
      </c>
      <c r="BB40" s="2026">
        <v>43107</v>
      </c>
    </row>
    <row r="41" spans="1:54">
      <c r="A41" s="1453" t="s">
        <v>2066</v>
      </c>
      <c r="B41" s="1454" t="s">
        <v>2067</v>
      </c>
      <c r="C41" s="1472" t="s">
        <v>2068</v>
      </c>
      <c r="D41" s="1456">
        <f t="shared" si="0"/>
        <v>3000</v>
      </c>
      <c r="E41" s="1457"/>
      <c r="F41" s="1458"/>
      <c r="G41" s="1459"/>
      <c r="H41" s="1460"/>
      <c r="I41" s="1810"/>
      <c r="J41" s="1457"/>
      <c r="K41" s="1461"/>
      <c r="L41" s="1459"/>
      <c r="M41" s="1460"/>
      <c r="N41" s="1460"/>
      <c r="O41" s="1457"/>
      <c r="P41" s="1461"/>
      <c r="Q41" s="1459"/>
      <c r="R41" s="1460"/>
      <c r="S41" s="1460"/>
      <c r="T41" s="1457"/>
      <c r="U41" s="1461"/>
      <c r="V41" s="1459"/>
      <c r="W41" s="1460"/>
      <c r="X41" s="1460"/>
      <c r="Y41" s="1462"/>
      <c r="Z41" s="1463"/>
      <c r="AA41" s="1464"/>
      <c r="AB41" s="1460"/>
      <c r="AC41" s="1460"/>
      <c r="AD41" s="1453"/>
      <c r="AE41" s="1453"/>
      <c r="AF41" s="1453"/>
      <c r="AG41" s="1453"/>
      <c r="AH41" s="1453"/>
      <c r="AI41" s="1457"/>
      <c r="AJ41" s="1453"/>
      <c r="AK41" s="1464"/>
      <c r="AL41" s="1460"/>
      <c r="AM41" s="1460"/>
      <c r="AN41" s="1457"/>
      <c r="AO41" s="1467"/>
      <c r="AP41" s="1464"/>
      <c r="AQ41" s="1460"/>
      <c r="AR41" s="1459"/>
      <c r="AS41" s="1453"/>
      <c r="AT41" s="1453"/>
      <c r="AU41" s="1467"/>
      <c r="AV41" s="1460"/>
      <c r="AW41" s="1460"/>
      <c r="AX41" s="1457">
        <v>3000</v>
      </c>
      <c r="AY41" s="1463">
        <v>1</v>
      </c>
      <c r="AZ41" s="2027">
        <v>43098</v>
      </c>
      <c r="BA41" s="1469">
        <v>48</v>
      </c>
      <c r="BB41" s="2026">
        <v>43107</v>
      </c>
    </row>
    <row r="42" spans="1:54">
      <c r="A42" s="1453" t="s">
        <v>2069</v>
      </c>
      <c r="B42" s="1454" t="s">
        <v>2070</v>
      </c>
      <c r="C42" s="1472" t="s">
        <v>2071</v>
      </c>
      <c r="D42" s="1456">
        <f t="shared" si="0"/>
        <v>1000</v>
      </c>
      <c r="E42" s="1457"/>
      <c r="F42" s="1458"/>
      <c r="G42" s="1459"/>
      <c r="H42" s="1460"/>
      <c r="I42" s="1810"/>
      <c r="J42" s="1457"/>
      <c r="K42" s="1461"/>
      <c r="L42" s="1459"/>
      <c r="M42" s="1460"/>
      <c r="N42" s="1460"/>
      <c r="O42" s="1457"/>
      <c r="P42" s="1461"/>
      <c r="Q42" s="1459"/>
      <c r="R42" s="1460"/>
      <c r="S42" s="1460"/>
      <c r="T42" s="1457"/>
      <c r="U42" s="1461"/>
      <c r="V42" s="1459"/>
      <c r="W42" s="1460"/>
      <c r="X42" s="1460"/>
      <c r="Y42" s="1462"/>
      <c r="Z42" s="1463"/>
      <c r="AA42" s="1464"/>
      <c r="AB42" s="1460"/>
      <c r="AC42" s="1460"/>
      <c r="AD42" s="1453"/>
      <c r="AE42" s="1453"/>
      <c r="AF42" s="1453"/>
      <c r="AG42" s="1453"/>
      <c r="AH42" s="1453"/>
      <c r="AI42" s="1457"/>
      <c r="AJ42" s="1453"/>
      <c r="AK42" s="1464"/>
      <c r="AL42" s="1460"/>
      <c r="AM42" s="1460"/>
      <c r="AN42" s="1457"/>
      <c r="AO42" s="1467"/>
      <c r="AP42" s="1464"/>
      <c r="AQ42" s="1460"/>
      <c r="AR42" s="1459"/>
      <c r="AS42" s="1453"/>
      <c r="AT42" s="1453"/>
      <c r="AU42" s="1467"/>
      <c r="AV42" s="1460"/>
      <c r="AW42" s="1460"/>
      <c r="AX42" s="1457">
        <v>1000</v>
      </c>
      <c r="AY42" s="1463">
        <v>1</v>
      </c>
      <c r="AZ42" s="2027">
        <v>43098</v>
      </c>
      <c r="BA42" s="1469">
        <v>48</v>
      </c>
      <c r="BB42" s="2026">
        <v>43107</v>
      </c>
    </row>
    <row r="43" spans="1:54">
      <c r="A43" s="1453" t="s">
        <v>2072</v>
      </c>
      <c r="B43" s="1454" t="s">
        <v>2073</v>
      </c>
      <c r="C43" s="1472" t="s">
        <v>2074</v>
      </c>
      <c r="D43" s="1456">
        <f t="shared" si="0"/>
        <v>1000</v>
      </c>
      <c r="E43" s="1457"/>
      <c r="F43" s="1458"/>
      <c r="G43" s="1459"/>
      <c r="H43" s="1460"/>
      <c r="I43" s="1810"/>
      <c r="J43" s="1457"/>
      <c r="K43" s="1461"/>
      <c r="L43" s="1459"/>
      <c r="M43" s="1460"/>
      <c r="N43" s="1460"/>
      <c r="O43" s="1457"/>
      <c r="P43" s="1461"/>
      <c r="Q43" s="1459"/>
      <c r="R43" s="1460"/>
      <c r="S43" s="1460"/>
      <c r="T43" s="1457"/>
      <c r="U43" s="1461"/>
      <c r="V43" s="1459"/>
      <c r="W43" s="1460"/>
      <c r="X43" s="1460"/>
      <c r="Y43" s="1462"/>
      <c r="Z43" s="1463"/>
      <c r="AA43" s="1464"/>
      <c r="AB43" s="1460"/>
      <c r="AC43" s="1460"/>
      <c r="AD43" s="1453"/>
      <c r="AE43" s="1453"/>
      <c r="AF43" s="1453"/>
      <c r="AG43" s="1453"/>
      <c r="AH43" s="1453"/>
      <c r="AI43" s="1457"/>
      <c r="AJ43" s="1453"/>
      <c r="AK43" s="1464"/>
      <c r="AL43" s="1460"/>
      <c r="AM43" s="1460"/>
      <c r="AN43" s="1457"/>
      <c r="AO43" s="1467"/>
      <c r="AP43" s="1464"/>
      <c r="AQ43" s="1460"/>
      <c r="AR43" s="1459"/>
      <c r="AS43" s="1453"/>
      <c r="AT43" s="1453"/>
      <c r="AU43" s="1467"/>
      <c r="AV43" s="1460"/>
      <c r="AW43" s="1460"/>
      <c r="AX43" s="1457">
        <v>1000</v>
      </c>
      <c r="AY43" s="1463">
        <v>1</v>
      </c>
      <c r="AZ43" s="2027">
        <v>43098</v>
      </c>
      <c r="BA43" s="1469">
        <v>48</v>
      </c>
      <c r="BB43" s="2026">
        <v>43107</v>
      </c>
    </row>
    <row r="44" spans="1:54">
      <c r="A44" s="1453" t="s">
        <v>2075</v>
      </c>
      <c r="B44" s="1454" t="s">
        <v>2076</v>
      </c>
      <c r="C44" s="1472" t="s">
        <v>2077</v>
      </c>
      <c r="D44" s="1456">
        <f t="shared" si="0"/>
        <v>3000</v>
      </c>
      <c r="E44" s="1457"/>
      <c r="F44" s="1458"/>
      <c r="G44" s="1459"/>
      <c r="H44" s="1460"/>
      <c r="I44" s="1810"/>
      <c r="J44" s="1457"/>
      <c r="K44" s="1461"/>
      <c r="L44" s="1459"/>
      <c r="M44" s="1460"/>
      <c r="N44" s="1460"/>
      <c r="O44" s="1457"/>
      <c r="P44" s="1461"/>
      <c r="Q44" s="1459"/>
      <c r="R44" s="1460"/>
      <c r="S44" s="1460"/>
      <c r="T44" s="1457"/>
      <c r="U44" s="1461"/>
      <c r="V44" s="1459"/>
      <c r="W44" s="1460"/>
      <c r="X44" s="1460"/>
      <c r="Y44" s="1462"/>
      <c r="Z44" s="1463"/>
      <c r="AA44" s="1464"/>
      <c r="AB44" s="1460"/>
      <c r="AC44" s="1460"/>
      <c r="AD44" s="1453"/>
      <c r="AE44" s="1453"/>
      <c r="AF44" s="1453"/>
      <c r="AG44" s="1453"/>
      <c r="AH44" s="1453"/>
      <c r="AI44" s="1457"/>
      <c r="AJ44" s="1453"/>
      <c r="AK44" s="1464"/>
      <c r="AL44" s="1460"/>
      <c r="AM44" s="1460"/>
      <c r="AN44" s="1457"/>
      <c r="AO44" s="1467"/>
      <c r="AP44" s="1464"/>
      <c r="AQ44" s="1460"/>
      <c r="AR44" s="1459"/>
      <c r="AS44" s="1453"/>
      <c r="AT44" s="1453"/>
      <c r="AU44" s="1467"/>
      <c r="AV44" s="1460"/>
      <c r="AW44" s="1460"/>
      <c r="AX44" s="1457">
        <v>3000</v>
      </c>
      <c r="AY44" s="1463">
        <v>1</v>
      </c>
      <c r="AZ44" s="2027">
        <v>43098</v>
      </c>
      <c r="BA44" s="1469">
        <v>48</v>
      </c>
      <c r="BB44" s="2026">
        <v>43107</v>
      </c>
    </row>
    <row r="45" spans="1:54">
      <c r="A45" s="1453" t="s">
        <v>2078</v>
      </c>
      <c r="B45" s="1454" t="s">
        <v>2079</v>
      </c>
      <c r="C45" s="1472" t="s">
        <v>2080</v>
      </c>
      <c r="D45" s="1456">
        <f t="shared" si="0"/>
        <v>5000</v>
      </c>
      <c r="E45" s="1457"/>
      <c r="F45" s="1458"/>
      <c r="G45" s="1459"/>
      <c r="H45" s="1460"/>
      <c r="I45" s="1810"/>
      <c r="J45" s="1457"/>
      <c r="K45" s="1461"/>
      <c r="L45" s="1459"/>
      <c r="M45" s="1460"/>
      <c r="N45" s="1460"/>
      <c r="O45" s="1457"/>
      <c r="P45" s="1461"/>
      <c r="Q45" s="1459"/>
      <c r="R45" s="1460"/>
      <c r="S45" s="1460"/>
      <c r="T45" s="1457"/>
      <c r="U45" s="1461"/>
      <c r="V45" s="1459"/>
      <c r="W45" s="1460"/>
      <c r="X45" s="1460"/>
      <c r="Y45" s="1462"/>
      <c r="Z45" s="1463"/>
      <c r="AA45" s="1464"/>
      <c r="AB45" s="1460"/>
      <c r="AC45" s="1460"/>
      <c r="AD45" s="1453"/>
      <c r="AE45" s="1453"/>
      <c r="AF45" s="1453"/>
      <c r="AG45" s="1453"/>
      <c r="AH45" s="1453"/>
      <c r="AI45" s="1457"/>
      <c r="AJ45" s="1453"/>
      <c r="AK45" s="1464"/>
      <c r="AL45" s="1460"/>
      <c r="AM45" s="1460"/>
      <c r="AN45" s="1457"/>
      <c r="AO45" s="1467"/>
      <c r="AP45" s="1464"/>
      <c r="AQ45" s="1460"/>
      <c r="AR45" s="1459"/>
      <c r="AS45" s="1453"/>
      <c r="AT45" s="1453"/>
      <c r="AU45" s="1467"/>
      <c r="AV45" s="1460"/>
      <c r="AW45" s="1460"/>
      <c r="AX45" s="1457">
        <v>5000</v>
      </c>
      <c r="AY45" s="1463">
        <v>1</v>
      </c>
      <c r="AZ45" s="2027">
        <v>43098</v>
      </c>
      <c r="BA45" s="1469">
        <v>48</v>
      </c>
      <c r="BB45" s="2026">
        <v>43107</v>
      </c>
    </row>
    <row r="46" spans="1:54">
      <c r="A46" s="1453" t="s">
        <v>2081</v>
      </c>
      <c r="B46" s="1454" t="s">
        <v>2082</v>
      </c>
      <c r="C46" s="1472" t="s">
        <v>2083</v>
      </c>
      <c r="D46" s="1456">
        <f t="shared" si="0"/>
        <v>2000</v>
      </c>
      <c r="E46" s="1457"/>
      <c r="F46" s="1458"/>
      <c r="G46" s="1459"/>
      <c r="H46" s="1460"/>
      <c r="I46" s="1810"/>
      <c r="J46" s="1457"/>
      <c r="K46" s="1461"/>
      <c r="L46" s="1459"/>
      <c r="M46" s="1460"/>
      <c r="N46" s="1460"/>
      <c r="O46" s="1457"/>
      <c r="P46" s="1461"/>
      <c r="Q46" s="1459"/>
      <c r="R46" s="1460"/>
      <c r="S46" s="1460"/>
      <c r="T46" s="1457"/>
      <c r="U46" s="1461"/>
      <c r="V46" s="1459"/>
      <c r="W46" s="1460"/>
      <c r="X46" s="1460"/>
      <c r="Y46" s="1462"/>
      <c r="Z46" s="1463"/>
      <c r="AA46" s="1464"/>
      <c r="AB46" s="1460"/>
      <c r="AC46" s="1460"/>
      <c r="AD46" s="1453"/>
      <c r="AE46" s="1453"/>
      <c r="AF46" s="1453"/>
      <c r="AG46" s="1453"/>
      <c r="AH46" s="1453"/>
      <c r="AI46" s="1457"/>
      <c r="AJ46" s="1453"/>
      <c r="AK46" s="1464"/>
      <c r="AL46" s="1460"/>
      <c r="AM46" s="1460"/>
      <c r="AN46" s="1457"/>
      <c r="AO46" s="1467"/>
      <c r="AP46" s="1464"/>
      <c r="AQ46" s="1460"/>
      <c r="AR46" s="1459"/>
      <c r="AS46" s="1453"/>
      <c r="AT46" s="1453"/>
      <c r="AU46" s="1467"/>
      <c r="AV46" s="1460"/>
      <c r="AW46" s="1460"/>
      <c r="AX46" s="1457">
        <v>2000</v>
      </c>
      <c r="AY46" s="1463">
        <v>1</v>
      </c>
      <c r="AZ46" s="2027">
        <v>43098</v>
      </c>
      <c r="BA46" s="1469">
        <v>48</v>
      </c>
      <c r="BB46" s="2026">
        <v>43107</v>
      </c>
    </row>
    <row r="47" spans="1:54">
      <c r="A47" s="1453" t="s">
        <v>2084</v>
      </c>
      <c r="B47" s="1473" t="s">
        <v>2085</v>
      </c>
      <c r="C47" s="1474" t="s">
        <v>2086</v>
      </c>
      <c r="D47" s="1456">
        <f t="shared" si="0"/>
        <v>10000</v>
      </c>
      <c r="E47" s="1457"/>
      <c r="F47" s="1458"/>
      <c r="G47" s="1459"/>
      <c r="H47" s="1460"/>
      <c r="I47" s="1810"/>
      <c r="J47" s="1457"/>
      <c r="K47" s="1461"/>
      <c r="L47" s="1459"/>
      <c r="M47" s="1460"/>
      <c r="N47" s="1460"/>
      <c r="O47" s="1457"/>
      <c r="P47" s="1461"/>
      <c r="Q47" s="1459"/>
      <c r="R47" s="1460"/>
      <c r="S47" s="1460"/>
      <c r="T47" s="1457"/>
      <c r="U47" s="1461"/>
      <c r="V47" s="1459"/>
      <c r="W47" s="1460"/>
      <c r="X47" s="1460"/>
      <c r="Y47" s="1462"/>
      <c r="Z47" s="1463"/>
      <c r="AA47" s="1464"/>
      <c r="AB47" s="1460"/>
      <c r="AC47" s="1460"/>
      <c r="AD47" s="1453"/>
      <c r="AE47" s="1453"/>
      <c r="AF47" s="1453"/>
      <c r="AG47" s="1453"/>
      <c r="AH47" s="1453"/>
      <c r="AI47" s="1457"/>
      <c r="AJ47" s="1453"/>
      <c r="AK47" s="1464"/>
      <c r="AL47" s="1460"/>
      <c r="AM47" s="1460"/>
      <c r="AN47" s="1457"/>
      <c r="AO47" s="1467"/>
      <c r="AP47" s="1464"/>
      <c r="AQ47" s="1460"/>
      <c r="AR47" s="1459"/>
      <c r="AS47" s="1453"/>
      <c r="AT47" s="1453"/>
      <c r="AU47" s="1467"/>
      <c r="AV47" s="1460"/>
      <c r="AW47" s="1460"/>
      <c r="AX47" s="1457">
        <v>10000</v>
      </c>
      <c r="AY47" s="1463">
        <v>1</v>
      </c>
      <c r="AZ47" s="2027">
        <v>43098</v>
      </c>
      <c r="BA47" s="1469">
        <v>48</v>
      </c>
      <c r="BB47" s="2026">
        <v>43107</v>
      </c>
    </row>
    <row r="48" spans="1:54">
      <c r="A48" s="1453" t="s">
        <v>2087</v>
      </c>
      <c r="B48" s="1454" t="s">
        <v>2088</v>
      </c>
      <c r="C48" s="1472" t="s">
        <v>2089</v>
      </c>
      <c r="D48" s="1456">
        <f t="shared" si="0"/>
        <v>3000</v>
      </c>
      <c r="E48" s="1457"/>
      <c r="F48" s="1458"/>
      <c r="G48" s="1459"/>
      <c r="H48" s="1460"/>
      <c r="I48" s="1810"/>
      <c r="J48" s="1457"/>
      <c r="K48" s="1461"/>
      <c r="L48" s="1459"/>
      <c r="M48" s="1460"/>
      <c r="N48" s="1460"/>
      <c r="O48" s="1457"/>
      <c r="P48" s="1461"/>
      <c r="Q48" s="1459"/>
      <c r="R48" s="1460"/>
      <c r="S48" s="1460"/>
      <c r="T48" s="1457"/>
      <c r="U48" s="1461"/>
      <c r="V48" s="1459"/>
      <c r="W48" s="1460"/>
      <c r="X48" s="1460"/>
      <c r="Y48" s="1462"/>
      <c r="Z48" s="1463"/>
      <c r="AA48" s="1464"/>
      <c r="AB48" s="1460"/>
      <c r="AC48" s="1460"/>
      <c r="AD48" s="1453"/>
      <c r="AE48" s="1453"/>
      <c r="AF48" s="1453"/>
      <c r="AG48" s="1453"/>
      <c r="AH48" s="1453"/>
      <c r="AI48" s="1457"/>
      <c r="AJ48" s="1453"/>
      <c r="AK48" s="1464"/>
      <c r="AL48" s="1460"/>
      <c r="AM48" s="1460"/>
      <c r="AN48" s="1457"/>
      <c r="AO48" s="1467"/>
      <c r="AP48" s="1464"/>
      <c r="AQ48" s="1460"/>
      <c r="AR48" s="1459"/>
      <c r="AS48" s="1453"/>
      <c r="AT48" s="1453"/>
      <c r="AU48" s="1467"/>
      <c r="AV48" s="1460"/>
      <c r="AW48" s="1460"/>
      <c r="AX48" s="1457">
        <v>3000</v>
      </c>
      <c r="AY48" s="1463">
        <v>1</v>
      </c>
      <c r="AZ48" s="2027">
        <v>43098</v>
      </c>
      <c r="BA48" s="1469">
        <v>48</v>
      </c>
      <c r="BB48" s="2026">
        <v>43107</v>
      </c>
    </row>
    <row r="49" spans="1:54">
      <c r="A49" s="1453" t="s">
        <v>2090</v>
      </c>
      <c r="B49" s="1454" t="s">
        <v>2091</v>
      </c>
      <c r="C49" s="1472" t="s">
        <v>2092</v>
      </c>
      <c r="D49" s="1456">
        <f t="shared" si="0"/>
        <v>2000</v>
      </c>
      <c r="E49" s="1457"/>
      <c r="F49" s="1458"/>
      <c r="G49" s="1459"/>
      <c r="H49" s="1460"/>
      <c r="I49" s="1810"/>
      <c r="J49" s="1457"/>
      <c r="K49" s="1461"/>
      <c r="L49" s="1459"/>
      <c r="M49" s="1460"/>
      <c r="N49" s="1460"/>
      <c r="O49" s="1457"/>
      <c r="P49" s="1461"/>
      <c r="Q49" s="1459"/>
      <c r="R49" s="1460"/>
      <c r="S49" s="1460"/>
      <c r="T49" s="1457"/>
      <c r="U49" s="1461"/>
      <c r="V49" s="1459"/>
      <c r="W49" s="1460"/>
      <c r="X49" s="1460"/>
      <c r="Y49" s="1462"/>
      <c r="Z49" s="1463"/>
      <c r="AA49" s="1464"/>
      <c r="AB49" s="1460"/>
      <c r="AC49" s="1460"/>
      <c r="AD49" s="1453"/>
      <c r="AE49" s="1453"/>
      <c r="AF49" s="1453"/>
      <c r="AG49" s="1453"/>
      <c r="AH49" s="1453"/>
      <c r="AI49" s="1457"/>
      <c r="AJ49" s="1453"/>
      <c r="AK49" s="1464"/>
      <c r="AL49" s="1460"/>
      <c r="AM49" s="1460"/>
      <c r="AN49" s="1457"/>
      <c r="AO49" s="1467"/>
      <c r="AP49" s="1464"/>
      <c r="AQ49" s="1460"/>
      <c r="AR49" s="1459"/>
      <c r="AS49" s="1453"/>
      <c r="AT49" s="1453"/>
      <c r="AU49" s="1467"/>
      <c r="AV49" s="1460"/>
      <c r="AW49" s="1460"/>
      <c r="AX49" s="1457">
        <v>2000</v>
      </c>
      <c r="AY49" s="1463">
        <v>1</v>
      </c>
      <c r="AZ49" s="2027">
        <v>43098</v>
      </c>
      <c r="BA49" s="1469">
        <v>48</v>
      </c>
      <c r="BB49" s="2026">
        <v>43107</v>
      </c>
    </row>
    <row r="50" spans="1:54">
      <c r="A50" s="1453" t="s">
        <v>2093</v>
      </c>
      <c r="B50" s="1454" t="s">
        <v>2094</v>
      </c>
      <c r="C50" s="1472" t="s">
        <v>2095</v>
      </c>
      <c r="D50" s="1456">
        <f t="shared" si="0"/>
        <v>2000</v>
      </c>
      <c r="E50" s="1457"/>
      <c r="F50" s="1458"/>
      <c r="G50" s="1459"/>
      <c r="H50" s="1460"/>
      <c r="I50" s="1810"/>
      <c r="J50" s="1457"/>
      <c r="K50" s="1461"/>
      <c r="L50" s="1459"/>
      <c r="M50" s="1460"/>
      <c r="N50" s="1460"/>
      <c r="O50" s="1457"/>
      <c r="P50" s="1461"/>
      <c r="Q50" s="1459"/>
      <c r="R50" s="1460"/>
      <c r="S50" s="1460"/>
      <c r="T50" s="1457"/>
      <c r="U50" s="1461"/>
      <c r="V50" s="1459"/>
      <c r="W50" s="1460"/>
      <c r="X50" s="1460"/>
      <c r="Y50" s="1462"/>
      <c r="Z50" s="1463"/>
      <c r="AA50" s="1464"/>
      <c r="AB50" s="1460"/>
      <c r="AC50" s="1460"/>
      <c r="AD50" s="1453"/>
      <c r="AE50" s="1453"/>
      <c r="AF50" s="1453"/>
      <c r="AG50" s="1453"/>
      <c r="AH50" s="1453"/>
      <c r="AI50" s="1457"/>
      <c r="AJ50" s="1453"/>
      <c r="AK50" s="1464"/>
      <c r="AL50" s="1460"/>
      <c r="AM50" s="1460"/>
      <c r="AN50" s="1457"/>
      <c r="AO50" s="1467"/>
      <c r="AP50" s="1464"/>
      <c r="AQ50" s="1460"/>
      <c r="AR50" s="1459"/>
      <c r="AS50" s="1453"/>
      <c r="AT50" s="1453"/>
      <c r="AU50" s="1467"/>
      <c r="AV50" s="1460"/>
      <c r="AW50" s="1460"/>
      <c r="AX50" s="1457">
        <v>2000</v>
      </c>
      <c r="AY50" s="1463">
        <v>1</v>
      </c>
      <c r="AZ50" s="2027">
        <v>43098</v>
      </c>
      <c r="BA50" s="1469">
        <v>48</v>
      </c>
      <c r="BB50" s="2026">
        <v>43107</v>
      </c>
    </row>
    <row r="51" spans="1:54">
      <c r="A51" s="1453" t="s">
        <v>2096</v>
      </c>
      <c r="B51" s="1454" t="s">
        <v>2097</v>
      </c>
      <c r="C51" s="1472" t="s">
        <v>2083</v>
      </c>
      <c r="D51" s="1456">
        <f t="shared" si="0"/>
        <v>3000</v>
      </c>
      <c r="E51" s="1457"/>
      <c r="F51" s="1458"/>
      <c r="G51" s="1459"/>
      <c r="H51" s="1460"/>
      <c r="I51" s="1810"/>
      <c r="J51" s="1457"/>
      <c r="K51" s="1461"/>
      <c r="L51" s="1459"/>
      <c r="M51" s="1460"/>
      <c r="N51" s="1460"/>
      <c r="O51" s="1457"/>
      <c r="P51" s="1461"/>
      <c r="Q51" s="1459"/>
      <c r="R51" s="1460"/>
      <c r="S51" s="1460"/>
      <c r="T51" s="1457"/>
      <c r="U51" s="1461"/>
      <c r="V51" s="1459"/>
      <c r="W51" s="1460"/>
      <c r="X51" s="1460"/>
      <c r="Y51" s="1462"/>
      <c r="Z51" s="1463"/>
      <c r="AA51" s="1464"/>
      <c r="AB51" s="1460"/>
      <c r="AC51" s="1460"/>
      <c r="AD51" s="1453"/>
      <c r="AE51" s="1453"/>
      <c r="AF51" s="1453"/>
      <c r="AG51" s="1453"/>
      <c r="AH51" s="1453"/>
      <c r="AI51" s="1457"/>
      <c r="AJ51" s="1453"/>
      <c r="AK51" s="1464"/>
      <c r="AL51" s="1460"/>
      <c r="AM51" s="1460"/>
      <c r="AN51" s="1457"/>
      <c r="AO51" s="1467"/>
      <c r="AP51" s="1464"/>
      <c r="AQ51" s="1460"/>
      <c r="AR51" s="1459"/>
      <c r="AS51" s="1453"/>
      <c r="AT51" s="1453"/>
      <c r="AU51" s="1467"/>
      <c r="AV51" s="1460"/>
      <c r="AW51" s="1460"/>
      <c r="AX51" s="1457">
        <v>3000</v>
      </c>
      <c r="AY51" s="1463">
        <v>1</v>
      </c>
      <c r="AZ51" s="2027">
        <v>43098</v>
      </c>
      <c r="BA51" s="1469">
        <v>48</v>
      </c>
      <c r="BB51" s="2026">
        <v>43107</v>
      </c>
    </row>
    <row r="52" spans="1:54">
      <c r="A52" s="1453" t="s">
        <v>2098</v>
      </c>
      <c r="B52" s="1454" t="s">
        <v>2099</v>
      </c>
      <c r="C52" s="1472" t="s">
        <v>2100</v>
      </c>
      <c r="D52" s="1456">
        <f t="shared" si="0"/>
        <v>2000</v>
      </c>
      <c r="E52" s="1457"/>
      <c r="F52" s="1458"/>
      <c r="G52" s="1459"/>
      <c r="H52" s="1460"/>
      <c r="I52" s="1810"/>
      <c r="J52" s="1457"/>
      <c r="K52" s="1461"/>
      <c r="L52" s="1459"/>
      <c r="M52" s="1460"/>
      <c r="N52" s="1460"/>
      <c r="O52" s="1457"/>
      <c r="P52" s="1461"/>
      <c r="Q52" s="1459"/>
      <c r="R52" s="1460"/>
      <c r="S52" s="1460"/>
      <c r="T52" s="1457"/>
      <c r="U52" s="1461"/>
      <c r="V52" s="1459"/>
      <c r="W52" s="1460"/>
      <c r="X52" s="1460"/>
      <c r="Y52" s="1462"/>
      <c r="Z52" s="1463"/>
      <c r="AA52" s="1464"/>
      <c r="AB52" s="1460"/>
      <c r="AC52" s="1460"/>
      <c r="AD52" s="1453"/>
      <c r="AE52" s="1453"/>
      <c r="AF52" s="1453"/>
      <c r="AG52" s="1453"/>
      <c r="AH52" s="1453"/>
      <c r="AI52" s="1457"/>
      <c r="AJ52" s="1453"/>
      <c r="AK52" s="1464"/>
      <c r="AL52" s="1460"/>
      <c r="AM52" s="1460"/>
      <c r="AN52" s="1457"/>
      <c r="AO52" s="1467"/>
      <c r="AP52" s="1464"/>
      <c r="AQ52" s="1460"/>
      <c r="AR52" s="1459"/>
      <c r="AS52" s="1453"/>
      <c r="AT52" s="1453"/>
      <c r="AU52" s="1467"/>
      <c r="AV52" s="1460"/>
      <c r="AW52" s="1460"/>
      <c r="AX52" s="1457">
        <v>2000</v>
      </c>
      <c r="AY52" s="1463">
        <v>1</v>
      </c>
      <c r="AZ52" s="2027">
        <v>43098</v>
      </c>
      <c r="BA52" s="1469">
        <v>48</v>
      </c>
      <c r="BB52" s="2026">
        <v>43107</v>
      </c>
    </row>
    <row r="53" spans="1:54">
      <c r="A53" s="1453" t="s">
        <v>2101</v>
      </c>
      <c r="B53" s="1454" t="s">
        <v>2102</v>
      </c>
      <c r="C53" s="1472" t="s">
        <v>2103</v>
      </c>
      <c r="D53" s="1456">
        <f t="shared" si="0"/>
        <v>2000</v>
      </c>
      <c r="E53" s="1457"/>
      <c r="F53" s="1458"/>
      <c r="G53" s="1459"/>
      <c r="H53" s="1460"/>
      <c r="I53" s="1810"/>
      <c r="J53" s="1457"/>
      <c r="K53" s="1461"/>
      <c r="L53" s="1459"/>
      <c r="M53" s="1460"/>
      <c r="N53" s="1460"/>
      <c r="O53" s="1457"/>
      <c r="P53" s="1461"/>
      <c r="Q53" s="1459"/>
      <c r="R53" s="1460"/>
      <c r="S53" s="1460"/>
      <c r="T53" s="1457"/>
      <c r="U53" s="1461"/>
      <c r="V53" s="1459"/>
      <c r="W53" s="1460"/>
      <c r="X53" s="1460"/>
      <c r="Y53" s="1462"/>
      <c r="Z53" s="1463"/>
      <c r="AA53" s="1464"/>
      <c r="AB53" s="1460"/>
      <c r="AC53" s="1460"/>
      <c r="AD53" s="1453"/>
      <c r="AE53" s="1453"/>
      <c r="AF53" s="1453"/>
      <c r="AG53" s="1453"/>
      <c r="AH53" s="1453"/>
      <c r="AI53" s="1457"/>
      <c r="AJ53" s="1453"/>
      <c r="AK53" s="1464"/>
      <c r="AL53" s="1460"/>
      <c r="AM53" s="1460"/>
      <c r="AN53" s="1457"/>
      <c r="AO53" s="1467"/>
      <c r="AP53" s="1464"/>
      <c r="AQ53" s="1460"/>
      <c r="AR53" s="1459"/>
      <c r="AS53" s="1453"/>
      <c r="AT53" s="1453"/>
      <c r="AU53" s="1467"/>
      <c r="AV53" s="1460"/>
      <c r="AW53" s="1460"/>
      <c r="AX53" s="1457">
        <v>2000</v>
      </c>
      <c r="AY53" s="1463">
        <v>1</v>
      </c>
      <c r="AZ53" s="2027">
        <v>43098</v>
      </c>
      <c r="BA53" s="1469">
        <v>48</v>
      </c>
      <c r="BB53" s="2026">
        <v>43107</v>
      </c>
    </row>
    <row r="54" spans="1:54">
      <c r="A54" s="1453" t="s">
        <v>2104</v>
      </c>
      <c r="B54" s="1454" t="s">
        <v>2105</v>
      </c>
      <c r="C54" s="1472" t="s">
        <v>2071</v>
      </c>
      <c r="D54" s="1456">
        <f t="shared" si="0"/>
        <v>1000</v>
      </c>
      <c r="E54" s="1457"/>
      <c r="F54" s="1458"/>
      <c r="G54" s="1459"/>
      <c r="H54" s="1460"/>
      <c r="I54" s="1810"/>
      <c r="J54" s="1457"/>
      <c r="K54" s="1461"/>
      <c r="L54" s="1459"/>
      <c r="M54" s="1460"/>
      <c r="N54" s="1460"/>
      <c r="O54" s="1457"/>
      <c r="P54" s="1461"/>
      <c r="Q54" s="1459"/>
      <c r="R54" s="1460"/>
      <c r="S54" s="1460"/>
      <c r="T54" s="1457"/>
      <c r="U54" s="1461"/>
      <c r="V54" s="1459"/>
      <c r="W54" s="1460"/>
      <c r="X54" s="1460"/>
      <c r="Y54" s="1462"/>
      <c r="Z54" s="1463"/>
      <c r="AA54" s="1464"/>
      <c r="AB54" s="1460"/>
      <c r="AC54" s="1460"/>
      <c r="AD54" s="1453"/>
      <c r="AE54" s="1453"/>
      <c r="AF54" s="1453"/>
      <c r="AG54" s="1453"/>
      <c r="AH54" s="1453"/>
      <c r="AI54" s="1457"/>
      <c r="AJ54" s="1453"/>
      <c r="AK54" s="1464"/>
      <c r="AL54" s="1460"/>
      <c r="AM54" s="1460"/>
      <c r="AN54" s="1457"/>
      <c r="AO54" s="1467"/>
      <c r="AP54" s="1464"/>
      <c r="AQ54" s="1460"/>
      <c r="AR54" s="1459"/>
      <c r="AS54" s="1453"/>
      <c r="AT54" s="1453"/>
      <c r="AU54" s="1467"/>
      <c r="AV54" s="1460"/>
      <c r="AW54" s="1460"/>
      <c r="AX54" s="1457">
        <v>1000</v>
      </c>
      <c r="AY54" s="1463">
        <v>1</v>
      </c>
      <c r="AZ54" s="2027">
        <v>43098</v>
      </c>
      <c r="BA54" s="1469">
        <v>48</v>
      </c>
      <c r="BB54" s="2026">
        <v>43107</v>
      </c>
    </row>
    <row r="55" spans="1:54">
      <c r="A55" s="1453" t="s">
        <v>2106</v>
      </c>
      <c r="B55" s="1454" t="s">
        <v>2107</v>
      </c>
      <c r="C55" s="1472" t="s">
        <v>2071</v>
      </c>
      <c r="D55" s="1456">
        <f t="shared" si="0"/>
        <v>1000</v>
      </c>
      <c r="E55" s="1457"/>
      <c r="F55" s="1458"/>
      <c r="G55" s="1459"/>
      <c r="H55" s="1460"/>
      <c r="I55" s="1810"/>
      <c r="J55" s="1457"/>
      <c r="K55" s="1461"/>
      <c r="L55" s="1459"/>
      <c r="M55" s="1460"/>
      <c r="N55" s="1460"/>
      <c r="O55" s="1457"/>
      <c r="P55" s="1461"/>
      <c r="Q55" s="1459"/>
      <c r="R55" s="1460"/>
      <c r="S55" s="1460"/>
      <c r="T55" s="1457"/>
      <c r="U55" s="1461"/>
      <c r="V55" s="1459"/>
      <c r="W55" s="1460"/>
      <c r="X55" s="1460"/>
      <c r="Y55" s="1462"/>
      <c r="Z55" s="1463"/>
      <c r="AA55" s="1464"/>
      <c r="AB55" s="1460"/>
      <c r="AC55" s="1460"/>
      <c r="AD55" s="1453"/>
      <c r="AE55" s="1453"/>
      <c r="AF55" s="1453"/>
      <c r="AG55" s="1453"/>
      <c r="AH55" s="1453"/>
      <c r="AI55" s="1457"/>
      <c r="AJ55" s="1453"/>
      <c r="AK55" s="1464"/>
      <c r="AL55" s="1460"/>
      <c r="AM55" s="1460"/>
      <c r="AN55" s="1457"/>
      <c r="AO55" s="1467"/>
      <c r="AP55" s="1464"/>
      <c r="AQ55" s="1460"/>
      <c r="AR55" s="1459"/>
      <c r="AS55" s="1453"/>
      <c r="AT55" s="1453"/>
      <c r="AU55" s="1467"/>
      <c r="AV55" s="1460"/>
      <c r="AW55" s="1460"/>
      <c r="AX55" s="1457">
        <v>1000</v>
      </c>
      <c r="AY55" s="1463">
        <v>1</v>
      </c>
      <c r="AZ55" s="2027">
        <v>43098</v>
      </c>
      <c r="BA55" s="1469">
        <v>48</v>
      </c>
      <c r="BB55" s="2026">
        <v>43107</v>
      </c>
    </row>
    <row r="56" spans="1:54">
      <c r="A56" s="1453" t="s">
        <v>2108</v>
      </c>
      <c r="B56" s="1454" t="s">
        <v>2109</v>
      </c>
      <c r="C56" s="1472" t="s">
        <v>2110</v>
      </c>
      <c r="D56" s="1456">
        <f t="shared" si="0"/>
        <v>1000</v>
      </c>
      <c r="E56" s="1457"/>
      <c r="F56" s="1458"/>
      <c r="G56" s="1459"/>
      <c r="H56" s="1460"/>
      <c r="I56" s="1810"/>
      <c r="J56" s="1457"/>
      <c r="K56" s="1461"/>
      <c r="L56" s="1459"/>
      <c r="M56" s="1460"/>
      <c r="N56" s="1460"/>
      <c r="O56" s="1457"/>
      <c r="P56" s="1461"/>
      <c r="Q56" s="1459"/>
      <c r="R56" s="1460"/>
      <c r="S56" s="1460"/>
      <c r="T56" s="1457"/>
      <c r="U56" s="1461"/>
      <c r="V56" s="1459"/>
      <c r="W56" s="1460"/>
      <c r="X56" s="1460"/>
      <c r="Y56" s="1462"/>
      <c r="Z56" s="1463"/>
      <c r="AA56" s="1464"/>
      <c r="AB56" s="1460"/>
      <c r="AC56" s="1460"/>
      <c r="AD56" s="1453"/>
      <c r="AE56" s="1453"/>
      <c r="AF56" s="1453"/>
      <c r="AG56" s="1453"/>
      <c r="AH56" s="1453"/>
      <c r="AI56" s="1457"/>
      <c r="AJ56" s="1453"/>
      <c r="AK56" s="1464"/>
      <c r="AL56" s="1460"/>
      <c r="AM56" s="1460"/>
      <c r="AN56" s="1457"/>
      <c r="AO56" s="1467"/>
      <c r="AP56" s="1464"/>
      <c r="AQ56" s="1460"/>
      <c r="AR56" s="1459"/>
      <c r="AS56" s="1453"/>
      <c r="AT56" s="1453"/>
      <c r="AU56" s="1467"/>
      <c r="AV56" s="1460"/>
      <c r="AW56" s="1460"/>
      <c r="AX56" s="1457">
        <v>1000</v>
      </c>
      <c r="AY56" s="1463">
        <v>1</v>
      </c>
      <c r="AZ56" s="2027">
        <v>43098</v>
      </c>
      <c r="BA56" s="1469">
        <v>48</v>
      </c>
      <c r="BB56" s="2026">
        <v>43107</v>
      </c>
    </row>
    <row r="57" spans="1:54">
      <c r="A57" s="1453" t="s">
        <v>2111</v>
      </c>
      <c r="B57" s="1454" t="s">
        <v>2112</v>
      </c>
      <c r="C57" s="1472" t="s">
        <v>2113</v>
      </c>
      <c r="D57" s="1456">
        <f t="shared" si="0"/>
        <v>70000</v>
      </c>
      <c r="E57" s="1462"/>
      <c r="F57" s="1458"/>
      <c r="G57" s="1459"/>
      <c r="H57" s="1460"/>
      <c r="I57" s="1810"/>
      <c r="J57" s="1457"/>
      <c r="K57" s="1461"/>
      <c r="L57" s="1459"/>
      <c r="M57" s="1460"/>
      <c r="N57" s="1460"/>
      <c r="O57" s="1457"/>
      <c r="P57" s="1461"/>
      <c r="Q57" s="1459"/>
      <c r="R57" s="1460"/>
      <c r="S57" s="1460"/>
      <c r="T57" s="1457"/>
      <c r="U57" s="1461"/>
      <c r="V57" s="1459"/>
      <c r="W57" s="1460"/>
      <c r="X57" s="1460"/>
      <c r="Y57" s="1462"/>
      <c r="Z57" s="1463"/>
      <c r="AA57" s="1464"/>
      <c r="AB57" s="1460"/>
      <c r="AC57" s="1460"/>
      <c r="AD57" s="1453"/>
      <c r="AE57" s="1453"/>
      <c r="AF57" s="1453"/>
      <c r="AG57" s="1453"/>
      <c r="AH57" s="1453"/>
      <c r="AI57" s="1457"/>
      <c r="AJ57" s="1453"/>
      <c r="AK57" s="1464"/>
      <c r="AL57" s="1460"/>
      <c r="AM57" s="1460"/>
      <c r="AN57" s="1457"/>
      <c r="AO57" s="1467"/>
      <c r="AP57" s="1464"/>
      <c r="AQ57" s="1460"/>
      <c r="AR57" s="1460"/>
      <c r="AS57" s="1465">
        <v>50000</v>
      </c>
      <c r="AT57" s="1453">
        <v>1</v>
      </c>
      <c r="AU57" s="1464">
        <v>42933</v>
      </c>
      <c r="AV57" s="1460">
        <v>48</v>
      </c>
      <c r="AW57" s="1459">
        <v>42940</v>
      </c>
      <c r="AX57" s="1457">
        <v>20000</v>
      </c>
      <c r="AY57" s="1463">
        <v>1</v>
      </c>
      <c r="AZ57" s="2027">
        <v>43098</v>
      </c>
      <c r="BA57" s="1469">
        <v>48</v>
      </c>
      <c r="BB57" s="2026">
        <v>43107</v>
      </c>
    </row>
    <row r="58" spans="1:54">
      <c r="A58" s="1453" t="s">
        <v>2114</v>
      </c>
      <c r="B58" s="1454" t="s">
        <v>2115</v>
      </c>
      <c r="C58" s="1472" t="s">
        <v>2083</v>
      </c>
      <c r="D58" s="1456">
        <f t="shared" si="0"/>
        <v>2000</v>
      </c>
      <c r="E58" s="1462"/>
      <c r="F58" s="1458"/>
      <c r="G58" s="1459"/>
      <c r="H58" s="1460"/>
      <c r="I58" s="1810"/>
      <c r="J58" s="1457"/>
      <c r="K58" s="1461"/>
      <c r="L58" s="1459"/>
      <c r="M58" s="1460"/>
      <c r="N58" s="1460"/>
      <c r="O58" s="1457"/>
      <c r="P58" s="1461"/>
      <c r="Q58" s="1459"/>
      <c r="R58" s="1460"/>
      <c r="S58" s="1460"/>
      <c r="T58" s="1457"/>
      <c r="U58" s="1461"/>
      <c r="V58" s="1459"/>
      <c r="W58" s="1460"/>
      <c r="X58" s="1460"/>
      <c r="Y58" s="1462"/>
      <c r="Z58" s="1463"/>
      <c r="AA58" s="1464"/>
      <c r="AB58" s="1460"/>
      <c r="AC58" s="1460"/>
      <c r="AD58" s="1453"/>
      <c r="AE58" s="1453"/>
      <c r="AF58" s="1453"/>
      <c r="AG58" s="1453"/>
      <c r="AH58" s="1453"/>
      <c r="AI58" s="1457"/>
      <c r="AJ58" s="1453"/>
      <c r="AK58" s="1464"/>
      <c r="AL58" s="1460"/>
      <c r="AM58" s="1460"/>
      <c r="AN58" s="1457"/>
      <c r="AO58" s="1467"/>
      <c r="AP58" s="1464"/>
      <c r="AQ58" s="1460"/>
      <c r="AR58" s="1460"/>
      <c r="AS58" s="1465"/>
      <c r="AT58" s="1453"/>
      <c r="AU58" s="1464"/>
      <c r="AV58" s="1460"/>
      <c r="AW58" s="1459"/>
      <c r="AX58" s="1457">
        <v>2000</v>
      </c>
      <c r="AY58" s="1463">
        <v>1</v>
      </c>
      <c r="AZ58" s="2027">
        <v>43098</v>
      </c>
      <c r="BA58" s="1469">
        <v>48</v>
      </c>
      <c r="BB58" s="2026">
        <v>43107</v>
      </c>
    </row>
    <row r="59" spans="1:54">
      <c r="A59" s="1453" t="s">
        <v>2116</v>
      </c>
      <c r="B59" s="1454" t="s">
        <v>2117</v>
      </c>
      <c r="C59" s="1472" t="s">
        <v>2118</v>
      </c>
      <c r="D59" s="1456">
        <f t="shared" si="0"/>
        <v>1000</v>
      </c>
      <c r="E59" s="1462"/>
      <c r="F59" s="1458"/>
      <c r="G59" s="1459"/>
      <c r="H59" s="1460"/>
      <c r="I59" s="1810"/>
      <c r="J59" s="1457"/>
      <c r="K59" s="1461"/>
      <c r="L59" s="1459"/>
      <c r="M59" s="1460"/>
      <c r="N59" s="1460"/>
      <c r="O59" s="1457"/>
      <c r="P59" s="1461"/>
      <c r="Q59" s="1459"/>
      <c r="R59" s="1460"/>
      <c r="S59" s="1460"/>
      <c r="T59" s="1457"/>
      <c r="U59" s="1461"/>
      <c r="V59" s="1459"/>
      <c r="W59" s="1460"/>
      <c r="X59" s="1460"/>
      <c r="Y59" s="1462"/>
      <c r="Z59" s="1463"/>
      <c r="AA59" s="1464"/>
      <c r="AB59" s="1460"/>
      <c r="AC59" s="1460"/>
      <c r="AD59" s="1453"/>
      <c r="AE59" s="1453"/>
      <c r="AF59" s="1453"/>
      <c r="AG59" s="1453"/>
      <c r="AH59" s="1453"/>
      <c r="AI59" s="1457"/>
      <c r="AJ59" s="1453"/>
      <c r="AK59" s="1464"/>
      <c r="AL59" s="1460"/>
      <c r="AM59" s="1460"/>
      <c r="AN59" s="1457"/>
      <c r="AO59" s="1467"/>
      <c r="AP59" s="1464"/>
      <c r="AQ59" s="1460"/>
      <c r="AR59" s="1460"/>
      <c r="AS59" s="1465"/>
      <c r="AT59" s="1453"/>
      <c r="AU59" s="1464"/>
      <c r="AV59" s="1460"/>
      <c r="AW59" s="1459"/>
      <c r="AX59" s="1457">
        <v>1000</v>
      </c>
      <c r="AY59" s="1463">
        <v>1</v>
      </c>
      <c r="AZ59" s="2027">
        <v>43098</v>
      </c>
      <c r="BA59" s="1469">
        <v>48</v>
      </c>
      <c r="BB59" s="2026">
        <v>43107</v>
      </c>
    </row>
    <row r="60" spans="1:54">
      <c r="A60" s="1453" t="s">
        <v>2119</v>
      </c>
      <c r="B60" s="1454" t="s">
        <v>2120</v>
      </c>
      <c r="C60" s="1472" t="s">
        <v>2121</v>
      </c>
      <c r="D60" s="1456">
        <f t="shared" si="0"/>
        <v>2000</v>
      </c>
      <c r="E60" s="1462"/>
      <c r="F60" s="1458"/>
      <c r="G60" s="1459"/>
      <c r="H60" s="1460"/>
      <c r="I60" s="1810"/>
      <c r="J60" s="1457"/>
      <c r="K60" s="1461"/>
      <c r="L60" s="1459"/>
      <c r="M60" s="1460"/>
      <c r="N60" s="1460"/>
      <c r="O60" s="1457"/>
      <c r="P60" s="1461"/>
      <c r="Q60" s="1459"/>
      <c r="R60" s="1460"/>
      <c r="S60" s="1460"/>
      <c r="T60" s="1457"/>
      <c r="U60" s="1461"/>
      <c r="V60" s="1459"/>
      <c r="W60" s="1460"/>
      <c r="X60" s="1460"/>
      <c r="Y60" s="1462"/>
      <c r="Z60" s="1463"/>
      <c r="AA60" s="1464"/>
      <c r="AB60" s="1460"/>
      <c r="AC60" s="1460"/>
      <c r="AD60" s="1453"/>
      <c r="AE60" s="1453"/>
      <c r="AF60" s="1453"/>
      <c r="AG60" s="1453"/>
      <c r="AH60" s="1453"/>
      <c r="AI60" s="1457"/>
      <c r="AJ60" s="1453"/>
      <c r="AK60" s="1464"/>
      <c r="AL60" s="1460"/>
      <c r="AM60" s="1460"/>
      <c r="AN60" s="1457"/>
      <c r="AO60" s="1467"/>
      <c r="AP60" s="1464"/>
      <c r="AQ60" s="1460"/>
      <c r="AR60" s="1460"/>
      <c r="AS60" s="1465"/>
      <c r="AT60" s="1453"/>
      <c r="AU60" s="1464"/>
      <c r="AV60" s="1460"/>
      <c r="AW60" s="1459"/>
      <c r="AX60" s="1457">
        <v>2000</v>
      </c>
      <c r="AY60" s="1463">
        <v>1</v>
      </c>
      <c r="AZ60" s="2027">
        <v>43098</v>
      </c>
      <c r="BA60" s="1469">
        <v>48</v>
      </c>
      <c r="BB60" s="2026">
        <v>43107</v>
      </c>
    </row>
    <row r="61" spans="1:54">
      <c r="A61" s="1453" t="s">
        <v>2122</v>
      </c>
      <c r="B61" s="1454" t="s">
        <v>2123</v>
      </c>
      <c r="C61" s="1472" t="s">
        <v>2110</v>
      </c>
      <c r="D61" s="1456">
        <f t="shared" si="0"/>
        <v>1000</v>
      </c>
      <c r="E61" s="1462"/>
      <c r="F61" s="1458"/>
      <c r="G61" s="1459"/>
      <c r="H61" s="1460"/>
      <c r="I61" s="1810"/>
      <c r="J61" s="1457"/>
      <c r="K61" s="1461"/>
      <c r="L61" s="1459"/>
      <c r="M61" s="1460"/>
      <c r="N61" s="1460"/>
      <c r="O61" s="1457"/>
      <c r="P61" s="1461"/>
      <c r="Q61" s="1459"/>
      <c r="R61" s="1460"/>
      <c r="S61" s="1460"/>
      <c r="T61" s="1457"/>
      <c r="U61" s="1461"/>
      <c r="V61" s="1459"/>
      <c r="W61" s="1460"/>
      <c r="X61" s="1460"/>
      <c r="Y61" s="1462"/>
      <c r="Z61" s="1463"/>
      <c r="AA61" s="1464"/>
      <c r="AB61" s="1460"/>
      <c r="AC61" s="1460"/>
      <c r="AD61" s="1453"/>
      <c r="AE61" s="1453"/>
      <c r="AF61" s="1453"/>
      <c r="AG61" s="1453"/>
      <c r="AH61" s="1453"/>
      <c r="AI61" s="1457"/>
      <c r="AJ61" s="1453"/>
      <c r="AK61" s="1464"/>
      <c r="AL61" s="1460"/>
      <c r="AM61" s="1460"/>
      <c r="AN61" s="1457"/>
      <c r="AO61" s="1467"/>
      <c r="AP61" s="1464"/>
      <c r="AQ61" s="1460"/>
      <c r="AR61" s="1460"/>
      <c r="AS61" s="1465"/>
      <c r="AT61" s="1453"/>
      <c r="AU61" s="1464"/>
      <c r="AV61" s="1460"/>
      <c r="AW61" s="1459"/>
      <c r="AX61" s="1457">
        <v>1000</v>
      </c>
      <c r="AY61" s="1463">
        <v>1</v>
      </c>
      <c r="AZ61" s="2027">
        <v>43098</v>
      </c>
      <c r="BA61" s="1469">
        <v>48</v>
      </c>
      <c r="BB61" s="2026">
        <v>43107</v>
      </c>
    </row>
    <row r="62" spans="1:54">
      <c r="A62" s="1453" t="s">
        <v>2124</v>
      </c>
      <c r="B62" s="1454" t="s">
        <v>2125</v>
      </c>
      <c r="C62" s="1472" t="s">
        <v>2126</v>
      </c>
      <c r="D62" s="1456">
        <f t="shared" si="0"/>
        <v>1000</v>
      </c>
      <c r="E62" s="1462"/>
      <c r="F62" s="1458"/>
      <c r="G62" s="1459"/>
      <c r="H62" s="1460"/>
      <c r="I62" s="1810"/>
      <c r="J62" s="1457"/>
      <c r="K62" s="1461"/>
      <c r="L62" s="1459"/>
      <c r="M62" s="1460"/>
      <c r="N62" s="1460"/>
      <c r="O62" s="1457"/>
      <c r="P62" s="1461"/>
      <c r="Q62" s="1459"/>
      <c r="R62" s="1460"/>
      <c r="S62" s="1460"/>
      <c r="T62" s="1457"/>
      <c r="U62" s="1461"/>
      <c r="V62" s="1459"/>
      <c r="W62" s="1460"/>
      <c r="X62" s="1460"/>
      <c r="Y62" s="1462"/>
      <c r="Z62" s="1463"/>
      <c r="AA62" s="1464"/>
      <c r="AB62" s="1460"/>
      <c r="AC62" s="1460"/>
      <c r="AD62" s="1453"/>
      <c r="AE62" s="1453"/>
      <c r="AF62" s="1453"/>
      <c r="AG62" s="1453"/>
      <c r="AH62" s="1453"/>
      <c r="AI62" s="1457"/>
      <c r="AJ62" s="1453"/>
      <c r="AK62" s="1464"/>
      <c r="AL62" s="1460"/>
      <c r="AM62" s="1460"/>
      <c r="AN62" s="1457"/>
      <c r="AO62" s="1467"/>
      <c r="AP62" s="1464"/>
      <c r="AQ62" s="1460"/>
      <c r="AR62" s="1460"/>
      <c r="AS62" s="1465"/>
      <c r="AT62" s="1453"/>
      <c r="AU62" s="1464"/>
      <c r="AV62" s="1460"/>
      <c r="AW62" s="1459"/>
      <c r="AX62" s="1457">
        <v>1000</v>
      </c>
      <c r="AY62" s="1463">
        <v>1</v>
      </c>
      <c r="AZ62" s="2027">
        <v>43098</v>
      </c>
      <c r="BA62" s="1469">
        <v>48</v>
      </c>
      <c r="BB62" s="2026">
        <v>43107</v>
      </c>
    </row>
    <row r="63" spans="1:54">
      <c r="A63" s="1453" t="s">
        <v>2127</v>
      </c>
      <c r="B63" s="1454" t="s">
        <v>2128</v>
      </c>
      <c r="C63" s="1472" t="s">
        <v>2129</v>
      </c>
      <c r="D63" s="1456">
        <f t="shared" si="0"/>
        <v>100000</v>
      </c>
      <c r="E63" s="1457"/>
      <c r="F63" s="1461"/>
      <c r="G63" s="1459"/>
      <c r="H63" s="1460"/>
      <c r="I63" s="1810"/>
      <c r="J63" s="1457"/>
      <c r="K63" s="1461"/>
      <c r="L63" s="1459"/>
      <c r="M63" s="1460"/>
      <c r="N63" s="1460"/>
      <c r="O63" s="1457"/>
      <c r="P63" s="1461"/>
      <c r="Q63" s="1459"/>
      <c r="R63" s="1460"/>
      <c r="S63" s="1460"/>
      <c r="T63" s="1457"/>
      <c r="U63" s="1461"/>
      <c r="V63" s="1459"/>
      <c r="W63" s="1460"/>
      <c r="X63" s="1460"/>
      <c r="Y63" s="1462"/>
      <c r="Z63" s="1475"/>
      <c r="AA63" s="1466"/>
      <c r="AB63" s="1460"/>
      <c r="AC63" s="1460"/>
      <c r="AD63" s="1453"/>
      <c r="AE63" s="1453"/>
      <c r="AF63" s="1453"/>
      <c r="AG63" s="1453"/>
      <c r="AH63" s="1453"/>
      <c r="AI63" s="1457"/>
      <c r="AJ63" s="1453"/>
      <c r="AK63" s="1466"/>
      <c r="AL63" s="1460"/>
      <c r="AM63" s="1460"/>
      <c r="AN63" s="1457"/>
      <c r="AO63" s="1453"/>
      <c r="AP63" s="1466"/>
      <c r="AQ63" s="1460"/>
      <c r="AR63" s="1460"/>
      <c r="AS63" s="1465">
        <v>100000</v>
      </c>
      <c r="AT63" s="1453">
        <v>10</v>
      </c>
      <c r="AU63" s="1466">
        <v>42962</v>
      </c>
      <c r="AV63" s="1460">
        <v>48</v>
      </c>
      <c r="AW63" s="1459">
        <v>42940</v>
      </c>
      <c r="AX63" s="1457"/>
      <c r="AY63" s="1463"/>
      <c r="AZ63" s="2027"/>
      <c r="BA63" s="1469"/>
      <c r="BB63" s="2026"/>
    </row>
    <row r="64" spans="1:54">
      <c r="A64" s="1453" t="s">
        <v>2130</v>
      </c>
      <c r="B64" s="1454" t="s">
        <v>2131</v>
      </c>
      <c r="C64" s="1453" t="s">
        <v>2132</v>
      </c>
      <c r="D64" s="1456">
        <f t="shared" si="0"/>
        <v>1000</v>
      </c>
      <c r="E64" s="1457"/>
      <c r="F64" s="1461"/>
      <c r="G64" s="1459"/>
      <c r="H64" s="1460"/>
      <c r="I64" s="1810"/>
      <c r="J64" s="1457"/>
      <c r="K64" s="1461"/>
      <c r="L64" s="1459"/>
      <c r="M64" s="1460"/>
      <c r="N64" s="1460"/>
      <c r="O64" s="1457"/>
      <c r="P64" s="1461"/>
      <c r="Q64" s="1459"/>
      <c r="R64" s="1460"/>
      <c r="S64" s="1460"/>
      <c r="T64" s="1457"/>
      <c r="U64" s="1461"/>
      <c r="V64" s="1459"/>
      <c r="W64" s="1460"/>
      <c r="X64" s="1460"/>
      <c r="Y64" s="1462"/>
      <c r="Z64" s="1475"/>
      <c r="AA64" s="1466"/>
      <c r="AB64" s="1460"/>
      <c r="AC64" s="1460"/>
      <c r="AD64" s="1453"/>
      <c r="AE64" s="1453"/>
      <c r="AF64" s="1453"/>
      <c r="AG64" s="1453"/>
      <c r="AH64" s="1453"/>
      <c r="AI64" s="1457"/>
      <c r="AJ64" s="1453"/>
      <c r="AK64" s="1466"/>
      <c r="AL64" s="1460"/>
      <c r="AM64" s="1460"/>
      <c r="AN64" s="1457"/>
      <c r="AO64" s="1453"/>
      <c r="AP64" s="1466"/>
      <c r="AQ64" s="1460"/>
      <c r="AR64" s="1460"/>
      <c r="AS64" s="1465"/>
      <c r="AT64" s="1453"/>
      <c r="AU64" s="1466"/>
      <c r="AV64" s="1460"/>
      <c r="AW64" s="1459"/>
      <c r="AX64" s="1457">
        <v>1000</v>
      </c>
      <c r="AY64" s="1463">
        <v>1</v>
      </c>
      <c r="AZ64" s="2027">
        <v>43098</v>
      </c>
      <c r="BA64" s="1469">
        <v>48</v>
      </c>
      <c r="BB64" s="2026">
        <v>43107</v>
      </c>
    </row>
    <row r="65" spans="1:54">
      <c r="A65" s="1453" t="s">
        <v>2133</v>
      </c>
      <c r="B65" s="1454" t="s">
        <v>2134</v>
      </c>
      <c r="C65" s="1453" t="s">
        <v>2135</v>
      </c>
      <c r="D65" s="1456">
        <f t="shared" si="0"/>
        <v>1000</v>
      </c>
      <c r="E65" s="1457"/>
      <c r="F65" s="1461"/>
      <c r="G65" s="1459"/>
      <c r="H65" s="1460"/>
      <c r="I65" s="1810"/>
      <c r="J65" s="1457"/>
      <c r="K65" s="1461"/>
      <c r="L65" s="1459"/>
      <c r="M65" s="1460"/>
      <c r="N65" s="1460"/>
      <c r="O65" s="1457"/>
      <c r="P65" s="1461"/>
      <c r="Q65" s="1459"/>
      <c r="R65" s="1460"/>
      <c r="S65" s="1460"/>
      <c r="T65" s="1457"/>
      <c r="U65" s="1461"/>
      <c r="V65" s="1459"/>
      <c r="W65" s="1460"/>
      <c r="X65" s="1460"/>
      <c r="Y65" s="1462"/>
      <c r="Z65" s="1475"/>
      <c r="AA65" s="1466"/>
      <c r="AB65" s="1460"/>
      <c r="AC65" s="1460"/>
      <c r="AD65" s="1453"/>
      <c r="AE65" s="1453"/>
      <c r="AF65" s="1453"/>
      <c r="AG65" s="1453"/>
      <c r="AH65" s="1453"/>
      <c r="AI65" s="1457"/>
      <c r="AJ65" s="1453"/>
      <c r="AK65" s="1466"/>
      <c r="AL65" s="1460"/>
      <c r="AM65" s="1460"/>
      <c r="AN65" s="1457"/>
      <c r="AO65" s="1453"/>
      <c r="AP65" s="1466"/>
      <c r="AQ65" s="1460"/>
      <c r="AR65" s="1460"/>
      <c r="AS65" s="1465"/>
      <c r="AT65" s="1453"/>
      <c r="AU65" s="1466"/>
      <c r="AV65" s="1460"/>
      <c r="AW65" s="1459"/>
      <c r="AX65" s="1457">
        <v>1000</v>
      </c>
      <c r="AY65" s="1463">
        <v>1</v>
      </c>
      <c r="AZ65" s="2027">
        <v>43098</v>
      </c>
      <c r="BA65" s="1469">
        <v>48</v>
      </c>
      <c r="BB65" s="2026">
        <v>43107</v>
      </c>
    </row>
    <row r="66" spans="1:54">
      <c r="A66" s="1453" t="s">
        <v>2136</v>
      </c>
      <c r="B66" s="1454" t="s">
        <v>2137</v>
      </c>
      <c r="C66" s="1453" t="s">
        <v>2138</v>
      </c>
      <c r="D66" s="1456">
        <f t="shared" si="0"/>
        <v>100000</v>
      </c>
      <c r="E66" s="1462"/>
      <c r="F66" s="1458"/>
      <c r="G66" s="1459"/>
      <c r="H66" s="1460"/>
      <c r="I66" s="1810"/>
      <c r="J66" s="1457"/>
      <c r="K66" s="1461"/>
      <c r="L66" s="1459"/>
      <c r="M66" s="1460"/>
      <c r="N66" s="1460"/>
      <c r="O66" s="1457"/>
      <c r="P66" s="1461"/>
      <c r="Q66" s="1459"/>
      <c r="R66" s="1460"/>
      <c r="S66" s="1460"/>
      <c r="T66" s="1457"/>
      <c r="U66" s="1461"/>
      <c r="V66" s="1459"/>
      <c r="W66" s="1460"/>
      <c r="X66" s="1460"/>
      <c r="Y66" s="1462"/>
      <c r="Z66" s="1463"/>
      <c r="AA66" s="1464"/>
      <c r="AB66" s="1460"/>
      <c r="AC66" s="1460"/>
      <c r="AD66" s="1453"/>
      <c r="AE66" s="1453"/>
      <c r="AF66" s="1453"/>
      <c r="AG66" s="1453"/>
      <c r="AH66" s="1453"/>
      <c r="AI66" s="1457"/>
      <c r="AJ66" s="1453"/>
      <c r="AK66" s="1464"/>
      <c r="AL66" s="1460"/>
      <c r="AM66" s="1460"/>
      <c r="AN66" s="1457"/>
      <c r="AO66" s="1453"/>
      <c r="AP66" s="1464"/>
      <c r="AQ66" s="1460"/>
      <c r="AR66" s="1460"/>
      <c r="AS66" s="1465">
        <v>100000</v>
      </c>
      <c r="AT66" s="1453">
        <v>1</v>
      </c>
      <c r="AU66" s="1466">
        <v>43006</v>
      </c>
      <c r="AV66" s="1460">
        <v>48</v>
      </c>
      <c r="AW66" s="1459">
        <v>43107</v>
      </c>
      <c r="AX66" s="1457"/>
      <c r="AY66" s="1463"/>
      <c r="AZ66" s="2027"/>
      <c r="BA66" s="1469"/>
      <c r="BB66" s="2026"/>
    </row>
    <row r="67" spans="1:54">
      <c r="A67" s="1453" t="s">
        <v>2139</v>
      </c>
      <c r="B67" s="1454" t="s">
        <v>2140</v>
      </c>
      <c r="C67" s="1453" t="s">
        <v>2141</v>
      </c>
      <c r="D67" s="1456">
        <f t="shared" si="0"/>
        <v>1000</v>
      </c>
      <c r="E67" s="1462"/>
      <c r="F67" s="1458"/>
      <c r="G67" s="1459"/>
      <c r="H67" s="1460"/>
      <c r="I67" s="1810"/>
      <c r="J67" s="1457"/>
      <c r="K67" s="1461"/>
      <c r="L67" s="1459"/>
      <c r="M67" s="1460"/>
      <c r="N67" s="1460"/>
      <c r="O67" s="1457"/>
      <c r="P67" s="1461"/>
      <c r="Q67" s="1459"/>
      <c r="R67" s="1460"/>
      <c r="S67" s="1460"/>
      <c r="T67" s="1457"/>
      <c r="U67" s="1461"/>
      <c r="V67" s="1459"/>
      <c r="W67" s="1460"/>
      <c r="X67" s="1460"/>
      <c r="Y67" s="1462"/>
      <c r="Z67" s="1463"/>
      <c r="AA67" s="1464"/>
      <c r="AB67" s="1460"/>
      <c r="AC67" s="1460"/>
      <c r="AD67" s="1453"/>
      <c r="AE67" s="1453"/>
      <c r="AF67" s="1453"/>
      <c r="AG67" s="1453"/>
      <c r="AH67" s="1453"/>
      <c r="AI67" s="1457"/>
      <c r="AJ67" s="1453"/>
      <c r="AK67" s="1464"/>
      <c r="AL67" s="1460"/>
      <c r="AM67" s="1460"/>
      <c r="AN67" s="1457"/>
      <c r="AO67" s="1453"/>
      <c r="AP67" s="1464"/>
      <c r="AQ67" s="1460"/>
      <c r="AR67" s="1460"/>
      <c r="AS67" s="1465"/>
      <c r="AT67" s="1453"/>
      <c r="AU67" s="1466"/>
      <c r="AV67" s="1460"/>
      <c r="AW67" s="1459"/>
      <c r="AX67" s="1457">
        <v>1000</v>
      </c>
      <c r="AY67" s="1463">
        <v>1</v>
      </c>
      <c r="AZ67" s="2027">
        <v>43098</v>
      </c>
      <c r="BA67" s="1469">
        <v>48</v>
      </c>
      <c r="BB67" s="2026">
        <v>43107</v>
      </c>
    </row>
    <row r="68" spans="1:54">
      <c r="A68" s="1453" t="s">
        <v>2142</v>
      </c>
      <c r="B68" s="1454" t="s">
        <v>2143</v>
      </c>
      <c r="C68" s="1453" t="s">
        <v>2144</v>
      </c>
      <c r="D68" s="1456">
        <f t="shared" ref="D68:D83" si="1">E68+J68+O68+T68+Y68+AD68+AI68+AN68+AS68+AX68</f>
        <v>1000</v>
      </c>
      <c r="E68" s="1462"/>
      <c r="F68" s="1458"/>
      <c r="G68" s="1459"/>
      <c r="H68" s="1460"/>
      <c r="I68" s="1810"/>
      <c r="J68" s="1457"/>
      <c r="K68" s="1461"/>
      <c r="L68" s="1459"/>
      <c r="M68" s="1460"/>
      <c r="N68" s="1460"/>
      <c r="O68" s="1457"/>
      <c r="P68" s="1461"/>
      <c r="Q68" s="1459"/>
      <c r="R68" s="1460"/>
      <c r="S68" s="1460"/>
      <c r="T68" s="1457"/>
      <c r="U68" s="1458"/>
      <c r="V68" s="1459"/>
      <c r="W68" s="1460"/>
      <c r="X68" s="1460"/>
      <c r="Y68" s="1462"/>
      <c r="Z68" s="1463"/>
      <c r="AA68" s="1464"/>
      <c r="AB68" s="1460"/>
      <c r="AC68" s="1460"/>
      <c r="AD68" s="1453"/>
      <c r="AE68" s="1453"/>
      <c r="AF68" s="1453"/>
      <c r="AG68" s="1453"/>
      <c r="AH68" s="1453"/>
      <c r="AI68" s="1457"/>
      <c r="AJ68" s="1453"/>
      <c r="AK68" s="1464"/>
      <c r="AL68" s="1460"/>
      <c r="AM68" s="1460"/>
      <c r="AN68" s="1457"/>
      <c r="AO68" s="1453"/>
      <c r="AP68" s="1464"/>
      <c r="AQ68" s="1460"/>
      <c r="AR68" s="1460"/>
      <c r="AS68" s="1465"/>
      <c r="AT68" s="1453"/>
      <c r="AU68" s="1466"/>
      <c r="AV68" s="1460"/>
      <c r="AW68" s="1459"/>
      <c r="AX68" s="1457">
        <v>1000</v>
      </c>
      <c r="AY68" s="1463">
        <v>1</v>
      </c>
      <c r="AZ68" s="2027">
        <v>43098</v>
      </c>
      <c r="BA68" s="1469">
        <v>48</v>
      </c>
      <c r="BB68" s="2026">
        <v>43107</v>
      </c>
    </row>
    <row r="69" spans="1:54">
      <c r="A69" s="1453" t="s">
        <v>2145</v>
      </c>
      <c r="B69" s="1454" t="s">
        <v>2146</v>
      </c>
      <c r="C69" s="1453" t="s">
        <v>2147</v>
      </c>
      <c r="D69" s="1456">
        <f t="shared" si="1"/>
        <v>5000</v>
      </c>
      <c r="E69" s="1462"/>
      <c r="F69" s="1458"/>
      <c r="G69" s="1459"/>
      <c r="H69" s="1460"/>
      <c r="I69" s="1810"/>
      <c r="J69" s="1457"/>
      <c r="K69" s="1461"/>
      <c r="L69" s="1459"/>
      <c r="M69" s="1460"/>
      <c r="N69" s="1460"/>
      <c r="O69" s="1457"/>
      <c r="P69" s="1461"/>
      <c r="Q69" s="1459"/>
      <c r="R69" s="1460"/>
      <c r="S69" s="1460"/>
      <c r="T69" s="1457"/>
      <c r="U69" s="1458"/>
      <c r="V69" s="1459"/>
      <c r="W69" s="1460"/>
      <c r="X69" s="1460"/>
      <c r="Y69" s="1462"/>
      <c r="Z69" s="1463"/>
      <c r="AA69" s="1464"/>
      <c r="AB69" s="1460"/>
      <c r="AC69" s="1460"/>
      <c r="AD69" s="1453"/>
      <c r="AE69" s="1453"/>
      <c r="AF69" s="1453"/>
      <c r="AG69" s="1453"/>
      <c r="AH69" s="1453"/>
      <c r="AI69" s="1457"/>
      <c r="AJ69" s="1453"/>
      <c r="AK69" s="1464"/>
      <c r="AL69" s="1460"/>
      <c r="AM69" s="1460"/>
      <c r="AN69" s="1457"/>
      <c r="AO69" s="1453"/>
      <c r="AP69" s="1464"/>
      <c r="AQ69" s="1460"/>
      <c r="AR69" s="1460"/>
      <c r="AS69" s="1465"/>
      <c r="AT69" s="1453"/>
      <c r="AU69" s="1466"/>
      <c r="AV69" s="1460"/>
      <c r="AW69" s="1459"/>
      <c r="AX69" s="1457">
        <v>5000</v>
      </c>
      <c r="AY69" s="1463">
        <v>1</v>
      </c>
      <c r="AZ69" s="2027">
        <v>43098</v>
      </c>
      <c r="BA69" s="1469">
        <v>48</v>
      </c>
      <c r="BB69" s="2026">
        <v>43107</v>
      </c>
    </row>
    <row r="70" spans="1:54">
      <c r="A70" s="1453" t="s">
        <v>2148</v>
      </c>
      <c r="B70" s="1454" t="s">
        <v>2149</v>
      </c>
      <c r="C70" s="1453" t="s">
        <v>2150</v>
      </c>
      <c r="D70" s="1456">
        <f t="shared" si="1"/>
        <v>1000</v>
      </c>
      <c r="E70" s="1462"/>
      <c r="F70" s="1458"/>
      <c r="G70" s="1459"/>
      <c r="H70" s="1460"/>
      <c r="I70" s="1810"/>
      <c r="J70" s="1457"/>
      <c r="K70" s="1461"/>
      <c r="L70" s="1459"/>
      <c r="M70" s="1460"/>
      <c r="N70" s="1460"/>
      <c r="O70" s="1457"/>
      <c r="P70" s="1461"/>
      <c r="Q70" s="1459"/>
      <c r="R70" s="1460"/>
      <c r="S70" s="1460"/>
      <c r="T70" s="1457"/>
      <c r="U70" s="1458"/>
      <c r="V70" s="1459"/>
      <c r="W70" s="1460"/>
      <c r="X70" s="1460"/>
      <c r="Y70" s="1462"/>
      <c r="Z70" s="1463"/>
      <c r="AA70" s="1464"/>
      <c r="AB70" s="1460"/>
      <c r="AC70" s="1460"/>
      <c r="AD70" s="1453"/>
      <c r="AE70" s="1453"/>
      <c r="AF70" s="1453"/>
      <c r="AG70" s="1453"/>
      <c r="AH70" s="1453"/>
      <c r="AI70" s="1457"/>
      <c r="AJ70" s="1453"/>
      <c r="AK70" s="1464"/>
      <c r="AL70" s="1460"/>
      <c r="AM70" s="1460"/>
      <c r="AN70" s="1457"/>
      <c r="AO70" s="1453"/>
      <c r="AP70" s="1464"/>
      <c r="AQ70" s="1460"/>
      <c r="AR70" s="1460"/>
      <c r="AS70" s="1465"/>
      <c r="AT70" s="1453"/>
      <c r="AU70" s="1466"/>
      <c r="AV70" s="1460"/>
      <c r="AW70" s="1459"/>
      <c r="AX70" s="1457">
        <v>1000</v>
      </c>
      <c r="AY70" s="1463">
        <v>1</v>
      </c>
      <c r="AZ70" s="2027">
        <v>43098</v>
      </c>
      <c r="BA70" s="1469">
        <v>48</v>
      </c>
      <c r="BB70" s="2026">
        <v>43107</v>
      </c>
    </row>
    <row r="71" spans="1:54">
      <c r="A71" s="1453" t="s">
        <v>2151</v>
      </c>
      <c r="B71" s="1454" t="s">
        <v>2152</v>
      </c>
      <c r="C71" s="1453" t="s">
        <v>2153</v>
      </c>
      <c r="D71" s="1456">
        <f t="shared" si="1"/>
        <v>1000</v>
      </c>
      <c r="E71" s="1462"/>
      <c r="F71" s="1458"/>
      <c r="G71" s="1459"/>
      <c r="H71" s="1460"/>
      <c r="I71" s="1810"/>
      <c r="J71" s="1457"/>
      <c r="K71" s="1461"/>
      <c r="L71" s="1459"/>
      <c r="M71" s="1460"/>
      <c r="N71" s="1460"/>
      <c r="O71" s="1457"/>
      <c r="P71" s="1461"/>
      <c r="Q71" s="1459"/>
      <c r="R71" s="1460"/>
      <c r="S71" s="1460"/>
      <c r="T71" s="1457"/>
      <c r="U71" s="1458"/>
      <c r="V71" s="1459"/>
      <c r="W71" s="1460"/>
      <c r="X71" s="1460"/>
      <c r="Y71" s="1462"/>
      <c r="Z71" s="1463"/>
      <c r="AA71" s="1464"/>
      <c r="AB71" s="1460"/>
      <c r="AC71" s="1460"/>
      <c r="AD71" s="1453"/>
      <c r="AE71" s="1453"/>
      <c r="AF71" s="1453"/>
      <c r="AG71" s="1453"/>
      <c r="AH71" s="1453"/>
      <c r="AI71" s="1457"/>
      <c r="AJ71" s="1453"/>
      <c r="AK71" s="1464"/>
      <c r="AL71" s="1460"/>
      <c r="AM71" s="1460"/>
      <c r="AN71" s="1457"/>
      <c r="AO71" s="1453"/>
      <c r="AP71" s="1464"/>
      <c r="AQ71" s="1460"/>
      <c r="AR71" s="1460"/>
      <c r="AS71" s="1465"/>
      <c r="AT71" s="1453"/>
      <c r="AU71" s="1466"/>
      <c r="AV71" s="1460"/>
      <c r="AW71" s="1459"/>
      <c r="AX71" s="1457">
        <v>1000</v>
      </c>
      <c r="AY71" s="1463">
        <v>1</v>
      </c>
      <c r="AZ71" s="2027">
        <v>43098</v>
      </c>
      <c r="BA71" s="1469">
        <v>48</v>
      </c>
      <c r="BB71" s="2026">
        <v>43107</v>
      </c>
    </row>
    <row r="72" spans="1:54">
      <c r="A72" s="1453" t="s">
        <v>2154</v>
      </c>
      <c r="B72" s="1454" t="s">
        <v>2155</v>
      </c>
      <c r="C72" s="1453" t="s">
        <v>2156</v>
      </c>
      <c r="D72" s="1456">
        <f t="shared" si="1"/>
        <v>60000</v>
      </c>
      <c r="E72" s="1462"/>
      <c r="F72" s="1458"/>
      <c r="G72" s="1459"/>
      <c r="H72" s="1460"/>
      <c r="I72" s="1810"/>
      <c r="J72" s="1457"/>
      <c r="K72" s="1461"/>
      <c r="L72" s="1459"/>
      <c r="M72" s="1460"/>
      <c r="N72" s="1460"/>
      <c r="O72" s="1457"/>
      <c r="P72" s="1461"/>
      <c r="Q72" s="1459"/>
      <c r="R72" s="1460"/>
      <c r="S72" s="1460"/>
      <c r="T72" s="1457"/>
      <c r="U72" s="1461"/>
      <c r="V72" s="1459"/>
      <c r="W72" s="1460"/>
      <c r="X72" s="1460"/>
      <c r="Y72" s="1462"/>
      <c r="Z72" s="1463"/>
      <c r="AA72" s="1464"/>
      <c r="AB72" s="1460"/>
      <c r="AC72" s="1460"/>
      <c r="AD72" s="1453"/>
      <c r="AE72" s="1453"/>
      <c r="AF72" s="1453"/>
      <c r="AG72" s="1453"/>
      <c r="AH72" s="1453"/>
      <c r="AI72" s="1457"/>
      <c r="AJ72" s="1453"/>
      <c r="AK72" s="1464"/>
      <c r="AL72" s="1460"/>
      <c r="AM72" s="1460"/>
      <c r="AN72" s="1457"/>
      <c r="AO72" s="1453"/>
      <c r="AP72" s="1464"/>
      <c r="AQ72" s="1460"/>
      <c r="AR72" s="1460"/>
      <c r="AS72" s="1465">
        <v>60000</v>
      </c>
      <c r="AT72" s="1453">
        <v>1</v>
      </c>
      <c r="AU72" s="1466">
        <v>43087</v>
      </c>
      <c r="AV72" s="1460">
        <v>48</v>
      </c>
      <c r="AW72" s="1459">
        <v>43107</v>
      </c>
      <c r="AX72" s="1457"/>
      <c r="AY72" s="1453"/>
      <c r="AZ72" s="2025"/>
      <c r="BA72" s="1453"/>
      <c r="BB72" s="2025"/>
    </row>
    <row r="73" spans="1:54">
      <c r="A73" s="1453" t="s">
        <v>2157</v>
      </c>
      <c r="B73" s="1454" t="s">
        <v>2158</v>
      </c>
      <c r="C73" s="1453" t="s">
        <v>2159</v>
      </c>
      <c r="D73" s="1456">
        <f t="shared" si="1"/>
        <v>2226892</v>
      </c>
      <c r="E73" s="1462"/>
      <c r="F73" s="1458"/>
      <c r="G73" s="1459"/>
      <c r="H73" s="1460"/>
      <c r="I73" s="1810"/>
      <c r="J73" s="1457"/>
      <c r="K73" s="1461"/>
      <c r="L73" s="1459"/>
      <c r="M73" s="1460"/>
      <c r="N73" s="1460"/>
      <c r="O73" s="1457"/>
      <c r="P73" s="1461"/>
      <c r="Q73" s="1459"/>
      <c r="R73" s="1460"/>
      <c r="S73" s="1460"/>
      <c r="T73" s="1457"/>
      <c r="U73" s="1461"/>
      <c r="V73" s="1459"/>
      <c r="W73" s="1460"/>
      <c r="X73" s="1460"/>
      <c r="Y73" s="1462"/>
      <c r="Z73" s="1463"/>
      <c r="AA73" s="1464"/>
      <c r="AB73" s="1460"/>
      <c r="AC73" s="1460"/>
      <c r="AD73" s="1453"/>
      <c r="AE73" s="1453"/>
      <c r="AF73" s="1453"/>
      <c r="AG73" s="1453"/>
      <c r="AH73" s="1453"/>
      <c r="AI73" s="1457"/>
      <c r="AJ73" s="1453"/>
      <c r="AK73" s="1464"/>
      <c r="AL73" s="1460"/>
      <c r="AM73" s="1460"/>
      <c r="AN73" s="1457"/>
      <c r="AO73" s="1453"/>
      <c r="AP73" s="1464"/>
      <c r="AQ73" s="1460"/>
      <c r="AR73" s="1460"/>
      <c r="AS73" s="1465"/>
      <c r="AT73" s="1453"/>
      <c r="AU73" s="1466"/>
      <c r="AV73" s="1460"/>
      <c r="AW73" s="1459"/>
      <c r="AX73" s="1476">
        <v>2226892</v>
      </c>
      <c r="AY73" s="1470"/>
      <c r="AZ73" s="2027">
        <v>43091</v>
      </c>
      <c r="BA73" s="1469">
        <v>48</v>
      </c>
      <c r="BB73" s="2026">
        <v>43107</v>
      </c>
    </row>
    <row r="74" spans="1:54">
      <c r="A74" s="1453" t="s">
        <v>2160</v>
      </c>
      <c r="B74" s="1454" t="s">
        <v>2161</v>
      </c>
      <c r="C74" s="1453" t="s">
        <v>2162</v>
      </c>
      <c r="D74" s="1456">
        <f t="shared" si="1"/>
        <v>80000</v>
      </c>
      <c r="E74" s="1462"/>
      <c r="F74" s="1458"/>
      <c r="G74" s="1459"/>
      <c r="H74" s="1460"/>
      <c r="I74" s="1810"/>
      <c r="J74" s="1457"/>
      <c r="K74" s="1461"/>
      <c r="L74" s="1459"/>
      <c r="M74" s="1460"/>
      <c r="N74" s="1460"/>
      <c r="O74" s="1457"/>
      <c r="P74" s="1461"/>
      <c r="Q74" s="1459"/>
      <c r="R74" s="1460"/>
      <c r="S74" s="1460"/>
      <c r="T74" s="1457"/>
      <c r="U74" s="1461"/>
      <c r="V74" s="1459"/>
      <c r="W74" s="1460"/>
      <c r="X74" s="1460"/>
      <c r="Y74" s="1462"/>
      <c r="Z74" s="1463"/>
      <c r="AA74" s="1464"/>
      <c r="AB74" s="1460"/>
      <c r="AC74" s="1460"/>
      <c r="AD74" s="1453"/>
      <c r="AE74" s="1453"/>
      <c r="AF74" s="1453"/>
      <c r="AG74" s="1453"/>
      <c r="AH74" s="1453"/>
      <c r="AI74" s="1457"/>
      <c r="AJ74" s="1453"/>
      <c r="AK74" s="1464"/>
      <c r="AL74" s="1460"/>
      <c r="AM74" s="1460"/>
      <c r="AN74" s="1457"/>
      <c r="AO74" s="1453"/>
      <c r="AP74" s="1464"/>
      <c r="AQ74" s="1460"/>
      <c r="AR74" s="1460"/>
      <c r="AS74" s="1465">
        <v>80000</v>
      </c>
      <c r="AT74" s="1453">
        <v>1</v>
      </c>
      <c r="AU74" s="1466">
        <v>43129</v>
      </c>
      <c r="AV74" s="1460">
        <v>48</v>
      </c>
      <c r="AW74" s="1459">
        <v>43107</v>
      </c>
      <c r="AX74" s="1457"/>
      <c r="AY74" s="1453"/>
      <c r="AZ74" s="2025"/>
      <c r="BA74" s="1453"/>
      <c r="BB74" s="2025"/>
    </row>
    <row r="75" spans="1:54" ht="30">
      <c r="A75" s="1467" t="s">
        <v>2163</v>
      </c>
      <c r="B75" s="1477" t="s">
        <v>2164</v>
      </c>
      <c r="C75" s="1467" t="s">
        <v>2165</v>
      </c>
      <c r="D75" s="1456">
        <f t="shared" si="1"/>
        <v>70000</v>
      </c>
      <c r="E75" s="1478">
        <v>30000</v>
      </c>
      <c r="F75" s="1458">
        <v>1</v>
      </c>
      <c r="G75" s="1479">
        <v>40391</v>
      </c>
      <c r="H75" s="1480">
        <v>36</v>
      </c>
      <c r="I75" s="1811">
        <v>41529</v>
      </c>
      <c r="J75" s="1481"/>
      <c r="K75" s="1467"/>
      <c r="L75" s="1479"/>
      <c r="M75" s="1460"/>
      <c r="N75" s="1480"/>
      <c r="O75" s="1481"/>
      <c r="P75" s="1467"/>
      <c r="Q75" s="1479"/>
      <c r="R75" s="1480"/>
      <c r="S75" s="1480"/>
      <c r="T75" s="1481"/>
      <c r="U75" s="1467"/>
      <c r="V75" s="1479"/>
      <c r="W75" s="1460"/>
      <c r="X75" s="1460"/>
      <c r="Y75" s="1478">
        <v>40000</v>
      </c>
      <c r="Z75" s="1463">
        <v>3.5</v>
      </c>
      <c r="AA75" s="1464">
        <v>42360</v>
      </c>
      <c r="AB75" s="1460">
        <v>48</v>
      </c>
      <c r="AC75" s="1459">
        <v>42380</v>
      </c>
      <c r="AD75" s="1467"/>
      <c r="AE75" s="1467"/>
      <c r="AF75" s="1467"/>
      <c r="AG75" s="1453"/>
      <c r="AH75" s="1453"/>
      <c r="AI75" s="1468"/>
      <c r="AJ75" s="1467"/>
      <c r="AK75" s="1464"/>
      <c r="AL75" s="1460"/>
      <c r="AM75" s="1480"/>
      <c r="AN75" s="1468"/>
      <c r="AO75" s="1467"/>
      <c r="AP75" s="1464"/>
      <c r="AQ75" s="1460"/>
      <c r="AR75" s="1460"/>
      <c r="AS75" s="1467"/>
      <c r="AT75" s="1467"/>
      <c r="AU75" s="1467"/>
      <c r="AV75" s="1480"/>
      <c r="AW75" s="1480"/>
      <c r="AX75" s="1457"/>
      <c r="AY75" s="1453"/>
      <c r="AZ75" s="2025"/>
      <c r="BA75" s="1453"/>
      <c r="BB75" s="2025"/>
    </row>
    <row r="76" spans="1:54" ht="30">
      <c r="A76" s="1453" t="s">
        <v>2166</v>
      </c>
      <c r="B76" s="1454" t="s">
        <v>2167</v>
      </c>
      <c r="C76" s="1453" t="s">
        <v>2165</v>
      </c>
      <c r="D76" s="1456">
        <f t="shared" si="1"/>
        <v>80000</v>
      </c>
      <c r="E76" s="1462">
        <v>30000</v>
      </c>
      <c r="F76" s="1458">
        <v>1</v>
      </c>
      <c r="G76" s="1459">
        <v>40391</v>
      </c>
      <c r="H76" s="1460">
        <v>36</v>
      </c>
      <c r="I76" s="1810">
        <v>41529</v>
      </c>
      <c r="J76" s="1482"/>
      <c r="K76" s="1453"/>
      <c r="L76" s="1459"/>
      <c r="M76" s="1460"/>
      <c r="N76" s="1460"/>
      <c r="O76" s="1482"/>
      <c r="P76" s="1467"/>
      <c r="Q76" s="1459"/>
      <c r="R76" s="1460"/>
      <c r="S76" s="1460"/>
      <c r="T76" s="1482"/>
      <c r="U76" s="1467"/>
      <c r="V76" s="1459"/>
      <c r="W76" s="1460"/>
      <c r="X76" s="1460"/>
      <c r="Y76" s="1462">
        <v>50000</v>
      </c>
      <c r="Z76" s="1463">
        <v>3.5</v>
      </c>
      <c r="AA76" s="1464">
        <v>42360</v>
      </c>
      <c r="AB76" s="1460">
        <v>48</v>
      </c>
      <c r="AC76" s="1459">
        <v>42380</v>
      </c>
      <c r="AD76" s="1453"/>
      <c r="AE76" s="1453"/>
      <c r="AF76" s="1453"/>
      <c r="AG76" s="1453"/>
      <c r="AH76" s="1453"/>
      <c r="AI76" s="1457"/>
      <c r="AJ76" s="1453"/>
      <c r="AK76" s="1464"/>
      <c r="AL76" s="1460"/>
      <c r="AM76" s="1460"/>
      <c r="AN76" s="1457"/>
      <c r="AO76" s="1453"/>
      <c r="AP76" s="1464"/>
      <c r="AQ76" s="1460"/>
      <c r="AR76" s="1460"/>
      <c r="AS76" s="1453"/>
      <c r="AT76" s="1453"/>
      <c r="AU76" s="1453"/>
      <c r="AV76" s="1460"/>
      <c r="AW76" s="1460"/>
      <c r="AX76" s="1457"/>
      <c r="AY76" s="1453"/>
      <c r="AZ76" s="2025"/>
      <c r="BA76" s="1453"/>
      <c r="BB76" s="2025"/>
    </row>
    <row r="77" spans="1:54" ht="30">
      <c r="A77" s="1453" t="s">
        <v>2168</v>
      </c>
      <c r="B77" s="1454" t="s">
        <v>2169</v>
      </c>
      <c r="C77" s="1453" t="s">
        <v>2165</v>
      </c>
      <c r="D77" s="1456">
        <f t="shared" si="1"/>
        <v>70000</v>
      </c>
      <c r="E77" s="1462">
        <v>30000</v>
      </c>
      <c r="F77" s="1458">
        <v>1</v>
      </c>
      <c r="G77" s="1459">
        <v>40391</v>
      </c>
      <c r="H77" s="1460">
        <v>36</v>
      </c>
      <c r="I77" s="1810">
        <v>41529</v>
      </c>
      <c r="J77" s="1482"/>
      <c r="K77" s="1453"/>
      <c r="L77" s="1459"/>
      <c r="M77" s="1460"/>
      <c r="N77" s="1460"/>
      <c r="O77" s="1482"/>
      <c r="P77" s="1467"/>
      <c r="Q77" s="1459"/>
      <c r="R77" s="1460"/>
      <c r="S77" s="1460"/>
      <c r="T77" s="1482"/>
      <c r="U77" s="1467"/>
      <c r="V77" s="1459"/>
      <c r="W77" s="1460"/>
      <c r="X77" s="1460"/>
      <c r="Y77" s="1462">
        <v>40000</v>
      </c>
      <c r="Z77" s="1463">
        <v>3.5</v>
      </c>
      <c r="AA77" s="1464">
        <v>42360</v>
      </c>
      <c r="AB77" s="1460">
        <v>48</v>
      </c>
      <c r="AC77" s="1459">
        <v>42380</v>
      </c>
      <c r="AD77" s="1453"/>
      <c r="AE77" s="1453"/>
      <c r="AF77" s="1453"/>
      <c r="AG77" s="1453"/>
      <c r="AH77" s="1453"/>
      <c r="AI77" s="1457"/>
      <c r="AJ77" s="1453"/>
      <c r="AK77" s="1464"/>
      <c r="AL77" s="1460"/>
      <c r="AM77" s="1460"/>
      <c r="AN77" s="1457"/>
      <c r="AO77" s="1467"/>
      <c r="AP77" s="1464"/>
      <c r="AQ77" s="1460"/>
      <c r="AR77" s="1460"/>
      <c r="AS77" s="1453"/>
      <c r="AT77" s="1453"/>
      <c r="AU77" s="1453"/>
      <c r="AV77" s="1460"/>
      <c r="AW77" s="1460"/>
      <c r="AX77" s="1457"/>
      <c r="AY77" s="1453"/>
      <c r="AZ77" s="2025"/>
      <c r="BA77" s="1453"/>
      <c r="BB77" s="2025"/>
    </row>
    <row r="78" spans="1:54" ht="30">
      <c r="A78" s="1453" t="s">
        <v>2170</v>
      </c>
      <c r="B78" s="1454" t="s">
        <v>2171</v>
      </c>
      <c r="C78" s="1453" t="s">
        <v>2165</v>
      </c>
      <c r="D78" s="1456">
        <f t="shared" si="1"/>
        <v>70000</v>
      </c>
      <c r="E78" s="1462">
        <v>30000</v>
      </c>
      <c r="F78" s="1458">
        <v>1</v>
      </c>
      <c r="G78" s="1459">
        <v>40940</v>
      </c>
      <c r="H78" s="1460">
        <v>36</v>
      </c>
      <c r="I78" s="1810">
        <v>41529</v>
      </c>
      <c r="J78" s="1482"/>
      <c r="K78" s="1467"/>
      <c r="L78" s="1459"/>
      <c r="M78" s="1460"/>
      <c r="N78" s="1460"/>
      <c r="O78" s="1482"/>
      <c r="P78" s="1467"/>
      <c r="Q78" s="1459"/>
      <c r="R78" s="1460"/>
      <c r="S78" s="1460"/>
      <c r="T78" s="1482"/>
      <c r="U78" s="1458"/>
      <c r="V78" s="1459"/>
      <c r="W78" s="1460"/>
      <c r="X78" s="1460"/>
      <c r="Y78" s="1462">
        <v>40000</v>
      </c>
      <c r="Z78" s="1463">
        <v>3.5</v>
      </c>
      <c r="AA78" s="1464">
        <v>42360</v>
      </c>
      <c r="AB78" s="1460">
        <v>48</v>
      </c>
      <c r="AC78" s="1459">
        <v>42380</v>
      </c>
      <c r="AD78" s="1453"/>
      <c r="AE78" s="1453"/>
      <c r="AF78" s="1453"/>
      <c r="AG78" s="1453"/>
      <c r="AH78" s="1453"/>
      <c r="AI78" s="1457"/>
      <c r="AJ78" s="1453"/>
      <c r="AK78" s="1464"/>
      <c r="AL78" s="1460"/>
      <c r="AM78" s="1460"/>
      <c r="AN78" s="1457"/>
      <c r="AO78" s="1467"/>
      <c r="AP78" s="1464"/>
      <c r="AQ78" s="1460"/>
      <c r="AR78" s="1460"/>
      <c r="AS78" s="1453"/>
      <c r="AT78" s="1453"/>
      <c r="AU78" s="1453"/>
      <c r="AV78" s="1460"/>
      <c r="AW78" s="1460"/>
      <c r="AX78" s="1457"/>
      <c r="AY78" s="1453"/>
      <c r="AZ78" s="2025"/>
      <c r="BA78" s="1453"/>
      <c r="BB78" s="2025"/>
    </row>
    <row r="79" spans="1:54">
      <c r="A79" s="1453" t="s">
        <v>2172</v>
      </c>
      <c r="B79" s="1454" t="s">
        <v>2173</v>
      </c>
      <c r="C79" s="1453" t="s">
        <v>2165</v>
      </c>
      <c r="D79" s="1456">
        <f t="shared" si="1"/>
        <v>60000</v>
      </c>
      <c r="E79" s="1483"/>
      <c r="F79" s="1458"/>
      <c r="G79" s="1453"/>
      <c r="H79" s="1460"/>
      <c r="I79" s="1810"/>
      <c r="J79" s="1482"/>
      <c r="K79" s="1467"/>
      <c r="L79" s="1453"/>
      <c r="M79" s="1460"/>
      <c r="N79" s="1460"/>
      <c r="O79" s="1482"/>
      <c r="P79" s="1467"/>
      <c r="Q79" s="1453"/>
      <c r="R79" s="1460"/>
      <c r="S79" s="1460"/>
      <c r="T79" s="1482">
        <v>10000</v>
      </c>
      <c r="U79" s="1458">
        <v>1</v>
      </c>
      <c r="V79" s="1459">
        <v>41964</v>
      </c>
      <c r="W79" s="1460">
        <v>48</v>
      </c>
      <c r="X79" s="1459">
        <v>41977</v>
      </c>
      <c r="Y79" s="1462">
        <v>50000</v>
      </c>
      <c r="Z79" s="1463">
        <v>3.5</v>
      </c>
      <c r="AA79" s="1464">
        <v>42360</v>
      </c>
      <c r="AB79" s="1460">
        <v>48</v>
      </c>
      <c r="AC79" s="1459">
        <v>42380</v>
      </c>
      <c r="AD79" s="1453"/>
      <c r="AE79" s="1453"/>
      <c r="AF79" s="1453"/>
      <c r="AG79" s="1453"/>
      <c r="AH79" s="1453"/>
      <c r="AI79" s="1457"/>
      <c r="AJ79" s="1453"/>
      <c r="AK79" s="1464"/>
      <c r="AL79" s="1460"/>
      <c r="AM79" s="1460"/>
      <c r="AN79" s="1457"/>
      <c r="AO79" s="1467"/>
      <c r="AP79" s="1464"/>
      <c r="AQ79" s="1460"/>
      <c r="AR79" s="1460"/>
      <c r="AS79" s="1453"/>
      <c r="AT79" s="1453"/>
      <c r="AU79" s="1453"/>
      <c r="AV79" s="1460"/>
      <c r="AW79" s="1460"/>
      <c r="AX79" s="1457"/>
      <c r="AY79" s="1453"/>
      <c r="AZ79" s="2025"/>
      <c r="BA79" s="1453"/>
      <c r="BB79" s="2025"/>
    </row>
    <row r="80" spans="1:54">
      <c r="A80" s="1453" t="s">
        <v>2174</v>
      </c>
      <c r="B80" s="1454" t="s">
        <v>2175</v>
      </c>
      <c r="C80" s="1453" t="s">
        <v>2165</v>
      </c>
      <c r="D80" s="1456">
        <f t="shared" si="1"/>
        <v>30000</v>
      </c>
      <c r="E80" s="1482"/>
      <c r="F80" s="1458"/>
      <c r="G80" s="1453"/>
      <c r="H80" s="1460"/>
      <c r="I80" s="1810"/>
      <c r="J80" s="1482"/>
      <c r="K80" s="1467"/>
      <c r="L80" s="1453"/>
      <c r="M80" s="1460"/>
      <c r="N80" s="1460"/>
      <c r="O80" s="1482"/>
      <c r="P80" s="1467"/>
      <c r="Q80" s="1453"/>
      <c r="R80" s="1460"/>
      <c r="S80" s="1460"/>
      <c r="T80" s="1482">
        <v>20000</v>
      </c>
      <c r="U80" s="1458">
        <v>1</v>
      </c>
      <c r="V80" s="1459">
        <v>41964</v>
      </c>
      <c r="W80" s="1460">
        <v>48</v>
      </c>
      <c r="X80" s="1459">
        <v>41977</v>
      </c>
      <c r="Y80" s="1462">
        <v>10000</v>
      </c>
      <c r="Z80" s="1463">
        <v>3.5</v>
      </c>
      <c r="AA80" s="1464">
        <v>42360</v>
      </c>
      <c r="AB80" s="1460">
        <v>48</v>
      </c>
      <c r="AC80" s="1459">
        <v>42380</v>
      </c>
      <c r="AD80" s="1453"/>
      <c r="AE80" s="1453"/>
      <c r="AF80" s="1453"/>
      <c r="AG80" s="1453"/>
      <c r="AH80" s="1453"/>
      <c r="AI80" s="1457"/>
      <c r="AJ80" s="1453"/>
      <c r="AK80" s="1464"/>
      <c r="AL80" s="1460"/>
      <c r="AM80" s="1460"/>
      <c r="AN80" s="1457"/>
      <c r="AO80" s="1467"/>
      <c r="AP80" s="1464"/>
      <c r="AQ80" s="1460"/>
      <c r="AR80" s="1460"/>
      <c r="AS80" s="1453"/>
      <c r="AT80" s="1453"/>
      <c r="AU80" s="1453"/>
      <c r="AV80" s="1460"/>
      <c r="AW80" s="1460"/>
      <c r="AX80" s="1457"/>
      <c r="AY80" s="1453"/>
      <c r="AZ80" s="2025"/>
      <c r="BA80" s="1453"/>
      <c r="BB80" s="2025"/>
    </row>
    <row r="81" spans="1:54">
      <c r="A81" s="1453" t="s">
        <v>2176</v>
      </c>
      <c r="B81" s="1454" t="s">
        <v>2177</v>
      </c>
      <c r="C81" s="1453" t="s">
        <v>2178</v>
      </c>
      <c r="D81" s="1456">
        <f t="shared" si="1"/>
        <v>30000</v>
      </c>
      <c r="E81" s="1482"/>
      <c r="F81" s="1458"/>
      <c r="G81" s="1453"/>
      <c r="H81" s="1460"/>
      <c r="I81" s="1810"/>
      <c r="J81" s="1482"/>
      <c r="K81" s="1453"/>
      <c r="L81" s="1453"/>
      <c r="M81" s="1460"/>
      <c r="N81" s="1460"/>
      <c r="O81" s="1482"/>
      <c r="P81" s="1467"/>
      <c r="Q81" s="1453"/>
      <c r="R81" s="1460"/>
      <c r="S81" s="1460"/>
      <c r="T81" s="1482">
        <v>20000</v>
      </c>
      <c r="U81" s="1458">
        <v>1</v>
      </c>
      <c r="V81" s="1459">
        <v>41964</v>
      </c>
      <c r="W81" s="1460">
        <v>48</v>
      </c>
      <c r="X81" s="1459">
        <v>41977</v>
      </c>
      <c r="Y81" s="1462">
        <v>10000</v>
      </c>
      <c r="Z81" s="1463">
        <v>3.5</v>
      </c>
      <c r="AA81" s="1464">
        <v>42360</v>
      </c>
      <c r="AB81" s="1460">
        <v>48</v>
      </c>
      <c r="AC81" s="1459">
        <v>42380</v>
      </c>
      <c r="AD81" s="1453"/>
      <c r="AE81" s="1453"/>
      <c r="AF81" s="1453"/>
      <c r="AG81" s="1453"/>
      <c r="AH81" s="1453"/>
      <c r="AI81" s="1457"/>
      <c r="AJ81" s="1453"/>
      <c r="AK81" s="1464"/>
      <c r="AL81" s="1460"/>
      <c r="AM81" s="1460"/>
      <c r="AN81" s="1457"/>
      <c r="AO81" s="1467"/>
      <c r="AP81" s="1464"/>
      <c r="AQ81" s="1460"/>
      <c r="AR81" s="1460"/>
      <c r="AS81" s="1453"/>
      <c r="AT81" s="1453"/>
      <c r="AU81" s="1453"/>
      <c r="AV81" s="1460"/>
      <c r="AW81" s="1460"/>
      <c r="AX81" s="1457"/>
      <c r="AY81" s="1453"/>
      <c r="AZ81" s="2025"/>
      <c r="BA81" s="1453"/>
      <c r="BB81" s="2025"/>
    </row>
    <row r="82" spans="1:54" ht="30">
      <c r="A82" s="1453" t="s">
        <v>2179</v>
      </c>
      <c r="B82" s="1454" t="s">
        <v>2180</v>
      </c>
      <c r="C82" s="1453" t="s">
        <v>2178</v>
      </c>
      <c r="D82" s="1456">
        <f t="shared" si="1"/>
        <v>10000</v>
      </c>
      <c r="E82" s="1482"/>
      <c r="F82" s="1458"/>
      <c r="G82" s="1453"/>
      <c r="H82" s="1460"/>
      <c r="I82" s="1810"/>
      <c r="J82" s="1482"/>
      <c r="K82" s="1453"/>
      <c r="L82" s="1453"/>
      <c r="M82" s="1460"/>
      <c r="N82" s="1460"/>
      <c r="O82" s="1482"/>
      <c r="P82" s="1453"/>
      <c r="Q82" s="1453"/>
      <c r="R82" s="1460"/>
      <c r="S82" s="1460"/>
      <c r="T82" s="1482"/>
      <c r="U82" s="1458"/>
      <c r="V82" s="1459"/>
      <c r="W82" s="1460"/>
      <c r="X82" s="1460"/>
      <c r="Y82" s="1462">
        <v>10000</v>
      </c>
      <c r="Z82" s="1463">
        <v>3.5</v>
      </c>
      <c r="AA82" s="1464">
        <v>42360</v>
      </c>
      <c r="AB82" s="1460">
        <v>48</v>
      </c>
      <c r="AC82" s="1459">
        <v>42380</v>
      </c>
      <c r="AD82" s="1453"/>
      <c r="AE82" s="1453"/>
      <c r="AF82" s="1453"/>
      <c r="AG82" s="1453"/>
      <c r="AH82" s="1453"/>
      <c r="AI82" s="1457"/>
      <c r="AJ82" s="1453"/>
      <c r="AK82" s="1464"/>
      <c r="AL82" s="1460"/>
      <c r="AM82" s="1460"/>
      <c r="AN82" s="1457"/>
      <c r="AO82" s="1467"/>
      <c r="AP82" s="1464"/>
      <c r="AQ82" s="1460"/>
      <c r="AR82" s="1460"/>
      <c r="AS82" s="1453"/>
      <c r="AT82" s="1453"/>
      <c r="AU82" s="1453"/>
      <c r="AV82" s="1460"/>
      <c r="AW82" s="1460"/>
      <c r="AX82" s="1457"/>
      <c r="AY82" s="1453"/>
      <c r="AZ82" s="2025"/>
      <c r="BA82" s="1453"/>
      <c r="BB82" s="2025"/>
    </row>
    <row r="83" spans="1:54">
      <c r="A83" s="1453" t="s">
        <v>2181</v>
      </c>
      <c r="B83" s="1454" t="s">
        <v>2182</v>
      </c>
      <c r="C83" s="1453"/>
      <c r="D83" s="1456">
        <f t="shared" si="1"/>
        <v>70000</v>
      </c>
      <c r="E83" s="1482"/>
      <c r="F83" s="1458"/>
      <c r="G83" s="1453"/>
      <c r="H83" s="1460"/>
      <c r="I83" s="1810"/>
      <c r="J83" s="1482"/>
      <c r="K83" s="1453"/>
      <c r="L83" s="1453"/>
      <c r="M83" s="1460"/>
      <c r="N83" s="1460"/>
      <c r="O83" s="1482"/>
      <c r="P83" s="1453"/>
      <c r="Q83" s="1453"/>
      <c r="R83" s="1460"/>
      <c r="S83" s="1460"/>
      <c r="T83" s="1457"/>
      <c r="U83" s="1461"/>
      <c r="V83" s="1459"/>
      <c r="W83" s="1460"/>
      <c r="X83" s="1460"/>
      <c r="Y83" s="1462">
        <v>70000</v>
      </c>
      <c r="Z83" s="1463">
        <v>4</v>
      </c>
      <c r="AA83" s="1464">
        <v>42444</v>
      </c>
      <c r="AB83" s="1460">
        <v>12</v>
      </c>
      <c r="AC83" s="1459">
        <v>42444</v>
      </c>
      <c r="AD83" s="1453"/>
      <c r="AE83" s="1453"/>
      <c r="AF83" s="1453"/>
      <c r="AG83" s="1453"/>
      <c r="AH83" s="1453"/>
      <c r="AI83" s="1457"/>
      <c r="AJ83" s="1453"/>
      <c r="AK83" s="1464"/>
      <c r="AL83" s="1460"/>
      <c r="AM83" s="1460"/>
      <c r="AN83" s="1457"/>
      <c r="AO83" s="1467"/>
      <c r="AP83" s="1464"/>
      <c r="AQ83" s="1460"/>
      <c r="AR83" s="1460"/>
      <c r="AS83" s="1453"/>
      <c r="AT83" s="1453"/>
      <c r="AU83" s="1453"/>
      <c r="AV83" s="1460"/>
      <c r="AW83" s="1460"/>
      <c r="AX83" s="1457"/>
      <c r="AY83" s="1453"/>
      <c r="AZ83" s="2025"/>
      <c r="BA83" s="1453"/>
      <c r="BB83" s="2025"/>
    </row>
    <row r="84" spans="1:54" s="1488" customFormat="1">
      <c r="A84" s="1453"/>
      <c r="B84" s="1484" t="s">
        <v>2183</v>
      </c>
      <c r="C84" s="1485"/>
      <c r="D84" s="1486">
        <f>SUM(D4:D83)</f>
        <v>5899865</v>
      </c>
      <c r="E84" s="1486">
        <f>SUM(E4:E83)</f>
        <v>270000</v>
      </c>
      <c r="F84" s="1486"/>
      <c r="G84" s="1486"/>
      <c r="H84" s="1486"/>
      <c r="I84" s="1812"/>
      <c r="J84" s="1486">
        <f>SUM(J4:J83)</f>
        <v>75000</v>
      </c>
      <c r="K84" s="1486"/>
      <c r="L84" s="1486"/>
      <c r="M84" s="1486"/>
      <c r="N84" s="1486"/>
      <c r="O84" s="1486">
        <f>SUM(O4:O83)</f>
        <v>125000</v>
      </c>
      <c r="P84" s="1486"/>
      <c r="Q84" s="1486"/>
      <c r="R84" s="1486"/>
      <c r="S84" s="1486"/>
      <c r="T84" s="1486">
        <f>SUM(T4:T83)</f>
        <v>700000</v>
      </c>
      <c r="U84" s="1486"/>
      <c r="V84" s="1486"/>
      <c r="W84" s="1486"/>
      <c r="X84" s="1486"/>
      <c r="Y84" s="1486">
        <f>SUM(Y4:Y83)</f>
        <v>1030000</v>
      </c>
      <c r="Z84" s="1486"/>
      <c r="AA84" s="1486"/>
      <c r="AB84" s="1486"/>
      <c r="AC84" s="1486"/>
      <c r="AD84" s="1486">
        <f>SUM(AD4:AD83)</f>
        <v>75000</v>
      </c>
      <c r="AE84" s="1486"/>
      <c r="AF84" s="1486"/>
      <c r="AG84" s="1486"/>
      <c r="AH84" s="1486"/>
      <c r="AI84" s="1486">
        <f>SUM(AI4:AI83)</f>
        <v>10000</v>
      </c>
      <c r="AJ84" s="1486"/>
      <c r="AK84" s="1486"/>
      <c r="AL84" s="1486"/>
      <c r="AM84" s="1486"/>
      <c r="AN84" s="1486">
        <f>SUM(AN4:AN83)</f>
        <v>500000</v>
      </c>
      <c r="AO84" s="1486"/>
      <c r="AP84" s="1486"/>
      <c r="AQ84" s="1486"/>
      <c r="AR84" s="1486"/>
      <c r="AS84" s="1486">
        <f>SUM(AS4:AS83)</f>
        <v>390000</v>
      </c>
      <c r="AT84" s="1486"/>
      <c r="AU84" s="1486"/>
      <c r="AV84" s="1486"/>
      <c r="AW84" s="1486"/>
      <c r="AX84" s="1502">
        <f>SUM(AX4:AX83)</f>
        <v>2724865</v>
      </c>
      <c r="AY84" s="1487"/>
      <c r="AZ84" s="1487"/>
      <c r="BA84" s="1487"/>
      <c r="BB84" s="1487"/>
    </row>
    <row r="86" spans="1:54">
      <c r="AA86" s="1489"/>
      <c r="AB86" s="1489"/>
      <c r="AC86" s="1489"/>
      <c r="AD86" s="1490"/>
      <c r="AE86" s="1489"/>
    </row>
    <row r="87" spans="1:54">
      <c r="D87" s="1491"/>
      <c r="AD87" s="1492"/>
    </row>
    <row r="88" spans="1:54" ht="75">
      <c r="E88" s="1494" t="str">
        <f>E2</f>
        <v>Committed at employment/contract_Granted</v>
      </c>
      <c r="F88" s="1494" t="str">
        <f>J2</f>
        <v>CTA filing in 2012</v>
      </c>
      <c r="G88" s="1494" t="str">
        <f>O2</f>
        <v>CTA approval in 2013</v>
      </c>
      <c r="H88" s="1495" t="str">
        <f>T2</f>
        <v>Achieving both Ph Ib and NDF in 2014</v>
      </c>
      <c r="I88" s="1495" t="str">
        <f>Y2</f>
        <v>Ph Ic/Id/PhII&amp;III CTP Milestones in 2015</v>
      </c>
      <c r="J88" s="1494" t="str">
        <f>AD2</f>
        <v>Series C financing in 2016</v>
      </c>
      <c r="K88" s="1494" t="str">
        <f>AI2</f>
        <v>2016 New Hire</v>
      </c>
      <c r="L88" s="1494" t="str">
        <f>AN2</f>
        <v>Enter into Phase III in 2016</v>
      </c>
      <c r="M88" s="1494" t="str">
        <f>AS2</f>
        <v>2017 New Hire</v>
      </c>
      <c r="N88" s="1494" t="str">
        <f>AX2</f>
        <v>2017 Year End Award</v>
      </c>
      <c r="O88" s="1440" t="s">
        <v>81</v>
      </c>
    </row>
    <row r="89" spans="1:54">
      <c r="D89" s="1493">
        <v>1</v>
      </c>
      <c r="E89" s="1496">
        <f t="shared" ref="E89:E94" si="2">SUMIF($F$4:$F$83,$D89,$E$4:$E$83)</f>
        <v>270000</v>
      </c>
      <c r="F89" s="1496">
        <f t="shared" ref="F89:F94" si="3">SUMIF($K$4:$K$83,$D89,$J$4:$J$83)</f>
        <v>75000</v>
      </c>
      <c r="G89" s="1496">
        <f t="shared" ref="G89:G94" si="4">SUMIF($P$4:$P$83,$D89,$O$4:$O$83)</f>
        <v>125000</v>
      </c>
      <c r="H89" s="1496">
        <f t="shared" ref="H89:H94" si="5">SUMIF($U$4:$U$83,$D89,$T$4:$T$83)</f>
        <v>700000</v>
      </c>
      <c r="I89" s="1496">
        <f t="shared" ref="I89:I94" si="6">SUMIF($Z$4:$Z$83,$D89,$Y$4:$Y$83)</f>
        <v>0</v>
      </c>
      <c r="J89" s="1496">
        <f t="shared" ref="J89:J94" si="7">SUMIF($AE$4:$AE$83,$D89,$AD$4:$AD$83)</f>
        <v>0</v>
      </c>
      <c r="K89" s="1496">
        <f t="shared" ref="K89:K94" si="8">SUMIF($AJ$4:$AJ$83,$D89,$AI$4:$AI$83)</f>
        <v>0</v>
      </c>
      <c r="L89" s="1496">
        <f t="shared" ref="L89:L94" si="9">SUMIF($AO$4:$AO$83,$D89,$AN$4:$AN$83)</f>
        <v>0</v>
      </c>
      <c r="M89" s="1496">
        <f t="shared" ref="M89:M94" si="10">SUMIF($AT$4:$AT$83,$D89,$AS$4:$AS$83)</f>
        <v>290000</v>
      </c>
      <c r="N89" s="1496">
        <f t="shared" ref="N89:N94" si="11">SUMIF($AY$4:$AY$83,$D89,$AX$4:$AX$83)</f>
        <v>491973</v>
      </c>
      <c r="O89" s="1496">
        <f>SUM(E89:N89)</f>
        <v>1951973</v>
      </c>
    </row>
    <row r="90" spans="1:54">
      <c r="D90" s="1493">
        <v>3.5</v>
      </c>
      <c r="E90" s="1496">
        <f t="shared" si="2"/>
        <v>0</v>
      </c>
      <c r="F90" s="1496">
        <f t="shared" si="3"/>
        <v>0</v>
      </c>
      <c r="G90" s="1496">
        <f t="shared" si="4"/>
        <v>0</v>
      </c>
      <c r="H90" s="1496">
        <f t="shared" si="5"/>
        <v>0</v>
      </c>
      <c r="I90" s="1496">
        <f t="shared" si="6"/>
        <v>960000</v>
      </c>
      <c r="J90" s="1496">
        <f t="shared" si="7"/>
        <v>0</v>
      </c>
      <c r="K90" s="1496">
        <f t="shared" si="8"/>
        <v>0</v>
      </c>
      <c r="L90" s="1496">
        <f t="shared" si="9"/>
        <v>0</v>
      </c>
      <c r="M90" s="1496">
        <f t="shared" si="10"/>
        <v>0</v>
      </c>
      <c r="N90" s="1496">
        <f t="shared" si="11"/>
        <v>0</v>
      </c>
      <c r="O90" s="1496">
        <f t="shared" ref="O90:O95" si="12">SUM(E90:N90)</f>
        <v>960000</v>
      </c>
    </row>
    <row r="91" spans="1:54">
      <c r="D91" s="1493">
        <v>4</v>
      </c>
      <c r="E91" s="1496">
        <f t="shared" si="2"/>
        <v>0</v>
      </c>
      <c r="F91" s="1496">
        <f t="shared" si="3"/>
        <v>0</v>
      </c>
      <c r="G91" s="1496">
        <f t="shared" si="4"/>
        <v>0</v>
      </c>
      <c r="H91" s="1496">
        <f t="shared" si="5"/>
        <v>0</v>
      </c>
      <c r="I91" s="1496">
        <f t="shared" si="6"/>
        <v>70000</v>
      </c>
      <c r="J91" s="1496">
        <f t="shared" si="7"/>
        <v>0</v>
      </c>
      <c r="K91" s="1496">
        <f t="shared" si="8"/>
        <v>0</v>
      </c>
      <c r="L91" s="1496">
        <f t="shared" si="9"/>
        <v>0</v>
      </c>
      <c r="M91" s="1496">
        <f t="shared" si="10"/>
        <v>0</v>
      </c>
      <c r="N91" s="1496">
        <f t="shared" si="11"/>
        <v>0</v>
      </c>
      <c r="O91" s="1496">
        <f t="shared" si="12"/>
        <v>70000</v>
      </c>
    </row>
    <row r="92" spans="1:54">
      <c r="D92" s="1493">
        <v>6</v>
      </c>
      <c r="E92" s="1496">
        <f t="shared" si="2"/>
        <v>0</v>
      </c>
      <c r="F92" s="1496">
        <f t="shared" si="3"/>
        <v>0</v>
      </c>
      <c r="G92" s="1496">
        <f t="shared" si="4"/>
        <v>0</v>
      </c>
      <c r="H92" s="1496">
        <f t="shared" si="5"/>
        <v>0</v>
      </c>
      <c r="I92" s="1496">
        <f t="shared" si="6"/>
        <v>0</v>
      </c>
      <c r="J92" s="1496">
        <f t="shared" si="7"/>
        <v>75000</v>
      </c>
      <c r="K92" s="1496">
        <f t="shared" si="8"/>
        <v>0</v>
      </c>
      <c r="L92" s="1496">
        <f t="shared" si="9"/>
        <v>0</v>
      </c>
      <c r="M92" s="1496">
        <f t="shared" si="10"/>
        <v>0</v>
      </c>
      <c r="N92" s="1496">
        <f t="shared" si="11"/>
        <v>0</v>
      </c>
      <c r="O92" s="1496">
        <f t="shared" si="12"/>
        <v>75000</v>
      </c>
    </row>
    <row r="93" spans="1:54">
      <c r="D93" s="1493">
        <v>7</v>
      </c>
      <c r="E93" s="1496">
        <f t="shared" si="2"/>
        <v>0</v>
      </c>
      <c r="F93" s="1496">
        <f t="shared" si="3"/>
        <v>0</v>
      </c>
      <c r="G93" s="1496">
        <f t="shared" si="4"/>
        <v>0</v>
      </c>
      <c r="H93" s="1496">
        <f t="shared" si="5"/>
        <v>0</v>
      </c>
      <c r="I93" s="1496">
        <f t="shared" si="6"/>
        <v>0</v>
      </c>
      <c r="J93" s="1496">
        <f t="shared" si="7"/>
        <v>0</v>
      </c>
      <c r="K93" s="1496">
        <f t="shared" si="8"/>
        <v>10000</v>
      </c>
      <c r="L93" s="1496">
        <f t="shared" si="9"/>
        <v>500000</v>
      </c>
      <c r="M93" s="1496">
        <f t="shared" si="10"/>
        <v>0</v>
      </c>
      <c r="N93" s="1496">
        <f t="shared" si="11"/>
        <v>0</v>
      </c>
      <c r="O93" s="1496">
        <f t="shared" si="12"/>
        <v>510000</v>
      </c>
    </row>
    <row r="94" spans="1:54">
      <c r="D94" s="1493">
        <v>10</v>
      </c>
      <c r="E94" s="1496">
        <f t="shared" si="2"/>
        <v>0</v>
      </c>
      <c r="F94" s="1496">
        <f t="shared" si="3"/>
        <v>0</v>
      </c>
      <c r="G94" s="1496">
        <f t="shared" si="4"/>
        <v>0</v>
      </c>
      <c r="H94" s="1496">
        <f t="shared" si="5"/>
        <v>0</v>
      </c>
      <c r="I94" s="1496">
        <f t="shared" si="6"/>
        <v>0</v>
      </c>
      <c r="J94" s="1496">
        <f t="shared" si="7"/>
        <v>0</v>
      </c>
      <c r="K94" s="1496">
        <f t="shared" si="8"/>
        <v>0</v>
      </c>
      <c r="L94" s="1496">
        <f t="shared" si="9"/>
        <v>0</v>
      </c>
      <c r="M94" s="1496">
        <f t="shared" si="10"/>
        <v>100000</v>
      </c>
      <c r="N94" s="1496">
        <f t="shared" si="11"/>
        <v>0</v>
      </c>
      <c r="O94" s="1496">
        <f t="shared" si="12"/>
        <v>100000</v>
      </c>
    </row>
    <row r="95" spans="1:54">
      <c r="E95" s="1497">
        <f>SUM(E89:E94)</f>
        <v>270000</v>
      </c>
      <c r="F95" s="1497">
        <f t="shared" ref="F95:N95" si="13">SUM(F89:F94)</f>
        <v>75000</v>
      </c>
      <c r="G95" s="1497">
        <f t="shared" si="13"/>
        <v>125000</v>
      </c>
      <c r="H95" s="1497">
        <f t="shared" si="13"/>
        <v>700000</v>
      </c>
      <c r="I95" s="1497">
        <f t="shared" si="13"/>
        <v>1030000</v>
      </c>
      <c r="J95" s="1497">
        <f t="shared" si="13"/>
        <v>75000</v>
      </c>
      <c r="K95" s="1497">
        <f t="shared" si="13"/>
        <v>10000</v>
      </c>
      <c r="L95" s="1497">
        <f t="shared" si="13"/>
        <v>500000</v>
      </c>
      <c r="M95" s="1497">
        <f t="shared" si="13"/>
        <v>390000</v>
      </c>
      <c r="N95" s="1497">
        <f t="shared" si="13"/>
        <v>491973</v>
      </c>
      <c r="O95" s="1497">
        <f t="shared" si="12"/>
        <v>3666973</v>
      </c>
    </row>
    <row r="96" spans="1:54">
      <c r="E96" s="1440" t="b">
        <f>E84=E95</f>
        <v>1</v>
      </c>
      <c r="F96" s="1440" t="b">
        <f>J84=F95</f>
        <v>1</v>
      </c>
      <c r="G96" s="1440" t="b">
        <f>O84=G95</f>
        <v>1</v>
      </c>
      <c r="H96" s="1441" t="b">
        <f>H95=T84</f>
        <v>1</v>
      </c>
      <c r="I96" s="1441" t="b">
        <f>I95=Y84</f>
        <v>1</v>
      </c>
      <c r="J96" s="1440" t="b">
        <f>J95=AD84</f>
        <v>1</v>
      </c>
      <c r="K96" s="1440" t="b">
        <f>AI84=K95</f>
        <v>1</v>
      </c>
      <c r="L96" s="1440" t="b">
        <f>L95=AN84</f>
        <v>1</v>
      </c>
      <c r="M96" s="1440" t="b">
        <f>M95=AS84</f>
        <v>1</v>
      </c>
      <c r="N96" s="1440" t="b">
        <f>N95=(AX84-AX73-AX18-AX7)</f>
        <v>1</v>
      </c>
    </row>
    <row r="97" spans="13:14">
      <c r="M97" s="1440" t="s">
        <v>2184</v>
      </c>
      <c r="N97" s="1498">
        <f>AX84-N95</f>
        <v>2232892</v>
      </c>
    </row>
  </sheetData>
  <mergeCells count="12">
    <mergeCell ref="AX2:BB2"/>
    <mergeCell ref="A2:C2"/>
    <mergeCell ref="D2:D3"/>
    <mergeCell ref="E2:I2"/>
    <mergeCell ref="J2:N2"/>
    <mergeCell ref="O2:S2"/>
    <mergeCell ref="T2:X2"/>
    <mergeCell ref="Y2:AC2"/>
    <mergeCell ref="AD2:AH2"/>
    <mergeCell ref="AI2:AM2"/>
    <mergeCell ref="AN2:AR2"/>
    <mergeCell ref="AS2:AW2"/>
  </mergeCells>
  <pageMargins left="0.7" right="0.7" top="0.75" bottom="0.75" header="0.3" footer="0.3"/>
  <pageSetup paperSize="9" orientation="landscape" verticalDpi="1200"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93"/>
  <sheetViews>
    <sheetView topLeftCell="A59" zoomScale="90" zoomScaleNormal="90" workbookViewId="0">
      <selection activeCell="A68" sqref="A68:Q68"/>
    </sheetView>
  </sheetViews>
  <sheetFormatPr defaultColWidth="10.5" defaultRowHeight="15"/>
  <cols>
    <col min="1" max="1" width="109.33203125" style="838" customWidth="1"/>
    <col min="2" max="2" width="19.33203125" style="838" customWidth="1"/>
    <col min="3" max="3" width="13.83203125" style="838" customWidth="1"/>
    <col min="4" max="4" width="17.6640625" style="838" customWidth="1"/>
    <col min="5" max="5" width="14" style="866" customWidth="1"/>
    <col min="6" max="7" width="15.33203125" style="866" customWidth="1"/>
    <col min="8" max="8" width="17.5" style="838" customWidth="1"/>
    <col min="9" max="9" width="13.33203125" style="838" customWidth="1"/>
    <col min="10" max="10" width="16.1640625" style="838" customWidth="1"/>
    <col min="11" max="11" width="13.33203125" style="838" customWidth="1"/>
    <col min="12" max="12" width="17.33203125" style="838" customWidth="1"/>
    <col min="13" max="13" width="17" style="838" customWidth="1"/>
    <col min="14" max="14" width="13.33203125" style="838" customWidth="1"/>
    <col min="15" max="15" width="14.33203125" style="838" customWidth="1"/>
    <col min="16" max="16" width="16.83203125" style="838" customWidth="1"/>
    <col min="17" max="17" width="15.33203125" style="848" customWidth="1"/>
    <col min="18" max="19" width="19.83203125" style="838" customWidth="1"/>
    <col min="20" max="20" width="23.83203125" style="838" customWidth="1"/>
    <col min="21" max="21" width="18.83203125" style="838" customWidth="1"/>
    <col min="22" max="22" width="13.83203125" style="838" customWidth="1"/>
    <col min="23" max="23" width="15.33203125" style="838" customWidth="1"/>
    <col min="24" max="24" width="19.5" style="838" customWidth="1"/>
    <col min="25" max="25" width="19.33203125" style="838" customWidth="1"/>
    <col min="26" max="26" width="14.1640625" style="838" customWidth="1"/>
    <col min="27" max="27" width="11" style="839" customWidth="1"/>
    <col min="28" max="28" width="16.83203125" style="838" customWidth="1"/>
    <col min="29" max="29" width="18.83203125" style="838" customWidth="1"/>
    <col min="30" max="31" width="19.5" style="838" customWidth="1"/>
    <col min="32" max="32" width="20.1640625" style="838" customWidth="1"/>
    <col min="33" max="16384" width="10.5" style="838"/>
  </cols>
  <sheetData>
    <row r="1" spans="1:32">
      <c r="A1" s="2677" t="s">
        <v>1251</v>
      </c>
      <c r="B1" s="2677"/>
      <c r="C1" s="2677"/>
      <c r="D1" s="2677"/>
      <c r="E1" s="2677"/>
      <c r="F1" s="2677"/>
      <c r="G1" s="2677"/>
      <c r="H1" s="2677"/>
      <c r="I1" s="2677"/>
      <c r="J1" s="2677"/>
      <c r="K1" s="2677"/>
      <c r="L1" s="2677"/>
      <c r="M1" s="2677"/>
      <c r="N1" s="2677"/>
      <c r="O1" s="2677"/>
      <c r="P1" s="2677"/>
      <c r="Q1" s="2677"/>
      <c r="R1" s="837"/>
      <c r="S1" s="837"/>
    </row>
    <row r="2" spans="1:32" ht="33" customHeight="1">
      <c r="A2" s="2678" t="s">
        <v>1252</v>
      </c>
      <c r="B2" s="2677"/>
      <c r="C2" s="2677"/>
      <c r="D2" s="2677"/>
      <c r="E2" s="2677"/>
      <c r="F2" s="2677"/>
      <c r="G2" s="2677"/>
      <c r="H2" s="2677"/>
      <c r="I2" s="2677"/>
      <c r="J2" s="2677"/>
      <c r="K2" s="2677"/>
      <c r="L2" s="2677"/>
      <c r="M2" s="2677"/>
      <c r="N2" s="2677"/>
      <c r="O2" s="2677"/>
      <c r="P2" s="2677"/>
      <c r="Q2" s="2677"/>
      <c r="R2" s="837"/>
      <c r="S2" s="837"/>
    </row>
    <row r="3" spans="1:32" ht="154.9" customHeight="1">
      <c r="A3" s="840"/>
      <c r="B3" s="840" t="s">
        <v>1253</v>
      </c>
      <c r="C3" s="841" t="s">
        <v>1254</v>
      </c>
      <c r="D3" s="840" t="s">
        <v>1255</v>
      </c>
      <c r="E3" s="841" t="s">
        <v>1256</v>
      </c>
      <c r="F3" s="841" t="s">
        <v>1257</v>
      </c>
      <c r="G3" s="841" t="s">
        <v>1258</v>
      </c>
      <c r="H3" s="840" t="s">
        <v>1259</v>
      </c>
      <c r="I3" s="841" t="s">
        <v>1260</v>
      </c>
      <c r="J3" s="840" t="s">
        <v>1261</v>
      </c>
      <c r="K3" s="841" t="s">
        <v>1262</v>
      </c>
      <c r="L3" s="841" t="s">
        <v>1263</v>
      </c>
      <c r="M3" s="840" t="s">
        <v>1264</v>
      </c>
      <c r="N3" s="841" t="s">
        <v>1265</v>
      </c>
      <c r="O3" s="841" t="s">
        <v>1266</v>
      </c>
      <c r="P3" s="842" t="s">
        <v>1267</v>
      </c>
      <c r="Q3" s="843" t="s">
        <v>1268</v>
      </c>
      <c r="R3" s="842" t="s">
        <v>1269</v>
      </c>
      <c r="S3" s="842" t="s">
        <v>1270</v>
      </c>
      <c r="T3" s="840" t="s">
        <v>1271</v>
      </c>
      <c r="U3" s="841" t="s">
        <v>1272</v>
      </c>
      <c r="V3" s="841" t="s">
        <v>1273</v>
      </c>
      <c r="W3" s="844" t="s">
        <v>1274</v>
      </c>
      <c r="X3" s="844" t="s">
        <v>1275</v>
      </c>
      <c r="Y3" s="840" t="s">
        <v>1276</v>
      </c>
      <c r="Z3" s="841" t="s">
        <v>1277</v>
      </c>
      <c r="AA3" s="841" t="s">
        <v>1278</v>
      </c>
      <c r="AB3" s="840" t="s">
        <v>1279</v>
      </c>
      <c r="AC3" s="840" t="s">
        <v>1280</v>
      </c>
      <c r="AD3" s="840" t="s">
        <v>1281</v>
      </c>
      <c r="AE3" s="845" t="s">
        <v>1282</v>
      </c>
      <c r="AF3" s="840" t="s">
        <v>1283</v>
      </c>
    </row>
    <row r="4" spans="1:32">
      <c r="A4" s="846" t="s">
        <v>1284</v>
      </c>
      <c r="B4" s="847">
        <v>500000</v>
      </c>
      <c r="C4" s="848">
        <f>B4/B53</f>
        <v>6.7329602914240672E-2</v>
      </c>
      <c r="D4" s="847">
        <f t="shared" ref="D4:D12" si="0">E4+F4</f>
        <v>6320717</v>
      </c>
      <c r="E4" s="849">
        <v>1420444</v>
      </c>
      <c r="F4" s="849">
        <v>4900273</v>
      </c>
      <c r="G4" s="848">
        <f>D4/D52</f>
        <v>0.2392723870709447</v>
      </c>
      <c r="H4" s="847">
        <v>1428571</v>
      </c>
      <c r="I4" s="848">
        <f>H4/H52</f>
        <v>0.19999994399999887</v>
      </c>
      <c r="K4" s="848"/>
      <c r="L4" s="848"/>
      <c r="M4" s="848"/>
      <c r="N4" s="848"/>
      <c r="O4" s="848"/>
      <c r="P4" s="848">
        <f>(D4+H4)/M54</f>
        <v>0.20217795683120754</v>
      </c>
      <c r="Q4" s="848">
        <f>(B4+D4+H4)/M56</f>
        <v>0.16669776615100826</v>
      </c>
      <c r="R4" s="850">
        <v>1000000</v>
      </c>
      <c r="S4" s="850">
        <f>T4*11.1141</f>
        <v>1000002.2616000001</v>
      </c>
      <c r="T4" s="847">
        <f t="shared" ref="T4:T10" si="1">ROUND(R4/11.1141,0)</f>
        <v>89976</v>
      </c>
      <c r="U4" s="848">
        <f>T4/T52</f>
        <v>3.4003429971663807E-2</v>
      </c>
      <c r="V4" s="848"/>
      <c r="W4" s="848">
        <f>(D4+H4+T4)/T54</f>
        <v>0.19131760689433311</v>
      </c>
      <c r="X4" s="851" t="s">
        <v>1285</v>
      </c>
      <c r="Y4" s="851" t="s">
        <v>1285</v>
      </c>
      <c r="Z4" s="848">
        <f>T4/(T52+Y52)</f>
        <v>2.0000053347701649E-2</v>
      </c>
      <c r="AB4" s="848">
        <f>(B4+D4+H4+T4)/Y56</f>
        <v>0.14789788590476399</v>
      </c>
      <c r="AC4" s="851" t="s">
        <v>1285</v>
      </c>
      <c r="AD4" s="851" t="s">
        <v>1285</v>
      </c>
      <c r="AE4" s="852">
        <f>B4+D4+H4+T4</f>
        <v>8339264</v>
      </c>
      <c r="AF4" s="853">
        <f t="shared" ref="AF4:AF49" si="2">AE4/AD$56</f>
        <v>0.13567466878293344</v>
      </c>
    </row>
    <row r="5" spans="1:32">
      <c r="A5" s="846" t="s">
        <v>1286</v>
      </c>
      <c r="B5" s="847">
        <v>250000</v>
      </c>
      <c r="C5" s="848">
        <f>B5/B53</f>
        <v>3.3664801457120336E-2</v>
      </c>
      <c r="D5" s="847">
        <f t="shared" si="0"/>
        <v>2837989</v>
      </c>
      <c r="E5" s="849">
        <v>645656</v>
      </c>
      <c r="F5" s="849">
        <v>2192333</v>
      </c>
      <c r="G5" s="848">
        <f>D5/D52</f>
        <v>0.10743281221277322</v>
      </c>
      <c r="H5" s="847">
        <v>316210</v>
      </c>
      <c r="I5" s="848">
        <f>H5/H52</f>
        <v>4.426940088538802E-2</v>
      </c>
      <c r="K5" s="848"/>
      <c r="L5" s="848"/>
      <c r="M5" s="848"/>
      <c r="N5" s="848"/>
      <c r="O5" s="848"/>
      <c r="P5" s="848">
        <f>(D5+H5)/M54</f>
        <v>8.2292658275061922E-2</v>
      </c>
      <c r="Q5" s="848">
        <f>(B5+D5+H5)/M56</f>
        <v>6.879046638127996E-2</v>
      </c>
      <c r="R5" s="850">
        <f>2060000</f>
        <v>2060000</v>
      </c>
      <c r="S5" s="850">
        <f t="shared" ref="S5:S31" si="3">T5*11.1141</f>
        <v>2059998.4350000001</v>
      </c>
      <c r="T5" s="847">
        <f t="shared" si="1"/>
        <v>185350</v>
      </c>
      <c r="U5" s="848">
        <f>T5/T52</f>
        <v>7.0046854108294282E-2</v>
      </c>
      <c r="V5" s="848"/>
      <c r="W5" s="848">
        <f>(D5+H5+T5)/T54</f>
        <v>8.1501850529126618E-2</v>
      </c>
      <c r="X5" s="851" t="s">
        <v>1285</v>
      </c>
      <c r="Y5" s="851" t="s">
        <v>1285</v>
      </c>
      <c r="Z5" s="848">
        <f>T5/(T52+Y52)</f>
        <v>4.1199985418294886E-2</v>
      </c>
      <c r="AB5" s="848">
        <f>(B5+D5+H5+T5)/Y56</f>
        <v>6.3661098683476108E-2</v>
      </c>
      <c r="AC5" s="851" t="s">
        <v>1285</v>
      </c>
      <c r="AD5" s="851" t="s">
        <v>1285</v>
      </c>
      <c r="AE5" s="852">
        <f>B5+D5+H5+T5</f>
        <v>3589549</v>
      </c>
      <c r="AF5" s="853">
        <f t="shared" si="2"/>
        <v>5.8399742669749989E-2</v>
      </c>
    </row>
    <row r="6" spans="1:32" ht="15.75" customHeight="1">
      <c r="A6" s="854" t="s">
        <v>1287</v>
      </c>
      <c r="B6" s="847">
        <v>250000</v>
      </c>
      <c r="C6" s="848">
        <f>B6/B53</f>
        <v>3.3664801457120336E-2</v>
      </c>
      <c r="D6" s="847">
        <f t="shared" si="0"/>
        <v>2837989</v>
      </c>
      <c r="E6" s="849">
        <v>645656</v>
      </c>
      <c r="F6" s="849">
        <v>2192333</v>
      </c>
      <c r="G6" s="848">
        <f>D6/D52</f>
        <v>0.10743281221277322</v>
      </c>
      <c r="H6" s="847">
        <v>316210</v>
      </c>
      <c r="I6" s="848">
        <f>H6/H52</f>
        <v>4.426940088538802E-2</v>
      </c>
      <c r="K6" s="848"/>
      <c r="L6" s="848"/>
      <c r="M6" s="848"/>
      <c r="N6" s="848"/>
      <c r="O6" s="848"/>
      <c r="P6" s="848">
        <f>(D6+H6)/M54</f>
        <v>8.2292658275061922E-2</v>
      </c>
      <c r="Q6" s="848">
        <f>(B6+D6+H6)/M56</f>
        <v>6.879046638127996E-2</v>
      </c>
      <c r="R6" s="850">
        <v>500000</v>
      </c>
      <c r="S6" s="850">
        <f t="shared" si="3"/>
        <v>500001.13080000004</v>
      </c>
      <c r="T6" s="847">
        <f t="shared" si="1"/>
        <v>44988</v>
      </c>
      <c r="U6" s="848">
        <f>T6/T52</f>
        <v>1.7001714985831903E-2</v>
      </c>
      <c r="V6" s="848"/>
      <c r="W6" s="848">
        <f>(D6+H6+T6)/T54</f>
        <v>7.8076309312642214E-2</v>
      </c>
      <c r="X6" s="851" t="s">
        <v>1285</v>
      </c>
      <c r="Y6" s="851" t="s">
        <v>1285</v>
      </c>
      <c r="Z6" s="848">
        <f>T6/(T52+Y52)</f>
        <v>1.0000026673850824E-2</v>
      </c>
      <c r="AB6" s="848">
        <f>(B6+D6+H6+T6)/Y56</f>
        <v>6.1171761127863947E-2</v>
      </c>
      <c r="AC6" s="851" t="s">
        <v>1285</v>
      </c>
      <c r="AD6" s="851" t="s">
        <v>1285</v>
      </c>
      <c r="AE6" s="852">
        <f>B6+D6+H6+T6</f>
        <v>3449187</v>
      </c>
      <c r="AF6" s="853">
        <f t="shared" si="2"/>
        <v>5.6116139721131247E-2</v>
      </c>
    </row>
    <row r="7" spans="1:32" ht="15.75" customHeight="1">
      <c r="A7" s="854" t="s">
        <v>1288</v>
      </c>
      <c r="B7" s="847"/>
      <c r="C7" s="848"/>
      <c r="D7" s="847"/>
      <c r="E7" s="849"/>
      <c r="F7" s="849"/>
      <c r="G7" s="848"/>
      <c r="H7" s="847"/>
      <c r="I7" s="848"/>
      <c r="K7" s="848"/>
      <c r="L7" s="848"/>
      <c r="M7" s="848"/>
      <c r="N7" s="848"/>
      <c r="O7" s="848"/>
      <c r="P7" s="848"/>
      <c r="R7" s="850">
        <v>1560000</v>
      </c>
      <c r="S7" s="850">
        <f t="shared" si="3"/>
        <v>1559997.3042000001</v>
      </c>
      <c r="T7" s="847">
        <f t="shared" si="1"/>
        <v>140362</v>
      </c>
      <c r="U7" s="848">
        <f>T7/T52</f>
        <v>5.3045139122462386E-2</v>
      </c>
      <c r="V7" s="848"/>
      <c r="W7" s="848">
        <f>T7/T54</f>
        <v>3.4255412164844027E-3</v>
      </c>
      <c r="X7" s="851" t="s">
        <v>1285</v>
      </c>
      <c r="Y7" s="851" t="s">
        <v>1285</v>
      </c>
      <c r="Z7" s="848">
        <f>T7/(T52+Y52)</f>
        <v>3.1199958744444058E-2</v>
      </c>
      <c r="AB7" s="848">
        <f>T7/Y56</f>
        <v>2.4893375556121599E-3</v>
      </c>
      <c r="AC7" s="851" t="s">
        <v>1285</v>
      </c>
      <c r="AD7" s="851" t="s">
        <v>1285</v>
      </c>
      <c r="AE7" s="852">
        <f>T7</f>
        <v>140362</v>
      </c>
      <c r="AF7" s="853">
        <f t="shared" si="2"/>
        <v>2.2836029486187396E-3</v>
      </c>
    </row>
    <row r="8" spans="1:32">
      <c r="A8" s="846" t="s">
        <v>1289</v>
      </c>
      <c r="B8" s="847">
        <v>451150</v>
      </c>
      <c r="C8" s="848">
        <f>B8/B53</f>
        <v>6.0751500709519353E-2</v>
      </c>
      <c r="D8" s="847">
        <f t="shared" si="0"/>
        <v>5121436</v>
      </c>
      <c r="E8" s="849">
        <v>1165151</v>
      </c>
      <c r="F8" s="849">
        <v>3956285</v>
      </c>
      <c r="G8" s="848">
        <f>D8/D52</f>
        <v>0.19387329268990697</v>
      </c>
      <c r="H8" s="847">
        <v>570634</v>
      </c>
      <c r="I8" s="848">
        <f>H8/H52</f>
        <v>7.9888761597775235E-2</v>
      </c>
      <c r="J8" s="847"/>
      <c r="K8" s="848"/>
      <c r="L8" s="848"/>
      <c r="M8" s="848"/>
      <c r="N8" s="848"/>
      <c r="O8" s="848"/>
      <c r="P8" s="848">
        <f>(D8+H8)/M54</f>
        <v>0.14850539594608067</v>
      </c>
      <c r="Q8" s="848">
        <f>(B8+D8+H8)/M56</f>
        <v>0.12413932583929631</v>
      </c>
      <c r="R8" s="850">
        <f>1000000*90.23%</f>
        <v>902300</v>
      </c>
      <c r="S8" s="850">
        <f t="shared" si="3"/>
        <v>902298.20850000007</v>
      </c>
      <c r="T8" s="847">
        <f t="shared" si="1"/>
        <v>81185</v>
      </c>
      <c r="U8" s="848">
        <f>T8/T52</f>
        <v>3.0681164557765695E-2</v>
      </c>
      <c r="V8" s="848"/>
      <c r="W8" s="848">
        <f>(D8+H8+T8)/T54</f>
        <v>0.14089656000751385</v>
      </c>
      <c r="X8" s="851" t="s">
        <v>1285</v>
      </c>
      <c r="Y8" s="851" t="s">
        <v>1285</v>
      </c>
      <c r="Z8" s="848">
        <f>T8/(T52+Y52)</f>
        <v>1.8045971492766495E-2</v>
      </c>
      <c r="AB8" s="848">
        <f>(B8+D8+H8+T8)/Y56</f>
        <v>0.11039059808096284</v>
      </c>
      <c r="AC8" s="851" t="s">
        <v>1285</v>
      </c>
      <c r="AD8" s="851" t="s">
        <v>1285</v>
      </c>
      <c r="AE8" s="852">
        <f>B8+D8+H8+T8</f>
        <v>6224405</v>
      </c>
      <c r="AF8" s="853">
        <f t="shared" si="2"/>
        <v>0.10126722055397633</v>
      </c>
    </row>
    <row r="9" spans="1:32">
      <c r="A9" s="855" t="s">
        <v>1290</v>
      </c>
      <c r="B9" s="856">
        <v>38250</v>
      </c>
      <c r="C9" s="853">
        <f>B9/B53</f>
        <v>5.1507146229394108E-3</v>
      </c>
      <c r="D9" s="856">
        <f t="shared" si="0"/>
        <v>434211</v>
      </c>
      <c r="E9" s="857">
        <v>98785</v>
      </c>
      <c r="F9" s="857">
        <v>335426</v>
      </c>
      <c r="G9" s="853">
        <f>D9/D52</f>
        <v>1.6437170413176539E-2</v>
      </c>
      <c r="H9" s="856">
        <v>48380</v>
      </c>
      <c r="I9" s="853">
        <f>H9/H52</f>
        <v>6.7732001354640029E-3</v>
      </c>
      <c r="J9" s="856"/>
      <c r="K9" s="853"/>
      <c r="L9" s="853"/>
      <c r="M9" s="853"/>
      <c r="N9" s="853"/>
      <c r="O9" s="853"/>
      <c r="P9" s="853">
        <f>(D9+H9)/M54</f>
        <v>1.2590738964035056E-2</v>
      </c>
      <c r="Q9" s="853">
        <f>(B9+D9+H9)/M56</f>
        <v>1.0524912116034414E-2</v>
      </c>
      <c r="R9" s="858">
        <f>1000000*7.65%</f>
        <v>76500</v>
      </c>
      <c r="S9" s="850">
        <f>T9*11.1141</f>
        <v>76498.350300000006</v>
      </c>
      <c r="T9" s="847">
        <f t="shared" si="1"/>
        <v>6883</v>
      </c>
      <c r="U9" s="848">
        <f>T9/T52</f>
        <v>2.6012004144989995E-3</v>
      </c>
      <c r="V9" s="853"/>
      <c r="W9" s="853">
        <f>(D9+H9)/T54</f>
        <v>1.1777656069338028E-2</v>
      </c>
      <c r="X9" s="851" t="s">
        <v>1285</v>
      </c>
      <c r="Y9" s="851" t="s">
        <v>1285</v>
      </c>
      <c r="Z9" s="859">
        <f>T9/(T52+Y52)</f>
        <v>1.5299676268363835E-3</v>
      </c>
      <c r="AA9" s="860"/>
      <c r="AB9" s="853">
        <f>(B9+D9+H9+T9)/Y56</f>
        <v>9.3592508812774932E-3</v>
      </c>
      <c r="AC9" s="851" t="s">
        <v>1285</v>
      </c>
      <c r="AD9" s="851" t="s">
        <v>1285</v>
      </c>
      <c r="AE9" s="852">
        <f>B9+D9+H9+T9</f>
        <v>527724</v>
      </c>
      <c r="AF9" s="853">
        <f t="shared" si="2"/>
        <v>8.585743167359227E-3</v>
      </c>
    </row>
    <row r="10" spans="1:32">
      <c r="A10" s="855" t="s">
        <v>1291</v>
      </c>
      <c r="B10" s="856">
        <v>10600</v>
      </c>
      <c r="C10" s="853">
        <f>B10/B53</f>
        <v>1.4273875817819022E-3</v>
      </c>
      <c r="D10" s="856">
        <f t="shared" si="0"/>
        <v>120331</v>
      </c>
      <c r="E10" s="857">
        <v>27376</v>
      </c>
      <c r="F10" s="857">
        <v>92955</v>
      </c>
      <c r="G10" s="853">
        <f>D10/D52</f>
        <v>4.5551613224629178E-3</v>
      </c>
      <c r="H10" s="856">
        <v>13406</v>
      </c>
      <c r="I10" s="853">
        <f>H10/H52</f>
        <v>1.8768400375368008E-3</v>
      </c>
      <c r="J10" s="856"/>
      <c r="K10" s="853"/>
      <c r="L10" s="853"/>
      <c r="M10" s="853"/>
      <c r="N10" s="853"/>
      <c r="O10" s="853"/>
      <c r="P10" s="853">
        <f>(D10+H10)/M54</f>
        <v>3.4891816400081147E-3</v>
      </c>
      <c r="Q10" s="853">
        <f>(B10+D10+H10)/M56</f>
        <v>2.9166948072291911E-3</v>
      </c>
      <c r="R10" s="858">
        <f>1000000*2.12%</f>
        <v>21200</v>
      </c>
      <c r="S10" s="850">
        <f t="shared" si="3"/>
        <v>21194.5887</v>
      </c>
      <c r="T10" s="847">
        <f t="shared" si="1"/>
        <v>1907</v>
      </c>
      <c r="U10" s="848">
        <f>T10/T52</f>
        <v>7.2068708273276077E-4</v>
      </c>
      <c r="V10" s="853"/>
      <c r="W10" s="853">
        <f>(D10+H10)/T54</f>
        <v>3.2638577796624056E-3</v>
      </c>
      <c r="X10" s="851" t="s">
        <v>1285</v>
      </c>
      <c r="Y10" s="851" t="s">
        <v>1285</v>
      </c>
      <c r="Z10" s="859">
        <f>T10/(T52+Y52)</f>
        <v>4.2389194600856941E-4</v>
      </c>
      <c r="AA10" s="860"/>
      <c r="AB10" s="853">
        <f>(B10+D10+H10+T10)/Y56</f>
        <v>2.5936555583629811E-3</v>
      </c>
      <c r="AC10" s="851" t="s">
        <v>1285</v>
      </c>
      <c r="AD10" s="851" t="s">
        <v>1285</v>
      </c>
      <c r="AE10" s="852">
        <f>B10+D10+H10+T10</f>
        <v>146244</v>
      </c>
      <c r="AF10" s="853">
        <f t="shared" si="2"/>
        <v>2.3792994515452826E-3</v>
      </c>
    </row>
    <row r="11" spans="1:32">
      <c r="A11" s="855" t="s">
        <v>1292</v>
      </c>
      <c r="B11" s="856">
        <v>150000</v>
      </c>
      <c r="C11" s="853">
        <f>B11/B53</f>
        <v>2.0198880874272202E-2</v>
      </c>
      <c r="D11" s="856">
        <f t="shared" si="0"/>
        <v>3444006</v>
      </c>
      <c r="E11" s="857">
        <v>734845</v>
      </c>
      <c r="F11" s="857">
        <v>2709161</v>
      </c>
      <c r="G11" s="853">
        <f>D11/D52</f>
        <v>0.13037374347034617</v>
      </c>
      <c r="H11" s="856">
        <v>383732</v>
      </c>
      <c r="I11" s="853">
        <f>H11/H52</f>
        <v>5.3722481074449623E-2</v>
      </c>
      <c r="J11" s="856"/>
      <c r="K11" s="853"/>
      <c r="L11" s="853"/>
      <c r="M11" s="853"/>
      <c r="N11" s="853"/>
      <c r="O11" s="853"/>
      <c r="P11" s="853">
        <f>(D11+H11)/M54</f>
        <v>9.9865206729337297E-2</v>
      </c>
      <c r="Q11" s="853">
        <f>(B11+D11+H11)/M56</f>
        <v>8.038027511392247E-2</v>
      </c>
      <c r="R11" s="858" t="s">
        <v>1285</v>
      </c>
      <c r="S11" s="850" t="s">
        <v>1285</v>
      </c>
      <c r="T11" s="861" t="s">
        <v>1285</v>
      </c>
      <c r="U11" s="859" t="s">
        <v>1285</v>
      </c>
      <c r="V11" s="853"/>
      <c r="W11" s="853">
        <f>(D11+H11)/T54</f>
        <v>9.3416126051948351E-2</v>
      </c>
      <c r="X11" s="851" t="s">
        <v>1285</v>
      </c>
      <c r="Y11" s="851" t="s">
        <v>1285</v>
      </c>
      <c r="Z11" s="859" t="s">
        <v>1285</v>
      </c>
      <c r="AA11" s="860"/>
      <c r="AB11" s="853">
        <f>(B11+D11+H11)/Y56</f>
        <v>7.0545678957165056E-2</v>
      </c>
      <c r="AC11" s="851" t="s">
        <v>1285</v>
      </c>
      <c r="AD11" s="851" t="s">
        <v>1285</v>
      </c>
      <c r="AE11" s="852">
        <f>B11+D11+H11</f>
        <v>3977738</v>
      </c>
      <c r="AF11" s="853">
        <f t="shared" si="2"/>
        <v>6.4715337667123632E-2</v>
      </c>
    </row>
    <row r="12" spans="1:32">
      <c r="A12" s="855" t="s">
        <v>1293</v>
      </c>
      <c r="B12" s="862"/>
      <c r="C12" s="853"/>
      <c r="D12" s="856">
        <f t="shared" si="0"/>
        <v>3756921</v>
      </c>
      <c r="E12" s="857">
        <v>762086</v>
      </c>
      <c r="F12" s="857">
        <v>2994835</v>
      </c>
      <c r="G12" s="853">
        <f>D12/D52</f>
        <v>0.14221922223490793</v>
      </c>
      <c r="H12" s="856">
        <v>922857</v>
      </c>
      <c r="I12" s="853">
        <f>H12/H52</f>
        <v>0.12919998258399965</v>
      </c>
      <c r="J12" s="856"/>
      <c r="K12" s="853"/>
      <c r="L12" s="853"/>
      <c r="M12" s="853"/>
      <c r="N12" s="853"/>
      <c r="O12" s="853"/>
      <c r="P12" s="853">
        <f>(D12+H12)/M54</f>
        <v>0.12209482399720269</v>
      </c>
      <c r="Q12" s="853">
        <f>(D12+H12)/M56</f>
        <v>9.4566772148412456E-2</v>
      </c>
      <c r="R12" s="863">
        <v>2840000</v>
      </c>
      <c r="S12" s="850">
        <f t="shared" si="3"/>
        <v>2839997.0871000001</v>
      </c>
      <c r="T12" s="856">
        <f t="shared" ref="T12:T17" si="4">ROUND(R12/11.1141,0)</f>
        <v>255531</v>
      </c>
      <c r="U12" s="853">
        <f>T12/T52</f>
        <v>9.6569423669525478E-2</v>
      </c>
      <c r="V12" s="853"/>
      <c r="W12" s="853">
        <f>(D12+H12+T12)/T54</f>
        <v>0.12044644843751458</v>
      </c>
      <c r="X12" s="851" t="s">
        <v>1285</v>
      </c>
      <c r="Y12" s="851" t="s">
        <v>1285</v>
      </c>
      <c r="Z12" s="853">
        <f>T12/(T52+Y52)</f>
        <v>5.679996479051691E-2</v>
      </c>
      <c r="AA12" s="860"/>
      <c r="AB12" s="853">
        <f>(D12+H12+T12)/Y56</f>
        <v>8.7528319931681614E-2</v>
      </c>
      <c r="AC12" s="851" t="s">
        <v>1285</v>
      </c>
      <c r="AD12" s="851" t="s">
        <v>1285</v>
      </c>
      <c r="AE12" s="852">
        <f>D12+H12+T12</f>
        <v>4935309</v>
      </c>
      <c r="AF12" s="853">
        <f t="shared" si="2"/>
        <v>8.0294425733065958E-2</v>
      </c>
    </row>
    <row r="13" spans="1:32">
      <c r="A13" s="855" t="s">
        <v>1294</v>
      </c>
      <c r="B13" s="856">
        <v>1000000</v>
      </c>
      <c r="C13" s="853">
        <f>B13/B53</f>
        <v>0.13465920582848134</v>
      </c>
      <c r="D13" s="856">
        <v>771404</v>
      </c>
      <c r="E13" s="864"/>
      <c r="F13" s="857">
        <v>771404</v>
      </c>
      <c r="G13" s="853">
        <f>D13/D52</f>
        <v>2.920169918635418E-2</v>
      </c>
      <c r="H13" s="862"/>
      <c r="I13" s="853"/>
      <c r="J13" s="856"/>
      <c r="K13" s="853"/>
      <c r="L13" s="853"/>
      <c r="M13" s="853"/>
      <c r="N13" s="853"/>
      <c r="O13" s="853"/>
      <c r="P13" s="853">
        <f>D13/M54</f>
        <v>2.0125834091005629E-2</v>
      </c>
      <c r="Q13" s="853">
        <f>(B13+D13)/M56</f>
        <v>3.579570621742878E-2</v>
      </c>
      <c r="R13" s="863">
        <v>1070000</v>
      </c>
      <c r="S13" s="850">
        <f t="shared" si="3"/>
        <v>1069998.8634000001</v>
      </c>
      <c r="T13" s="856">
        <f t="shared" si="4"/>
        <v>96274</v>
      </c>
      <c r="U13" s="853">
        <f>T13/T52</f>
        <v>3.6383549136347039E-2</v>
      </c>
      <c r="V13" s="853"/>
      <c r="W13" s="853">
        <f>(D13+T13)/T54</f>
        <v>2.1175722429409339E-2</v>
      </c>
      <c r="X13" s="851" t="s">
        <v>1285</v>
      </c>
      <c r="Y13" s="851" t="s">
        <v>1285</v>
      </c>
      <c r="Z13" s="853">
        <f>T13/(T52+Y52)</f>
        <v>2.1399985951771901E-2</v>
      </c>
      <c r="AA13" s="860"/>
      <c r="AB13" s="853">
        <f>(B13+D13+T13)/Y56</f>
        <v>3.3123501996199879E-2</v>
      </c>
      <c r="AC13" s="851" t="s">
        <v>1285</v>
      </c>
      <c r="AD13" s="851" t="s">
        <v>1285</v>
      </c>
      <c r="AE13" s="852">
        <f>B13+D13+T13</f>
        <v>1867678</v>
      </c>
      <c r="AF13" s="853">
        <f t="shared" si="2"/>
        <v>3.0385966200754837E-2</v>
      </c>
    </row>
    <row r="14" spans="1:32">
      <c r="A14" s="855" t="s">
        <v>1295</v>
      </c>
      <c r="B14" s="862"/>
      <c r="C14" s="853"/>
      <c r="D14" s="856">
        <v>771404</v>
      </c>
      <c r="E14" s="864"/>
      <c r="F14" s="857">
        <v>771404</v>
      </c>
      <c r="G14" s="853">
        <f>D14/D52</f>
        <v>2.920169918635418E-2</v>
      </c>
      <c r="H14" s="862"/>
      <c r="I14" s="853"/>
      <c r="J14" s="856"/>
      <c r="K14" s="853"/>
      <c r="L14" s="853"/>
      <c r="M14" s="853"/>
      <c r="N14" s="853"/>
      <c r="O14" s="853"/>
      <c r="P14" s="853">
        <f>D14/M54</f>
        <v>2.0125834091005629E-2</v>
      </c>
      <c r="Q14" s="853">
        <f>D14/M56</f>
        <v>1.5588172409540359E-2</v>
      </c>
      <c r="R14" s="863">
        <v>468000</v>
      </c>
      <c r="S14" s="850">
        <f t="shared" si="3"/>
        <v>467992.52280000004</v>
      </c>
      <c r="T14" s="856">
        <f>ROUNDDOWN(R14/11.1141,0)</f>
        <v>42108</v>
      </c>
      <c r="U14" s="853">
        <f>T14/T52</f>
        <v>1.5913314986738904E-2</v>
      </c>
      <c r="V14" s="853"/>
      <c r="W14" s="853">
        <f>(D14+T14)/T54</f>
        <v>1.9853798649952688E-2</v>
      </c>
      <c r="X14" s="851" t="s">
        <v>1285</v>
      </c>
      <c r="Y14" s="851" t="s">
        <v>1285</v>
      </c>
      <c r="Z14" s="853">
        <f>T14/(T52+Y52)</f>
        <v>9.3598542540790988E-3</v>
      </c>
      <c r="AA14" s="860"/>
      <c r="AB14" s="853">
        <f>(D14+T14)/Y56</f>
        <v>1.4427736663350191E-2</v>
      </c>
      <c r="AC14" s="851" t="s">
        <v>1285</v>
      </c>
      <c r="AD14" s="851" t="s">
        <v>1285</v>
      </c>
      <c r="AE14" s="852">
        <f>D14+T14</f>
        <v>813512</v>
      </c>
      <c r="AF14" s="853">
        <f t="shared" si="2"/>
        <v>1.3235337213325031E-2</v>
      </c>
    </row>
    <row r="15" spans="1:32">
      <c r="A15" s="855" t="s">
        <v>1296</v>
      </c>
      <c r="B15" s="856">
        <v>333333</v>
      </c>
      <c r="C15" s="853">
        <f>B15/B53</f>
        <v>4.4886357056425172E-2</v>
      </c>
      <c r="D15" s="862"/>
      <c r="E15" s="864"/>
      <c r="F15" s="864"/>
      <c r="G15" s="853"/>
      <c r="H15" s="862"/>
      <c r="I15" s="853"/>
      <c r="J15" s="856"/>
      <c r="K15" s="853"/>
      <c r="L15" s="853"/>
      <c r="M15" s="853"/>
      <c r="N15" s="853"/>
      <c r="O15" s="853"/>
      <c r="P15" s="853"/>
      <c r="Q15" s="853">
        <f>B15/M56</f>
        <v>6.735837866784871E-3</v>
      </c>
      <c r="R15" s="863"/>
      <c r="S15" s="850">
        <f t="shared" si="3"/>
        <v>0</v>
      </c>
      <c r="T15" s="856">
        <f t="shared" si="4"/>
        <v>0</v>
      </c>
      <c r="U15" s="853">
        <f>T15/T52</f>
        <v>0</v>
      </c>
      <c r="V15" s="853"/>
      <c r="W15" s="853">
        <f>T15/T54</f>
        <v>0</v>
      </c>
      <c r="X15" s="851" t="s">
        <v>1285</v>
      </c>
      <c r="Y15" s="851" t="s">
        <v>1285</v>
      </c>
      <c r="Z15" s="853">
        <f>T15/(T52+Y52)</f>
        <v>0</v>
      </c>
      <c r="AA15" s="860"/>
      <c r="AB15" s="853">
        <f>(B15+T15)/Y56</f>
        <v>5.9117022799964961E-3</v>
      </c>
      <c r="AC15" s="851" t="s">
        <v>1285</v>
      </c>
      <c r="AD15" s="851" t="s">
        <v>1285</v>
      </c>
      <c r="AE15" s="852">
        <f>B15+T15</f>
        <v>333333</v>
      </c>
      <c r="AF15" s="853">
        <f t="shared" si="2"/>
        <v>5.4231217970100902E-3</v>
      </c>
    </row>
    <row r="16" spans="1:32">
      <c r="A16" s="855" t="s">
        <v>1297</v>
      </c>
      <c r="B16" s="856">
        <v>333333</v>
      </c>
      <c r="C16" s="853">
        <f>B16/B53</f>
        <v>4.4886357056425172E-2</v>
      </c>
      <c r="D16" s="862"/>
      <c r="E16" s="864"/>
      <c r="F16" s="864"/>
      <c r="G16" s="853"/>
      <c r="H16" s="862"/>
      <c r="I16" s="853"/>
      <c r="J16" s="856"/>
      <c r="K16" s="853"/>
      <c r="L16" s="853"/>
      <c r="M16" s="853"/>
      <c r="N16" s="853"/>
      <c r="O16" s="853"/>
      <c r="P16" s="853"/>
      <c r="Q16" s="853">
        <f>B16/M56</f>
        <v>6.735837866784871E-3</v>
      </c>
      <c r="R16" s="863"/>
      <c r="S16" s="850">
        <f t="shared" si="3"/>
        <v>0</v>
      </c>
      <c r="T16" s="856">
        <f t="shared" si="4"/>
        <v>0</v>
      </c>
      <c r="U16" s="853">
        <f>T16/T52</f>
        <v>0</v>
      </c>
      <c r="V16" s="853"/>
      <c r="W16" s="853">
        <f>T16/T54</f>
        <v>0</v>
      </c>
      <c r="X16" s="851" t="s">
        <v>1285</v>
      </c>
      <c r="Y16" s="851" t="s">
        <v>1285</v>
      </c>
      <c r="Z16" s="853">
        <f>T16/(T52+Y52)</f>
        <v>0</v>
      </c>
      <c r="AA16" s="860"/>
      <c r="AB16" s="853">
        <f>(B16+T16)/Y56</f>
        <v>5.9117022799964961E-3</v>
      </c>
      <c r="AC16" s="851" t="s">
        <v>1285</v>
      </c>
      <c r="AD16" s="851" t="s">
        <v>1285</v>
      </c>
      <c r="AE16" s="852">
        <f>B16+T16</f>
        <v>333333</v>
      </c>
      <c r="AF16" s="853">
        <f t="shared" si="2"/>
        <v>5.4231217970100902E-3</v>
      </c>
    </row>
    <row r="17" spans="1:32">
      <c r="A17" s="855" t="s">
        <v>1298</v>
      </c>
      <c r="B17" s="856">
        <v>333334</v>
      </c>
      <c r="C17" s="853">
        <f>B17/B53</f>
        <v>4.4886491715630999E-2</v>
      </c>
      <c r="D17" s="862"/>
      <c r="E17" s="864"/>
      <c r="F17" s="864"/>
      <c r="G17" s="853"/>
      <c r="H17" s="862"/>
      <c r="I17" s="853"/>
      <c r="J17" s="856"/>
      <c r="K17" s="853"/>
      <c r="L17" s="853"/>
      <c r="M17" s="853"/>
      <c r="N17" s="853"/>
      <c r="O17" s="853"/>
      <c r="P17" s="853"/>
      <c r="Q17" s="853">
        <f>B17/M56</f>
        <v>6.7358580743186788E-3</v>
      </c>
      <c r="R17" s="863"/>
      <c r="S17" s="850">
        <f t="shared" si="3"/>
        <v>0</v>
      </c>
      <c r="T17" s="856">
        <f t="shared" si="4"/>
        <v>0</v>
      </c>
      <c r="U17" s="853">
        <f>T17/T52</f>
        <v>0</v>
      </c>
      <c r="V17" s="853"/>
      <c r="W17" s="853">
        <f>T17/T54</f>
        <v>0</v>
      </c>
      <c r="X17" s="851" t="s">
        <v>1285</v>
      </c>
      <c r="Y17" s="851" t="s">
        <v>1285</v>
      </c>
      <c r="Z17" s="853">
        <f>T17/(T52+Y52)</f>
        <v>0</v>
      </c>
      <c r="AA17" s="860"/>
      <c r="AB17" s="853">
        <f>(B17+T17)/Y56</f>
        <v>5.9117200151210707E-3</v>
      </c>
      <c r="AC17" s="851" t="s">
        <v>1285</v>
      </c>
      <c r="AD17" s="851" t="s">
        <v>1285</v>
      </c>
      <c r="AE17" s="852">
        <f>B17+T17</f>
        <v>333334</v>
      </c>
      <c r="AF17" s="853">
        <f t="shared" si="2"/>
        <v>5.4231380663917507E-3</v>
      </c>
    </row>
    <row r="18" spans="1:32">
      <c r="A18" s="855" t="s">
        <v>1299</v>
      </c>
      <c r="B18" s="856">
        <v>125000</v>
      </c>
      <c r="C18" s="853">
        <f>B18/B53</f>
        <v>1.6832400728560168E-2</v>
      </c>
      <c r="D18" s="862"/>
      <c r="E18" s="864"/>
      <c r="F18" s="864"/>
      <c r="G18" s="853"/>
      <c r="H18" s="862"/>
      <c r="I18" s="853"/>
      <c r="J18" s="856"/>
      <c r="K18" s="853"/>
      <c r="L18" s="853"/>
      <c r="M18" s="853"/>
      <c r="N18" s="853"/>
      <c r="O18" s="853"/>
      <c r="P18" s="853"/>
      <c r="Q18" s="853">
        <f>B18/M56</f>
        <v>2.5259417259860528E-3</v>
      </c>
      <c r="R18" s="858" t="s">
        <v>1285</v>
      </c>
      <c r="S18" s="850" t="s">
        <v>1285</v>
      </c>
      <c r="T18" s="861" t="s">
        <v>1285</v>
      </c>
      <c r="U18" s="859" t="s">
        <v>1285</v>
      </c>
      <c r="V18" s="859"/>
      <c r="W18" s="859" t="s">
        <v>1285</v>
      </c>
      <c r="X18" s="851" t="s">
        <v>1285</v>
      </c>
      <c r="Y18" s="851" t="s">
        <v>1285</v>
      </c>
      <c r="Z18" s="859" t="s">
        <v>1285</v>
      </c>
      <c r="AA18" s="860"/>
      <c r="AB18" s="853">
        <f>B18/Y56</f>
        <v>2.2168905718892577E-3</v>
      </c>
      <c r="AC18" s="851" t="s">
        <v>1285</v>
      </c>
      <c r="AD18" s="851" t="s">
        <v>1285</v>
      </c>
      <c r="AE18" s="852">
        <f>B18</f>
        <v>125000</v>
      </c>
      <c r="AF18" s="853">
        <f t="shared" si="2"/>
        <v>2.0336727075514916E-3</v>
      </c>
    </row>
    <row r="19" spans="1:32">
      <c r="A19" s="855" t="s">
        <v>1300</v>
      </c>
      <c r="B19" s="856">
        <v>1600769</v>
      </c>
      <c r="C19" s="853">
        <f>B19/B53</f>
        <v>0.21555828225485224</v>
      </c>
      <c r="D19" s="862"/>
      <c r="E19" s="864"/>
      <c r="F19" s="864"/>
      <c r="G19" s="853"/>
      <c r="H19" s="862"/>
      <c r="I19" s="853"/>
      <c r="J19" s="856"/>
      <c r="K19" s="853"/>
      <c r="L19" s="853"/>
      <c r="M19" s="853"/>
      <c r="N19" s="853"/>
      <c r="O19" s="853"/>
      <c r="P19" s="853"/>
      <c r="Q19" s="853">
        <f>B19/M56</f>
        <v>3.2347593686119738E-2</v>
      </c>
      <c r="R19" s="863">
        <v>970000</v>
      </c>
      <c r="S19" s="850">
        <f>T19*11.1141</f>
        <v>970005.30570000003</v>
      </c>
      <c r="T19" s="861">
        <f>ROUND(R19/11.1141,0)</f>
        <v>87277</v>
      </c>
      <c r="U19" s="853">
        <f>T19/T52</f>
        <v>3.2983432889180472E-2</v>
      </c>
      <c r="V19" s="853"/>
      <c r="W19" s="853">
        <f>T19/T54</f>
        <v>2.1299992929076903E-3</v>
      </c>
      <c r="X19" s="851" t="s">
        <v>1285</v>
      </c>
      <c r="Y19" s="851" t="s">
        <v>1285</v>
      </c>
      <c r="Z19" s="853">
        <f>T19/(T52+Y52)</f>
        <v>1.9400113986255855E-2</v>
      </c>
      <c r="AA19" s="860"/>
      <c r="AB19" s="853">
        <f>(B19+T19)/Y56</f>
        <v>2.9937706098522993E-2</v>
      </c>
      <c r="AC19" s="851" t="s">
        <v>1285</v>
      </c>
      <c r="AD19" s="851" t="s">
        <v>1285</v>
      </c>
      <c r="AE19" s="852">
        <f>B19+T19</f>
        <v>1688046</v>
      </c>
      <c r="AF19" s="853">
        <f t="shared" si="2"/>
        <v>2.7463464634331719E-2</v>
      </c>
    </row>
    <row r="20" spans="1:32">
      <c r="A20" s="855" t="s">
        <v>1301</v>
      </c>
      <c r="B20" s="856">
        <v>500000</v>
      </c>
      <c r="C20" s="853">
        <f>B20/B53</f>
        <v>6.7329602914240672E-2</v>
      </c>
      <c r="D20" s="862"/>
      <c r="E20" s="864"/>
      <c r="F20" s="864"/>
      <c r="G20" s="853"/>
      <c r="H20" s="862"/>
      <c r="I20" s="853"/>
      <c r="J20" s="856"/>
      <c r="K20" s="853"/>
      <c r="L20" s="853"/>
      <c r="M20" s="853"/>
      <c r="N20" s="853"/>
      <c r="O20" s="853"/>
      <c r="P20" s="853"/>
      <c r="Q20" s="853">
        <f>B20/M56</f>
        <v>1.0103766903944211E-2</v>
      </c>
      <c r="R20" s="863">
        <v>300000</v>
      </c>
      <c r="S20" s="850">
        <f t="shared" si="3"/>
        <v>300002.90130000003</v>
      </c>
      <c r="T20" s="861">
        <f>ROUND(R20/11.1141,0)</f>
        <v>26993</v>
      </c>
      <c r="U20" s="853">
        <f>T20/T52</f>
        <v>1.0201104574832413E-2</v>
      </c>
      <c r="V20" s="853"/>
      <c r="W20" s="853">
        <f>T20/T54</f>
        <v>6.5876543549225203E-4</v>
      </c>
      <c r="X20" s="851" t="s">
        <v>1285</v>
      </c>
      <c r="Y20" s="851" t="s">
        <v>1285</v>
      </c>
      <c r="Z20" s="853">
        <f>T20/(T52+Y52)</f>
        <v>6.0000604607285341E-3</v>
      </c>
      <c r="AA20" s="860"/>
      <c r="AB20" s="853">
        <f>(B20+T20)/Y56</f>
        <v>9.3462865052130854E-3</v>
      </c>
      <c r="AC20" s="851" t="s">
        <v>1285</v>
      </c>
      <c r="AD20" s="851" t="s">
        <v>1285</v>
      </c>
      <c r="AE20" s="852">
        <f>B20+T20</f>
        <v>526993</v>
      </c>
      <c r="AF20" s="853">
        <f t="shared" si="2"/>
        <v>8.573850249365465E-3</v>
      </c>
    </row>
    <row r="21" spans="1:32">
      <c r="A21" s="855" t="s">
        <v>1302</v>
      </c>
      <c r="B21" s="856">
        <v>500000</v>
      </c>
      <c r="C21" s="853">
        <f>B21/B53</f>
        <v>6.7329602914240672E-2</v>
      </c>
      <c r="D21" s="862"/>
      <c r="E21" s="864"/>
      <c r="F21" s="864"/>
      <c r="G21" s="853"/>
      <c r="H21" s="862"/>
      <c r="I21" s="853"/>
      <c r="J21" s="856"/>
      <c r="K21" s="853"/>
      <c r="L21" s="853"/>
      <c r="M21" s="853"/>
      <c r="N21" s="853"/>
      <c r="O21" s="853"/>
      <c r="P21" s="853"/>
      <c r="Q21" s="853">
        <f>B21/M56</f>
        <v>1.0103766903944211E-2</v>
      </c>
      <c r="R21" s="863">
        <v>300000</v>
      </c>
      <c r="S21" s="850">
        <f t="shared" si="3"/>
        <v>300002.90130000003</v>
      </c>
      <c r="T21" s="861">
        <f>ROUND(R21/11.1141,0)</f>
        <v>26993</v>
      </c>
      <c r="U21" s="853">
        <f>T21/T52</f>
        <v>1.0201104574832413E-2</v>
      </c>
      <c r="V21" s="853"/>
      <c r="W21" s="853">
        <f>T21/T54</f>
        <v>6.5876543549225203E-4</v>
      </c>
      <c r="X21" s="851" t="s">
        <v>1285</v>
      </c>
      <c r="Y21" s="851" t="s">
        <v>1285</v>
      </c>
      <c r="Z21" s="853">
        <f>T21/(T52+Y52)</f>
        <v>6.0000604607285341E-3</v>
      </c>
      <c r="AA21" s="860"/>
      <c r="AB21" s="853">
        <f>(B21+T21)/Y56</f>
        <v>9.3462865052130854E-3</v>
      </c>
      <c r="AC21" s="851" t="s">
        <v>1285</v>
      </c>
      <c r="AD21" s="851" t="s">
        <v>1285</v>
      </c>
      <c r="AE21" s="852">
        <f>B21+T21</f>
        <v>526993</v>
      </c>
      <c r="AF21" s="853">
        <f t="shared" si="2"/>
        <v>8.573850249365465E-3</v>
      </c>
    </row>
    <row r="22" spans="1:32">
      <c r="A22" s="865" t="s">
        <v>1303</v>
      </c>
      <c r="B22" s="856"/>
      <c r="C22" s="853"/>
      <c r="D22" s="862"/>
      <c r="E22" s="864"/>
      <c r="F22" s="864"/>
      <c r="G22" s="853"/>
      <c r="H22" s="862"/>
      <c r="I22" s="853"/>
      <c r="J22" s="856"/>
      <c r="K22" s="853"/>
      <c r="L22" s="853"/>
      <c r="M22" s="853"/>
      <c r="N22" s="853"/>
      <c r="O22" s="853"/>
      <c r="P22" s="853"/>
      <c r="Q22" s="853"/>
      <c r="R22" s="863">
        <v>368888</v>
      </c>
      <c r="S22" s="850">
        <f t="shared" si="3"/>
        <v>368888.0931</v>
      </c>
      <c r="T22" s="856">
        <f>ROUND(R22/11.1141,0)</f>
        <v>33191</v>
      </c>
      <c r="U22" s="853">
        <f>T22/T52</f>
        <v>1.2543432072880473E-2</v>
      </c>
      <c r="V22" s="853"/>
      <c r="W22" s="853">
        <f>T22/T54</f>
        <v>8.1002791721643892E-4</v>
      </c>
      <c r="X22" s="851" t="s">
        <v>1285</v>
      </c>
      <c r="Y22" s="851" t="s">
        <v>1285</v>
      </c>
      <c r="Z22" s="853">
        <f>T22/(T52+Y52)</f>
        <v>7.377764855778934E-3</v>
      </c>
      <c r="AA22" s="860"/>
      <c r="AB22" s="853">
        <f>(T22+B22)/Y56</f>
        <v>5.8864651977261087E-4</v>
      </c>
      <c r="AC22" s="850">
        <f>AD22*13.3013</f>
        <v>168886.6061</v>
      </c>
      <c r="AD22" s="856">
        <f>ROUND(168888/13.3013,0)</f>
        <v>12697</v>
      </c>
      <c r="AE22" s="852">
        <f>T22+B22+AD22</f>
        <v>45888</v>
      </c>
      <c r="AF22" s="853">
        <f t="shared" si="2"/>
        <v>7.4656938563298278E-4</v>
      </c>
    </row>
    <row r="23" spans="1:32">
      <c r="A23" s="855" t="s">
        <v>1304</v>
      </c>
      <c r="B23" s="856">
        <v>1050385</v>
      </c>
      <c r="C23" s="853">
        <f>B23/B53</f>
        <v>0.14144400991414938</v>
      </c>
      <c r="D23" s="862"/>
      <c r="E23" s="864"/>
      <c r="F23" s="864"/>
      <c r="G23" s="853"/>
      <c r="H23" s="862"/>
      <c r="I23" s="853"/>
      <c r="J23" s="856"/>
      <c r="K23" s="853"/>
      <c r="L23" s="853"/>
      <c r="M23" s="853"/>
      <c r="N23" s="853"/>
      <c r="O23" s="853"/>
      <c r="P23" s="853"/>
      <c r="Q23" s="853">
        <f>B23/M56</f>
        <v>2.1225690398798878E-2</v>
      </c>
      <c r="R23" s="858" t="s">
        <v>1285</v>
      </c>
      <c r="S23" s="850" t="s">
        <v>1285</v>
      </c>
      <c r="T23" s="861" t="s">
        <v>1285</v>
      </c>
      <c r="U23" s="859" t="s">
        <v>1285</v>
      </c>
      <c r="V23" s="859"/>
      <c r="W23" s="859" t="s">
        <v>1285</v>
      </c>
      <c r="X23" s="851" t="s">
        <v>1285</v>
      </c>
      <c r="Y23" s="851" t="s">
        <v>1285</v>
      </c>
      <c r="Z23" s="859" t="s">
        <v>1285</v>
      </c>
      <c r="AA23" s="860"/>
      <c r="AB23" s="853">
        <f>B23/Y56</f>
        <v>1.8628708826831184E-2</v>
      </c>
      <c r="AC23" s="851" t="s">
        <v>1285</v>
      </c>
      <c r="AD23" s="851" t="s">
        <v>1285</v>
      </c>
      <c r="AE23" s="852">
        <f>B23</f>
        <v>1050385</v>
      </c>
      <c r="AF23" s="853">
        <f t="shared" si="2"/>
        <v>1.7089114455371788E-2</v>
      </c>
    </row>
    <row r="24" spans="1:32">
      <c r="A24" s="846" t="s">
        <v>1305</v>
      </c>
      <c r="B24" s="847"/>
      <c r="C24" s="848"/>
      <c r="G24" s="848"/>
      <c r="H24" s="847">
        <v>2285715</v>
      </c>
      <c r="I24" s="848">
        <f>H24/H52</f>
        <v>0.32000010640000215</v>
      </c>
      <c r="P24" s="848">
        <f>H24/M54</f>
        <v>5.9634019099360301E-2</v>
      </c>
      <c r="Q24" s="848">
        <f>H24/M56</f>
        <v>4.6188663137697684E-2</v>
      </c>
      <c r="R24" s="850">
        <v>1390000</v>
      </c>
      <c r="S24" s="850">
        <f t="shared" si="3"/>
        <v>1389996.0306000002</v>
      </c>
      <c r="T24" s="847">
        <f>ROUND(R24/11.1141,0)</f>
        <v>125066</v>
      </c>
      <c r="U24" s="848">
        <f>T24/T52</f>
        <v>4.726452579394623E-2</v>
      </c>
      <c r="V24" s="848"/>
      <c r="W24" s="848">
        <f>(H24+T24)/T54</f>
        <v>5.883522377436546E-2</v>
      </c>
      <c r="X24" s="851" t="s">
        <v>1285</v>
      </c>
      <c r="Y24" s="851" t="s">
        <v>1285</v>
      </c>
      <c r="Z24" s="848">
        <f>T24/(T52+Y52)</f>
        <v>2.7799931892767565E-2</v>
      </c>
      <c r="AB24" s="848">
        <f>(H24+T24)/Y56</f>
        <v>4.2755501358318057E-2</v>
      </c>
      <c r="AC24" s="851" t="s">
        <v>1285</v>
      </c>
      <c r="AD24" s="851" t="s">
        <v>1285</v>
      </c>
      <c r="AE24" s="852">
        <f>H24+T24</f>
        <v>2410781</v>
      </c>
      <c r="AF24" s="853">
        <f t="shared" si="2"/>
        <v>3.9221916188669541E-2</v>
      </c>
    </row>
    <row r="25" spans="1:32">
      <c r="A25" s="867" t="s">
        <v>1306</v>
      </c>
      <c r="B25" s="847"/>
      <c r="C25" s="848"/>
      <c r="G25" s="848"/>
      <c r="H25" s="847">
        <v>571428</v>
      </c>
      <c r="I25" s="848">
        <f>H25/H52</f>
        <v>7.9999921599998428E-2</v>
      </c>
      <c r="P25" s="848">
        <f>H25/M54</f>
        <v>1.4908485207433672E-2</v>
      </c>
      <c r="Q25" s="848">
        <f>H25/M56</f>
        <v>1.1547150628774065E-2</v>
      </c>
      <c r="R25" s="868">
        <f>350000+4550000</f>
        <v>4900000</v>
      </c>
      <c r="S25" s="850">
        <f t="shared" si="3"/>
        <v>4899995.5221000006</v>
      </c>
      <c r="T25" s="869">
        <f>ROUND(R25/11.1141,0)</f>
        <v>440881</v>
      </c>
      <c r="U25" s="870">
        <f>T25/T52</f>
        <v>0.16661627777781976</v>
      </c>
      <c r="V25" s="870"/>
      <c r="W25" s="870">
        <f>(H25+T25)/T54</f>
        <v>2.4705448791824774E-2</v>
      </c>
      <c r="X25" s="871" t="s">
        <v>1285</v>
      </c>
      <c r="Y25" s="872" t="s">
        <v>1285</v>
      </c>
      <c r="Z25" s="870">
        <f>T25/(T52+Y52)</f>
        <v>9.799995020881179E-2</v>
      </c>
      <c r="AA25" s="873"/>
      <c r="AB25" s="870">
        <f>(H25+T25)/Y56</f>
        <v>1.7953426223509143E-2</v>
      </c>
      <c r="AC25" s="851" t="s">
        <v>1285</v>
      </c>
      <c r="AD25" s="851" t="s">
        <v>1285</v>
      </c>
      <c r="AE25" s="852">
        <f>H25+T25</f>
        <v>1012309</v>
      </c>
      <c r="AF25" s="853">
        <f t="shared" si="2"/>
        <v>1.6469641479269943E-2</v>
      </c>
    </row>
    <row r="26" spans="1:32">
      <c r="A26" s="846" t="s">
        <v>1307</v>
      </c>
      <c r="B26" s="847"/>
      <c r="C26" s="848"/>
      <c r="G26" s="848"/>
      <c r="H26" s="847">
        <v>285714</v>
      </c>
      <c r="I26" s="848">
        <f>H26/H52</f>
        <v>3.9999960799999214E-2</v>
      </c>
      <c r="J26" s="847"/>
      <c r="K26" s="848"/>
      <c r="L26" s="848"/>
      <c r="M26" s="848"/>
      <c r="N26" s="848"/>
      <c r="O26" s="848"/>
      <c r="P26" s="848">
        <f>H26/M54</f>
        <v>7.4542426037168359E-3</v>
      </c>
      <c r="Q26" s="848">
        <f>H26/M56</f>
        <v>5.7735753143870324E-3</v>
      </c>
      <c r="R26" s="850">
        <v>170000</v>
      </c>
      <c r="S26" s="850">
        <f t="shared" si="3"/>
        <v>170001.27360000001</v>
      </c>
      <c r="T26" s="847">
        <f>ROUND(R26/11.1141,0)</f>
        <v>15296</v>
      </c>
      <c r="U26" s="848">
        <f>T26/T52</f>
        <v>5.7806133285161557E-3</v>
      </c>
      <c r="V26" s="848"/>
      <c r="W26" s="848">
        <f>(H26+T26)/T54</f>
        <v>7.3461632177795272E-3</v>
      </c>
      <c r="X26" s="851" t="s">
        <v>1285</v>
      </c>
      <c r="Y26" s="851" t="s">
        <v>1285</v>
      </c>
      <c r="Z26" s="848">
        <f>T26/(T52+Y52)</f>
        <v>3.4000268516764958E-3</v>
      </c>
      <c r="AB26" s="848">
        <f>(H26+T26)/Y56</f>
        <v>5.3384498483550836E-3</v>
      </c>
      <c r="AC26" s="851" t="s">
        <v>1285</v>
      </c>
      <c r="AD26" s="851" t="s">
        <v>1285</v>
      </c>
      <c r="AE26" s="852">
        <f>H26+T26</f>
        <v>301010</v>
      </c>
      <c r="AF26" s="853">
        <f t="shared" si="2"/>
        <v>4.8972465736005959E-3</v>
      </c>
    </row>
    <row r="27" spans="1:32">
      <c r="A27" s="855" t="s">
        <v>1308</v>
      </c>
      <c r="B27" s="856"/>
      <c r="C27" s="853"/>
      <c r="D27" s="862"/>
      <c r="E27" s="864"/>
      <c r="F27" s="864"/>
      <c r="G27" s="853"/>
      <c r="H27" s="856"/>
      <c r="I27" s="853"/>
      <c r="J27" s="856">
        <f>5000000/G59</f>
        <v>496852.37777777773</v>
      </c>
      <c r="K27" s="853">
        <f>J27/J52</f>
        <v>0.20833345796055883</v>
      </c>
      <c r="L27" s="853"/>
      <c r="M27" s="856">
        <f>J27</f>
        <v>496852.37777777773</v>
      </c>
      <c r="N27" s="853">
        <f>M27/M52</f>
        <v>0.10416672898027941</v>
      </c>
      <c r="O27" s="853"/>
      <c r="P27" s="853">
        <f>M27/M54</f>
        <v>1.296281653047846E-2</v>
      </c>
      <c r="Q27" s="853">
        <f>M27/M56</f>
        <v>1.0040161221474194E-2</v>
      </c>
      <c r="R27" s="874" t="s">
        <v>1285</v>
      </c>
      <c r="S27" s="850"/>
      <c r="T27" s="875" t="s">
        <v>1285</v>
      </c>
      <c r="U27" s="876" t="s">
        <v>1285</v>
      </c>
      <c r="V27" s="877"/>
      <c r="W27" s="878">
        <f>M27/T54</f>
        <v>1.2125705665251682E-2</v>
      </c>
      <c r="X27" s="879" t="s">
        <v>1285</v>
      </c>
      <c r="Y27" s="879" t="s">
        <v>1285</v>
      </c>
      <c r="Z27" s="880" t="s">
        <v>1285</v>
      </c>
      <c r="AA27" s="877"/>
      <c r="AB27" s="881">
        <f>M27/Y56</f>
        <v>8.8117388153305214E-3</v>
      </c>
      <c r="AC27" s="851" t="s">
        <v>1285</v>
      </c>
      <c r="AD27" s="851" t="s">
        <v>1285</v>
      </c>
      <c r="AE27" s="852">
        <f>M27</f>
        <v>496852.37777777773</v>
      </c>
      <c r="AF27" s="853">
        <f t="shared" si="2"/>
        <v>8.0834809629498384E-3</v>
      </c>
    </row>
    <row r="28" spans="1:32">
      <c r="A28" s="855" t="s">
        <v>1309</v>
      </c>
      <c r="B28" s="856"/>
      <c r="C28" s="853"/>
      <c r="D28" s="862"/>
      <c r="E28" s="864"/>
      <c r="F28" s="864"/>
      <c r="G28" s="853"/>
      <c r="H28" s="856"/>
      <c r="I28" s="853"/>
      <c r="J28" s="856">
        <f>1000000/G59</f>
        <v>99370.475555555546</v>
      </c>
      <c r="K28" s="853">
        <f>J28/J52</f>
        <v>4.1666691592111768E-2</v>
      </c>
      <c r="L28" s="853"/>
      <c r="M28" s="856">
        <f>J28*2-1</f>
        <v>198739.95111111109</v>
      </c>
      <c r="N28" s="853">
        <f>M28/M52</f>
        <v>4.1666481938835181E-2</v>
      </c>
      <c r="O28" s="882"/>
      <c r="P28" s="853">
        <f>M28/M54</f>
        <v>5.1851005223161814E-3</v>
      </c>
      <c r="Q28" s="853">
        <f>M28/M56</f>
        <v>4.0160442810558694E-3</v>
      </c>
      <c r="R28" s="858" t="s">
        <v>1285</v>
      </c>
      <c r="S28" s="850" t="s">
        <v>1285</v>
      </c>
      <c r="T28" s="861" t="s">
        <v>1285</v>
      </c>
      <c r="U28" s="859" t="s">
        <v>1285</v>
      </c>
      <c r="V28" s="859"/>
      <c r="W28" s="853">
        <f>M28/T54</f>
        <v>4.8502578610536053E-3</v>
      </c>
      <c r="X28" s="851" t="s">
        <v>1285</v>
      </c>
      <c r="Y28" s="851" t="s">
        <v>1285</v>
      </c>
      <c r="Z28" s="853"/>
      <c r="AA28" s="860"/>
      <c r="AB28" s="853">
        <f>M28/T56</f>
        <v>3.6444259781638019E-3</v>
      </c>
      <c r="AC28" s="851" t="s">
        <v>1285</v>
      </c>
      <c r="AD28" s="851" t="s">
        <v>1285</v>
      </c>
      <c r="AE28" s="852">
        <f>M28</f>
        <v>198739.95111111109</v>
      </c>
      <c r="AF28" s="853">
        <f t="shared" si="2"/>
        <v>3.2333761157982747E-3</v>
      </c>
    </row>
    <row r="29" spans="1:32">
      <c r="A29" s="855" t="s">
        <v>1310</v>
      </c>
      <c r="B29" s="856"/>
      <c r="C29" s="853"/>
      <c r="D29" s="862"/>
      <c r="E29" s="864"/>
      <c r="F29" s="864"/>
      <c r="G29" s="853"/>
      <c r="H29" s="856"/>
      <c r="I29" s="853"/>
      <c r="J29" s="856">
        <f>2000000/G59</f>
        <v>198740.95111111109</v>
      </c>
      <c r="K29" s="853">
        <f>J29/J52</f>
        <v>8.3333383184223536E-2</v>
      </c>
      <c r="L29" s="853"/>
      <c r="M29" s="856">
        <f>J29*2</f>
        <v>397481.90222222218</v>
      </c>
      <c r="N29" s="853">
        <f>M29/M52</f>
        <v>8.3333383184223536E-2</v>
      </c>
      <c r="O29" s="882"/>
      <c r="P29" s="853">
        <f>M29/M54</f>
        <v>1.0370253224382769E-2</v>
      </c>
      <c r="Q29" s="853">
        <f>M29/M56</f>
        <v>8.0321289771793543E-3</v>
      </c>
      <c r="R29" s="863">
        <v>312000</v>
      </c>
      <c r="S29" s="850">
        <f t="shared" si="3"/>
        <v>311995.01520000002</v>
      </c>
      <c r="T29" s="856">
        <f>ROUND(R29/11.1141,0)</f>
        <v>28072</v>
      </c>
      <c r="U29" s="853">
        <f>T29/T52</f>
        <v>1.0608876657825936E-2</v>
      </c>
      <c r="V29" s="853"/>
      <c r="W29" s="853">
        <f>(M29+T29)/T54</f>
        <v>1.03856630134794E-2</v>
      </c>
      <c r="X29" s="851" t="s">
        <v>1285</v>
      </c>
      <c r="Y29" s="851" t="s">
        <v>1285</v>
      </c>
      <c r="Z29" s="853">
        <f>T29/(T52+Y52)</f>
        <v>6.2399028360527325E-3</v>
      </c>
      <c r="AA29" s="860"/>
      <c r="AB29" s="853">
        <f>(M29+T29)/Y56</f>
        <v>7.5472514693370194E-3</v>
      </c>
      <c r="AC29" s="851" t="s">
        <v>1285</v>
      </c>
      <c r="AD29" s="851" t="s">
        <v>1285</v>
      </c>
      <c r="AE29" s="852">
        <f>M29+T29</f>
        <v>425553.90222222218</v>
      </c>
      <c r="AF29" s="853">
        <f t="shared" si="2"/>
        <v>6.9234988523309542E-3</v>
      </c>
    </row>
    <row r="30" spans="1:32">
      <c r="A30" s="855" t="s">
        <v>1311</v>
      </c>
      <c r="B30" s="856"/>
      <c r="C30" s="853"/>
      <c r="D30" s="862"/>
      <c r="E30" s="864"/>
      <c r="F30" s="864"/>
      <c r="G30" s="853"/>
      <c r="H30" s="856"/>
      <c r="I30" s="853"/>
      <c r="J30" s="856"/>
      <c r="K30" s="853"/>
      <c r="L30" s="853"/>
      <c r="M30" s="856"/>
      <c r="N30" s="853"/>
      <c r="O30" s="882"/>
      <c r="P30" s="853"/>
      <c r="Q30" s="853"/>
      <c r="R30" s="863">
        <v>200000</v>
      </c>
      <c r="S30" s="850">
        <f t="shared" si="3"/>
        <v>199998.22950000002</v>
      </c>
      <c r="T30" s="856">
        <f>ROUND(R30/11.1141,0)</f>
        <v>17995</v>
      </c>
      <c r="U30" s="853">
        <f>T30/T52</f>
        <v>6.8006104109994917E-3</v>
      </c>
      <c r="V30" s="853"/>
      <c r="W30" s="853">
        <f>T30/T54</f>
        <v>4.3916882197914554E-4</v>
      </c>
      <c r="X30" s="851" t="s">
        <v>1285</v>
      </c>
      <c r="Y30" s="851" t="s">
        <v>1285</v>
      </c>
      <c r="Z30" s="853">
        <f>T30/(T52+Y52)</f>
        <v>3.9999662131222895E-3</v>
      </c>
      <c r="AA30" s="860"/>
      <c r="AB30" s="853">
        <f>T30/Y56</f>
        <v>3.1914356672917756E-4</v>
      </c>
      <c r="AC30" s="851" t="s">
        <v>1285</v>
      </c>
      <c r="AD30" s="851" t="s">
        <v>1285</v>
      </c>
      <c r="AE30" s="852">
        <f>T30</f>
        <v>17995</v>
      </c>
      <c r="AF30" s="853">
        <f t="shared" si="2"/>
        <v>2.9276752297911269E-4</v>
      </c>
    </row>
    <row r="31" spans="1:32">
      <c r="A31" s="883" t="s">
        <v>1312</v>
      </c>
      <c r="B31" s="884"/>
      <c r="C31" s="885"/>
      <c r="D31" s="886"/>
      <c r="E31" s="887"/>
      <c r="F31" s="887"/>
      <c r="G31" s="885"/>
      <c r="H31" s="884"/>
      <c r="I31" s="885"/>
      <c r="J31" s="884">
        <f>17500000/G59-J27</f>
        <v>1242130.9444444445</v>
      </c>
      <c r="K31" s="885">
        <f>J31/J52</f>
        <v>0.52083364490139716</v>
      </c>
      <c r="L31" s="885">
        <f>J31/J56</f>
        <v>2.6371308815641651E-2</v>
      </c>
      <c r="M31" s="884">
        <f>(12500000)/G59</f>
        <v>1242130.9444444443</v>
      </c>
      <c r="N31" s="885">
        <f>M31/M52</f>
        <v>0.26041682245069853</v>
      </c>
      <c r="O31" s="888">
        <f>M31/M56</f>
        <v>2.510040305368548E-2</v>
      </c>
      <c r="P31" s="885">
        <f>M31/M54</f>
        <v>3.2407041326196151E-2</v>
      </c>
      <c r="Q31" s="885">
        <f>M31/M56</f>
        <v>2.510040305368548E-2</v>
      </c>
      <c r="R31" s="874">
        <v>10000000</v>
      </c>
      <c r="S31" s="850">
        <f t="shared" si="3"/>
        <v>10000000.387800001</v>
      </c>
      <c r="T31" s="877">
        <f>ROUND(R31/11.1141,0)</f>
        <v>899758</v>
      </c>
      <c r="U31" s="881">
        <f>T31/T52</f>
        <v>0.34003354388330537</v>
      </c>
      <c r="V31" s="877"/>
      <c r="W31" s="878">
        <f>(M31+T31)/T$54</f>
        <v>5.2272900502463013E-2</v>
      </c>
      <c r="X31" s="879" t="s">
        <v>1285</v>
      </c>
      <c r="Y31" s="879" t="s">
        <v>1285</v>
      </c>
      <c r="Z31" s="878">
        <f>T31/(T52+Y52)</f>
        <v>0.20000008891283608</v>
      </c>
      <c r="AA31" s="889">
        <f t="shared" ref="AA31:AA37" si="5">AB31</f>
        <v>3.7986667255781779E-2</v>
      </c>
      <c r="AB31" s="881">
        <f>(M31+T31)/Y56</f>
        <v>3.7986667255781779E-2</v>
      </c>
      <c r="AC31" s="851" t="s">
        <v>1285</v>
      </c>
      <c r="AD31" s="851" t="s">
        <v>1285</v>
      </c>
      <c r="AE31" s="852">
        <f>M31+T31</f>
        <v>2141888.944444444</v>
      </c>
      <c r="AF31" s="853">
        <f t="shared" si="2"/>
        <v>3.4847208711383512E-2</v>
      </c>
    </row>
    <row r="32" spans="1:32">
      <c r="A32" s="883" t="s">
        <v>1313</v>
      </c>
      <c r="B32" s="884"/>
      <c r="C32" s="885"/>
      <c r="D32" s="886"/>
      <c r="E32" s="887"/>
      <c r="F32" s="887"/>
      <c r="G32" s="885"/>
      <c r="H32" s="884"/>
      <c r="I32" s="885"/>
      <c r="J32" s="884"/>
      <c r="K32" s="885"/>
      <c r="L32" s="885"/>
      <c r="M32" s="884">
        <f>5500000/G59-1</f>
        <v>546536.61555555556</v>
      </c>
      <c r="N32" s="885">
        <f>M32/M52</f>
        <v>0.11458319222503079</v>
      </c>
      <c r="O32" s="890">
        <f>M32/M56</f>
        <v>1.1044157136087807E-2</v>
      </c>
      <c r="P32" s="885">
        <f>M32/M54</f>
        <v>1.4259072093651105E-2</v>
      </c>
      <c r="Q32" s="885">
        <f>M32/M56</f>
        <v>1.1044157136087807E-2</v>
      </c>
      <c r="R32" s="877" t="s">
        <v>1285</v>
      </c>
      <c r="S32" s="891" t="s">
        <v>1285</v>
      </c>
      <c r="T32" s="877" t="s">
        <v>1285</v>
      </c>
      <c r="U32" s="877" t="s">
        <v>1285</v>
      </c>
      <c r="V32" s="877"/>
      <c r="W32" s="878">
        <f>M32/T$54</f>
        <v>1.3338251826729784E-2</v>
      </c>
      <c r="X32" s="879" t="s">
        <v>1285</v>
      </c>
      <c r="Y32" s="879" t="s">
        <v>1285</v>
      </c>
      <c r="Z32" s="877" t="s">
        <v>1285</v>
      </c>
      <c r="AA32" s="889">
        <f t="shared" si="5"/>
        <v>9.6928949617389997E-3</v>
      </c>
      <c r="AB32" s="881">
        <f>M32/Y$56</f>
        <v>9.6928949617389997E-3</v>
      </c>
      <c r="AC32" s="851" t="s">
        <v>1285</v>
      </c>
      <c r="AD32" s="851" t="s">
        <v>1285</v>
      </c>
      <c r="AE32" s="852">
        <f t="shared" ref="AE32:AE37" si="6">M32</f>
        <v>546536.61555555556</v>
      </c>
      <c r="AF32" s="853">
        <f t="shared" si="2"/>
        <v>8.8918127898631617E-3</v>
      </c>
    </row>
    <row r="33" spans="1:34">
      <c r="A33" s="883" t="s">
        <v>1314</v>
      </c>
      <c r="B33" s="884"/>
      <c r="C33" s="885"/>
      <c r="D33" s="886"/>
      <c r="E33" s="887"/>
      <c r="F33" s="887"/>
      <c r="G33" s="885"/>
      <c r="H33" s="884"/>
      <c r="I33" s="885"/>
      <c r="J33" s="884"/>
      <c r="K33" s="885"/>
      <c r="L33" s="885"/>
      <c r="M33" s="884">
        <f>6000000/G59</f>
        <v>596222.85333333327</v>
      </c>
      <c r="N33" s="885">
        <f>M33/M52</f>
        <v>0.12500007477633529</v>
      </c>
      <c r="O33" s="890">
        <f>M33/M56</f>
        <v>1.2048193465769031E-2</v>
      </c>
      <c r="P33" s="885">
        <f>M33/M54</f>
        <v>1.5555379836574153E-2</v>
      </c>
      <c r="Q33" s="885">
        <f>M33/M56</f>
        <v>1.2048193465769031E-2</v>
      </c>
      <c r="R33" s="877" t="s">
        <v>1285</v>
      </c>
      <c r="S33" s="891" t="s">
        <v>1285</v>
      </c>
      <c r="T33" s="877" t="s">
        <v>1285</v>
      </c>
      <c r="U33" s="877" t="s">
        <v>1285</v>
      </c>
      <c r="V33" s="877"/>
      <c r="W33" s="878">
        <f>M33/T$54</f>
        <v>1.4550846798302019E-2</v>
      </c>
      <c r="X33" s="879" t="s">
        <v>1285</v>
      </c>
      <c r="Y33" s="879" t="s">
        <v>1285</v>
      </c>
      <c r="Z33" s="877" t="s">
        <v>1285</v>
      </c>
      <c r="AA33" s="889">
        <f t="shared" si="5"/>
        <v>1.0574086578396626E-2</v>
      </c>
      <c r="AB33" s="881">
        <f>M33/Y$56</f>
        <v>1.0574086578396626E-2</v>
      </c>
      <c r="AC33" s="851" t="s">
        <v>1285</v>
      </c>
      <c r="AD33" s="851" t="s">
        <v>1285</v>
      </c>
      <c r="AE33" s="852">
        <f t="shared" si="6"/>
        <v>596222.85333333327</v>
      </c>
      <c r="AF33" s="853">
        <f t="shared" si="2"/>
        <v>9.7001771555398058E-3</v>
      </c>
    </row>
    <row r="34" spans="1:34">
      <c r="A34" s="883" t="s">
        <v>1315</v>
      </c>
      <c r="B34" s="884"/>
      <c r="C34" s="885"/>
      <c r="D34" s="886"/>
      <c r="E34" s="887"/>
      <c r="F34" s="887"/>
      <c r="G34" s="885"/>
      <c r="H34" s="884"/>
      <c r="I34" s="885"/>
      <c r="J34" s="884"/>
      <c r="K34" s="885"/>
      <c r="L34" s="885"/>
      <c r="M34" s="884">
        <f>6000000/G59</f>
        <v>596222.85333333327</v>
      </c>
      <c r="N34" s="885">
        <f>M34/M52</f>
        <v>0.12500007477633529</v>
      </c>
      <c r="O34" s="890">
        <f>M34/M56</f>
        <v>1.2048193465769031E-2</v>
      </c>
      <c r="P34" s="885">
        <f>M34/M54</f>
        <v>1.5555379836574153E-2</v>
      </c>
      <c r="Q34" s="885">
        <f>M34/M56</f>
        <v>1.2048193465769031E-2</v>
      </c>
      <c r="R34" s="877" t="s">
        <v>1285</v>
      </c>
      <c r="S34" s="891" t="s">
        <v>1285</v>
      </c>
      <c r="T34" s="877" t="s">
        <v>1285</v>
      </c>
      <c r="U34" s="877" t="s">
        <v>1285</v>
      </c>
      <c r="V34" s="877"/>
      <c r="W34" s="878">
        <f>M34/T$54</f>
        <v>1.4550846798302019E-2</v>
      </c>
      <c r="X34" s="879" t="s">
        <v>1285</v>
      </c>
      <c r="Y34" s="879" t="s">
        <v>1285</v>
      </c>
      <c r="Z34" s="877" t="s">
        <v>1285</v>
      </c>
      <c r="AA34" s="889">
        <f t="shared" si="5"/>
        <v>1.0574086578396626E-2</v>
      </c>
      <c r="AB34" s="881">
        <f>M34/Y$56</f>
        <v>1.0574086578396626E-2</v>
      </c>
      <c r="AC34" s="851" t="s">
        <v>1285</v>
      </c>
      <c r="AD34" s="851" t="s">
        <v>1285</v>
      </c>
      <c r="AE34" s="852">
        <f t="shared" si="6"/>
        <v>596222.85333333327</v>
      </c>
      <c r="AF34" s="853">
        <f t="shared" si="2"/>
        <v>9.7001771555398058E-3</v>
      </c>
    </row>
    <row r="35" spans="1:34">
      <c r="A35" s="883" t="s">
        <v>1316</v>
      </c>
      <c r="B35" s="884"/>
      <c r="C35" s="885"/>
      <c r="D35" s="886"/>
      <c r="E35" s="887"/>
      <c r="F35" s="887"/>
      <c r="G35" s="885"/>
      <c r="H35" s="884"/>
      <c r="I35" s="885"/>
      <c r="J35" s="884">
        <v>248426</v>
      </c>
      <c r="K35" s="885">
        <f>J35/J52</f>
        <v>0.1041666497779305</v>
      </c>
      <c r="L35" s="885">
        <f>J35/J56</f>
        <v>5.274257752885092E-3</v>
      </c>
      <c r="M35" s="884">
        <f>J35*2</f>
        <v>496852</v>
      </c>
      <c r="N35" s="885">
        <f>M35/M52</f>
        <v>0.1041666497779305</v>
      </c>
      <c r="O35" s="888">
        <f>M35/M56</f>
        <v>1.0040153587516977E-2</v>
      </c>
      <c r="P35" s="885">
        <f>M35/M54</f>
        <v>1.2962806674303386E-2</v>
      </c>
      <c r="Q35" s="885">
        <f>M35/M56</f>
        <v>1.0040153587516977E-2</v>
      </c>
      <c r="R35" s="892" t="s">
        <v>1285</v>
      </c>
      <c r="S35" s="891" t="s">
        <v>1285</v>
      </c>
      <c r="T35" s="892" t="s">
        <v>1285</v>
      </c>
      <c r="U35" s="892" t="s">
        <v>1285</v>
      </c>
      <c r="V35" s="892"/>
      <c r="W35" s="893">
        <f>M35/T54</f>
        <v>1.2125696445567236E-2</v>
      </c>
      <c r="X35" s="871" t="s">
        <v>1285</v>
      </c>
      <c r="Y35" s="872" t="s">
        <v>1285</v>
      </c>
      <c r="Z35" s="893" t="s">
        <v>1285</v>
      </c>
      <c r="AA35" s="894">
        <f t="shared" si="5"/>
        <v>8.8117321153945716E-3</v>
      </c>
      <c r="AB35" s="892">
        <f>M35/Y56</f>
        <v>8.8117321153945716E-3</v>
      </c>
      <c r="AC35" s="851" t="s">
        <v>1285</v>
      </c>
      <c r="AD35" s="851" t="s">
        <v>1285</v>
      </c>
      <c r="AE35" s="852">
        <f t="shared" si="6"/>
        <v>496852</v>
      </c>
      <c r="AF35" s="853">
        <f t="shared" si="2"/>
        <v>8.0834748167389892E-3</v>
      </c>
    </row>
    <row r="36" spans="1:34">
      <c r="A36" s="883" t="s">
        <v>1317</v>
      </c>
      <c r="B36" s="884"/>
      <c r="C36" s="885"/>
      <c r="D36" s="886"/>
      <c r="E36" s="887"/>
      <c r="F36" s="887"/>
      <c r="G36" s="885"/>
      <c r="H36" s="884"/>
      <c r="I36" s="885"/>
      <c r="J36" s="884">
        <v>49685</v>
      </c>
      <c r="K36" s="885">
        <f>J36/J52</f>
        <v>2.0833246094275466E-2</v>
      </c>
      <c r="L36" s="885">
        <f>J36/J56</f>
        <v>1.0548473044371192E-3</v>
      </c>
      <c r="M36" s="884">
        <f>J36*2</f>
        <v>99370</v>
      </c>
      <c r="N36" s="885">
        <f>M36/M52</f>
        <v>2.0833246094275466E-2</v>
      </c>
      <c r="O36" s="888">
        <f>M36/M56</f>
        <v>2.0080226344898725E-3</v>
      </c>
      <c r="P36" s="885">
        <f>M36/M54</f>
        <v>2.592550898910596E-3</v>
      </c>
      <c r="Q36" s="885">
        <f>M36/M56</f>
        <v>2.0080226344898725E-3</v>
      </c>
      <c r="R36" s="892" t="s">
        <v>1285</v>
      </c>
      <c r="S36" s="891" t="s">
        <v>1285</v>
      </c>
      <c r="T36" s="892" t="s">
        <v>1285</v>
      </c>
      <c r="U36" s="892" t="s">
        <v>1285</v>
      </c>
      <c r="V36" s="895"/>
      <c r="W36" s="870">
        <f>M36/T54</f>
        <v>2.4251295270946204E-3</v>
      </c>
      <c r="X36" s="871" t="s">
        <v>1285</v>
      </c>
      <c r="Y36" s="872" t="s">
        <v>1285</v>
      </c>
      <c r="Z36" s="893" t="s">
        <v>1285</v>
      </c>
      <c r="AA36" s="894">
        <f t="shared" si="5"/>
        <v>1.7623393290290845E-3</v>
      </c>
      <c r="AB36" s="892">
        <f>M36/Y56</f>
        <v>1.7623393290290845E-3</v>
      </c>
      <c r="AC36" s="851" t="s">
        <v>1285</v>
      </c>
      <c r="AD36" s="851" t="s">
        <v>1285</v>
      </c>
      <c r="AE36" s="852">
        <f t="shared" si="6"/>
        <v>99370</v>
      </c>
      <c r="AF36" s="853">
        <f t="shared" si="2"/>
        <v>1.6166884555951337E-3</v>
      </c>
    </row>
    <row r="37" spans="1:34" ht="15" customHeight="1">
      <c r="A37" s="883" t="s">
        <v>1318</v>
      </c>
      <c r="B37" s="884"/>
      <c r="C37" s="885"/>
      <c r="D37" s="886"/>
      <c r="E37" s="887"/>
      <c r="F37" s="887"/>
      <c r="G37" s="885"/>
      <c r="H37" s="884"/>
      <c r="I37" s="885"/>
      <c r="J37" s="884">
        <f>500000/G59</f>
        <v>49685.237777777773</v>
      </c>
      <c r="K37" s="885">
        <f>J37/J52</f>
        <v>2.0833345796055884E-2</v>
      </c>
      <c r="L37" s="885">
        <f>J37/J56</f>
        <v>1.0548523526256659E-3</v>
      </c>
      <c r="M37" s="884">
        <f>J37*2</f>
        <v>99370.475555555546</v>
      </c>
      <c r="N37" s="885">
        <f>M37/M52</f>
        <v>2.0833345796055884E-2</v>
      </c>
      <c r="O37" s="888">
        <f>M37/M56</f>
        <v>2.0080322442948386E-3</v>
      </c>
      <c r="P37" s="885">
        <f>M37/M54</f>
        <v>2.5925633060956922E-3</v>
      </c>
      <c r="Q37" s="885">
        <f>M37/M56</f>
        <v>2.0080322442948386E-3</v>
      </c>
      <c r="R37" s="892" t="s">
        <v>1285</v>
      </c>
      <c r="S37" s="891" t="s">
        <v>1285</v>
      </c>
      <c r="T37" s="892" t="s">
        <v>1285</v>
      </c>
      <c r="U37" s="892" t="s">
        <v>1285</v>
      </c>
      <c r="V37" s="895"/>
      <c r="W37" s="870">
        <f>M37/T54</f>
        <v>2.4251411330503364E-3</v>
      </c>
      <c r="X37" s="871" t="s">
        <v>1285</v>
      </c>
      <c r="Y37" s="872" t="s">
        <v>1285</v>
      </c>
      <c r="Z37" s="893" t="s">
        <v>1285</v>
      </c>
      <c r="AA37" s="894">
        <f t="shared" si="5"/>
        <v>1.7623477630661045E-3</v>
      </c>
      <c r="AB37" s="892">
        <f>M37/Y56</f>
        <v>1.7623477630661045E-3</v>
      </c>
      <c r="AC37" s="851" t="s">
        <v>1285</v>
      </c>
      <c r="AD37" s="851" t="s">
        <v>1285</v>
      </c>
      <c r="AE37" s="852">
        <f t="shared" si="6"/>
        <v>99370.475555555546</v>
      </c>
      <c r="AF37" s="853">
        <f t="shared" si="2"/>
        <v>1.6166961925899676E-3</v>
      </c>
    </row>
    <row r="38" spans="1:34" ht="15" customHeight="1">
      <c r="A38" s="855" t="s">
        <v>1319</v>
      </c>
      <c r="B38" s="884"/>
      <c r="C38" s="885"/>
      <c r="D38" s="886"/>
      <c r="E38" s="887"/>
      <c r="F38" s="887"/>
      <c r="G38" s="885"/>
      <c r="H38" s="884"/>
      <c r="I38" s="885"/>
      <c r="J38" s="884"/>
      <c r="K38" s="885"/>
      <c r="L38" s="885"/>
      <c r="M38" s="884"/>
      <c r="N38" s="885"/>
      <c r="O38" s="888"/>
      <c r="P38" s="885"/>
      <c r="Q38" s="885"/>
      <c r="R38" s="885"/>
      <c r="S38" s="885"/>
      <c r="T38" s="853"/>
      <c r="U38" s="853"/>
      <c r="V38" s="853"/>
      <c r="W38" s="853"/>
      <c r="X38" s="850">
        <f>Y38*11.1141</f>
        <v>7999995.8646</v>
      </c>
      <c r="Y38" s="856">
        <f>ROUND(8000000/11.1141,0)</f>
        <v>719806</v>
      </c>
      <c r="Z38" s="853">
        <f>Y38/(T$52+Y$52)</f>
        <v>0.15999998221743278</v>
      </c>
      <c r="AA38" s="860"/>
      <c r="AB38" s="853">
        <f>Y38/Y$56</f>
        <v>1.2765849079914553E-2</v>
      </c>
      <c r="AC38" s="850">
        <f>AD38*13.3013</f>
        <v>16999992.491</v>
      </c>
      <c r="AD38" s="856">
        <f>ROUNDDOWN(17000000/13.3013,0)</f>
        <v>1278070</v>
      </c>
      <c r="AE38" s="852">
        <f>Y38+AD38</f>
        <v>1997876</v>
      </c>
      <c r="AF38" s="853">
        <f t="shared" si="2"/>
        <v>3.250420715417715E-2</v>
      </c>
      <c r="AH38" s="847"/>
    </row>
    <row r="39" spans="1:34" ht="15" customHeight="1">
      <c r="A39" s="855" t="s">
        <v>1320</v>
      </c>
      <c r="B39" s="884"/>
      <c r="C39" s="885"/>
      <c r="D39" s="886"/>
      <c r="E39" s="887"/>
      <c r="F39" s="887"/>
      <c r="G39" s="885"/>
      <c r="H39" s="884"/>
      <c r="I39" s="885"/>
      <c r="J39" s="884"/>
      <c r="K39" s="885"/>
      <c r="L39" s="885"/>
      <c r="M39" s="884"/>
      <c r="N39" s="885"/>
      <c r="O39" s="888"/>
      <c r="P39" s="885"/>
      <c r="Q39" s="885"/>
      <c r="R39" s="885"/>
      <c r="S39" s="885"/>
      <c r="T39" s="853"/>
      <c r="U39" s="853"/>
      <c r="V39" s="853"/>
      <c r="W39" s="853"/>
      <c r="X39" s="850">
        <f>Y39*11.1141</f>
        <v>7999995.8646</v>
      </c>
      <c r="Y39" s="856">
        <f>ROUND(8000000/11.1141,0)</f>
        <v>719806</v>
      </c>
      <c r="Z39" s="853">
        <f>Y39/(T$52+Y$52)</f>
        <v>0.15999998221743278</v>
      </c>
      <c r="AA39" s="860"/>
      <c r="AB39" s="853">
        <f>Y39/Y$56</f>
        <v>1.2765849079914553E-2</v>
      </c>
      <c r="AC39" s="850">
        <f t="shared" ref="AC39:AC49" si="7">AD39*13.3013</f>
        <v>16999992.491</v>
      </c>
      <c r="AD39" s="856">
        <f>ROUNDDOWN(17000000/13.3013,0)</f>
        <v>1278070</v>
      </c>
      <c r="AE39" s="852">
        <f t="shared" ref="AE39:AE49" si="8">Y39+AD39</f>
        <v>1997876</v>
      </c>
      <c r="AF39" s="853">
        <f t="shared" si="2"/>
        <v>3.250420715417715E-2</v>
      </c>
      <c r="AH39" s="847"/>
    </row>
    <row r="40" spans="1:34" ht="15" customHeight="1">
      <c r="A40" s="855" t="s">
        <v>1321</v>
      </c>
      <c r="B40" s="884"/>
      <c r="C40" s="885"/>
      <c r="D40" s="886"/>
      <c r="E40" s="887"/>
      <c r="F40" s="887"/>
      <c r="G40" s="885"/>
      <c r="H40" s="884"/>
      <c r="I40" s="885"/>
      <c r="J40" s="884"/>
      <c r="K40" s="885"/>
      <c r="L40" s="885"/>
      <c r="M40" s="884"/>
      <c r="N40" s="885"/>
      <c r="O40" s="888"/>
      <c r="P40" s="885"/>
      <c r="Q40" s="885"/>
      <c r="R40" s="885"/>
      <c r="S40" s="885"/>
      <c r="T40" s="853"/>
      <c r="U40" s="853"/>
      <c r="V40" s="853"/>
      <c r="W40" s="853"/>
      <c r="X40" s="850">
        <f>Y40*11.1141</f>
        <v>2000004.5232000002</v>
      </c>
      <c r="Y40" s="856">
        <f>ROUND(2000000/11.1141,0)</f>
        <v>179952</v>
      </c>
      <c r="Z40" s="853">
        <f>Y40/(T$52+Y$52)</f>
        <v>4.0000106695403298E-2</v>
      </c>
      <c r="AA40" s="860"/>
      <c r="AB40" s="853">
        <f>Y40/Y$56</f>
        <v>3.1914711375409257E-3</v>
      </c>
      <c r="AC40" s="850">
        <f t="shared" si="7"/>
        <v>8000000.3784999996</v>
      </c>
      <c r="AD40" s="856">
        <f>ROUND(8000000/13.3013,0)</f>
        <v>601445</v>
      </c>
      <c r="AE40" s="852">
        <f t="shared" si="8"/>
        <v>781397</v>
      </c>
      <c r="AF40" s="853">
        <f t="shared" si="2"/>
        <v>1.2712846021300902E-2</v>
      </c>
      <c r="AH40" s="847"/>
    </row>
    <row r="41" spans="1:34" ht="15" customHeight="1">
      <c r="A41" s="855" t="s">
        <v>1322</v>
      </c>
      <c r="B41" s="884"/>
      <c r="C41" s="885"/>
      <c r="D41" s="886"/>
      <c r="E41" s="887"/>
      <c r="F41" s="887"/>
      <c r="G41" s="885"/>
      <c r="H41" s="884"/>
      <c r="I41" s="885"/>
      <c r="J41" s="884"/>
      <c r="K41" s="885"/>
      <c r="L41" s="885"/>
      <c r="M41" s="884"/>
      <c r="N41" s="885"/>
      <c r="O41" s="888"/>
      <c r="P41" s="885"/>
      <c r="Q41" s="885"/>
      <c r="R41" s="885"/>
      <c r="S41" s="885"/>
      <c r="T41" s="853"/>
      <c r="U41" s="853"/>
      <c r="V41" s="853"/>
      <c r="W41" s="853"/>
      <c r="X41" s="850">
        <f>Y41*11.1141</f>
        <v>1000002.2616000001</v>
      </c>
      <c r="Y41" s="856">
        <f>ROUND(1000000/11.1141,0)</f>
        <v>89976</v>
      </c>
      <c r="Z41" s="853">
        <f>Y41/(T$52+Y$52)</f>
        <v>2.0000053347701649E-2</v>
      </c>
      <c r="AA41" s="860"/>
      <c r="AB41" s="853">
        <f>Y41/Y$56</f>
        <v>1.5957355687704628E-3</v>
      </c>
      <c r="AC41" s="850">
        <f t="shared" si="7"/>
        <v>3999993.5385999996</v>
      </c>
      <c r="AD41" s="856">
        <f>ROUNDDOWN(4000000/13.3013,0)</f>
        <v>300722</v>
      </c>
      <c r="AE41" s="852">
        <f t="shared" si="8"/>
        <v>390698</v>
      </c>
      <c r="AF41" s="853">
        <f t="shared" si="2"/>
        <v>6.3564148759596211E-3</v>
      </c>
      <c r="AH41" s="847"/>
    </row>
    <row r="42" spans="1:34" ht="15" customHeight="1">
      <c r="A42" s="855" t="s">
        <v>1323</v>
      </c>
      <c r="B42" s="884"/>
      <c r="C42" s="885"/>
      <c r="D42" s="886"/>
      <c r="E42" s="887"/>
      <c r="F42" s="887"/>
      <c r="G42" s="885"/>
      <c r="H42" s="884"/>
      <c r="I42" s="885"/>
      <c r="J42" s="884"/>
      <c r="K42" s="885"/>
      <c r="L42" s="885"/>
      <c r="M42" s="884"/>
      <c r="N42" s="885"/>
      <c r="O42" s="888"/>
      <c r="P42" s="885"/>
      <c r="Q42" s="885"/>
      <c r="R42" s="885"/>
      <c r="S42" s="885"/>
      <c r="T42" s="853"/>
      <c r="U42" s="853"/>
      <c r="V42" s="853"/>
      <c r="W42" s="853"/>
      <c r="X42" s="850">
        <f>Y42*11.1141</f>
        <v>1591116.7842000001</v>
      </c>
      <c r="Y42" s="856">
        <f>ROUND(1591112/11.1141,0)</f>
        <v>143162</v>
      </c>
      <c r="Z42" s="853">
        <f>Y42/(T$52+Y$52)</f>
        <v>3.1822348596999901E-2</v>
      </c>
      <c r="AA42" s="860"/>
      <c r="AB42" s="853">
        <f>Y42/Y$56</f>
        <v>2.5389959044224792E-3</v>
      </c>
      <c r="AC42" s="850">
        <f t="shared" si="7"/>
        <v>4999998.5739000002</v>
      </c>
      <c r="AD42" s="856">
        <f>ROUND(5000000/13.3013,0)</f>
        <v>375903</v>
      </c>
      <c r="AE42" s="852">
        <f t="shared" si="8"/>
        <v>519065</v>
      </c>
      <c r="AF42" s="853">
        <f t="shared" si="2"/>
        <v>8.4448665915617203E-3</v>
      </c>
      <c r="AH42" s="847"/>
    </row>
    <row r="43" spans="1:34" ht="15" customHeight="1">
      <c r="A43" s="855" t="s">
        <v>1324</v>
      </c>
      <c r="B43" s="884"/>
      <c r="C43" s="885"/>
      <c r="D43" s="886"/>
      <c r="E43" s="887"/>
      <c r="F43" s="887"/>
      <c r="G43" s="885"/>
      <c r="H43" s="884"/>
      <c r="I43" s="885"/>
      <c r="J43" s="884"/>
      <c r="K43" s="885"/>
      <c r="L43" s="885"/>
      <c r="M43" s="884"/>
      <c r="N43" s="885"/>
      <c r="O43" s="888"/>
      <c r="P43" s="885"/>
      <c r="Q43" s="885"/>
      <c r="R43" s="885"/>
      <c r="S43" s="885"/>
      <c r="T43" s="853"/>
      <c r="U43" s="853"/>
      <c r="V43" s="853"/>
      <c r="W43" s="853"/>
      <c r="X43" s="850"/>
      <c r="Y43" s="856"/>
      <c r="Z43" s="853"/>
      <c r="AA43" s="860"/>
      <c r="AB43" s="853">
        <f t="shared" ref="AB43:AB49" si="9">Y43/Y$56</f>
        <v>0</v>
      </c>
      <c r="AC43" s="850">
        <f t="shared" si="7"/>
        <v>9999997.1478000004</v>
      </c>
      <c r="AD43" s="856">
        <f>ROUND(10000000/13.3013,0)</f>
        <v>751806</v>
      </c>
      <c r="AE43" s="852">
        <f t="shared" si="8"/>
        <v>751806</v>
      </c>
      <c r="AF43" s="853">
        <f t="shared" si="2"/>
        <v>1.2231418748587653E-2</v>
      </c>
      <c r="AH43" s="847"/>
    </row>
    <row r="44" spans="1:34" ht="15" customHeight="1">
      <c r="A44" s="855" t="s">
        <v>1325</v>
      </c>
      <c r="B44" s="884"/>
      <c r="C44" s="885"/>
      <c r="D44" s="886"/>
      <c r="E44" s="887"/>
      <c r="F44" s="887"/>
      <c r="G44" s="885"/>
      <c r="H44" s="884"/>
      <c r="I44" s="885"/>
      <c r="J44" s="884"/>
      <c r="K44" s="885"/>
      <c r="L44" s="885"/>
      <c r="M44" s="884"/>
      <c r="N44" s="885"/>
      <c r="O44" s="888"/>
      <c r="P44" s="885"/>
      <c r="Q44" s="885"/>
      <c r="R44" s="885"/>
      <c r="S44" s="885"/>
      <c r="T44" s="853"/>
      <c r="U44" s="853"/>
      <c r="V44" s="853"/>
      <c r="W44" s="853"/>
      <c r="X44" s="850"/>
      <c r="Y44" s="856"/>
      <c r="Z44" s="853"/>
      <c r="AA44" s="860"/>
      <c r="AB44" s="853">
        <f t="shared" si="9"/>
        <v>0</v>
      </c>
      <c r="AC44" s="850">
        <f t="shared" si="7"/>
        <v>4999998.5739000002</v>
      </c>
      <c r="AD44" s="856">
        <f>ROUND(5000000/13.3013,0)</f>
        <v>375903</v>
      </c>
      <c r="AE44" s="852">
        <f t="shared" si="8"/>
        <v>375903</v>
      </c>
      <c r="AF44" s="853">
        <f t="shared" si="2"/>
        <v>6.1157093742938264E-3</v>
      </c>
      <c r="AH44" s="847"/>
    </row>
    <row r="45" spans="1:34" ht="15" customHeight="1">
      <c r="A45" s="855" t="s">
        <v>1326</v>
      </c>
      <c r="B45" s="884"/>
      <c r="C45" s="885"/>
      <c r="D45" s="886"/>
      <c r="E45" s="887"/>
      <c r="F45" s="887"/>
      <c r="G45" s="885"/>
      <c r="H45" s="884"/>
      <c r="I45" s="885"/>
      <c r="J45" s="884"/>
      <c r="K45" s="885"/>
      <c r="L45" s="885"/>
      <c r="M45" s="884"/>
      <c r="N45" s="885"/>
      <c r="O45" s="888"/>
      <c r="P45" s="885"/>
      <c r="Q45" s="885"/>
      <c r="R45" s="885"/>
      <c r="S45" s="885"/>
      <c r="T45" s="853"/>
      <c r="U45" s="853"/>
      <c r="V45" s="853"/>
      <c r="W45" s="853"/>
      <c r="X45" s="850"/>
      <c r="Y45" s="856"/>
      <c r="Z45" s="853"/>
      <c r="AA45" s="860"/>
      <c r="AB45" s="853">
        <f t="shared" si="9"/>
        <v>0</v>
      </c>
      <c r="AC45" s="850">
        <f t="shared" si="7"/>
        <v>1000005.0353</v>
      </c>
      <c r="AD45" s="856">
        <f>ROUND(1000000/13.3013,0)</f>
        <v>75181</v>
      </c>
      <c r="AE45" s="852">
        <f t="shared" si="8"/>
        <v>75181</v>
      </c>
      <c r="AF45" s="853">
        <f t="shared" si="2"/>
        <v>1.2231483826114294E-3</v>
      </c>
      <c r="AH45" s="847"/>
    </row>
    <row r="46" spans="1:34" ht="15" customHeight="1">
      <c r="A46" s="855" t="s">
        <v>1327</v>
      </c>
      <c r="B46" s="884"/>
      <c r="C46" s="885"/>
      <c r="D46" s="886"/>
      <c r="E46" s="887"/>
      <c r="F46" s="887"/>
      <c r="G46" s="885"/>
      <c r="H46" s="884"/>
      <c r="I46" s="885"/>
      <c r="J46" s="884"/>
      <c r="K46" s="885"/>
      <c r="L46" s="885"/>
      <c r="M46" s="884"/>
      <c r="N46" s="885"/>
      <c r="O46" s="888"/>
      <c r="P46" s="885"/>
      <c r="Q46" s="885"/>
      <c r="R46" s="885"/>
      <c r="S46" s="885"/>
      <c r="T46" s="853"/>
      <c r="U46" s="853"/>
      <c r="V46" s="853"/>
      <c r="W46" s="853"/>
      <c r="X46" s="850"/>
      <c r="Y46" s="856"/>
      <c r="Z46" s="853"/>
      <c r="AA46" s="860"/>
      <c r="AB46" s="853">
        <f t="shared" si="9"/>
        <v>0</v>
      </c>
      <c r="AC46" s="850">
        <f t="shared" si="7"/>
        <v>99999.1734</v>
      </c>
      <c r="AD46" s="856">
        <f>ROUND(100000/13.3013,0)</f>
        <v>7518</v>
      </c>
      <c r="AE46" s="852">
        <f t="shared" si="8"/>
        <v>7518</v>
      </c>
      <c r="AF46" s="853">
        <f t="shared" si="2"/>
        <v>1.2231321132297692E-4</v>
      </c>
      <c r="AH46" s="847"/>
    </row>
    <row r="47" spans="1:34" ht="15" customHeight="1">
      <c r="A47" s="855" t="s">
        <v>1328</v>
      </c>
      <c r="B47" s="884"/>
      <c r="C47" s="885"/>
      <c r="D47" s="886"/>
      <c r="E47" s="887"/>
      <c r="F47" s="887"/>
      <c r="G47" s="885"/>
      <c r="H47" s="884"/>
      <c r="I47" s="885"/>
      <c r="J47" s="884"/>
      <c r="K47" s="885"/>
      <c r="L47" s="885"/>
      <c r="M47" s="884"/>
      <c r="N47" s="885"/>
      <c r="O47" s="888"/>
      <c r="P47" s="885"/>
      <c r="Q47" s="885"/>
      <c r="R47" s="885"/>
      <c r="S47" s="885"/>
      <c r="T47" s="853"/>
      <c r="U47" s="853"/>
      <c r="V47" s="853"/>
      <c r="W47" s="853"/>
      <c r="X47" s="850"/>
      <c r="Y47" s="856"/>
      <c r="Z47" s="853"/>
      <c r="AA47" s="860"/>
      <c r="AB47" s="853">
        <f t="shared" si="9"/>
        <v>0</v>
      </c>
      <c r="AC47" s="850">
        <f t="shared" si="7"/>
        <v>99999.1734</v>
      </c>
      <c r="AD47" s="856">
        <f>ROUND(100000/13.3013,0)</f>
        <v>7518</v>
      </c>
      <c r="AE47" s="852">
        <f t="shared" si="8"/>
        <v>7518</v>
      </c>
      <c r="AF47" s="853">
        <f t="shared" si="2"/>
        <v>1.2231321132297692E-4</v>
      </c>
      <c r="AH47" s="847"/>
    </row>
    <row r="48" spans="1:34" ht="15" customHeight="1">
      <c r="A48" s="855" t="s">
        <v>1329</v>
      </c>
      <c r="B48" s="884"/>
      <c r="C48" s="885"/>
      <c r="D48" s="886"/>
      <c r="E48" s="887"/>
      <c r="F48" s="887"/>
      <c r="G48" s="885"/>
      <c r="H48" s="884"/>
      <c r="I48" s="885"/>
      <c r="J48" s="884"/>
      <c r="K48" s="885"/>
      <c r="L48" s="885"/>
      <c r="M48" s="884"/>
      <c r="N48" s="885"/>
      <c r="O48" s="888"/>
      <c r="P48" s="885"/>
      <c r="Q48" s="885"/>
      <c r="R48" s="885"/>
      <c r="S48" s="885"/>
      <c r="T48" s="853"/>
      <c r="U48" s="853"/>
      <c r="V48" s="853"/>
      <c r="W48" s="853"/>
      <c r="X48" s="850"/>
      <c r="Y48" s="856"/>
      <c r="Z48" s="853"/>
      <c r="AA48" s="860"/>
      <c r="AB48" s="853">
        <f t="shared" si="9"/>
        <v>0</v>
      </c>
      <c r="AC48" s="850">
        <f t="shared" si="7"/>
        <v>99999.1734</v>
      </c>
      <c r="AD48" s="856">
        <f>ROUND(100000/13.3013,0)</f>
        <v>7518</v>
      </c>
      <c r="AE48" s="852">
        <f t="shared" si="8"/>
        <v>7518</v>
      </c>
      <c r="AF48" s="853">
        <f t="shared" si="2"/>
        <v>1.2231321132297692E-4</v>
      </c>
      <c r="AH48" s="847"/>
    </row>
    <row r="49" spans="1:34" ht="15" customHeight="1">
      <c r="A49" s="855" t="s">
        <v>1330</v>
      </c>
      <c r="B49" s="884"/>
      <c r="C49" s="885"/>
      <c r="D49" s="886"/>
      <c r="E49" s="887"/>
      <c r="F49" s="887"/>
      <c r="G49" s="885"/>
      <c r="H49" s="884"/>
      <c r="I49" s="885"/>
      <c r="J49" s="884"/>
      <c r="K49" s="885"/>
      <c r="L49" s="885"/>
      <c r="M49" s="884"/>
      <c r="N49" s="885"/>
      <c r="O49" s="888"/>
      <c r="P49" s="885"/>
      <c r="Q49" s="885"/>
      <c r="R49" s="885"/>
      <c r="S49" s="885"/>
      <c r="T49" s="853"/>
      <c r="U49" s="853"/>
      <c r="V49" s="853"/>
      <c r="W49" s="853"/>
      <c r="X49" s="850"/>
      <c r="Y49" s="856"/>
      <c r="Z49" s="853"/>
      <c r="AA49" s="860"/>
      <c r="AB49" s="853">
        <f t="shared" si="9"/>
        <v>0</v>
      </c>
      <c r="AC49" s="850">
        <f t="shared" si="7"/>
        <v>99999.1734</v>
      </c>
      <c r="AD49" s="856">
        <f>ROUND(100000/13.3013,0)</f>
        <v>7518</v>
      </c>
      <c r="AE49" s="852">
        <f t="shared" si="8"/>
        <v>7518</v>
      </c>
      <c r="AF49" s="853">
        <f t="shared" si="2"/>
        <v>1.2231321132297692E-4</v>
      </c>
      <c r="AH49" s="847"/>
    </row>
    <row r="50" spans="1:34" ht="15" customHeight="1">
      <c r="A50" s="896" t="s">
        <v>1331</v>
      </c>
      <c r="B50" s="897">
        <v>2935000</v>
      </c>
      <c r="C50" s="898"/>
      <c r="D50" s="899"/>
      <c r="E50" s="900"/>
      <c r="F50" s="900"/>
      <c r="G50" s="898"/>
      <c r="H50" s="901"/>
      <c r="I50" s="898"/>
      <c r="J50" s="901"/>
      <c r="K50" s="898"/>
      <c r="L50" s="898"/>
      <c r="M50" s="901"/>
      <c r="N50" s="898"/>
      <c r="O50" s="902"/>
      <c r="P50" s="898"/>
      <c r="Q50" s="898"/>
      <c r="R50" s="898"/>
      <c r="S50" s="898"/>
      <c r="T50" s="903"/>
      <c r="U50" s="903"/>
      <c r="V50" s="903"/>
      <c r="W50" s="903"/>
      <c r="X50" s="903"/>
      <c r="Y50" s="897"/>
      <c r="Z50" s="903"/>
      <c r="AA50" s="904"/>
      <c r="AB50" s="903">
        <f>B50/Y56</f>
        <v>5.205259062795977E-2</v>
      </c>
      <c r="AC50" s="851" t="s">
        <v>1285</v>
      </c>
      <c r="AD50" s="851" t="s">
        <v>1285</v>
      </c>
      <c r="AE50" s="852">
        <f>B50</f>
        <v>2935000</v>
      </c>
      <c r="AF50" s="853">
        <f>AE50/AD$56</f>
        <v>4.775063517330902E-2</v>
      </c>
    </row>
    <row r="51" spans="1:34">
      <c r="A51" s="896" t="s">
        <v>1332</v>
      </c>
      <c r="B51" s="897">
        <f>B79+B80</f>
        <v>3196295</v>
      </c>
      <c r="C51" s="897"/>
      <c r="D51" s="905"/>
      <c r="E51" s="906"/>
      <c r="F51" s="906"/>
      <c r="G51" s="903"/>
      <c r="H51" s="905"/>
      <c r="I51" s="903"/>
      <c r="J51" s="905"/>
      <c r="K51" s="903"/>
      <c r="L51" s="903"/>
      <c r="M51" s="903"/>
      <c r="N51" s="903"/>
      <c r="O51" s="907"/>
      <c r="P51" s="903"/>
      <c r="Q51" s="903">
        <f>3731295/M56</f>
        <v>7.5400269859705021E-2</v>
      </c>
      <c r="R51" s="903"/>
      <c r="S51" s="903"/>
      <c r="T51" s="897"/>
      <c r="U51" s="903"/>
      <c r="V51" s="903"/>
      <c r="W51" s="903"/>
      <c r="X51" s="903"/>
      <c r="Y51" s="905"/>
      <c r="Z51" s="905"/>
      <c r="AA51" s="904"/>
      <c r="AB51" s="903">
        <f>B51/Y56</f>
        <v>5.6686690003814204E-2</v>
      </c>
      <c r="AC51" s="851" t="s">
        <v>1285</v>
      </c>
      <c r="AD51" s="851" t="s">
        <v>1285</v>
      </c>
      <c r="AE51" s="852">
        <f>B51</f>
        <v>3196295</v>
      </c>
      <c r="AF51" s="853">
        <f>AE51/AD$56</f>
        <v>5.2001743254266354E-2</v>
      </c>
    </row>
    <row r="52" spans="1:34" ht="20.25" customHeight="1">
      <c r="A52" s="846" t="s">
        <v>1333</v>
      </c>
      <c r="B52" s="847">
        <f>SUM(B4:B51)</f>
        <v>13557449</v>
      </c>
      <c r="C52" s="848">
        <f>SUM(C4:C23)</f>
        <v>1.0000000000000002</v>
      </c>
      <c r="D52" s="847">
        <f>SUM(D4:D14)</f>
        <v>26416408</v>
      </c>
      <c r="E52" s="847">
        <f>SUM(E4:E14)</f>
        <v>5499999</v>
      </c>
      <c r="F52" s="849">
        <f>SUM(F4:F14)</f>
        <v>20916409</v>
      </c>
      <c r="G52" s="848"/>
      <c r="H52" s="847">
        <f>SUM(H4:H26)</f>
        <v>7142857</v>
      </c>
      <c r="I52" s="848">
        <f>SUM(I4:I26)</f>
        <v>1</v>
      </c>
      <c r="J52" s="847">
        <f>SUM(J26:J37)-1</f>
        <v>2384889.9866666668</v>
      </c>
      <c r="K52" s="848">
        <f>SUM(K26:K37)</f>
        <v>1.0000004193065533</v>
      </c>
      <c r="L52" s="848"/>
      <c r="M52" s="847">
        <f>SUM(M26:M37)</f>
        <v>4769779.9733333336</v>
      </c>
      <c r="N52" s="848">
        <f>SUM(N26:N37)</f>
        <v>1</v>
      </c>
      <c r="O52" s="908"/>
      <c r="P52" s="848">
        <f>SUM(P4:P37)</f>
        <v>1</v>
      </c>
      <c r="Q52" s="848">
        <f>SUM(Q4:Q51)</f>
        <v>0.99999999999999967</v>
      </c>
      <c r="R52" s="850">
        <f>SUM(R4:R51)</f>
        <v>29408888</v>
      </c>
      <c r="S52" s="909">
        <f>SUM(S4:S51)</f>
        <v>29408864.412600003</v>
      </c>
      <c r="T52" s="847">
        <f>SUM(T4:T51)</f>
        <v>2646086</v>
      </c>
      <c r="U52" s="848">
        <f>SUM(U4:U51)</f>
        <v>1</v>
      </c>
      <c r="V52" s="848"/>
      <c r="W52" s="848">
        <f>ROUND(SUM(W4:W37),0)</f>
        <v>1</v>
      </c>
      <c r="X52" s="909">
        <f>SUM(X38:X42)</f>
        <v>20591115.2982</v>
      </c>
      <c r="Y52" s="847">
        <f>SUM(Y38:Y42)</f>
        <v>1852702</v>
      </c>
      <c r="Z52" s="848">
        <f>SUM(Z4:Z42)</f>
        <v>0.99999999999999989</v>
      </c>
      <c r="AB52" s="848">
        <f>ROUNDDOWN(SUM(AB4:AB51),0)</f>
        <v>1</v>
      </c>
      <c r="AC52" s="909">
        <f>SUM(AC4:AC51)</f>
        <v>67568861.529699996</v>
      </c>
      <c r="AD52" s="856">
        <f>SUM(AD4:AD51)</f>
        <v>5079869</v>
      </c>
      <c r="AE52" s="852">
        <f>SUM(AE4:AE51)</f>
        <v>61465150.973333329</v>
      </c>
      <c r="AF52" s="848">
        <f>SUM(AF4:AF51)</f>
        <v>0.99999999999999967</v>
      </c>
    </row>
    <row r="53" spans="1:34">
      <c r="A53" s="846" t="s">
        <v>1334</v>
      </c>
      <c r="B53" s="847">
        <f>B52-B51-B50</f>
        <v>7426154</v>
      </c>
      <c r="C53" s="847"/>
      <c r="H53" s="910"/>
      <c r="I53" s="911"/>
      <c r="J53" s="911"/>
      <c r="K53" s="911"/>
      <c r="L53" s="911"/>
      <c r="M53" s="911"/>
      <c r="N53" s="911"/>
      <c r="O53" s="908"/>
      <c r="P53" s="911"/>
      <c r="T53" s="847"/>
      <c r="X53" s="847"/>
      <c r="Y53" s="847">
        <f>T52+Y52</f>
        <v>4498788</v>
      </c>
      <c r="AA53" s="912">
        <f>SUM(AA31:AA37)</f>
        <v>8.1164154581803788E-2</v>
      </c>
    </row>
    <row r="54" spans="1:34">
      <c r="A54" s="846" t="s">
        <v>1335</v>
      </c>
      <c r="B54" s="847"/>
      <c r="C54" s="847"/>
      <c r="H54" s="910"/>
      <c r="I54" s="911"/>
      <c r="J54" s="911"/>
      <c r="K54" s="911"/>
      <c r="L54" s="911"/>
      <c r="M54" s="913">
        <f>D52+H52+M52</f>
        <v>38329044.973333336</v>
      </c>
      <c r="N54" s="911"/>
      <c r="O54" s="908"/>
      <c r="P54" s="911"/>
      <c r="S54" s="914"/>
      <c r="T54" s="913">
        <f>M54+T52</f>
        <v>40975130.973333336</v>
      </c>
      <c r="U54" s="847"/>
      <c r="Y54" s="913">
        <f>T54+Y52</f>
        <v>42827832.973333336</v>
      </c>
      <c r="AA54" s="912">
        <f>1-AA53</f>
        <v>0.91883584541819618</v>
      </c>
      <c r="AD54" s="913">
        <f>Y54+AD52</f>
        <v>47907701.973333336</v>
      </c>
    </row>
    <row r="55" spans="1:34">
      <c r="A55" s="846"/>
      <c r="B55" s="847"/>
      <c r="C55" s="848"/>
      <c r="D55" s="847"/>
      <c r="H55" s="856">
        <f>B52+D52+H52-B80</f>
        <v>44716714</v>
      </c>
      <c r="I55" s="856"/>
      <c r="J55" s="856"/>
      <c r="K55" s="856"/>
      <c r="L55" s="856"/>
      <c r="N55" s="856"/>
      <c r="O55" s="908"/>
      <c r="P55" s="856"/>
      <c r="T55" s="848"/>
    </row>
    <row r="56" spans="1:34">
      <c r="A56" s="846" t="s">
        <v>1336</v>
      </c>
      <c r="C56" s="848"/>
      <c r="H56" s="847"/>
      <c r="J56" s="847">
        <f>B52+D52+H52+J52-B80</f>
        <v>47101603.986666664</v>
      </c>
      <c r="L56" s="848">
        <f>1-L31-L36-L37-L35</f>
        <v>0.96624473377441045</v>
      </c>
      <c r="M56" s="915">
        <f>H55+M52</f>
        <v>49486493.973333336</v>
      </c>
      <c r="O56" s="908">
        <f>1-O31-O36-O37-O35-O32-O33-O34</f>
        <v>0.92570284441238715</v>
      </c>
      <c r="T56" s="852">
        <f>M56+T52+B80</f>
        <v>54532579.973333336</v>
      </c>
      <c r="Y56" s="852">
        <f>T56+Y52</f>
        <v>56385281.973333336</v>
      </c>
      <c r="AD56" s="852">
        <f>Y56+AD52</f>
        <v>61465150.973333336</v>
      </c>
      <c r="AE56" s="847"/>
    </row>
    <row r="57" spans="1:34">
      <c r="F57" s="864"/>
      <c r="G57" s="864"/>
      <c r="H57" s="862"/>
      <c r="T57" s="838" t="s">
        <v>1337</v>
      </c>
      <c r="Y57" s="838" t="s">
        <v>1337</v>
      </c>
    </row>
    <row r="58" spans="1:34">
      <c r="A58" s="846" t="s">
        <v>1338</v>
      </c>
      <c r="C58" s="848"/>
      <c r="F58" s="864"/>
      <c r="G58" s="864"/>
      <c r="H58" s="856"/>
      <c r="T58" s="916"/>
    </row>
    <row r="59" spans="1:34" ht="45.75" thickBot="1">
      <c r="A59" s="917"/>
      <c r="B59" s="917" t="s">
        <v>214</v>
      </c>
      <c r="C59" s="918"/>
      <c r="F59" s="910" t="s">
        <v>1339</v>
      </c>
      <c r="G59" s="864">
        <f>450000000/H55</f>
        <v>10.063351256087378</v>
      </c>
      <c r="K59" s="919"/>
      <c r="L59" s="919"/>
      <c r="M59" s="847"/>
      <c r="N59" s="920"/>
      <c r="O59" s="920"/>
      <c r="P59" s="919"/>
      <c r="Q59" s="921"/>
      <c r="R59" s="922"/>
      <c r="S59" s="923"/>
      <c r="T59" s="924"/>
      <c r="W59" s="925" t="s">
        <v>1340</v>
      </c>
      <c r="X59" s="909">
        <f>S52+X52</f>
        <v>49999979.710800007</v>
      </c>
      <c r="AB59" s="925" t="s">
        <v>1341</v>
      </c>
      <c r="AC59" s="909">
        <f>X59+AC52</f>
        <v>117568841.2405</v>
      </c>
    </row>
    <row r="60" spans="1:34" ht="15.75">
      <c r="A60" s="926" t="s">
        <v>1289</v>
      </c>
      <c r="B60" s="927">
        <v>0.90229999999999999</v>
      </c>
      <c r="C60" s="927"/>
      <c r="D60" s="847"/>
      <c r="F60" s="866" t="s">
        <v>1342</v>
      </c>
      <c r="G60" s="866">
        <v>10.06335</v>
      </c>
      <c r="H60" s="847"/>
      <c r="K60" s="919"/>
      <c r="L60" s="919"/>
      <c r="M60" s="919"/>
      <c r="N60" s="920"/>
      <c r="O60" s="920"/>
      <c r="P60" s="919"/>
      <c r="Q60" s="921"/>
      <c r="R60" s="922"/>
      <c r="S60" s="922"/>
      <c r="T60" s="924"/>
    </row>
    <row r="61" spans="1:34" ht="15.75">
      <c r="A61" s="926" t="s">
        <v>1290</v>
      </c>
      <c r="B61" s="927">
        <v>7.6499999999999999E-2</v>
      </c>
      <c r="C61" s="927"/>
      <c r="D61" s="847"/>
      <c r="J61" s="928"/>
      <c r="K61" s="919"/>
      <c r="L61" s="919"/>
      <c r="M61" s="919"/>
      <c r="N61" s="920"/>
      <c r="O61" s="920"/>
      <c r="P61" s="919"/>
      <c r="Q61" s="921"/>
      <c r="R61" s="922"/>
      <c r="S61" s="922"/>
      <c r="T61" s="919"/>
    </row>
    <row r="62" spans="1:34" ht="16.5" thickBot="1">
      <c r="A62" s="917" t="s">
        <v>1291</v>
      </c>
      <c r="B62" s="929">
        <v>2.12E-2</v>
      </c>
      <c r="C62" s="930"/>
      <c r="D62" s="847"/>
      <c r="J62" s="928"/>
      <c r="K62" s="919"/>
      <c r="L62" s="919"/>
      <c r="M62" s="919"/>
      <c r="N62" s="920"/>
      <c r="O62" s="920"/>
      <c r="P62" s="919"/>
      <c r="Q62" s="921"/>
      <c r="R62" s="922"/>
      <c r="S62" s="922"/>
      <c r="T62" s="919"/>
    </row>
    <row r="63" spans="1:34" ht="16.5" thickBot="1">
      <c r="A63" s="931" t="s">
        <v>1343</v>
      </c>
      <c r="B63" s="932">
        <v>1</v>
      </c>
      <c r="C63" s="933"/>
      <c r="J63" s="928"/>
      <c r="K63" s="919"/>
      <c r="L63" s="919"/>
      <c r="M63" s="934"/>
      <c r="N63" s="924"/>
      <c r="O63" s="924"/>
      <c r="P63" s="919"/>
      <c r="Q63" s="935"/>
      <c r="R63" s="919"/>
      <c r="S63" s="919"/>
      <c r="T63" s="919"/>
    </row>
    <row r="64" spans="1:34" ht="15.75">
      <c r="J64" s="928"/>
      <c r="K64" s="919"/>
      <c r="L64" s="919"/>
      <c r="M64" s="934"/>
      <c r="N64" s="919"/>
      <c r="O64" s="919"/>
      <c r="P64" s="919"/>
      <c r="Q64" s="935"/>
      <c r="R64" s="924"/>
      <c r="S64" s="924"/>
      <c r="T64" s="919"/>
    </row>
    <row r="65" spans="1:20">
      <c r="A65" s="2679" t="s">
        <v>1344</v>
      </c>
      <c r="B65" s="2679"/>
      <c r="C65" s="2679"/>
      <c r="D65" s="2679"/>
      <c r="E65" s="2679"/>
      <c r="F65" s="2679"/>
      <c r="G65" s="2679"/>
      <c r="H65" s="2679"/>
      <c r="I65" s="2679"/>
      <c r="J65" s="2679"/>
      <c r="K65" s="2679"/>
      <c r="L65" s="2679"/>
      <c r="M65" s="2679"/>
      <c r="N65" s="2679"/>
      <c r="O65" s="2679"/>
      <c r="P65" s="2679"/>
      <c r="Q65" s="2679"/>
      <c r="R65" s="936"/>
      <c r="S65" s="936"/>
      <c r="T65" s="919"/>
    </row>
    <row r="66" spans="1:20">
      <c r="A66" s="2679" t="s">
        <v>1345</v>
      </c>
      <c r="B66" s="2679"/>
      <c r="C66" s="2679"/>
      <c r="D66" s="2679"/>
      <c r="E66" s="2679"/>
      <c r="F66" s="2679"/>
      <c r="G66" s="2679"/>
      <c r="H66" s="2679"/>
      <c r="I66" s="2679"/>
      <c r="J66" s="2679"/>
      <c r="K66" s="2679"/>
      <c r="L66" s="2679"/>
      <c r="M66" s="2679"/>
      <c r="N66" s="2679"/>
      <c r="O66" s="2679"/>
      <c r="P66" s="2679"/>
      <c r="Q66" s="2679"/>
      <c r="R66" s="936"/>
      <c r="S66" s="936"/>
      <c r="T66" s="919"/>
    </row>
    <row r="67" spans="1:20">
      <c r="A67" s="2679" t="s">
        <v>1346</v>
      </c>
      <c r="B67" s="2679"/>
      <c r="C67" s="2679"/>
      <c r="D67" s="2679"/>
      <c r="E67" s="2679"/>
      <c r="F67" s="2679"/>
      <c r="G67" s="2679"/>
      <c r="H67" s="2679"/>
      <c r="I67" s="2679"/>
      <c r="J67" s="2679"/>
      <c r="K67" s="2679"/>
      <c r="L67" s="2679"/>
      <c r="M67" s="2679"/>
      <c r="N67" s="2679"/>
      <c r="O67" s="2679"/>
      <c r="P67" s="2679"/>
      <c r="Q67" s="2679"/>
      <c r="R67" s="936"/>
      <c r="S67" s="936"/>
      <c r="T67" s="919"/>
    </row>
    <row r="68" spans="1:20" ht="39.4" customHeight="1">
      <c r="A68" s="2676" t="s">
        <v>1347</v>
      </c>
      <c r="B68" s="2676"/>
      <c r="C68" s="2676"/>
      <c r="D68" s="2676"/>
      <c r="E68" s="2676"/>
      <c r="F68" s="2676"/>
      <c r="G68" s="2676"/>
      <c r="H68" s="2676"/>
      <c r="I68" s="2676"/>
      <c r="J68" s="2676"/>
      <c r="K68" s="2676"/>
      <c r="L68" s="2676"/>
      <c r="M68" s="2676"/>
      <c r="N68" s="2676"/>
      <c r="O68" s="2676"/>
      <c r="P68" s="2676"/>
      <c r="Q68" s="2676"/>
      <c r="R68" s="937"/>
      <c r="S68" s="937"/>
      <c r="T68" s="919"/>
    </row>
    <row r="69" spans="1:20" ht="36" customHeight="1">
      <c r="A69" s="2676" t="s">
        <v>1348</v>
      </c>
      <c r="B69" s="2676"/>
      <c r="C69" s="2676"/>
      <c r="D69" s="2676"/>
      <c r="E69" s="2676"/>
      <c r="F69" s="2676"/>
      <c r="G69" s="2676"/>
      <c r="H69" s="2676"/>
      <c r="I69" s="2676"/>
      <c r="J69" s="2676"/>
      <c r="K69" s="2676"/>
      <c r="L69" s="2676"/>
      <c r="M69" s="2676"/>
      <c r="N69" s="2676"/>
      <c r="O69" s="2676"/>
      <c r="P69" s="2676"/>
      <c r="Q69" s="2676"/>
      <c r="R69" s="937"/>
      <c r="S69" s="937"/>
      <c r="T69" s="919"/>
    </row>
    <row r="70" spans="1:20">
      <c r="A70" s="938" t="s">
        <v>1349</v>
      </c>
      <c r="E70" s="939"/>
      <c r="F70" s="939"/>
      <c r="G70" s="922"/>
      <c r="H70" s="922"/>
      <c r="I70" s="919"/>
      <c r="J70" s="919"/>
      <c r="K70" s="919"/>
      <c r="L70" s="919"/>
      <c r="M70" s="919"/>
      <c r="N70" s="919"/>
      <c r="O70" s="919"/>
      <c r="P70" s="919"/>
      <c r="Q70" s="935"/>
      <c r="R70" s="919"/>
      <c r="S70" s="919"/>
      <c r="T70" s="919"/>
    </row>
    <row r="71" spans="1:20" ht="15.75">
      <c r="A71" s="940" t="s">
        <v>1350</v>
      </c>
      <c r="B71" s="940"/>
      <c r="C71" s="870"/>
      <c r="D71" s="940"/>
      <c r="F71" s="864"/>
      <c r="G71" s="864"/>
      <c r="H71" s="856"/>
      <c r="J71" s="847"/>
      <c r="K71" s="924"/>
      <c r="L71" s="919"/>
      <c r="M71" s="919"/>
      <c r="N71" s="920"/>
      <c r="O71" s="920"/>
      <c r="P71" s="919"/>
      <c r="Q71" s="935"/>
      <c r="R71" s="919"/>
      <c r="S71" s="919"/>
      <c r="T71" s="919"/>
    </row>
    <row r="72" spans="1:20">
      <c r="E72" s="939"/>
      <c r="F72" s="939"/>
      <c r="G72" s="922"/>
      <c r="H72" s="922"/>
      <c r="I72" s="919"/>
      <c r="J72" s="919"/>
      <c r="K72" s="919"/>
      <c r="L72" s="919"/>
      <c r="M72" s="919"/>
      <c r="N72" s="919"/>
      <c r="O72" s="919"/>
      <c r="P72" s="919"/>
      <c r="Q72" s="935"/>
      <c r="R72" s="919"/>
      <c r="S72" s="919"/>
    </row>
    <row r="73" spans="1:20">
      <c r="A73" s="941" t="s">
        <v>1351</v>
      </c>
      <c r="B73" s="942">
        <v>550000000</v>
      </c>
      <c r="E73" s="939"/>
      <c r="F73" s="939"/>
      <c r="G73" s="922"/>
      <c r="H73" s="922"/>
      <c r="I73" s="919"/>
      <c r="J73" s="919"/>
      <c r="K73" s="919"/>
      <c r="L73" s="919"/>
      <c r="M73" s="919"/>
      <c r="N73" s="919"/>
      <c r="O73" s="919"/>
      <c r="P73" s="919"/>
      <c r="Q73" s="935"/>
      <c r="R73" s="919"/>
      <c r="S73" s="919"/>
    </row>
    <row r="74" spans="1:20">
      <c r="A74" s="941" t="s">
        <v>1352</v>
      </c>
      <c r="B74" s="943">
        <f>SUM(S52)</f>
        <v>29408864.412600003</v>
      </c>
      <c r="E74" s="939"/>
      <c r="F74" s="939"/>
      <c r="G74" s="922"/>
      <c r="H74" s="922"/>
      <c r="I74" s="919"/>
      <c r="J74" s="919"/>
      <c r="K74" s="919"/>
      <c r="L74" s="919"/>
      <c r="M74" s="919"/>
      <c r="N74" s="919"/>
      <c r="O74" s="919"/>
      <c r="P74" s="919"/>
      <c r="Q74" s="935"/>
      <c r="R74" s="919"/>
      <c r="S74" s="919"/>
    </row>
    <row r="75" spans="1:20">
      <c r="A75" s="941" t="s">
        <v>1353</v>
      </c>
      <c r="B75" s="943">
        <f>X52</f>
        <v>20591115.2982</v>
      </c>
      <c r="E75" s="939"/>
      <c r="F75" s="939"/>
      <c r="G75" s="922"/>
      <c r="H75" s="922"/>
      <c r="I75" s="919"/>
      <c r="J75" s="919"/>
      <c r="K75" s="919"/>
      <c r="L75" s="919"/>
      <c r="M75" s="919"/>
      <c r="N75" s="919"/>
      <c r="O75" s="919"/>
      <c r="P75" s="919"/>
      <c r="Q75" s="935"/>
      <c r="R75" s="919"/>
      <c r="S75" s="919"/>
    </row>
    <row r="76" spans="1:20" ht="15.75">
      <c r="A76" s="941" t="s">
        <v>1354</v>
      </c>
      <c r="B76" s="944">
        <f>B73/M56</f>
        <v>11.114143594338632</v>
      </c>
      <c r="C76" s="945"/>
      <c r="E76" s="939"/>
      <c r="F76" s="939"/>
      <c r="G76" s="922"/>
      <c r="H76" s="922"/>
      <c r="I76" s="919"/>
      <c r="J76" s="919"/>
      <c r="K76" s="919"/>
      <c r="L76" s="919"/>
      <c r="M76" s="919"/>
      <c r="N76" s="919"/>
      <c r="O76" s="919"/>
      <c r="P76" s="922"/>
      <c r="Q76" s="921"/>
      <c r="R76" s="922"/>
      <c r="S76" s="922"/>
    </row>
    <row r="77" spans="1:20" ht="15.75">
      <c r="C77" s="945"/>
      <c r="E77" s="939"/>
      <c r="F77" s="939"/>
      <c r="G77" s="920"/>
      <c r="H77" s="922"/>
      <c r="I77" s="919"/>
      <c r="J77" s="919"/>
      <c r="K77" s="919"/>
      <c r="L77" s="919"/>
      <c r="M77" s="919"/>
      <c r="N77" s="919"/>
      <c r="O77" s="919"/>
      <c r="P77" s="922"/>
      <c r="Q77" s="921"/>
      <c r="R77" s="922"/>
      <c r="S77" s="922"/>
    </row>
    <row r="78" spans="1:20" ht="15.75">
      <c r="A78" s="946" t="s">
        <v>1355</v>
      </c>
      <c r="B78" s="897">
        <v>3731295</v>
      </c>
      <c r="C78" s="945"/>
      <c r="E78" s="939"/>
      <c r="F78" s="939"/>
      <c r="G78" s="920"/>
      <c r="H78" s="922"/>
      <c r="I78" s="919"/>
      <c r="J78" s="919"/>
      <c r="K78" s="919"/>
      <c r="L78" s="919"/>
      <c r="M78" s="919"/>
      <c r="N78" s="919"/>
      <c r="O78" s="919"/>
      <c r="P78" s="922"/>
      <c r="Q78" s="921"/>
      <c r="R78" s="922"/>
      <c r="S78" s="922"/>
    </row>
    <row r="79" spans="1:20" ht="15.75">
      <c r="A79" s="946" t="s">
        <v>1356</v>
      </c>
      <c r="B79" s="897">
        <f>B78-B50</f>
        <v>796295</v>
      </c>
      <c r="C79" s="847"/>
      <c r="E79" s="939"/>
      <c r="F79" s="939"/>
      <c r="G79" s="922"/>
      <c r="H79" s="922"/>
      <c r="I79" s="919"/>
      <c r="J79" s="919"/>
      <c r="K79" s="919"/>
      <c r="L79" s="919"/>
      <c r="M79" s="919"/>
      <c r="N79" s="919"/>
      <c r="O79" s="919"/>
      <c r="P79" s="922"/>
      <c r="Q79" s="921"/>
      <c r="R79" s="922"/>
      <c r="S79" s="922"/>
    </row>
    <row r="80" spans="1:20" ht="15.75">
      <c r="A80" s="946" t="s">
        <v>1357</v>
      </c>
      <c r="B80" s="897">
        <v>2400000</v>
      </c>
      <c r="E80" s="939"/>
      <c r="F80" s="939"/>
      <c r="G80" s="922"/>
      <c r="H80" s="922"/>
      <c r="I80" s="919"/>
      <c r="J80" s="919"/>
      <c r="K80" s="919"/>
      <c r="L80" s="919"/>
      <c r="M80" s="919"/>
      <c r="N80" s="919"/>
      <c r="O80" s="919"/>
      <c r="P80" s="922"/>
      <c r="Q80" s="921"/>
      <c r="R80" s="922"/>
      <c r="S80" s="922"/>
    </row>
    <row r="81" spans="1:19" ht="15.75">
      <c r="A81" s="946" t="s">
        <v>1358</v>
      </c>
      <c r="B81" s="897">
        <v>2226892</v>
      </c>
      <c r="E81" s="939"/>
      <c r="F81" s="939"/>
      <c r="G81" s="922"/>
      <c r="H81" s="922"/>
      <c r="I81" s="919"/>
      <c r="J81" s="919"/>
      <c r="K81" s="919"/>
      <c r="L81" s="919"/>
      <c r="M81" s="919"/>
      <c r="N81" s="919"/>
      <c r="O81" s="919"/>
      <c r="P81" s="924"/>
      <c r="Q81" s="935"/>
      <c r="R81" s="924"/>
      <c r="S81" s="924"/>
    </row>
    <row r="82" spans="1:19" ht="15.75">
      <c r="A82" s="946" t="s">
        <v>1359</v>
      </c>
      <c r="B82" s="897">
        <f>B79+B80-B81</f>
        <v>969403</v>
      </c>
      <c r="E82" s="939"/>
      <c r="F82" s="939"/>
      <c r="G82" s="939"/>
      <c r="H82" s="919"/>
      <c r="I82" s="919"/>
      <c r="J82" s="919"/>
      <c r="K82" s="919"/>
      <c r="L82" s="919"/>
      <c r="M82" s="919"/>
      <c r="N82" s="919"/>
      <c r="O82" s="919"/>
      <c r="P82" s="919"/>
      <c r="Q82" s="935"/>
      <c r="R82" s="919"/>
      <c r="S82" s="919"/>
    </row>
    <row r="83" spans="1:19" ht="15.75">
      <c r="A83" s="946" t="s">
        <v>1360</v>
      </c>
      <c r="B83" s="897">
        <f>B78+B80</f>
        <v>6131295</v>
      </c>
      <c r="E83" s="939"/>
      <c r="F83" s="939"/>
      <c r="G83" s="939"/>
      <c r="H83" s="919"/>
      <c r="I83" s="919"/>
      <c r="J83" s="919"/>
      <c r="K83" s="919"/>
      <c r="L83" s="919"/>
      <c r="M83" s="919"/>
      <c r="N83" s="919"/>
      <c r="O83" s="919"/>
      <c r="P83" s="919"/>
      <c r="Q83" s="935"/>
      <c r="R83" s="919"/>
      <c r="S83" s="919"/>
    </row>
    <row r="84" spans="1:19">
      <c r="E84" s="939"/>
      <c r="F84" s="939"/>
      <c r="G84" s="939"/>
      <c r="H84" s="919"/>
      <c r="I84" s="919"/>
      <c r="J84" s="919"/>
      <c r="K84" s="919"/>
      <c r="L84" s="919"/>
      <c r="M84" s="919"/>
      <c r="N84" s="919"/>
      <c r="O84" s="919"/>
      <c r="P84" s="919"/>
      <c r="Q84" s="935"/>
      <c r="R84" s="919"/>
      <c r="S84" s="919"/>
    </row>
    <row r="86" spans="1:19">
      <c r="A86" s="941" t="s">
        <v>1361</v>
      </c>
      <c r="B86" s="942">
        <v>750000000</v>
      </c>
    </row>
    <row r="87" spans="1:19">
      <c r="A87" s="941" t="s">
        <v>1362</v>
      </c>
      <c r="B87" s="943">
        <f>AC52</f>
        <v>67568861.529699996</v>
      </c>
    </row>
    <row r="88" spans="1:19">
      <c r="A88" s="941" t="s">
        <v>1363</v>
      </c>
      <c r="B88" s="944">
        <f>B86/Y56</f>
        <v>13.301343431335546</v>
      </c>
    </row>
    <row r="91" spans="1:19">
      <c r="A91" s="838" t="s">
        <v>1364</v>
      </c>
      <c r="B91" s="847">
        <v>150000000</v>
      </c>
    </row>
    <row r="92" spans="1:19">
      <c r="A92" s="838" t="s">
        <v>1365</v>
      </c>
      <c r="B92" s="847">
        <f>E52+F52+H52+M52+Y53+3+AD52</f>
        <v>47907704.973333336</v>
      </c>
    </row>
    <row r="93" spans="1:19">
      <c r="A93" s="847" t="s">
        <v>1366</v>
      </c>
      <c r="B93" s="847">
        <f>B91-B92</f>
        <v>102092295.02666667</v>
      </c>
    </row>
  </sheetData>
  <mergeCells count="7">
    <mergeCell ref="A69:Q69"/>
    <mergeCell ref="A1:Q1"/>
    <mergeCell ref="A2:Q2"/>
    <mergeCell ref="A65:Q65"/>
    <mergeCell ref="A66:Q66"/>
    <mergeCell ref="A67:Q67"/>
    <mergeCell ref="A68:Q68"/>
  </mergeCells>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4"/>
  <sheetViews>
    <sheetView zoomScale="70" zoomScaleNormal="70" workbookViewId="0">
      <selection activeCell="M31" sqref="M31:M34"/>
    </sheetView>
  </sheetViews>
  <sheetFormatPr defaultColWidth="9.33203125" defaultRowHeight="15"/>
  <cols>
    <col min="1" max="1" width="22.33203125" style="839" customWidth="1"/>
    <col min="2" max="2" width="18" style="839" customWidth="1"/>
    <col min="3" max="3" width="14.5" style="839" customWidth="1"/>
    <col min="4" max="4" width="19.5" style="839" customWidth="1"/>
    <col min="5" max="5" width="17.33203125" style="839" customWidth="1"/>
    <col min="6" max="6" width="20.1640625" style="839" customWidth="1"/>
    <col min="7" max="8" width="18.5" style="839" customWidth="1"/>
    <col min="9" max="9" width="24.33203125" style="839" customWidth="1"/>
    <col min="10" max="10" width="18.1640625" style="839" customWidth="1"/>
    <col min="11" max="12" width="17.33203125" style="839" customWidth="1"/>
    <col min="13" max="13" width="21.1640625" style="839" customWidth="1"/>
    <col min="14" max="14" width="19.83203125" style="839" customWidth="1"/>
    <col min="15" max="15" width="18.1640625" style="839" customWidth="1"/>
    <col min="16" max="16" width="17.5" style="839" customWidth="1"/>
    <col min="17" max="19" width="9.33203125" style="839"/>
    <col min="20" max="20" width="28.5" style="839" customWidth="1"/>
    <col min="21" max="16384" width="9.33203125" style="839"/>
  </cols>
  <sheetData>
    <row r="1" spans="1:16">
      <c r="A1" s="2677" t="s">
        <v>1367</v>
      </c>
      <c r="B1" s="2677"/>
      <c r="C1" s="2677"/>
      <c r="D1" s="2677"/>
      <c r="E1" s="2677"/>
      <c r="F1" s="2677"/>
      <c r="G1" s="2677"/>
      <c r="H1" s="2677"/>
      <c r="I1" s="2677"/>
      <c r="J1" s="2677"/>
      <c r="K1" s="2677"/>
      <c r="L1" s="2677"/>
      <c r="M1" s="2677"/>
      <c r="N1" s="2677"/>
    </row>
    <row r="2" spans="1:16" ht="26.45" customHeight="1">
      <c r="A2" s="2678" t="s">
        <v>1368</v>
      </c>
      <c r="B2" s="2677"/>
      <c r="C2" s="2677"/>
      <c r="D2" s="2677"/>
      <c r="E2" s="2677"/>
      <c r="F2" s="2677"/>
      <c r="G2" s="2677"/>
      <c r="H2" s="2677"/>
      <c r="I2" s="2677"/>
      <c r="J2" s="2677"/>
      <c r="K2" s="2677"/>
      <c r="L2" s="2677"/>
      <c r="M2" s="2677"/>
      <c r="N2" s="2677"/>
    </row>
    <row r="3" spans="1:16">
      <c r="A3" s="837"/>
      <c r="B3" s="837" t="s">
        <v>1369</v>
      </c>
      <c r="C3" s="837"/>
      <c r="D3" s="837"/>
      <c r="E3" s="854" t="s">
        <v>1370</v>
      </c>
      <c r="F3" s="854"/>
      <c r="G3" s="947"/>
      <c r="H3" s="854"/>
      <c r="I3" s="2677" t="s">
        <v>1371</v>
      </c>
      <c r="J3" s="2677"/>
      <c r="K3" s="2677"/>
      <c r="L3" s="837"/>
      <c r="M3" s="837"/>
      <c r="N3" s="837" t="s">
        <v>1372</v>
      </c>
    </row>
    <row r="4" spans="1:16" ht="45">
      <c r="A4" s="837"/>
      <c r="B4" s="840" t="s">
        <v>1373</v>
      </c>
      <c r="C4" s="840" t="s">
        <v>1374</v>
      </c>
      <c r="D4" s="840" t="s">
        <v>1375</v>
      </c>
      <c r="E4" s="840" t="s">
        <v>1373</v>
      </c>
      <c r="F4" s="840" t="s">
        <v>1374</v>
      </c>
      <c r="G4" s="948" t="s">
        <v>1376</v>
      </c>
      <c r="H4" s="840" t="s">
        <v>1375</v>
      </c>
      <c r="I4" s="840" t="s">
        <v>1373</v>
      </c>
      <c r="J4" s="840" t="s">
        <v>1374</v>
      </c>
      <c r="K4" s="948" t="s">
        <v>1376</v>
      </c>
      <c r="L4" s="840" t="s">
        <v>1377</v>
      </c>
      <c r="M4" s="840" t="s">
        <v>1378</v>
      </c>
      <c r="N4" s="840" t="s">
        <v>1379</v>
      </c>
      <c r="O4" s="840" t="s">
        <v>1380</v>
      </c>
    </row>
    <row r="5" spans="1:16" ht="20.25" customHeight="1">
      <c r="A5" s="846" t="s">
        <v>1381</v>
      </c>
      <c r="B5" s="847">
        <v>20000000</v>
      </c>
      <c r="C5" s="949">
        <v>1</v>
      </c>
      <c r="D5" s="950">
        <v>8000000</v>
      </c>
      <c r="E5" s="950">
        <f>D5/B14+B5</f>
        <v>20355555.555555556</v>
      </c>
      <c r="F5" s="951">
        <f>'Cayman Consolidated'!L56</f>
        <v>0.96624473377441045</v>
      </c>
      <c r="G5" s="952"/>
      <c r="H5" s="847">
        <v>11000000</v>
      </c>
      <c r="I5" s="847">
        <f>B5+H5/B14+1</f>
        <v>20488889.888888888</v>
      </c>
      <c r="J5" s="908">
        <f>'Cayman Consolidated'!O56</f>
        <v>0.92570284441238715</v>
      </c>
      <c r="K5" s="952"/>
      <c r="L5" s="953">
        <f>M5*24.8494</f>
        <v>66672955.762444466</v>
      </c>
      <c r="M5" s="954">
        <f>N5-I5</f>
        <v>2683081.1111111119</v>
      </c>
      <c r="N5" s="847">
        <f>ROUNDDOWN(N14*O5,0)</f>
        <v>23171971</v>
      </c>
      <c r="O5" s="951">
        <f>1-SUM(O6:O12)</f>
        <v>0.91883584541819618</v>
      </c>
      <c r="P5" s="955">
        <v>0.91884999999999994</v>
      </c>
    </row>
    <row r="6" spans="1:16" ht="39">
      <c r="A6" s="956" t="s">
        <v>1382</v>
      </c>
      <c r="B6" s="957"/>
      <c r="C6" s="838"/>
      <c r="D6" s="950">
        <v>12500000</v>
      </c>
      <c r="E6" s="950">
        <f>D6/B14</f>
        <v>555555.5555555555</v>
      </c>
      <c r="F6" s="951">
        <f>'Cayman Consolidated'!$L$31</f>
        <v>2.6371308815641651E-2</v>
      </c>
      <c r="G6" s="954">
        <f>'Cayman Consolidated'!$J$31</f>
        <v>1242130.9444444445</v>
      </c>
      <c r="H6" s="950">
        <v>12500000</v>
      </c>
      <c r="I6" s="950">
        <f>H6/B14</f>
        <v>555555.5555555555</v>
      </c>
      <c r="J6" s="908">
        <f>I6/I13</f>
        <v>2.5100400925993149E-2</v>
      </c>
      <c r="K6" s="954">
        <f>'Cayman Consolidated'!$M$31</f>
        <v>1242130.9444444443</v>
      </c>
      <c r="L6" s="954">
        <v>10000000</v>
      </c>
      <c r="M6" s="954">
        <f>ROUNDDOWN(L6/C15,0)</f>
        <v>402424</v>
      </c>
      <c r="N6" s="847">
        <f>M6+I6</f>
        <v>957979.5555555555</v>
      </c>
      <c r="O6" s="951">
        <f>'Cayman Consolidated'!AA31</f>
        <v>3.7986667255781779E-2</v>
      </c>
      <c r="P6" s="951"/>
    </row>
    <row r="7" spans="1:16" ht="109.5">
      <c r="A7" s="956" t="s">
        <v>1383</v>
      </c>
      <c r="B7" s="957" t="s">
        <v>1384</v>
      </c>
      <c r="C7" s="838" t="s">
        <v>1384</v>
      </c>
      <c r="D7" s="950" t="s">
        <v>1384</v>
      </c>
      <c r="E7" s="950" t="s">
        <v>1384</v>
      </c>
      <c r="F7" s="951" t="s">
        <v>1384</v>
      </c>
      <c r="G7" s="954"/>
      <c r="H7" s="847">
        <f>5500000</f>
        <v>5500000</v>
      </c>
      <c r="I7" s="950">
        <f>H7/B14</f>
        <v>244444.44444444444</v>
      </c>
      <c r="J7" s="908">
        <f>I7/I13</f>
        <v>1.1044176407436986E-2</v>
      </c>
      <c r="K7" s="954">
        <f>'Cayman Consolidated'!M32</f>
        <v>546536.61555555556</v>
      </c>
      <c r="L7" s="954"/>
      <c r="M7" s="954"/>
      <c r="N7" s="950">
        <f t="shared" ref="N7:N12" si="0">I7</f>
        <v>244444.44444444444</v>
      </c>
      <c r="O7" s="951">
        <f>'Cayman Consolidated'!AA32</f>
        <v>9.6928949617389997E-3</v>
      </c>
      <c r="P7" s="951"/>
    </row>
    <row r="8" spans="1:16" ht="109.5">
      <c r="A8" s="956" t="s">
        <v>1385</v>
      </c>
      <c r="B8" s="957" t="s">
        <v>1384</v>
      </c>
      <c r="C8" s="838" t="s">
        <v>1384</v>
      </c>
      <c r="D8" s="950" t="s">
        <v>1384</v>
      </c>
      <c r="E8" s="950" t="s">
        <v>1384</v>
      </c>
      <c r="F8" s="951" t="s">
        <v>1384</v>
      </c>
      <c r="G8" s="954" t="s">
        <v>1384</v>
      </c>
      <c r="H8" s="847">
        <v>6000000</v>
      </c>
      <c r="I8" s="958">
        <f>H8/B14-0.2</f>
        <v>266666.46666666667</v>
      </c>
      <c r="J8" s="908">
        <f>I8/I13</f>
        <v>1.2048183408332381E-2</v>
      </c>
      <c r="K8" s="954">
        <f>'Cayman Consolidated'!M33</f>
        <v>596222.85333333327</v>
      </c>
      <c r="L8" s="954"/>
      <c r="M8" s="954"/>
      <c r="N8" s="958">
        <f t="shared" si="0"/>
        <v>266666.46666666667</v>
      </c>
      <c r="O8" s="951">
        <f>'Cayman Consolidated'!AA33</f>
        <v>1.0574086578396626E-2</v>
      </c>
      <c r="P8" s="951"/>
    </row>
    <row r="9" spans="1:16" ht="69.75">
      <c r="A9" s="956" t="s">
        <v>1386</v>
      </c>
      <c r="B9" s="957" t="s">
        <v>1384</v>
      </c>
      <c r="C9" s="957" t="s">
        <v>1384</v>
      </c>
      <c r="D9" s="957" t="s">
        <v>1384</v>
      </c>
      <c r="E9" s="957" t="s">
        <v>1384</v>
      </c>
      <c r="F9" s="957" t="s">
        <v>1384</v>
      </c>
      <c r="G9" s="957" t="s">
        <v>1384</v>
      </c>
      <c r="H9" s="847">
        <v>6000000</v>
      </c>
      <c r="I9" s="958">
        <f>H9/B14-0.2</f>
        <v>266666.46666666667</v>
      </c>
      <c r="J9" s="908">
        <f>I9/I13</f>
        <v>1.2048183408332381E-2</v>
      </c>
      <c r="K9" s="954">
        <f>'Cayman Consolidated'!M34</f>
        <v>596222.85333333327</v>
      </c>
      <c r="L9" s="954"/>
      <c r="M9" s="954"/>
      <c r="N9" s="958">
        <f t="shared" si="0"/>
        <v>266666.46666666667</v>
      </c>
      <c r="O9" s="951">
        <f>'Cayman Consolidated'!AA34</f>
        <v>1.0574086578396626E-2</v>
      </c>
      <c r="P9" s="951">
        <f>SUM(O6:O9)</f>
        <v>6.8827735374314025E-2</v>
      </c>
    </row>
    <row r="10" spans="1:16" ht="54.75">
      <c r="A10" s="956" t="s">
        <v>1387</v>
      </c>
      <c r="B10" s="957"/>
      <c r="C10" s="838"/>
      <c r="D10" s="950">
        <v>2500000</v>
      </c>
      <c r="E10" s="950">
        <f>D10/B14</f>
        <v>111111.11111111111</v>
      </c>
      <c r="F10" s="951">
        <f>'Cayman Consolidated'!L35</f>
        <v>5.274257752885092E-3</v>
      </c>
      <c r="G10" s="954">
        <f>'Cayman Consolidated'!J35</f>
        <v>248426</v>
      </c>
      <c r="H10" s="847">
        <v>5000000</v>
      </c>
      <c r="I10" s="950">
        <f>H10/B14+1</f>
        <v>222223.22222222222</v>
      </c>
      <c r="J10" s="951">
        <f>'Cayman Consolidated'!O35</f>
        <v>1.0040153587516977E-2</v>
      </c>
      <c r="K10" s="954">
        <f>'Cayman Consolidated'!M35</f>
        <v>496852</v>
      </c>
      <c r="L10" s="954"/>
      <c r="M10" s="954"/>
      <c r="N10" s="950">
        <f t="shared" si="0"/>
        <v>222223.22222222222</v>
      </c>
      <c r="O10" s="951">
        <f>'Cayman Consolidated'!AA35</f>
        <v>8.8117321153945716E-3</v>
      </c>
      <c r="P10" s="959">
        <f>P5+6.882%</f>
        <v>0.98766999999999994</v>
      </c>
    </row>
    <row r="11" spans="1:16" ht="54.75">
      <c r="A11" s="956" t="s">
        <v>1388</v>
      </c>
      <c r="B11" s="957"/>
      <c r="C11" s="838"/>
      <c r="D11" s="950">
        <v>500000</v>
      </c>
      <c r="E11" s="950">
        <v>22222</v>
      </c>
      <c r="F11" s="951">
        <f>'Cayman Consolidated'!L36</f>
        <v>1.0548473044371192E-3</v>
      </c>
      <c r="G11" s="954">
        <f>'Cayman Consolidated'!J36</f>
        <v>49685</v>
      </c>
      <c r="H11" s="847">
        <v>1000000</v>
      </c>
      <c r="I11" s="950">
        <f>H11/B14</f>
        <v>44444.444444444445</v>
      </c>
      <c r="J11" s="951">
        <f>'Cayman Consolidated'!$O$36</f>
        <v>2.0080226344898725E-3</v>
      </c>
      <c r="K11" s="954">
        <f>'Cayman Consolidated'!$M$36</f>
        <v>99370</v>
      </c>
      <c r="L11" s="954"/>
      <c r="M11" s="954"/>
      <c r="N11" s="950">
        <f t="shared" si="0"/>
        <v>44444.444444444445</v>
      </c>
      <c r="O11" s="951">
        <f>'Cayman Consolidated'!AA36</f>
        <v>1.7623393290290845E-3</v>
      </c>
      <c r="P11" s="951"/>
    </row>
    <row r="12" spans="1:16" ht="57.6" customHeight="1">
      <c r="A12" s="956" t="s">
        <v>1389</v>
      </c>
      <c r="B12" s="957"/>
      <c r="C12" s="838"/>
      <c r="D12" s="950">
        <v>500000</v>
      </c>
      <c r="E12" s="950">
        <f>D12/B14</f>
        <v>22222.222222222223</v>
      </c>
      <c r="F12" s="951">
        <f>'Cayman Consolidated'!L37</f>
        <v>1.0548523526256659E-3</v>
      </c>
      <c r="G12" s="954">
        <f>'Cayman Consolidated'!J37</f>
        <v>49685.237777777773</v>
      </c>
      <c r="H12" s="847">
        <v>1000000</v>
      </c>
      <c r="I12" s="950">
        <f>H12/B14</f>
        <v>44444.444444444445</v>
      </c>
      <c r="J12" s="951">
        <f>'Cayman Consolidated'!$O$37</f>
        <v>2.0080322442948386E-3</v>
      </c>
      <c r="K12" s="954">
        <f>'Cayman Consolidated'!$M$37</f>
        <v>99370.475555555546</v>
      </c>
      <c r="L12" s="954"/>
      <c r="M12" s="954"/>
      <c r="N12" s="950">
        <f t="shared" si="0"/>
        <v>44444.444444444445</v>
      </c>
      <c r="O12" s="951">
        <f>'Cayman Consolidated'!AA37</f>
        <v>1.7623477630661045E-3</v>
      </c>
      <c r="P12" s="951"/>
    </row>
    <row r="13" spans="1:16" s="970" customFormat="1" ht="21.2" customHeight="1">
      <c r="A13" s="960" t="s">
        <v>81</v>
      </c>
      <c r="B13" s="961"/>
      <c r="C13" s="961"/>
      <c r="D13" s="962">
        <f>SUM(D5:D12)</f>
        <v>24000000</v>
      </c>
      <c r="E13" s="963">
        <f>SUM(E5:E12)+1</f>
        <v>21066667.444444448</v>
      </c>
      <c r="F13" s="964">
        <f>SUM(F5:F12)</f>
        <v>1</v>
      </c>
      <c r="G13" s="965">
        <f>SUM(G5:G12)</f>
        <v>1589927.1822222222</v>
      </c>
      <c r="H13" s="962">
        <f>SUM(H5:H12)</f>
        <v>48000000</v>
      </c>
      <c r="I13" s="963">
        <f>SUM(I5:I12)-1</f>
        <v>22133333.93333333</v>
      </c>
      <c r="J13" s="966">
        <f>SUM(J5:J12)</f>
        <v>0.99999999702878362</v>
      </c>
      <c r="K13" s="965">
        <f>SUM(K5:K12)</f>
        <v>3676705.742222222</v>
      </c>
      <c r="L13" s="965"/>
      <c r="M13" s="965"/>
      <c r="N13" s="967">
        <f>ROUNDDOWN(SUM(N5:N12),0)-1</f>
        <v>25218839</v>
      </c>
      <c r="O13" s="968">
        <f>SUM(O5:O12)</f>
        <v>1</v>
      </c>
      <c r="P13" s="969"/>
    </row>
    <row r="14" spans="1:16" ht="36.75">
      <c r="A14" s="971" t="s">
        <v>1390</v>
      </c>
      <c r="B14" s="972">
        <f>450000000/B5</f>
        <v>22.5</v>
      </c>
      <c r="C14" s="972"/>
      <c r="D14" s="973"/>
      <c r="E14" s="838"/>
      <c r="F14" s="838"/>
      <c r="G14" s="954">
        <f>K13-G13</f>
        <v>2086778.5599999998</v>
      </c>
      <c r="H14" s="838"/>
      <c r="I14" s="838"/>
      <c r="J14" s="838"/>
      <c r="K14" s="847"/>
      <c r="L14" s="847" t="s">
        <v>1391</v>
      </c>
      <c r="M14" s="847">
        <f>N6/O6</f>
        <v>25218836.627731424</v>
      </c>
      <c r="N14" s="847">
        <f>ROUND(M14,0)</f>
        <v>25218837</v>
      </c>
    </row>
    <row r="15" spans="1:16" ht="36.75">
      <c r="A15" s="971" t="s">
        <v>1392</v>
      </c>
      <c r="B15" s="972">
        <f>550000000/I13</f>
        <v>24.84939691673322</v>
      </c>
      <c r="C15" s="972">
        <f>24.8494</f>
        <v>24.849399999999999</v>
      </c>
      <c r="D15" s="974"/>
      <c r="H15" s="975"/>
      <c r="L15" s="975"/>
      <c r="O15" s="951"/>
    </row>
    <row r="16" spans="1:16">
      <c r="A16" s="971" t="s">
        <v>1393</v>
      </c>
      <c r="B16" s="972" t="s">
        <v>1394</v>
      </c>
      <c r="C16" s="972"/>
      <c r="D16" s="972"/>
      <c r="G16" s="975"/>
      <c r="J16" s="912"/>
    </row>
    <row r="17" spans="4:14">
      <c r="K17" s="975" t="s">
        <v>1395</v>
      </c>
      <c r="L17" s="976">
        <f>L5*1.2</f>
        <v>80007546.914933354</v>
      </c>
      <c r="M17" s="975"/>
    </row>
    <row r="18" spans="4:14">
      <c r="D18" s="977"/>
      <c r="E18" s="977"/>
      <c r="F18" s="977"/>
      <c r="G18" s="977"/>
      <c r="K18" s="839" t="s">
        <v>1396</v>
      </c>
      <c r="L18" s="975">
        <v>12000000</v>
      </c>
    </row>
    <row r="19" spans="4:14">
      <c r="D19" s="977"/>
      <c r="E19" s="978"/>
      <c r="F19" s="978"/>
      <c r="G19" s="977"/>
      <c r="M19" s="965">
        <f>M5+M6</f>
        <v>3085505.1111111119</v>
      </c>
    </row>
    <row r="20" spans="4:14">
      <c r="D20" s="977"/>
      <c r="E20" s="978"/>
      <c r="F20" s="978"/>
      <c r="G20" s="977"/>
    </row>
    <row r="21" spans="4:14">
      <c r="D21" s="924"/>
      <c r="E21" s="978"/>
      <c r="F21" s="978"/>
      <c r="G21" s="977"/>
      <c r="N21" s="839">
        <f>N13*3</f>
        <v>75656517</v>
      </c>
    </row>
    <row r="22" spans="4:14">
      <c r="D22" s="979"/>
      <c r="E22" s="847"/>
      <c r="F22" s="978"/>
      <c r="G22" s="977"/>
      <c r="L22" s="975">
        <f>L17+L18</f>
        <v>92007546.914933354</v>
      </c>
    </row>
    <row r="23" spans="4:14">
      <c r="E23" s="847"/>
    </row>
    <row r="24" spans="4:14">
      <c r="E24" s="975"/>
    </row>
  </sheetData>
  <mergeCells count="3">
    <mergeCell ref="A1:N1"/>
    <mergeCell ref="A2:N2"/>
    <mergeCell ref="I3:K3"/>
  </mergeCells>
  <pageMargins left="0.7" right="0.7" top="0.75" bottom="0.75" header="0.3" footer="0.3"/>
  <pageSetup paperSize="9" orientation="portrait" r:id="rId1"/>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tint="0.59999389629810485"/>
    <pageSetUpPr fitToPage="1"/>
  </sheetPr>
  <dimension ref="A1:Y73"/>
  <sheetViews>
    <sheetView showGridLines="0" view="pageBreakPreview" zoomScaleNormal="100" zoomScaleSheetLayoutView="100" workbookViewId="0">
      <pane ySplit="3" topLeftCell="A18" activePane="bottomLeft" state="frozen"/>
      <selection pane="bottomLeft" activeCell="F24" sqref="F24"/>
    </sheetView>
  </sheetViews>
  <sheetFormatPr defaultColWidth="10.6640625" defaultRowHeight="12.75" outlineLevelCol="1"/>
  <cols>
    <col min="1" max="1" width="40.5" style="1327" bestFit="1" customWidth="1"/>
    <col min="2" max="5" width="10.6640625" style="1327" hidden="1" customWidth="1" outlineLevel="1"/>
    <col min="6" max="6" width="11.33203125" style="1327" customWidth="1" collapsed="1"/>
    <col min="7" max="21" width="11.33203125" style="1327" customWidth="1"/>
    <col min="22" max="22" width="6.6640625" style="1327" customWidth="1"/>
    <col min="23" max="16384" width="10.6640625" style="1327"/>
  </cols>
  <sheetData>
    <row r="1" spans="1:23" ht="28.5">
      <c r="A1" s="1326" t="s">
        <v>1767</v>
      </c>
      <c r="P1" s="1328"/>
      <c r="Q1" s="1328"/>
    </row>
    <row r="2" spans="1:23" s="1332" customFormat="1" ht="18" customHeight="1">
      <c r="A2" s="1329"/>
      <c r="B2" s="1330" t="s">
        <v>1768</v>
      </c>
      <c r="C2" s="1330"/>
      <c r="D2" s="1330"/>
      <c r="E2" s="1330"/>
      <c r="F2" s="1331" t="s">
        <v>1768</v>
      </c>
      <c r="G2" s="1331"/>
      <c r="H2" s="1331"/>
      <c r="I2" s="1331"/>
      <c r="J2" s="1331"/>
      <c r="K2" s="1331"/>
      <c r="L2" s="1331"/>
      <c r="M2" s="1331"/>
      <c r="N2" s="1331"/>
      <c r="O2" s="1331"/>
      <c r="P2" s="1331"/>
      <c r="Q2" s="1331"/>
      <c r="R2" s="1331"/>
      <c r="S2" s="1331"/>
      <c r="T2" s="1331"/>
      <c r="U2" s="1331"/>
    </row>
    <row r="3" spans="1:23" s="1332" customFormat="1" ht="18" customHeight="1">
      <c r="A3" s="1333"/>
      <c r="B3" s="1334" t="s">
        <v>1769</v>
      </c>
      <c r="C3" s="1334" t="s">
        <v>1770</v>
      </c>
      <c r="D3" s="1334" t="s">
        <v>1771</v>
      </c>
      <c r="E3" s="1334" t="s">
        <v>1772</v>
      </c>
      <c r="F3" s="1335" t="s">
        <v>1773</v>
      </c>
      <c r="G3" s="1335" t="s">
        <v>1774</v>
      </c>
      <c r="H3" s="1335" t="s">
        <v>1775</v>
      </c>
      <c r="I3" s="1335" t="s">
        <v>1776</v>
      </c>
      <c r="J3" s="1335" t="s">
        <v>1777</v>
      </c>
      <c r="K3" s="1335" t="s">
        <v>1778</v>
      </c>
      <c r="L3" s="1335" t="s">
        <v>1779</v>
      </c>
      <c r="M3" s="1335" t="s">
        <v>1780</v>
      </c>
      <c r="N3" s="1335" t="s">
        <v>1781</v>
      </c>
      <c r="O3" s="1335" t="s">
        <v>1782</v>
      </c>
      <c r="P3" s="1335" t="s">
        <v>1783</v>
      </c>
      <c r="Q3" s="1335" t="s">
        <v>1784</v>
      </c>
      <c r="R3" s="1335" t="s">
        <v>1785</v>
      </c>
      <c r="S3" s="1335" t="s">
        <v>1786</v>
      </c>
      <c r="T3" s="1335" t="s">
        <v>1787</v>
      </c>
      <c r="U3" s="1335" t="s">
        <v>1788</v>
      </c>
      <c r="W3" s="1336" t="s">
        <v>1789</v>
      </c>
    </row>
    <row r="4" spans="1:23" s="1332" customFormat="1" ht="21.95" customHeight="1">
      <c r="A4" s="1337" t="s">
        <v>1790</v>
      </c>
      <c r="B4" s="1329"/>
      <c r="C4" s="1329"/>
      <c r="D4" s="1329"/>
      <c r="E4" s="1329"/>
      <c r="F4" s="1329"/>
      <c r="G4" s="1329"/>
      <c r="H4" s="1329"/>
      <c r="I4" s="1329"/>
      <c r="J4" s="1329"/>
      <c r="K4" s="1329"/>
      <c r="L4" s="1329"/>
      <c r="M4" s="1329"/>
      <c r="N4" s="1329"/>
      <c r="O4" s="1329"/>
      <c r="P4" s="1329"/>
      <c r="Q4" s="1329"/>
      <c r="R4" s="1329"/>
      <c r="S4" s="1329"/>
      <c r="T4" s="1329"/>
      <c r="U4" s="1329"/>
    </row>
    <row r="5" spans="1:23" s="1332" customFormat="1" ht="20.100000000000001" customHeight="1">
      <c r="A5" s="1338" t="s">
        <v>1791</v>
      </c>
      <c r="B5" s="1339">
        <v>95.3</v>
      </c>
      <c r="C5" s="1340">
        <f>B5*(1+B6)</f>
        <v>97.873099999999994</v>
      </c>
      <c r="D5" s="1340">
        <f t="shared" ref="D5:T5" si="0">C5*(1+C6)</f>
        <v>100.51567369999998</v>
      </c>
      <c r="E5" s="1340">
        <f t="shared" si="0"/>
        <v>103.22959688989997</v>
      </c>
      <c r="F5" s="1340">
        <f t="shared" si="0"/>
        <v>106.01679600592726</v>
      </c>
      <c r="G5" s="1340">
        <f t="shared" si="0"/>
        <v>108.87924949808729</v>
      </c>
      <c r="H5" s="1340">
        <f t="shared" si="0"/>
        <v>111.81898923453564</v>
      </c>
      <c r="I5" s="1340">
        <f t="shared" si="0"/>
        <v>114.83810194386808</v>
      </c>
      <c r="J5" s="1340">
        <f t="shared" si="0"/>
        <v>117.93873069635251</v>
      </c>
      <c r="K5" s="1340">
        <f t="shared" si="0"/>
        <v>120.76926023306497</v>
      </c>
      <c r="L5" s="1340">
        <f t="shared" si="0"/>
        <v>123.30541469795932</v>
      </c>
      <c r="M5" s="1340">
        <f t="shared" si="0"/>
        <v>125.64821757722054</v>
      </c>
      <c r="N5" s="1340">
        <f t="shared" si="0"/>
        <v>127.65858905845606</v>
      </c>
      <c r="O5" s="1340">
        <f t="shared" si="0"/>
        <v>129.31815071621597</v>
      </c>
      <c r="P5" s="1340">
        <f t="shared" si="0"/>
        <v>130.61133222337813</v>
      </c>
      <c r="Q5" s="1340">
        <f t="shared" si="0"/>
        <v>131.52561154894175</v>
      </c>
      <c r="R5" s="1340">
        <f t="shared" si="0"/>
        <v>132.44629082978435</v>
      </c>
      <c r="S5" s="1340">
        <f t="shared" si="0"/>
        <v>133.37341486559282</v>
      </c>
      <c r="T5" s="1340">
        <f t="shared" si="0"/>
        <v>134.30702876965196</v>
      </c>
      <c r="U5" s="1341"/>
      <c r="W5" s="1332" t="s">
        <v>1792</v>
      </c>
    </row>
    <row r="6" spans="1:23" s="1332" customFormat="1" ht="20.100000000000001" customHeight="1">
      <c r="A6" s="1342" t="s">
        <v>1793</v>
      </c>
      <c r="B6" s="1343">
        <v>2.7E-2</v>
      </c>
      <c r="C6" s="1343">
        <v>2.7E-2</v>
      </c>
      <c r="D6" s="1343">
        <v>2.7E-2</v>
      </c>
      <c r="E6" s="1343">
        <v>2.7E-2</v>
      </c>
      <c r="F6" s="1343">
        <v>2.7E-2</v>
      </c>
      <c r="G6" s="1343">
        <v>2.7E-2</v>
      </c>
      <c r="H6" s="1343">
        <v>2.7E-2</v>
      </c>
      <c r="I6" s="1343">
        <v>2.7E-2</v>
      </c>
      <c r="J6" s="1343">
        <v>2.4E-2</v>
      </c>
      <c r="K6" s="1343">
        <v>2.1000000000000001E-2</v>
      </c>
      <c r="L6" s="1343">
        <v>1.9E-2</v>
      </c>
      <c r="M6" s="1343">
        <v>1.6E-2</v>
      </c>
      <c r="N6" s="1343">
        <v>1.2999999999999999E-2</v>
      </c>
      <c r="O6" s="1343">
        <v>0.01</v>
      </c>
      <c r="P6" s="1343">
        <v>7.0000000000000001E-3</v>
      </c>
      <c r="Q6" s="1343">
        <v>7.0000000000000001E-3</v>
      </c>
      <c r="R6" s="1343">
        <v>7.0000000000000001E-3</v>
      </c>
      <c r="S6" s="1343">
        <v>7.0000000000000001E-3</v>
      </c>
      <c r="T6" s="1344">
        <v>7.0000000000000001E-3</v>
      </c>
      <c r="U6" s="1345"/>
      <c r="W6" s="1332" t="s">
        <v>1794</v>
      </c>
    </row>
    <row r="7" spans="1:23" s="1332" customFormat="1" ht="20.100000000000001" customHeight="1">
      <c r="A7" s="1342" t="s">
        <v>1795</v>
      </c>
      <c r="B7" s="1343">
        <v>0.4</v>
      </c>
      <c r="C7" s="1343">
        <v>0.42099999999999999</v>
      </c>
      <c r="D7" s="1343">
        <v>0.443</v>
      </c>
      <c r="E7" s="1343">
        <v>0.46400000000000002</v>
      </c>
      <c r="F7" s="1343">
        <v>0.46800000000000003</v>
      </c>
      <c r="G7" s="1343">
        <v>0.50700000000000001</v>
      </c>
      <c r="H7" s="1343">
        <v>0.52900000000000003</v>
      </c>
      <c r="I7" s="1343">
        <v>0.55000000000000004</v>
      </c>
      <c r="J7" s="1343">
        <v>0.57099999999999995</v>
      </c>
      <c r="K7" s="1343">
        <v>0.59299999999999997</v>
      </c>
      <c r="L7" s="1343">
        <v>0.61399999999999999</v>
      </c>
      <c r="M7" s="1343">
        <v>0.63600000000000001</v>
      </c>
      <c r="N7" s="1343">
        <v>0.65700000000000003</v>
      </c>
      <c r="O7" s="1343">
        <v>0.67900000000000005</v>
      </c>
      <c r="P7" s="1343">
        <v>0.7</v>
      </c>
      <c r="Q7" s="1343">
        <v>0.72199999999999998</v>
      </c>
      <c r="R7" s="1343">
        <v>0.72199999999999998</v>
      </c>
      <c r="S7" s="1343">
        <v>0.72199999999999998</v>
      </c>
      <c r="T7" s="1344">
        <v>0.72199999999999998</v>
      </c>
      <c r="U7" s="1345"/>
      <c r="W7" s="1332" t="s">
        <v>1796</v>
      </c>
    </row>
    <row r="8" spans="1:23" s="1332" customFormat="1" ht="20.100000000000001" customHeight="1">
      <c r="A8" s="1338" t="s">
        <v>1797</v>
      </c>
      <c r="B8" s="1340">
        <f t="shared" ref="B8:T8" si="1">+B5*B7</f>
        <v>38.119999999999997</v>
      </c>
      <c r="C8" s="1340">
        <f t="shared" si="1"/>
        <v>41.204575099999992</v>
      </c>
      <c r="D8" s="1340">
        <f t="shared" si="1"/>
        <v>44.528443449099989</v>
      </c>
      <c r="E8" s="1340">
        <f t="shared" si="1"/>
        <v>47.898532956913584</v>
      </c>
      <c r="F8" s="1340">
        <f t="shared" si="1"/>
        <v>49.615860530773958</v>
      </c>
      <c r="G8" s="1340">
        <f t="shared" si="1"/>
        <v>55.201779495530253</v>
      </c>
      <c r="H8" s="1340">
        <f t="shared" si="1"/>
        <v>59.152245305069357</v>
      </c>
      <c r="I8" s="1340">
        <f t="shared" si="1"/>
        <v>63.160956069127451</v>
      </c>
      <c r="J8" s="1340">
        <f t="shared" si="1"/>
        <v>67.343015227617272</v>
      </c>
      <c r="K8" s="1340">
        <f t="shared" si="1"/>
        <v>71.61617131820752</v>
      </c>
      <c r="L8" s="1340">
        <f t="shared" si="1"/>
        <v>75.709524624547015</v>
      </c>
      <c r="M8" s="1340">
        <f t="shared" si="1"/>
        <v>79.912266379112268</v>
      </c>
      <c r="N8" s="1340">
        <f t="shared" si="1"/>
        <v>83.87169301140564</v>
      </c>
      <c r="O8" s="1340">
        <f t="shared" si="1"/>
        <v>87.807024336310647</v>
      </c>
      <c r="P8" s="1340">
        <f t="shared" si="1"/>
        <v>91.427932556364681</v>
      </c>
      <c r="Q8" s="1340">
        <f t="shared" si="1"/>
        <v>94.961491538335949</v>
      </c>
      <c r="R8" s="1340">
        <f t="shared" si="1"/>
        <v>95.626221979104301</v>
      </c>
      <c r="S8" s="1340">
        <f t="shared" si="1"/>
        <v>96.295605532958007</v>
      </c>
      <c r="T8" s="1346">
        <f t="shared" si="1"/>
        <v>96.969674771688716</v>
      </c>
      <c r="U8" s="1347"/>
      <c r="W8" s="1332" t="s">
        <v>1798</v>
      </c>
    </row>
    <row r="9" spans="1:23" s="1332" customFormat="1" ht="20.100000000000001" customHeight="1">
      <c r="A9" s="1342" t="s">
        <v>1799</v>
      </c>
      <c r="B9" s="1348">
        <v>0.73</v>
      </c>
      <c r="C9" s="1349">
        <f>B9</f>
        <v>0.73</v>
      </c>
      <c r="D9" s="1349">
        <f t="shared" ref="D9:S9" si="2">C9</f>
        <v>0.73</v>
      </c>
      <c r="E9" s="1349">
        <f t="shared" si="2"/>
        <v>0.73</v>
      </c>
      <c r="F9" s="1349">
        <f t="shared" si="2"/>
        <v>0.73</v>
      </c>
      <c r="G9" s="1349">
        <f t="shared" si="2"/>
        <v>0.73</v>
      </c>
      <c r="H9" s="1349">
        <f t="shared" si="2"/>
        <v>0.73</v>
      </c>
      <c r="I9" s="1349">
        <f t="shared" si="2"/>
        <v>0.73</v>
      </c>
      <c r="J9" s="1349">
        <f t="shared" si="2"/>
        <v>0.73</v>
      </c>
      <c r="K9" s="1349">
        <f t="shared" si="2"/>
        <v>0.73</v>
      </c>
      <c r="L9" s="1349">
        <f t="shared" si="2"/>
        <v>0.73</v>
      </c>
      <c r="M9" s="1349">
        <f t="shared" si="2"/>
        <v>0.73</v>
      </c>
      <c r="N9" s="1349">
        <f t="shared" si="2"/>
        <v>0.73</v>
      </c>
      <c r="O9" s="1349">
        <f t="shared" si="2"/>
        <v>0.73</v>
      </c>
      <c r="P9" s="1349">
        <f t="shared" si="2"/>
        <v>0.73</v>
      </c>
      <c r="Q9" s="1349">
        <f t="shared" si="2"/>
        <v>0.73</v>
      </c>
      <c r="R9" s="1349">
        <f t="shared" si="2"/>
        <v>0.73</v>
      </c>
      <c r="S9" s="1349">
        <f t="shared" si="2"/>
        <v>0.73</v>
      </c>
      <c r="T9" s="1349">
        <f t="shared" ref="D9:T10" si="3">S9</f>
        <v>0.73</v>
      </c>
      <c r="U9" s="1350"/>
      <c r="W9" s="1332" t="s">
        <v>1800</v>
      </c>
    </row>
    <row r="10" spans="1:23" s="1332" customFormat="1" ht="20.100000000000001" customHeight="1">
      <c r="A10" s="1342" t="s">
        <v>1801</v>
      </c>
      <c r="B10" s="1348">
        <v>0.6</v>
      </c>
      <c r="C10" s="1349">
        <f>B10</f>
        <v>0.6</v>
      </c>
      <c r="D10" s="1349">
        <f t="shared" si="3"/>
        <v>0.6</v>
      </c>
      <c r="E10" s="1349">
        <f t="shared" si="3"/>
        <v>0.6</v>
      </c>
      <c r="F10" s="1349">
        <f t="shared" si="3"/>
        <v>0.6</v>
      </c>
      <c r="G10" s="1349">
        <f t="shared" si="3"/>
        <v>0.6</v>
      </c>
      <c r="H10" s="1349">
        <f t="shared" si="3"/>
        <v>0.6</v>
      </c>
      <c r="I10" s="1349">
        <f t="shared" si="3"/>
        <v>0.6</v>
      </c>
      <c r="J10" s="1349">
        <f t="shared" si="3"/>
        <v>0.6</v>
      </c>
      <c r="K10" s="1349">
        <f t="shared" si="3"/>
        <v>0.6</v>
      </c>
      <c r="L10" s="1349">
        <f t="shared" si="3"/>
        <v>0.6</v>
      </c>
      <c r="M10" s="1349">
        <f t="shared" si="3"/>
        <v>0.6</v>
      </c>
      <c r="N10" s="1349">
        <f t="shared" si="3"/>
        <v>0.6</v>
      </c>
      <c r="O10" s="1349">
        <f t="shared" si="3"/>
        <v>0.6</v>
      </c>
      <c r="P10" s="1349">
        <f t="shared" si="3"/>
        <v>0.6</v>
      </c>
      <c r="Q10" s="1349">
        <f t="shared" si="3"/>
        <v>0.6</v>
      </c>
      <c r="R10" s="1349">
        <f t="shared" si="3"/>
        <v>0.6</v>
      </c>
      <c r="S10" s="1349">
        <f t="shared" si="3"/>
        <v>0.6</v>
      </c>
      <c r="T10" s="1351">
        <f t="shared" si="3"/>
        <v>0.6</v>
      </c>
      <c r="U10" s="1350"/>
      <c r="W10" s="1332" t="s">
        <v>1802</v>
      </c>
    </row>
    <row r="11" spans="1:23" s="1332" customFormat="1" ht="20.100000000000001" customHeight="1">
      <c r="A11" s="1342" t="s">
        <v>1803</v>
      </c>
      <c r="B11" s="1343">
        <v>0</v>
      </c>
      <c r="C11" s="1343">
        <v>0</v>
      </c>
      <c r="D11" s="1343">
        <v>0</v>
      </c>
      <c r="E11" s="1343">
        <v>0</v>
      </c>
      <c r="F11" s="1343">
        <v>0</v>
      </c>
      <c r="G11" s="1343">
        <v>0</v>
      </c>
      <c r="H11" s="1343">
        <v>0.01</v>
      </c>
      <c r="I11" s="1343">
        <v>0.03</v>
      </c>
      <c r="J11" s="1343">
        <v>0.05</v>
      </c>
      <c r="K11" s="1343">
        <v>7.0000000000000007E-2</v>
      </c>
      <c r="L11" s="1343">
        <v>0.1</v>
      </c>
      <c r="M11" s="1343">
        <v>0.13</v>
      </c>
      <c r="N11" s="1343">
        <v>0.15</v>
      </c>
      <c r="O11" s="1343">
        <v>0.18</v>
      </c>
      <c r="P11" s="1343">
        <v>0.18</v>
      </c>
      <c r="Q11" s="1343">
        <v>0.18</v>
      </c>
      <c r="R11" s="1343">
        <v>0.18</v>
      </c>
      <c r="S11" s="1343">
        <v>0.18</v>
      </c>
      <c r="T11" s="1344">
        <v>0.18</v>
      </c>
      <c r="U11" s="1345"/>
      <c r="W11" s="1332" t="s">
        <v>1804</v>
      </c>
    </row>
    <row r="12" spans="1:23" s="1332" customFormat="1" ht="20.100000000000001" customHeight="1">
      <c r="A12" s="1342" t="s">
        <v>1805</v>
      </c>
      <c r="B12" s="1343">
        <v>0.15</v>
      </c>
      <c r="C12" s="1343">
        <v>0.15</v>
      </c>
      <c r="D12" s="1343">
        <v>0.15</v>
      </c>
      <c r="E12" s="1343">
        <v>0.15</v>
      </c>
      <c r="F12" s="1343">
        <v>0.15</v>
      </c>
      <c r="G12" s="1343">
        <v>0.15</v>
      </c>
      <c r="H12" s="1343">
        <v>0.15</v>
      </c>
      <c r="I12" s="1343">
        <v>0.15</v>
      </c>
      <c r="J12" s="1343">
        <v>0.15</v>
      </c>
      <c r="K12" s="1343">
        <v>0.5</v>
      </c>
      <c r="L12" s="1343">
        <v>0.8</v>
      </c>
      <c r="M12" s="1343">
        <v>0.8</v>
      </c>
      <c r="N12" s="1343">
        <v>0.8</v>
      </c>
      <c r="O12" s="1343">
        <v>0.8</v>
      </c>
      <c r="P12" s="1343">
        <v>0.8</v>
      </c>
      <c r="Q12" s="1343">
        <v>0.8</v>
      </c>
      <c r="R12" s="1343">
        <v>0.8</v>
      </c>
      <c r="S12" s="1343">
        <v>0.8</v>
      </c>
      <c r="T12" s="1344">
        <v>0.8</v>
      </c>
      <c r="U12" s="1345"/>
      <c r="W12" s="1332" t="s">
        <v>1806</v>
      </c>
    </row>
    <row r="13" spans="1:23" s="1332" customFormat="1" ht="9.9499999999999993" customHeight="1">
      <c r="A13" s="1352"/>
      <c r="B13" s="1352"/>
      <c r="C13" s="1352"/>
      <c r="D13" s="1352"/>
      <c r="E13" s="1352"/>
      <c r="F13" s="1353"/>
      <c r="G13" s="1353"/>
      <c r="H13" s="1353"/>
      <c r="I13" s="1354"/>
      <c r="J13" s="1354"/>
      <c r="K13" s="1354"/>
      <c r="L13" s="1354"/>
      <c r="M13" s="1354"/>
      <c r="N13" s="1354"/>
      <c r="O13" s="1354"/>
      <c r="P13" s="1354"/>
      <c r="Q13" s="1354"/>
      <c r="R13" s="1354"/>
      <c r="S13" s="1354"/>
      <c r="T13" s="1354"/>
      <c r="U13" s="1355"/>
      <c r="V13" s="1356"/>
    </row>
    <row r="14" spans="1:23" s="1332" customFormat="1" ht="20.100000000000001" customHeight="1">
      <c r="A14" s="1338" t="s">
        <v>1807</v>
      </c>
      <c r="B14" s="1357">
        <f>B8*B9*B10*B11*B12*1000000</f>
        <v>0</v>
      </c>
      <c r="C14" s="1357">
        <f>C8*C9*C10*C11*C12*1000000</f>
        <v>0</v>
      </c>
      <c r="D14" s="1358"/>
      <c r="E14" s="1357">
        <f t="shared" ref="E14:T14" si="4">E8*E9*E10*E11*E12*1000000</f>
        <v>0</v>
      </c>
      <c r="F14" s="1357">
        <f t="shared" si="4"/>
        <v>0</v>
      </c>
      <c r="G14" s="1357">
        <f t="shared" si="4"/>
        <v>0</v>
      </c>
      <c r="H14" s="1357">
        <f t="shared" si="4"/>
        <v>38863.025165430568</v>
      </c>
      <c r="I14" s="1357">
        <f t="shared" si="4"/>
        <v>124490.24441225019</v>
      </c>
      <c r="J14" s="1357">
        <f t="shared" si="4"/>
        <v>221221.80502272272</v>
      </c>
      <c r="K14" s="1357">
        <f t="shared" si="4"/>
        <v>1097875.9063081213</v>
      </c>
      <c r="L14" s="1357">
        <f t="shared" si="4"/>
        <v>2652861.7428441271</v>
      </c>
      <c r="M14" s="1357">
        <f t="shared" si="4"/>
        <v>3640163.558101323</v>
      </c>
      <c r="N14" s="1357">
        <f t="shared" si="4"/>
        <v>4408296.1846794793</v>
      </c>
      <c r="O14" s="1357">
        <f t="shared" si="4"/>
        <v>5538164.6389397848</v>
      </c>
      <c r="P14" s="1357">
        <f t="shared" si="4"/>
        <v>5766542.5621950328</v>
      </c>
      <c r="Q14" s="1357">
        <f t="shared" si="4"/>
        <v>5989411.1943059256</v>
      </c>
      <c r="R14" s="1357">
        <f t="shared" si="4"/>
        <v>6031337.0726660667</v>
      </c>
      <c r="S14" s="1357">
        <f t="shared" si="4"/>
        <v>6073556.4321747273</v>
      </c>
      <c r="T14" s="1357">
        <f t="shared" si="4"/>
        <v>6116071.3271999508</v>
      </c>
      <c r="U14" s="1359"/>
    </row>
    <row r="15" spans="1:23" s="1332" customFormat="1" ht="20.100000000000001" customHeight="1">
      <c r="A15" s="1338" t="s">
        <v>1808</v>
      </c>
      <c r="B15" s="1360">
        <v>237.9</v>
      </c>
      <c r="C15" s="1361">
        <f t="shared" ref="C15:T15" si="5">+B15</f>
        <v>237.9</v>
      </c>
      <c r="D15" s="1361">
        <f t="shared" si="5"/>
        <v>237.9</v>
      </c>
      <c r="E15" s="1361">
        <f t="shared" si="5"/>
        <v>237.9</v>
      </c>
      <c r="F15" s="1361">
        <f t="shared" si="5"/>
        <v>237.9</v>
      </c>
      <c r="G15" s="1361">
        <f t="shared" si="5"/>
        <v>237.9</v>
      </c>
      <c r="H15" s="1361">
        <f t="shared" si="5"/>
        <v>237.9</v>
      </c>
      <c r="I15" s="1361">
        <f t="shared" si="5"/>
        <v>237.9</v>
      </c>
      <c r="J15" s="1361">
        <f t="shared" si="5"/>
        <v>237.9</v>
      </c>
      <c r="K15" s="1361">
        <f t="shared" si="5"/>
        <v>237.9</v>
      </c>
      <c r="L15" s="1361">
        <f t="shared" si="5"/>
        <v>237.9</v>
      </c>
      <c r="M15" s="1361">
        <f t="shared" si="5"/>
        <v>237.9</v>
      </c>
      <c r="N15" s="1361">
        <f t="shared" si="5"/>
        <v>237.9</v>
      </c>
      <c r="O15" s="1361">
        <f t="shared" si="5"/>
        <v>237.9</v>
      </c>
      <c r="P15" s="1361">
        <f t="shared" si="5"/>
        <v>237.9</v>
      </c>
      <c r="Q15" s="1361">
        <f t="shared" si="5"/>
        <v>237.9</v>
      </c>
      <c r="R15" s="1361">
        <f t="shared" si="5"/>
        <v>237.9</v>
      </c>
      <c r="S15" s="1361">
        <f t="shared" si="5"/>
        <v>237.9</v>
      </c>
      <c r="T15" s="1361">
        <f t="shared" si="5"/>
        <v>237.9</v>
      </c>
      <c r="U15" s="1362"/>
    </row>
    <row r="16" spans="1:23" s="1332" customFormat="1" ht="20.100000000000001" customHeight="1">
      <c r="A16" s="1338" t="s">
        <v>1809</v>
      </c>
      <c r="B16" s="1363">
        <v>0</v>
      </c>
      <c r="C16" s="1363">
        <v>0</v>
      </c>
      <c r="D16" s="1363">
        <v>0</v>
      </c>
      <c r="E16" s="1363">
        <v>0</v>
      </c>
      <c r="F16" s="1364">
        <v>3</v>
      </c>
      <c r="G16" s="1365">
        <f t="shared" ref="G16:T16" si="6">+F16*(1+G17)</f>
        <v>3</v>
      </c>
      <c r="H16" s="1365">
        <f t="shared" si="6"/>
        <v>3</v>
      </c>
      <c r="I16" s="1365">
        <f t="shared" si="6"/>
        <v>3</v>
      </c>
      <c r="J16" s="1365">
        <f t="shared" si="6"/>
        <v>3</v>
      </c>
      <c r="K16" s="1365">
        <f t="shared" si="6"/>
        <v>1.7999999999999998</v>
      </c>
      <c r="L16" s="1365">
        <f t="shared" si="6"/>
        <v>1.7639999999999998</v>
      </c>
      <c r="M16" s="1365">
        <f t="shared" si="6"/>
        <v>1.7287199999999998</v>
      </c>
      <c r="N16" s="1365">
        <f t="shared" si="6"/>
        <v>1.6941455999999997</v>
      </c>
      <c r="O16" s="1365">
        <f t="shared" si="6"/>
        <v>1.6602626879999998</v>
      </c>
      <c r="P16" s="1365">
        <f t="shared" si="6"/>
        <v>1.6270574342399997</v>
      </c>
      <c r="Q16" s="1365">
        <f t="shared" si="6"/>
        <v>1.5945162855551998</v>
      </c>
      <c r="R16" s="1365">
        <f t="shared" si="6"/>
        <v>1.5626259598440957</v>
      </c>
      <c r="S16" s="1365">
        <f t="shared" si="6"/>
        <v>1.5313734406472137</v>
      </c>
      <c r="T16" s="1366">
        <f t="shared" si="6"/>
        <v>1.5313734406472137</v>
      </c>
      <c r="U16" s="1367"/>
    </row>
    <row r="17" spans="1:25" s="1332" customFormat="1" ht="20.100000000000001" customHeight="1">
      <c r="A17" s="1368" t="s">
        <v>1810</v>
      </c>
      <c r="B17" s="1369"/>
      <c r="C17" s="1369"/>
      <c r="D17" s="1369"/>
      <c r="E17" s="1369"/>
      <c r="F17" s="1370">
        <v>0</v>
      </c>
      <c r="G17" s="1370">
        <v>0</v>
      </c>
      <c r="H17" s="1370">
        <v>0</v>
      </c>
      <c r="I17" s="1370">
        <v>0</v>
      </c>
      <c r="J17" s="1370">
        <v>0</v>
      </c>
      <c r="K17" s="1370">
        <v>-0.4</v>
      </c>
      <c r="L17" s="1370">
        <v>-0.02</v>
      </c>
      <c r="M17" s="1370">
        <v>-0.02</v>
      </c>
      <c r="N17" s="1370">
        <v>-0.02</v>
      </c>
      <c r="O17" s="1370">
        <v>-0.02</v>
      </c>
      <c r="P17" s="1370">
        <v>-0.02</v>
      </c>
      <c r="Q17" s="1370">
        <v>-0.02</v>
      </c>
      <c r="R17" s="1370">
        <v>-0.02</v>
      </c>
      <c r="S17" s="1370">
        <v>-0.02</v>
      </c>
      <c r="T17" s="1371">
        <v>0</v>
      </c>
      <c r="U17" s="1372"/>
      <c r="W17" s="1332" t="s">
        <v>1811</v>
      </c>
      <c r="Y17" s="1332" t="s">
        <v>1812</v>
      </c>
    </row>
    <row r="18" spans="1:25" s="1332" customFormat="1" ht="20.100000000000001" customHeight="1">
      <c r="A18" s="1373" t="s">
        <v>1813</v>
      </c>
      <c r="B18" s="1374"/>
      <c r="C18" s="1374"/>
      <c r="D18" s="1374"/>
      <c r="E18" s="1374"/>
      <c r="F18" s="1375">
        <f>F14*F15*F16/1000000</f>
        <v>0</v>
      </c>
      <c r="G18" s="1375">
        <f t="shared" ref="G18:U18" si="7">G14*G15*G16/1000000</f>
        <v>0</v>
      </c>
      <c r="H18" s="1375">
        <f t="shared" si="7"/>
        <v>27.736541060567795</v>
      </c>
      <c r="I18" s="1375">
        <f t="shared" si="7"/>
        <v>88.848687437022974</v>
      </c>
      <c r="J18" s="1375">
        <f t="shared" si="7"/>
        <v>157.88600224471722</v>
      </c>
      <c r="K18" s="1375">
        <f t="shared" si="7"/>
        <v>470.1324205992637</v>
      </c>
      <c r="L18" s="1375">
        <f t="shared" si="7"/>
        <v>1113.2882864102976</v>
      </c>
      <c r="M18" s="1375">
        <f t="shared" si="7"/>
        <v>1497.0627216316825</v>
      </c>
      <c r="N18" s="1375">
        <f t="shared" si="7"/>
        <v>1776.7075196171461</v>
      </c>
      <c r="O18" s="1375">
        <f t="shared" si="7"/>
        <v>2187.4448493767827</v>
      </c>
      <c r="P18" s="1375">
        <f t="shared" si="7"/>
        <v>2232.0957854774633</v>
      </c>
      <c r="Q18" s="1375">
        <f t="shared" si="7"/>
        <v>2271.9958369003448</v>
      </c>
      <c r="R18" s="1375">
        <f t="shared" si="7"/>
        <v>2242.1418116034743</v>
      </c>
      <c r="S18" s="1375">
        <f t="shared" si="7"/>
        <v>2212.680068199003</v>
      </c>
      <c r="T18" s="1375">
        <f t="shared" si="7"/>
        <v>2228.1688286763965</v>
      </c>
      <c r="U18" s="1375">
        <f t="shared" si="7"/>
        <v>0</v>
      </c>
      <c r="W18" s="1376">
        <v>-0.9</v>
      </c>
      <c r="Y18" s="1376">
        <v>0.65</v>
      </c>
    </row>
    <row r="19" spans="1:25" s="1332" customFormat="1" ht="20.100000000000001" customHeight="1">
      <c r="A19" s="1377" t="s">
        <v>1814</v>
      </c>
      <c r="B19" s="1378"/>
      <c r="C19" s="1378"/>
      <c r="D19" s="1378"/>
      <c r="E19" s="1378"/>
      <c r="F19" s="1379">
        <f>F46</f>
        <v>0.65</v>
      </c>
      <c r="G19" s="1379">
        <f t="shared" ref="G19:U19" si="8">G46</f>
        <v>0.65</v>
      </c>
      <c r="H19" s="1379">
        <f t="shared" si="8"/>
        <v>0.65</v>
      </c>
      <c r="I19" s="1379">
        <f t="shared" si="8"/>
        <v>0.65</v>
      </c>
      <c r="J19" s="1379">
        <f t="shared" si="8"/>
        <v>0.65</v>
      </c>
      <c r="K19" s="1379">
        <f t="shared" si="8"/>
        <v>0.65</v>
      </c>
      <c r="L19" s="1379">
        <f t="shared" si="8"/>
        <v>0.65</v>
      </c>
      <c r="M19" s="1379">
        <f t="shared" si="8"/>
        <v>0.65</v>
      </c>
      <c r="N19" s="1379">
        <f t="shared" si="8"/>
        <v>0.65</v>
      </c>
      <c r="O19" s="1379">
        <f t="shared" si="8"/>
        <v>0.65</v>
      </c>
      <c r="P19" s="1379">
        <f t="shared" si="8"/>
        <v>0.65</v>
      </c>
      <c r="Q19" s="1379">
        <f t="shared" si="8"/>
        <v>0.65</v>
      </c>
      <c r="R19" s="1379">
        <f t="shared" si="8"/>
        <v>0.65</v>
      </c>
      <c r="S19" s="1379">
        <f t="shared" si="8"/>
        <v>0.65</v>
      </c>
      <c r="T19" s="1379">
        <f t="shared" si="8"/>
        <v>0.65</v>
      </c>
      <c r="U19" s="1379">
        <f t="shared" si="8"/>
        <v>0.65</v>
      </c>
    </row>
    <row r="20" spans="1:25" s="1332" customFormat="1" ht="20.100000000000001" customHeight="1">
      <c r="A20" s="1373" t="s">
        <v>1815</v>
      </c>
      <c r="B20" s="1380"/>
      <c r="C20" s="1380"/>
      <c r="D20" s="1380"/>
      <c r="E20" s="1380"/>
      <c r="F20" s="1375">
        <f t="shared" ref="F20:U20" si="9">+F19*F18</f>
        <v>0</v>
      </c>
      <c r="G20" s="1375">
        <f t="shared" si="9"/>
        <v>0</v>
      </c>
      <c r="H20" s="1375">
        <f t="shared" si="9"/>
        <v>18.028751689369066</v>
      </c>
      <c r="I20" s="1375">
        <f t="shared" si="9"/>
        <v>57.751646834064935</v>
      </c>
      <c r="J20" s="1375">
        <f t="shared" si="9"/>
        <v>102.6259014590662</v>
      </c>
      <c r="K20" s="1375">
        <f t="shared" si="9"/>
        <v>305.5860733895214</v>
      </c>
      <c r="L20" s="1375">
        <f t="shared" si="9"/>
        <v>723.63738616669343</v>
      </c>
      <c r="M20" s="1375">
        <f t="shared" si="9"/>
        <v>973.09076906059363</v>
      </c>
      <c r="N20" s="1375">
        <f t="shared" si="9"/>
        <v>1154.8598877511449</v>
      </c>
      <c r="O20" s="1375">
        <f t="shared" si="9"/>
        <v>1421.8391520949087</v>
      </c>
      <c r="P20" s="1375">
        <f t="shared" si="9"/>
        <v>1450.8622605603512</v>
      </c>
      <c r="Q20" s="1375">
        <f t="shared" si="9"/>
        <v>1476.7972939852241</v>
      </c>
      <c r="R20" s="1375">
        <f t="shared" si="9"/>
        <v>1457.3921775422584</v>
      </c>
      <c r="S20" s="1375">
        <f t="shared" si="9"/>
        <v>1438.242044329352</v>
      </c>
      <c r="T20" s="1375">
        <f t="shared" si="9"/>
        <v>1448.3097386396578</v>
      </c>
      <c r="U20" s="1375">
        <f t="shared" si="9"/>
        <v>0</v>
      </c>
      <c r="W20" s="1332">
        <v>0</v>
      </c>
      <c r="X20" s="1332">
        <v>200</v>
      </c>
      <c r="Y20" s="1332">
        <v>500</v>
      </c>
    </row>
    <row r="21" spans="1:25" s="1332" customFormat="1" ht="20.100000000000001" customHeight="1">
      <c r="A21" s="1329" t="s">
        <v>1816</v>
      </c>
      <c r="F21" s="1381">
        <f>IF(F20&gt;$Y$21,$Y$21, IF(F20&gt;$X$20,$X$21,$W$21))*F20</f>
        <v>0</v>
      </c>
      <c r="G21" s="1381">
        <f t="shared" ref="G21:U21" si="10">IF(G20&gt;$Y$21,$Y$21, IF(G20&gt;$X$20,$X$21,$W$21))*G20</f>
        <v>0</v>
      </c>
      <c r="H21" s="1381">
        <f t="shared" si="10"/>
        <v>1.6225876520432159</v>
      </c>
      <c r="I21" s="1381">
        <f t="shared" si="10"/>
        <v>5.1976482150658443</v>
      </c>
      <c r="J21" s="1381">
        <f t="shared" si="10"/>
        <v>9.2363311313159571</v>
      </c>
      <c r="K21" s="1381">
        <f t="shared" si="10"/>
        <v>27.502746605056924</v>
      </c>
      <c r="L21" s="1381">
        <f t="shared" si="10"/>
        <v>65.127364755002404</v>
      </c>
      <c r="M21" s="1381">
        <f t="shared" si="10"/>
        <v>87.578169215453428</v>
      </c>
      <c r="N21" s="1381">
        <f t="shared" si="10"/>
        <v>103.93738989760304</v>
      </c>
      <c r="O21" s="1381">
        <f t="shared" si="10"/>
        <v>127.96552368854178</v>
      </c>
      <c r="P21" s="1381">
        <f t="shared" si="10"/>
        <v>130.57760345043161</v>
      </c>
      <c r="Q21" s="1381">
        <f t="shared" si="10"/>
        <v>132.91175645867017</v>
      </c>
      <c r="R21" s="1381">
        <f t="shared" si="10"/>
        <v>131.16529597880324</v>
      </c>
      <c r="S21" s="1381">
        <f t="shared" si="10"/>
        <v>129.44178398964166</v>
      </c>
      <c r="T21" s="1381">
        <f t="shared" si="10"/>
        <v>130.3478764775692</v>
      </c>
      <c r="U21" s="1381">
        <f t="shared" si="10"/>
        <v>0</v>
      </c>
      <c r="W21" s="1376">
        <v>7.0000000000000007E-2</v>
      </c>
      <c r="X21" s="1376">
        <v>0.08</v>
      </c>
      <c r="Y21" s="1376">
        <v>0.09</v>
      </c>
    </row>
    <row r="22" spans="1:25" s="1332" customFormat="1" ht="20.100000000000001" customHeight="1">
      <c r="A22" s="1329" t="s">
        <v>1817</v>
      </c>
      <c r="F22" s="1381">
        <f>F48*F49/1000000</f>
        <v>0</v>
      </c>
      <c r="G22" s="1381">
        <f t="shared" ref="G22:U22" si="11">G48*G49/1000000</f>
        <v>7.5</v>
      </c>
      <c r="H22" s="1381">
        <f t="shared" si="11"/>
        <v>15.45</v>
      </c>
      <c r="I22" s="1381">
        <f t="shared" si="11"/>
        <v>23.870249999999999</v>
      </c>
      <c r="J22" s="1381">
        <f t="shared" si="11"/>
        <v>32.781810000000007</v>
      </c>
      <c r="K22" s="1381">
        <f t="shared" si="11"/>
        <v>33.765264300000005</v>
      </c>
      <c r="L22" s="1381">
        <f t="shared" si="11"/>
        <v>34.778222229000008</v>
      </c>
      <c r="M22" s="1381">
        <f t="shared" si="11"/>
        <v>35.821568895870008</v>
      </c>
      <c r="N22" s="1381">
        <f t="shared" si="11"/>
        <v>36.896215962746105</v>
      </c>
      <c r="O22" s="1381">
        <f t="shared" si="11"/>
        <v>38.003102441628485</v>
      </c>
      <c r="P22" s="1381">
        <f t="shared" si="11"/>
        <v>39.143195514877341</v>
      </c>
      <c r="Q22" s="1381">
        <f t="shared" si="11"/>
        <v>40.317491380323673</v>
      </c>
      <c r="R22" s="1381">
        <f t="shared" si="11"/>
        <v>41.527016121733382</v>
      </c>
      <c r="S22" s="1381">
        <f t="shared" si="11"/>
        <v>42.772826605385383</v>
      </c>
      <c r="T22" s="1381">
        <f t="shared" si="11"/>
        <v>44.056011403546947</v>
      </c>
      <c r="U22" s="1381">
        <f t="shared" si="11"/>
        <v>45.377691745653358</v>
      </c>
    </row>
    <row r="23" spans="1:25" s="1332" customFormat="1" ht="20.100000000000001" customHeight="1">
      <c r="A23" s="1329" t="s">
        <v>82</v>
      </c>
      <c r="F23" s="1381">
        <f t="shared" ref="F23:U23" si="12">+F20*F52</f>
        <v>0</v>
      </c>
      <c r="G23" s="1381">
        <f t="shared" si="12"/>
        <v>0</v>
      </c>
      <c r="H23" s="1381">
        <f t="shared" si="12"/>
        <v>15.685013969751088</v>
      </c>
      <c r="I23" s="1381">
        <f t="shared" si="12"/>
        <v>42.736218657208049</v>
      </c>
      <c r="J23" s="1381">
        <f>+J20*J52</f>
        <v>62.601799890030378</v>
      </c>
      <c r="K23" s="1381">
        <f t="shared" si="12"/>
        <v>146.68131522697027</v>
      </c>
      <c r="L23" s="1381">
        <f t="shared" si="12"/>
        <v>253.2730851583427</v>
      </c>
      <c r="M23" s="1381">
        <f t="shared" si="12"/>
        <v>340.58176917120772</v>
      </c>
      <c r="N23" s="1381">
        <f t="shared" si="12"/>
        <v>404.20096071290072</v>
      </c>
      <c r="O23" s="1381">
        <f>+O20*O52</f>
        <v>497.64370323321805</v>
      </c>
      <c r="P23" s="1381">
        <f t="shared" si="12"/>
        <v>507.80179119612285</v>
      </c>
      <c r="Q23" s="1381">
        <f t="shared" si="12"/>
        <v>516.87905289482842</v>
      </c>
      <c r="R23" s="1381">
        <f t="shared" si="12"/>
        <v>510.08726213979043</v>
      </c>
      <c r="S23" s="1381">
        <f t="shared" si="12"/>
        <v>503.38471551527317</v>
      </c>
      <c r="T23" s="1381">
        <f t="shared" si="12"/>
        <v>506.90840852388021</v>
      </c>
      <c r="U23" s="1381">
        <f t="shared" si="12"/>
        <v>0</v>
      </c>
      <c r="W23" s="1866"/>
    </row>
    <row r="24" spans="1:25" s="1332" customFormat="1" ht="20.100000000000001" customHeight="1">
      <c r="A24" s="1352" t="s">
        <v>1818</v>
      </c>
      <c r="F24" s="1382">
        <v>10</v>
      </c>
      <c r="G24" s="1382">
        <v>10</v>
      </c>
      <c r="H24" s="1382">
        <v>10</v>
      </c>
      <c r="I24" s="1382">
        <v>10</v>
      </c>
      <c r="J24" s="1382">
        <v>10</v>
      </c>
      <c r="K24" s="1382">
        <v>10</v>
      </c>
      <c r="L24" s="1382">
        <v>0</v>
      </c>
      <c r="M24" s="1382">
        <v>0</v>
      </c>
      <c r="N24" s="1382">
        <v>0</v>
      </c>
      <c r="O24" s="1382">
        <v>0</v>
      </c>
      <c r="P24" s="1382">
        <v>0</v>
      </c>
      <c r="Q24" s="1382">
        <v>0</v>
      </c>
      <c r="R24" s="1382">
        <v>0</v>
      </c>
      <c r="S24" s="1382">
        <v>0</v>
      </c>
      <c r="T24" s="1382">
        <v>0</v>
      </c>
      <c r="U24" s="1382">
        <v>0</v>
      </c>
    </row>
    <row r="25" spans="1:25" s="1332" customFormat="1" ht="5.0999999999999996" customHeight="1">
      <c r="A25" s="1329"/>
      <c r="F25" s="1329"/>
      <c r="G25" s="1329"/>
      <c r="H25" s="1329"/>
      <c r="I25" s="1329"/>
      <c r="J25" s="1329"/>
      <c r="K25" s="1329"/>
      <c r="L25" s="1329"/>
      <c r="M25" s="1329"/>
      <c r="N25" s="1329"/>
      <c r="O25" s="1329"/>
      <c r="P25" s="1329"/>
      <c r="Q25" s="1329"/>
      <c r="R25" s="1329"/>
      <c r="S25" s="1329"/>
      <c r="T25" s="1329"/>
      <c r="U25" s="1329"/>
    </row>
    <row r="26" spans="1:25" s="1332" customFormat="1" ht="20.100000000000001" customHeight="1">
      <c r="A26" s="1383" t="s">
        <v>85</v>
      </c>
      <c r="B26" s="1384"/>
      <c r="C26" s="1384"/>
      <c r="D26" s="1384"/>
      <c r="E26" s="1384"/>
      <c r="F26" s="1385">
        <f>+F20-F23-F24-F21-F22</f>
        <v>-10</v>
      </c>
      <c r="G26" s="1385">
        <f t="shared" ref="G26:U26" si="13">+G20-G23-G24-G21-G22</f>
        <v>-17.5</v>
      </c>
      <c r="H26" s="1385">
        <f t="shared" si="13"/>
        <v>-24.728849932425234</v>
      </c>
      <c r="I26" s="1385">
        <f t="shared" si="13"/>
        <v>-24.052470038208956</v>
      </c>
      <c r="J26" s="1385">
        <f t="shared" si="13"/>
        <v>-11.994039562280143</v>
      </c>
      <c r="K26" s="1385">
        <f t="shared" si="13"/>
        <v>87.636747257494193</v>
      </c>
      <c r="L26" s="1385">
        <f t="shared" si="13"/>
        <v>370.4587140243483</v>
      </c>
      <c r="M26" s="1385">
        <f t="shared" si="13"/>
        <v>509.10926177806249</v>
      </c>
      <c r="N26" s="1385">
        <f t="shared" si="13"/>
        <v>609.82532117789515</v>
      </c>
      <c r="O26" s="1385">
        <f t="shared" si="13"/>
        <v>758.22682273152043</v>
      </c>
      <c r="P26" s="1385">
        <f t="shared" si="13"/>
        <v>773.33967039891934</v>
      </c>
      <c r="Q26" s="1385">
        <f t="shared" si="13"/>
        <v>786.68899325140183</v>
      </c>
      <c r="R26" s="1385">
        <f t="shared" si="13"/>
        <v>774.61260330193136</v>
      </c>
      <c r="S26" s="1385">
        <f t="shared" si="13"/>
        <v>762.64271821905174</v>
      </c>
      <c r="T26" s="1385">
        <f t="shared" si="13"/>
        <v>766.99744223466143</v>
      </c>
      <c r="U26" s="1385">
        <f t="shared" si="13"/>
        <v>-45.377691745653358</v>
      </c>
    </row>
    <row r="27" spans="1:25" s="1332" customFormat="1" ht="20.100000000000001" customHeight="1">
      <c r="A27" s="1386" t="s">
        <v>1819</v>
      </c>
      <c r="C27" s="1387">
        <v>0.40200000000000002</v>
      </c>
      <c r="D27" s="1387">
        <v>0.377</v>
      </c>
      <c r="E27" s="1387">
        <v>0.317</v>
      </c>
      <c r="F27" s="1388" t="str">
        <f t="shared" ref="F27:U27" si="14">+IFERROR(F26/F20,"n.m.")</f>
        <v>n.m.</v>
      </c>
      <c r="G27" s="1389" t="str">
        <f t="shared" si="14"/>
        <v>n.m.</v>
      </c>
      <c r="H27" s="1389">
        <f t="shared" si="14"/>
        <v>-1.3716340631063761</v>
      </c>
      <c r="I27" s="1389">
        <f t="shared" si="14"/>
        <v>-0.41648111104637026</v>
      </c>
      <c r="J27" s="1389">
        <f t="shared" si="14"/>
        <v>-0.11687146608952455</v>
      </c>
      <c r="K27" s="1389">
        <f t="shared" si="14"/>
        <v>0.28678252999372211</v>
      </c>
      <c r="L27" s="1389">
        <f t="shared" si="14"/>
        <v>0.5119397105596909</v>
      </c>
      <c r="M27" s="1389">
        <f t="shared" si="14"/>
        <v>0.52318784430516019</v>
      </c>
      <c r="N27" s="1389">
        <f t="shared" si="14"/>
        <v>0.52805134860593872</v>
      </c>
      <c r="O27" s="1389">
        <f t="shared" si="14"/>
        <v>0.53327186947578742</v>
      </c>
      <c r="P27" s="1389">
        <f t="shared" si="14"/>
        <v>0.53302073630355551</v>
      </c>
      <c r="Q27" s="1389">
        <f t="shared" si="14"/>
        <v>0.53269937347222207</v>
      </c>
      <c r="R27" s="1389">
        <f t="shared" si="14"/>
        <v>0.53150594276431185</v>
      </c>
      <c r="S27" s="1389">
        <f t="shared" si="14"/>
        <v>0.53026034194033711</v>
      </c>
      <c r="T27" s="1389">
        <f t="shared" si="14"/>
        <v>0.52958108460630315</v>
      </c>
      <c r="U27" s="1389" t="str">
        <f t="shared" si="14"/>
        <v>n.m.</v>
      </c>
    </row>
    <row r="28" spans="1:25" s="1332" customFormat="1" ht="20.100000000000001" customHeight="1">
      <c r="A28" s="1329" t="s">
        <v>1820</v>
      </c>
      <c r="F28" s="1381">
        <f t="shared" ref="F28:U28" si="15">+F53*F20</f>
        <v>0</v>
      </c>
      <c r="G28" s="1381">
        <f t="shared" si="15"/>
        <v>0</v>
      </c>
      <c r="H28" s="1381">
        <f t="shared" si="15"/>
        <v>0.45071879223422667</v>
      </c>
      <c r="I28" s="1381">
        <f t="shared" si="15"/>
        <v>1.4437911708516236</v>
      </c>
      <c r="J28" s="1381">
        <f t="shared" si="15"/>
        <v>2.5656475364766553</v>
      </c>
      <c r="K28" s="1381">
        <f t="shared" si="15"/>
        <v>7.6396518347380358</v>
      </c>
      <c r="L28" s="1381">
        <f t="shared" si="15"/>
        <v>18.090934654167338</v>
      </c>
      <c r="M28" s="1381">
        <f t="shared" si="15"/>
        <v>24.327269226514844</v>
      </c>
      <c r="N28" s="1381">
        <f t="shared" si="15"/>
        <v>28.871497193778623</v>
      </c>
      <c r="O28" s="1381">
        <f t="shared" si="15"/>
        <v>35.545978802372723</v>
      </c>
      <c r="P28" s="1381">
        <f t="shared" si="15"/>
        <v>36.271556514008779</v>
      </c>
      <c r="Q28" s="1381">
        <f t="shared" si="15"/>
        <v>36.919932349630606</v>
      </c>
      <c r="R28" s="1381">
        <f t="shared" si="15"/>
        <v>36.434804438556462</v>
      </c>
      <c r="S28" s="1381">
        <f t="shared" si="15"/>
        <v>35.956051108233801</v>
      </c>
      <c r="T28" s="1381">
        <f t="shared" si="15"/>
        <v>36.207743465991449</v>
      </c>
      <c r="U28" s="1381">
        <f t="shared" si="15"/>
        <v>0</v>
      </c>
    </row>
    <row r="29" spans="1:25" s="1391" customFormat="1" ht="5.0999999999999996" customHeight="1">
      <c r="A29" s="1390"/>
      <c r="F29" s="1392"/>
      <c r="G29" s="1392"/>
      <c r="H29" s="1392"/>
      <c r="I29" s="1392"/>
      <c r="J29" s="1392"/>
      <c r="K29" s="1392"/>
      <c r="L29" s="1392"/>
      <c r="M29" s="1392"/>
      <c r="N29" s="1392"/>
      <c r="O29" s="1392"/>
      <c r="P29" s="1392"/>
      <c r="Q29" s="1392"/>
      <c r="R29" s="1392"/>
      <c r="S29" s="1392"/>
      <c r="T29" s="1392"/>
      <c r="U29" s="1392"/>
    </row>
    <row r="30" spans="1:25" s="1332" customFormat="1" ht="20.100000000000001" customHeight="1">
      <c r="A30" s="1373" t="s">
        <v>86</v>
      </c>
      <c r="B30" s="1374"/>
      <c r="C30" s="1374"/>
      <c r="D30" s="1374"/>
      <c r="E30" s="1374"/>
      <c r="F30" s="1375">
        <f t="shared" ref="F30:U30" si="16">+F26-F28</f>
        <v>-10</v>
      </c>
      <c r="G30" s="1375">
        <f t="shared" si="16"/>
        <v>-17.5</v>
      </c>
      <c r="H30" s="1375">
        <f t="shared" si="16"/>
        <v>-25.179568724659461</v>
      </c>
      <c r="I30" s="1375">
        <f t="shared" si="16"/>
        <v>-25.496261209060577</v>
      </c>
      <c r="J30" s="1375">
        <f t="shared" si="16"/>
        <v>-14.559687098756799</v>
      </c>
      <c r="K30" s="1375">
        <f t="shared" si="16"/>
        <v>79.997095422756161</v>
      </c>
      <c r="L30" s="1375">
        <f t="shared" si="16"/>
        <v>352.36777937018098</v>
      </c>
      <c r="M30" s="1375">
        <f t="shared" si="16"/>
        <v>484.78199255154766</v>
      </c>
      <c r="N30" s="1375">
        <f t="shared" si="16"/>
        <v>580.95382398411653</v>
      </c>
      <c r="O30" s="1375">
        <f t="shared" si="16"/>
        <v>722.68084392914773</v>
      </c>
      <c r="P30" s="1375">
        <f t="shared" si="16"/>
        <v>737.06811388491053</v>
      </c>
      <c r="Q30" s="1375">
        <f t="shared" si="16"/>
        <v>749.76906090177124</v>
      </c>
      <c r="R30" s="1375">
        <f t="shared" si="16"/>
        <v>738.17779886337485</v>
      </c>
      <c r="S30" s="1375">
        <f t="shared" si="16"/>
        <v>726.68666711081789</v>
      </c>
      <c r="T30" s="1375">
        <f t="shared" si="16"/>
        <v>730.78969876866995</v>
      </c>
      <c r="U30" s="1375">
        <f t="shared" si="16"/>
        <v>-45.377691745653358</v>
      </c>
    </row>
    <row r="31" spans="1:25" s="1332" customFormat="1" ht="20.100000000000001" customHeight="1">
      <c r="A31" s="1386" t="s">
        <v>1821</v>
      </c>
      <c r="C31" s="1387">
        <v>0.40200000000000002</v>
      </c>
      <c r="D31" s="1387">
        <v>0.377</v>
      </c>
      <c r="E31" s="1387">
        <v>0.36299999999999999</v>
      </c>
      <c r="F31" s="1388" t="str">
        <f t="shared" ref="F31:U31" si="17">+IFERROR(F30/F20,"n.m.")</f>
        <v>n.m.</v>
      </c>
      <c r="G31" s="1389" t="str">
        <f t="shared" si="17"/>
        <v>n.m.</v>
      </c>
      <c r="H31" s="1389">
        <f t="shared" si="17"/>
        <v>-1.3966340631063761</v>
      </c>
      <c r="I31" s="1389">
        <f t="shared" si="17"/>
        <v>-0.44148111104637022</v>
      </c>
      <c r="J31" s="1389">
        <f t="shared" si="17"/>
        <v>-0.14187146608952456</v>
      </c>
      <c r="K31" s="1389">
        <f t="shared" si="17"/>
        <v>0.26178252999372215</v>
      </c>
      <c r="L31" s="1389">
        <f t="shared" si="17"/>
        <v>0.48693971055969093</v>
      </c>
      <c r="M31" s="1389">
        <f t="shared" si="17"/>
        <v>0.49818784430516022</v>
      </c>
      <c r="N31" s="1389">
        <f t="shared" si="17"/>
        <v>0.50305134860593881</v>
      </c>
      <c r="O31" s="1389">
        <f t="shared" si="17"/>
        <v>0.5082718694757874</v>
      </c>
      <c r="P31" s="1389">
        <f t="shared" si="17"/>
        <v>0.50802073630355549</v>
      </c>
      <c r="Q31" s="1389">
        <f t="shared" si="17"/>
        <v>0.50769937347222205</v>
      </c>
      <c r="R31" s="1389">
        <f t="shared" si="17"/>
        <v>0.50650594276431182</v>
      </c>
      <c r="S31" s="1389">
        <f t="shared" si="17"/>
        <v>0.50526034194033709</v>
      </c>
      <c r="T31" s="1389">
        <f t="shared" si="17"/>
        <v>0.50458108460630313</v>
      </c>
      <c r="U31" s="1389" t="str">
        <f t="shared" si="17"/>
        <v>n.m.</v>
      </c>
    </row>
    <row r="32" spans="1:25" s="1391" customFormat="1" ht="5.0999999999999996" customHeight="1">
      <c r="A32" s="1393"/>
      <c r="B32" s="1394"/>
      <c r="C32" s="1394"/>
      <c r="D32" s="1394"/>
      <c r="E32" s="1394"/>
      <c r="F32" s="1395"/>
      <c r="G32" s="1395"/>
      <c r="H32" s="1395"/>
      <c r="I32" s="1395"/>
      <c r="J32" s="1395"/>
      <c r="K32" s="1395"/>
      <c r="L32" s="1395"/>
      <c r="M32" s="1395"/>
      <c r="N32" s="1395"/>
      <c r="O32" s="1395"/>
      <c r="P32" s="1395"/>
      <c r="Q32" s="1395"/>
      <c r="R32" s="1395"/>
      <c r="S32" s="1395"/>
      <c r="T32" s="1395"/>
      <c r="U32" s="1395"/>
    </row>
    <row r="33" spans="1:21" s="1332" customFormat="1" ht="20.100000000000001" customHeight="1">
      <c r="A33" s="1329" t="s">
        <v>1822</v>
      </c>
      <c r="F33" s="1396">
        <f>F55</f>
        <v>0</v>
      </c>
      <c r="G33" s="1396">
        <f t="shared" ref="G33:U34" si="18">G55</f>
        <v>0</v>
      </c>
      <c r="H33" s="1396">
        <f t="shared" si="18"/>
        <v>0</v>
      </c>
      <c r="I33" s="1396">
        <f t="shared" si="18"/>
        <v>0</v>
      </c>
      <c r="J33" s="1396">
        <f t="shared" si="18"/>
        <v>0</v>
      </c>
      <c r="K33" s="1396">
        <f t="shared" si="18"/>
        <v>0</v>
      </c>
      <c r="L33" s="1396">
        <f t="shared" si="18"/>
        <v>0</v>
      </c>
      <c r="M33" s="1396">
        <f t="shared" si="18"/>
        <v>0</v>
      </c>
      <c r="N33" s="1396">
        <f t="shared" si="18"/>
        <v>0</v>
      </c>
      <c r="O33" s="1396">
        <f t="shared" si="18"/>
        <v>0</v>
      </c>
      <c r="P33" s="1396">
        <f t="shared" si="18"/>
        <v>0</v>
      </c>
      <c r="Q33" s="1396">
        <f t="shared" si="18"/>
        <v>0</v>
      </c>
      <c r="R33" s="1396">
        <f t="shared" si="18"/>
        <v>0</v>
      </c>
      <c r="S33" s="1396">
        <f t="shared" si="18"/>
        <v>0</v>
      </c>
      <c r="T33" s="1396">
        <f t="shared" si="18"/>
        <v>0</v>
      </c>
      <c r="U33" s="1396">
        <f t="shared" si="18"/>
        <v>0</v>
      </c>
    </row>
    <row r="34" spans="1:21" s="1332" customFormat="1" ht="20.100000000000001" customHeight="1">
      <c r="A34" s="1329" t="s">
        <v>1823</v>
      </c>
      <c r="F34" s="1396">
        <f>F56</f>
        <v>0</v>
      </c>
      <c r="G34" s="1396">
        <f t="shared" si="18"/>
        <v>0</v>
      </c>
      <c r="H34" s="1396">
        <f t="shared" si="18"/>
        <v>0</v>
      </c>
      <c r="I34" s="1396">
        <f t="shared" si="18"/>
        <v>0</v>
      </c>
      <c r="J34" s="1396">
        <f t="shared" si="18"/>
        <v>0</v>
      </c>
      <c r="K34" s="1396">
        <f t="shared" si="18"/>
        <v>0</v>
      </c>
      <c r="L34" s="1396">
        <f t="shared" si="18"/>
        <v>0</v>
      </c>
      <c r="M34" s="1396">
        <f t="shared" si="18"/>
        <v>0</v>
      </c>
      <c r="N34" s="1396">
        <f t="shared" si="18"/>
        <v>0</v>
      </c>
      <c r="O34" s="1396">
        <f t="shared" si="18"/>
        <v>0</v>
      </c>
      <c r="P34" s="1396">
        <f t="shared" si="18"/>
        <v>0</v>
      </c>
      <c r="Q34" s="1396">
        <f t="shared" si="18"/>
        <v>0</v>
      </c>
      <c r="R34" s="1396">
        <f t="shared" si="18"/>
        <v>0</v>
      </c>
      <c r="S34" s="1396">
        <f t="shared" si="18"/>
        <v>0</v>
      </c>
      <c r="T34" s="1396">
        <f t="shared" si="18"/>
        <v>0</v>
      </c>
      <c r="U34" s="1396">
        <f t="shared" si="18"/>
        <v>0</v>
      </c>
    </row>
    <row r="35" spans="1:21" s="1391" customFormat="1" ht="5.0999999999999996" customHeight="1">
      <c r="A35" s="1390"/>
      <c r="F35" s="1392"/>
      <c r="G35" s="1392"/>
      <c r="H35" s="1392"/>
      <c r="I35" s="1392"/>
      <c r="J35" s="1392"/>
      <c r="K35" s="1392"/>
      <c r="L35" s="1392"/>
      <c r="M35" s="1392"/>
      <c r="N35" s="1392"/>
      <c r="O35" s="1392"/>
      <c r="P35" s="1392"/>
      <c r="Q35" s="1392"/>
      <c r="R35" s="1392"/>
      <c r="S35" s="1392"/>
      <c r="T35" s="1392"/>
      <c r="U35" s="1392"/>
    </row>
    <row r="36" spans="1:21" s="1332" customFormat="1" ht="20.100000000000001" customHeight="1">
      <c r="A36" s="1373" t="s">
        <v>1824</v>
      </c>
      <c r="B36" s="1374"/>
      <c r="C36" s="1374"/>
      <c r="D36" s="1374"/>
      <c r="E36" s="1374"/>
      <c r="F36" s="1375">
        <f t="shared" ref="F36:U36" si="19">+F30-F33-F34</f>
        <v>-10</v>
      </c>
      <c r="G36" s="1375">
        <f t="shared" si="19"/>
        <v>-17.5</v>
      </c>
      <c r="H36" s="1375">
        <f t="shared" si="19"/>
        <v>-25.179568724659461</v>
      </c>
      <c r="I36" s="1375">
        <f t="shared" si="19"/>
        <v>-25.496261209060577</v>
      </c>
      <c r="J36" s="1375">
        <f t="shared" si="19"/>
        <v>-14.559687098756799</v>
      </c>
      <c r="K36" s="1375">
        <f t="shared" si="19"/>
        <v>79.997095422756161</v>
      </c>
      <c r="L36" s="1375">
        <f t="shared" si="19"/>
        <v>352.36777937018098</v>
      </c>
      <c r="M36" s="1375">
        <f t="shared" si="19"/>
        <v>484.78199255154766</v>
      </c>
      <c r="N36" s="1375">
        <f t="shared" si="19"/>
        <v>580.95382398411653</v>
      </c>
      <c r="O36" s="1375">
        <f t="shared" si="19"/>
        <v>722.68084392914773</v>
      </c>
      <c r="P36" s="1375">
        <f t="shared" si="19"/>
        <v>737.06811388491053</v>
      </c>
      <c r="Q36" s="1375">
        <f t="shared" si="19"/>
        <v>749.76906090177124</v>
      </c>
      <c r="R36" s="1375">
        <f t="shared" si="19"/>
        <v>738.17779886337485</v>
      </c>
      <c r="S36" s="1375">
        <f t="shared" si="19"/>
        <v>726.68666711081789</v>
      </c>
      <c r="T36" s="1375">
        <f t="shared" si="19"/>
        <v>730.78969876866995</v>
      </c>
      <c r="U36" s="1375">
        <f t="shared" si="19"/>
        <v>-45.377691745653358</v>
      </c>
    </row>
    <row r="37" spans="1:21" s="1391" customFormat="1" ht="9.9499999999999993" customHeight="1">
      <c r="A37" s="1393"/>
      <c r="B37" s="1394"/>
      <c r="C37" s="1394"/>
      <c r="D37" s="1394"/>
      <c r="E37" s="1394"/>
      <c r="F37" s="1395"/>
      <c r="G37" s="1395"/>
      <c r="H37" s="1395"/>
      <c r="I37" s="1395"/>
      <c r="J37" s="1395"/>
      <c r="K37" s="1395"/>
      <c r="L37" s="1395"/>
      <c r="M37" s="1395"/>
      <c r="N37" s="1395"/>
      <c r="O37" s="1395"/>
      <c r="P37" s="1395"/>
      <c r="Q37" s="1395"/>
      <c r="R37" s="1395"/>
      <c r="S37" s="1395"/>
      <c r="T37" s="1395"/>
      <c r="U37" s="1395"/>
    </row>
    <row r="38" spans="1:21" s="1332" customFormat="1" ht="20.100000000000001" customHeight="1">
      <c r="A38" s="1329" t="s">
        <v>1825</v>
      </c>
      <c r="F38" s="1381">
        <f t="shared" ref="F38:U38" si="20">IF(F61*F36&lt;0,0,F61*F36)</f>
        <v>0</v>
      </c>
      <c r="G38" s="1381">
        <f t="shared" si="20"/>
        <v>0</v>
      </c>
      <c r="H38" s="1381">
        <f t="shared" si="20"/>
        <v>0</v>
      </c>
      <c r="I38" s="1381">
        <f t="shared" si="20"/>
        <v>0</v>
      </c>
      <c r="J38" s="1381">
        <f t="shared" si="20"/>
        <v>0</v>
      </c>
      <c r="K38" s="1381">
        <f t="shared" si="20"/>
        <v>19.99927385568904</v>
      </c>
      <c r="L38" s="1381">
        <f t="shared" si="20"/>
        <v>88.091944842545246</v>
      </c>
      <c r="M38" s="1381">
        <f t="shared" si="20"/>
        <v>121.19549813788691</v>
      </c>
      <c r="N38" s="1381">
        <f t="shared" si="20"/>
        <v>145.23845599602913</v>
      </c>
      <c r="O38" s="1381">
        <f t="shared" si="20"/>
        <v>180.67021098228693</v>
      </c>
      <c r="P38" s="1381">
        <f t="shared" si="20"/>
        <v>184.26702847122763</v>
      </c>
      <c r="Q38" s="1381">
        <f t="shared" si="20"/>
        <v>187.44226522544281</v>
      </c>
      <c r="R38" s="1381">
        <f t="shared" si="20"/>
        <v>184.54444971584371</v>
      </c>
      <c r="S38" s="1381">
        <f t="shared" si="20"/>
        <v>181.67166677770447</v>
      </c>
      <c r="T38" s="1381">
        <f t="shared" si="20"/>
        <v>182.69742469216749</v>
      </c>
      <c r="U38" s="1381">
        <f t="shared" si="20"/>
        <v>0</v>
      </c>
    </row>
    <row r="39" spans="1:21" s="1332" customFormat="1" ht="20.100000000000001" customHeight="1">
      <c r="A39" s="1386" t="s">
        <v>1826</v>
      </c>
      <c r="C39" s="1387"/>
      <c r="D39" s="1387"/>
      <c r="E39" s="1387"/>
      <c r="F39" s="1389">
        <f t="shared" ref="F39:U39" si="21">IFERROR(F38/F36,"n.m.")</f>
        <v>0</v>
      </c>
      <c r="G39" s="1389">
        <f t="shared" si="21"/>
        <v>0</v>
      </c>
      <c r="H39" s="1389">
        <f t="shared" si="21"/>
        <v>0</v>
      </c>
      <c r="I39" s="1389">
        <f t="shared" si="21"/>
        <v>0</v>
      </c>
      <c r="J39" s="1389">
        <f t="shared" si="21"/>
        <v>0</v>
      </c>
      <c r="K39" s="1389">
        <f t="shared" si="21"/>
        <v>0.25</v>
      </c>
      <c r="L39" s="1389">
        <f t="shared" si="21"/>
        <v>0.25</v>
      </c>
      <c r="M39" s="1389">
        <f t="shared" si="21"/>
        <v>0.25</v>
      </c>
      <c r="N39" s="1389">
        <f t="shared" si="21"/>
        <v>0.25</v>
      </c>
      <c r="O39" s="1389">
        <f t="shared" si="21"/>
        <v>0.25</v>
      </c>
      <c r="P39" s="1389">
        <f t="shared" si="21"/>
        <v>0.25</v>
      </c>
      <c r="Q39" s="1389">
        <f t="shared" si="21"/>
        <v>0.25</v>
      </c>
      <c r="R39" s="1389">
        <f t="shared" si="21"/>
        <v>0.25</v>
      </c>
      <c r="S39" s="1389">
        <f t="shared" si="21"/>
        <v>0.25</v>
      </c>
      <c r="T39" s="1389">
        <f t="shared" si="21"/>
        <v>0.25</v>
      </c>
      <c r="U39" s="1389">
        <f t="shared" si="21"/>
        <v>0</v>
      </c>
    </row>
    <row r="40" spans="1:21" s="1332" customFormat="1" ht="5.0999999999999996" customHeight="1">
      <c r="A40" s="1329"/>
      <c r="F40" s="1329"/>
      <c r="G40" s="1329"/>
      <c r="H40" s="1329"/>
      <c r="I40" s="1329"/>
      <c r="J40" s="1329"/>
      <c r="K40" s="1329"/>
      <c r="L40" s="1329"/>
      <c r="M40" s="1329"/>
      <c r="N40" s="1329"/>
      <c r="O40" s="1329"/>
      <c r="P40" s="1329"/>
      <c r="Q40" s="1329"/>
      <c r="R40" s="1329"/>
      <c r="S40" s="1329"/>
      <c r="T40" s="1329"/>
      <c r="U40" s="1329"/>
    </row>
    <row r="41" spans="1:21" s="1332" customFormat="1" ht="20.100000000000001" customHeight="1">
      <c r="A41" s="1383" t="s">
        <v>1827</v>
      </c>
      <c r="B41" s="1384"/>
      <c r="C41" s="1384"/>
      <c r="D41" s="1384"/>
      <c r="E41" s="1384"/>
      <c r="F41" s="1385">
        <f t="shared" ref="F41:U41" si="22">+F36-F38</f>
        <v>-10</v>
      </c>
      <c r="G41" s="1385">
        <f t="shared" si="22"/>
        <v>-17.5</v>
      </c>
      <c r="H41" s="1385">
        <f t="shared" si="22"/>
        <v>-25.179568724659461</v>
      </c>
      <c r="I41" s="1385">
        <f t="shared" si="22"/>
        <v>-25.496261209060577</v>
      </c>
      <c r="J41" s="1385">
        <f t="shared" si="22"/>
        <v>-14.559687098756799</v>
      </c>
      <c r="K41" s="1385">
        <f t="shared" si="22"/>
        <v>59.99782156706712</v>
      </c>
      <c r="L41" s="1385">
        <f t="shared" si="22"/>
        <v>264.27583452763577</v>
      </c>
      <c r="M41" s="1385">
        <f t="shared" si="22"/>
        <v>363.58649441366072</v>
      </c>
      <c r="N41" s="1385">
        <f t="shared" si="22"/>
        <v>435.71536798808739</v>
      </c>
      <c r="O41" s="1385">
        <f t="shared" si="22"/>
        <v>542.01063294686082</v>
      </c>
      <c r="P41" s="1385">
        <f t="shared" si="22"/>
        <v>552.80108541368293</v>
      </c>
      <c r="Q41" s="1385">
        <f t="shared" si="22"/>
        <v>562.3267956763284</v>
      </c>
      <c r="R41" s="1385">
        <f t="shared" si="22"/>
        <v>553.63334914753113</v>
      </c>
      <c r="S41" s="1385">
        <f t="shared" si="22"/>
        <v>545.01500033311345</v>
      </c>
      <c r="T41" s="1385">
        <f t="shared" si="22"/>
        <v>548.09227407650246</v>
      </c>
      <c r="U41" s="1385">
        <f t="shared" si="22"/>
        <v>-45.377691745653358</v>
      </c>
    </row>
    <row r="42" spans="1:21" s="1332" customFormat="1" ht="20.100000000000001" customHeight="1">
      <c r="A42" s="1329"/>
      <c r="F42" s="1329"/>
      <c r="G42" s="1329"/>
      <c r="H42" s="1397"/>
      <c r="I42" s="1397"/>
      <c r="J42" s="1397"/>
      <c r="K42" s="1397"/>
      <c r="L42" s="1397"/>
      <c r="M42" s="1397"/>
      <c r="N42" s="1397"/>
      <c r="O42" s="1397"/>
      <c r="P42" s="1397"/>
      <c r="Q42" s="1397"/>
      <c r="R42" s="1397"/>
      <c r="S42" s="1397"/>
      <c r="T42" s="1397"/>
      <c r="U42" s="1397"/>
    </row>
    <row r="43" spans="1:21" s="1332" customFormat="1" ht="20.100000000000001" customHeight="1">
      <c r="A43" s="1398" t="s">
        <v>1828</v>
      </c>
      <c r="B43" s="1399"/>
      <c r="C43" s="1399"/>
      <c r="D43" s="1399"/>
      <c r="E43" s="1399"/>
      <c r="F43" s="1400"/>
      <c r="G43" s="1400"/>
      <c r="H43" s="1400"/>
      <c r="I43" s="1400"/>
      <c r="J43" s="1400"/>
      <c r="K43" s="1400"/>
      <c r="L43" s="1400"/>
      <c r="M43" s="1400"/>
      <c r="N43" s="1400"/>
      <c r="O43" s="1400"/>
      <c r="P43" s="1400"/>
      <c r="Q43" s="1400"/>
      <c r="R43" s="1400"/>
      <c r="S43" s="1400"/>
      <c r="T43" s="1400"/>
      <c r="U43" s="1400"/>
    </row>
    <row r="44" spans="1:21" s="1332" customFormat="1" ht="9.9499999999999993" customHeight="1">
      <c r="A44" s="1329"/>
      <c r="F44" s="1329"/>
      <c r="G44" s="1329"/>
      <c r="H44" s="1329"/>
      <c r="I44" s="1329"/>
      <c r="J44" s="1329"/>
      <c r="K44" s="1329"/>
      <c r="L44" s="1329"/>
      <c r="M44" s="1329"/>
      <c r="N44" s="1329"/>
      <c r="O44" s="1329"/>
      <c r="P44" s="1329"/>
      <c r="Q44" s="1329"/>
      <c r="R44" s="1329"/>
      <c r="S44" s="1329"/>
      <c r="T44" s="1329"/>
      <c r="U44" s="1329"/>
    </row>
    <row r="45" spans="1:21" s="1332" customFormat="1" ht="9.9499999999999993" customHeight="1">
      <c r="A45" s="1329"/>
      <c r="F45" s="1329"/>
      <c r="G45" s="1329"/>
      <c r="H45" s="1329"/>
      <c r="I45" s="1329"/>
      <c r="J45" s="1329"/>
      <c r="K45" s="1329"/>
      <c r="L45" s="1329"/>
      <c r="M45" s="1329"/>
      <c r="N45" s="1329"/>
      <c r="O45" s="1329"/>
      <c r="P45" s="1329"/>
      <c r="Q45" s="1329"/>
      <c r="R45" s="1329"/>
      <c r="S45" s="1329"/>
      <c r="T45" s="1329"/>
      <c r="U45" s="1329"/>
    </row>
    <row r="46" spans="1:21" s="1332" customFormat="1" ht="20.100000000000001" customHeight="1">
      <c r="A46" s="1401" t="s">
        <v>1814</v>
      </c>
      <c r="B46" s="1391"/>
      <c r="C46" s="1391"/>
      <c r="D46" s="1391"/>
      <c r="E46" s="1391"/>
      <c r="F46" s="1402">
        <f>Y18</f>
        <v>0.65</v>
      </c>
      <c r="G46" s="1402">
        <f>F46</f>
        <v>0.65</v>
      </c>
      <c r="H46" s="1402">
        <f t="shared" ref="H46:U46" si="23">G46</f>
        <v>0.65</v>
      </c>
      <c r="I46" s="1402">
        <f t="shared" si="23"/>
        <v>0.65</v>
      </c>
      <c r="J46" s="1402">
        <f t="shared" si="23"/>
        <v>0.65</v>
      </c>
      <c r="K46" s="1402">
        <f t="shared" si="23"/>
        <v>0.65</v>
      </c>
      <c r="L46" s="1402">
        <f t="shared" si="23"/>
        <v>0.65</v>
      </c>
      <c r="M46" s="1402">
        <f t="shared" si="23"/>
        <v>0.65</v>
      </c>
      <c r="N46" s="1402">
        <f t="shared" si="23"/>
        <v>0.65</v>
      </c>
      <c r="O46" s="1402">
        <f t="shared" si="23"/>
        <v>0.65</v>
      </c>
      <c r="P46" s="1402">
        <f t="shared" si="23"/>
        <v>0.65</v>
      </c>
      <c r="Q46" s="1402">
        <f t="shared" si="23"/>
        <v>0.65</v>
      </c>
      <c r="R46" s="1402">
        <f t="shared" si="23"/>
        <v>0.65</v>
      </c>
      <c r="S46" s="1402">
        <f t="shared" si="23"/>
        <v>0.65</v>
      </c>
      <c r="T46" s="1402">
        <f t="shared" si="23"/>
        <v>0.65</v>
      </c>
      <c r="U46" s="1402">
        <f t="shared" si="23"/>
        <v>0.65</v>
      </c>
    </row>
    <row r="47" spans="1:21" s="1332" customFormat="1" ht="9.9499999999999993" customHeight="1">
      <c r="A47" s="1329"/>
      <c r="F47" s="1403"/>
      <c r="G47" s="1403"/>
      <c r="H47" s="1403"/>
      <c r="I47" s="1403"/>
      <c r="J47" s="1403"/>
      <c r="K47" s="1403"/>
      <c r="L47" s="1403"/>
      <c r="M47" s="1403"/>
      <c r="N47" s="1403"/>
      <c r="O47" s="1403"/>
      <c r="P47" s="1403"/>
      <c r="Q47" s="1403"/>
      <c r="R47" s="1403"/>
      <c r="S47" s="1403"/>
      <c r="T47" s="1403"/>
      <c r="U47" s="1403"/>
    </row>
    <row r="48" spans="1:21" s="1332" customFormat="1" ht="20.100000000000001" customHeight="1">
      <c r="A48" s="1401" t="s">
        <v>1829</v>
      </c>
      <c r="B48" s="1391"/>
      <c r="C48" s="1391"/>
      <c r="D48" s="1391"/>
      <c r="E48" s="1391"/>
      <c r="F48" s="1404"/>
      <c r="G48" s="1404">
        <v>50</v>
      </c>
      <c r="H48" s="1404">
        <v>100</v>
      </c>
      <c r="I48" s="1404">
        <v>150</v>
      </c>
      <c r="J48" s="1404">
        <v>200</v>
      </c>
      <c r="K48" s="1404">
        <f t="shared" ref="K48:U48" si="24">J48</f>
        <v>200</v>
      </c>
      <c r="L48" s="1404">
        <f t="shared" si="24"/>
        <v>200</v>
      </c>
      <c r="M48" s="1404">
        <f t="shared" si="24"/>
        <v>200</v>
      </c>
      <c r="N48" s="1404">
        <f t="shared" si="24"/>
        <v>200</v>
      </c>
      <c r="O48" s="1404">
        <f t="shared" si="24"/>
        <v>200</v>
      </c>
      <c r="P48" s="1404">
        <f t="shared" si="24"/>
        <v>200</v>
      </c>
      <c r="Q48" s="1404">
        <f t="shared" si="24"/>
        <v>200</v>
      </c>
      <c r="R48" s="1404">
        <f t="shared" si="24"/>
        <v>200</v>
      </c>
      <c r="S48" s="1404">
        <f t="shared" si="24"/>
        <v>200</v>
      </c>
      <c r="T48" s="1404">
        <f t="shared" si="24"/>
        <v>200</v>
      </c>
      <c r="U48" s="1404">
        <f t="shared" si="24"/>
        <v>200</v>
      </c>
    </row>
    <row r="49" spans="1:21" s="1332" customFormat="1" ht="20.100000000000001" customHeight="1">
      <c r="A49" s="1401" t="s">
        <v>1830</v>
      </c>
      <c r="B49" s="1391"/>
      <c r="C49" s="1391"/>
      <c r="D49" s="1391"/>
      <c r="E49" s="1391"/>
      <c r="G49" s="1404">
        <v>150000</v>
      </c>
      <c r="H49" s="1404">
        <f>G49*(1+H50)</f>
        <v>154500</v>
      </c>
      <c r="I49" s="1404">
        <f t="shared" ref="I49:U49" si="25">H49*(1+I50)</f>
        <v>159135</v>
      </c>
      <c r="J49" s="1404">
        <f t="shared" si="25"/>
        <v>163909.05000000002</v>
      </c>
      <c r="K49" s="1404">
        <f t="shared" si="25"/>
        <v>168826.32150000002</v>
      </c>
      <c r="L49" s="1404">
        <f t="shared" si="25"/>
        <v>173891.11114500003</v>
      </c>
      <c r="M49" s="1404">
        <f t="shared" si="25"/>
        <v>179107.84447935002</v>
      </c>
      <c r="N49" s="1404">
        <f t="shared" si="25"/>
        <v>184481.07981373052</v>
      </c>
      <c r="O49" s="1404">
        <f t="shared" si="25"/>
        <v>190015.51220814243</v>
      </c>
      <c r="P49" s="1404">
        <f t="shared" si="25"/>
        <v>195715.97757438672</v>
      </c>
      <c r="Q49" s="1404">
        <f t="shared" si="25"/>
        <v>201587.45690161834</v>
      </c>
      <c r="R49" s="1404">
        <f t="shared" si="25"/>
        <v>207635.0806086669</v>
      </c>
      <c r="S49" s="1404">
        <f t="shared" si="25"/>
        <v>213864.13302692692</v>
      </c>
      <c r="T49" s="1404">
        <f t="shared" si="25"/>
        <v>220280.05701773474</v>
      </c>
      <c r="U49" s="1404">
        <f t="shared" si="25"/>
        <v>226888.45872826679</v>
      </c>
    </row>
    <row r="50" spans="1:21" s="1332" customFormat="1" ht="20.100000000000001" customHeight="1">
      <c r="A50" s="1401" t="s">
        <v>1831</v>
      </c>
      <c r="B50" s="1391"/>
      <c r="C50" s="1391"/>
      <c r="D50" s="1391"/>
      <c r="E50" s="1391"/>
      <c r="G50" s="1402">
        <v>0</v>
      </c>
      <c r="H50" s="1402">
        <v>0.03</v>
      </c>
      <c r="I50" s="1402">
        <v>0.03</v>
      </c>
      <c r="J50" s="1402">
        <v>0.03</v>
      </c>
      <c r="K50" s="1402">
        <v>0.03</v>
      </c>
      <c r="L50" s="1402">
        <v>0.03</v>
      </c>
      <c r="M50" s="1402">
        <v>0.03</v>
      </c>
      <c r="N50" s="1402">
        <v>0.03</v>
      </c>
      <c r="O50" s="1402">
        <v>0.03</v>
      </c>
      <c r="P50" s="1402">
        <v>0.03</v>
      </c>
      <c r="Q50" s="1402">
        <v>0.03</v>
      </c>
      <c r="R50" s="1402">
        <v>0.03</v>
      </c>
      <c r="S50" s="1402">
        <v>0.03</v>
      </c>
      <c r="T50" s="1402">
        <v>0.03</v>
      </c>
      <c r="U50" s="1402">
        <v>0.03</v>
      </c>
    </row>
    <row r="51" spans="1:21" s="1332" customFormat="1" ht="9.9499999999999993" customHeight="1">
      <c r="A51" s="1329"/>
      <c r="F51" s="1403"/>
      <c r="G51" s="1403"/>
      <c r="H51" s="1403"/>
      <c r="I51" s="1403"/>
      <c r="J51" s="1403"/>
      <c r="K51" s="1403"/>
      <c r="L51" s="1403"/>
      <c r="M51" s="1403"/>
      <c r="N51" s="1403"/>
      <c r="O51" s="1403"/>
      <c r="P51" s="1403"/>
      <c r="Q51" s="1403"/>
      <c r="R51" s="1403"/>
      <c r="S51" s="1403"/>
      <c r="T51" s="1403"/>
      <c r="U51" s="1403"/>
    </row>
    <row r="52" spans="1:21" s="1332" customFormat="1" ht="20.100000000000001" customHeight="1">
      <c r="A52" s="1329" t="s">
        <v>1832</v>
      </c>
      <c r="F52" s="1405">
        <v>1</v>
      </c>
      <c r="G52" s="1405">
        <v>1</v>
      </c>
      <c r="H52" s="1405">
        <v>0.87</v>
      </c>
      <c r="I52" s="1405">
        <v>0.74</v>
      </c>
      <c r="J52" s="1405">
        <v>0.61</v>
      </c>
      <c r="K52" s="1405">
        <v>0.48</v>
      </c>
      <c r="L52" s="1405">
        <v>0.35</v>
      </c>
      <c r="M52" s="1405">
        <v>0.35</v>
      </c>
      <c r="N52" s="1405">
        <v>0.35</v>
      </c>
      <c r="O52" s="1405">
        <v>0.35</v>
      </c>
      <c r="P52" s="1405">
        <v>0.35</v>
      </c>
      <c r="Q52" s="1405">
        <v>0.35</v>
      </c>
      <c r="R52" s="1405">
        <v>0.35</v>
      </c>
      <c r="S52" s="1405">
        <v>0.35</v>
      </c>
      <c r="T52" s="1405">
        <v>0.35</v>
      </c>
      <c r="U52" s="1405">
        <v>0.35</v>
      </c>
    </row>
    <row r="53" spans="1:21" s="1332" customFormat="1" ht="20.100000000000001" customHeight="1">
      <c r="A53" s="1329" t="s">
        <v>1833</v>
      </c>
      <c r="B53" s="1391"/>
      <c r="C53" s="1391"/>
      <c r="D53" s="1391"/>
      <c r="E53" s="1391"/>
      <c r="F53" s="1405">
        <v>2.5000000000000001E-2</v>
      </c>
      <c r="G53" s="1405">
        <v>2.5000000000000001E-2</v>
      </c>
      <c r="H53" s="1405">
        <v>2.5000000000000001E-2</v>
      </c>
      <c r="I53" s="1405">
        <v>2.5000000000000001E-2</v>
      </c>
      <c r="J53" s="1405">
        <v>2.5000000000000001E-2</v>
      </c>
      <c r="K53" s="1405">
        <v>2.5000000000000001E-2</v>
      </c>
      <c r="L53" s="1405">
        <v>2.5000000000000001E-2</v>
      </c>
      <c r="M53" s="1405">
        <v>2.5000000000000001E-2</v>
      </c>
      <c r="N53" s="1405">
        <v>2.5000000000000001E-2</v>
      </c>
      <c r="O53" s="1405">
        <v>2.5000000000000001E-2</v>
      </c>
      <c r="P53" s="1405">
        <v>2.5000000000000001E-2</v>
      </c>
      <c r="Q53" s="1405">
        <v>2.5000000000000001E-2</v>
      </c>
      <c r="R53" s="1405">
        <v>2.5000000000000001E-2</v>
      </c>
      <c r="S53" s="1405">
        <v>2.5000000000000001E-2</v>
      </c>
      <c r="T53" s="1405">
        <v>2.5000000000000001E-2</v>
      </c>
      <c r="U53" s="1405">
        <v>2.5000000000000001E-2</v>
      </c>
    </row>
    <row r="54" spans="1:21" s="1391" customFormat="1" ht="9.9499999999999993" customHeight="1">
      <c r="A54" s="1390"/>
      <c r="F54" s="1405"/>
      <c r="G54" s="1405"/>
      <c r="H54" s="1405"/>
      <c r="I54" s="1405"/>
      <c r="J54" s="1405"/>
      <c r="K54" s="1405"/>
      <c r="L54" s="1405"/>
      <c r="M54" s="1405"/>
      <c r="N54" s="1405"/>
      <c r="O54" s="1405"/>
      <c r="P54" s="1405"/>
      <c r="Q54" s="1405"/>
      <c r="R54" s="1405"/>
      <c r="S54" s="1405"/>
      <c r="T54" s="1405"/>
      <c r="U54" s="1405"/>
    </row>
    <row r="55" spans="1:21" s="1332" customFormat="1" ht="20.100000000000001" customHeight="1">
      <c r="A55" s="1329" t="s">
        <v>1822</v>
      </c>
      <c r="F55" s="1382">
        <v>0</v>
      </c>
      <c r="G55" s="1382">
        <v>0</v>
      </c>
      <c r="H55" s="1382">
        <v>0</v>
      </c>
      <c r="I55" s="1382">
        <v>0</v>
      </c>
      <c r="J55" s="1382">
        <v>0</v>
      </c>
      <c r="K55" s="1382">
        <v>0</v>
      </c>
      <c r="L55" s="1382">
        <v>0</v>
      </c>
      <c r="M55" s="1382">
        <v>0</v>
      </c>
      <c r="N55" s="1382">
        <v>0</v>
      </c>
      <c r="O55" s="1382">
        <v>0</v>
      </c>
      <c r="P55" s="1382">
        <v>0</v>
      </c>
      <c r="Q55" s="1382">
        <v>0</v>
      </c>
      <c r="R55" s="1382">
        <v>0</v>
      </c>
      <c r="S55" s="1382">
        <v>0</v>
      </c>
      <c r="T55" s="1382">
        <v>0</v>
      </c>
      <c r="U55" s="1382">
        <v>0</v>
      </c>
    </row>
    <row r="56" spans="1:21" s="1332" customFormat="1" ht="20.100000000000001" customHeight="1">
      <c r="A56" s="1329" t="s">
        <v>1834</v>
      </c>
      <c r="F56" s="1382">
        <v>0</v>
      </c>
      <c r="G56" s="1382">
        <v>0</v>
      </c>
      <c r="H56" s="1382">
        <v>0</v>
      </c>
      <c r="I56" s="1382">
        <v>0</v>
      </c>
      <c r="J56" s="1382">
        <v>0</v>
      </c>
      <c r="K56" s="1382">
        <v>0</v>
      </c>
      <c r="L56" s="1382">
        <v>0</v>
      </c>
      <c r="M56" s="1382">
        <v>0</v>
      </c>
      <c r="N56" s="1382">
        <v>0</v>
      </c>
      <c r="O56" s="1382">
        <v>0</v>
      </c>
      <c r="P56" s="1382">
        <v>0</v>
      </c>
      <c r="Q56" s="1382">
        <v>0</v>
      </c>
      <c r="R56" s="1382">
        <v>0</v>
      </c>
      <c r="S56" s="1382">
        <v>0</v>
      </c>
      <c r="T56" s="1382">
        <v>0</v>
      </c>
      <c r="U56" s="1382">
        <v>0</v>
      </c>
    </row>
    <row r="57" spans="1:21" s="1332" customFormat="1" ht="9.9499999999999993" customHeight="1">
      <c r="F57" s="1406"/>
      <c r="G57" s="1406"/>
      <c r="H57" s="1406"/>
      <c r="I57" s="1406"/>
      <c r="J57" s="1406"/>
      <c r="K57" s="1406"/>
      <c r="L57" s="1406"/>
      <c r="M57" s="1406"/>
      <c r="N57" s="1406"/>
      <c r="O57" s="1406"/>
      <c r="P57" s="1406"/>
      <c r="Q57" s="1406"/>
      <c r="R57" s="1406"/>
      <c r="S57" s="1406"/>
      <c r="T57" s="1406"/>
      <c r="U57" s="1406"/>
    </row>
    <row r="58" spans="1:21" s="1332" customFormat="1" ht="20.100000000000001" customHeight="1">
      <c r="A58" s="1332" t="s">
        <v>1835</v>
      </c>
      <c r="F58" s="1382">
        <v>0</v>
      </c>
      <c r="G58" s="1382">
        <v>25</v>
      </c>
      <c r="H58" s="1407">
        <f t="shared" ref="H58:U58" si="26">H28</f>
        <v>0.45071879223422667</v>
      </c>
      <c r="I58" s="1407">
        <f t="shared" si="26"/>
        <v>1.4437911708516236</v>
      </c>
      <c r="J58" s="1407">
        <f t="shared" si="26"/>
        <v>2.5656475364766553</v>
      </c>
      <c r="K58" s="1407">
        <f t="shared" si="26"/>
        <v>7.6396518347380358</v>
      </c>
      <c r="L58" s="1407">
        <f t="shared" si="26"/>
        <v>18.090934654167338</v>
      </c>
      <c r="M58" s="1407">
        <f t="shared" si="26"/>
        <v>24.327269226514844</v>
      </c>
      <c r="N58" s="1407">
        <f t="shared" si="26"/>
        <v>28.871497193778623</v>
      </c>
      <c r="O58" s="1407">
        <f t="shared" si="26"/>
        <v>35.545978802372723</v>
      </c>
      <c r="P58" s="1407">
        <f t="shared" si="26"/>
        <v>36.271556514008779</v>
      </c>
      <c r="Q58" s="1407">
        <f t="shared" si="26"/>
        <v>36.919932349630606</v>
      </c>
      <c r="R58" s="1407">
        <f t="shared" si="26"/>
        <v>36.434804438556462</v>
      </c>
      <c r="S58" s="1407">
        <f t="shared" si="26"/>
        <v>35.956051108233801</v>
      </c>
      <c r="T58" s="1407">
        <f t="shared" si="26"/>
        <v>36.207743465991449</v>
      </c>
      <c r="U58" s="1407">
        <f t="shared" si="26"/>
        <v>0</v>
      </c>
    </row>
    <row r="59" spans="1:21" s="1332" customFormat="1" ht="20.100000000000001" customHeight="1">
      <c r="A59" s="1332" t="s">
        <v>1836</v>
      </c>
      <c r="F59" s="1382">
        <v>0</v>
      </c>
      <c r="G59" s="1382">
        <v>0</v>
      </c>
      <c r="H59" s="1382">
        <v>0</v>
      </c>
      <c r="I59" s="1382">
        <v>0</v>
      </c>
      <c r="J59" s="1382">
        <v>0</v>
      </c>
      <c r="K59" s="1382">
        <v>0</v>
      </c>
      <c r="L59" s="1382">
        <v>0</v>
      </c>
      <c r="M59" s="1382">
        <v>0</v>
      </c>
      <c r="N59" s="1382">
        <v>0</v>
      </c>
      <c r="O59" s="1382">
        <v>0</v>
      </c>
      <c r="P59" s="1382">
        <v>0</v>
      </c>
      <c r="Q59" s="1382">
        <v>0</v>
      </c>
      <c r="R59" s="1382">
        <v>0</v>
      </c>
      <c r="S59" s="1382">
        <v>0</v>
      </c>
      <c r="T59" s="1382">
        <v>0</v>
      </c>
      <c r="U59" s="1382">
        <v>0</v>
      </c>
    </row>
    <row r="60" spans="1:21" s="1332" customFormat="1" ht="9.9499999999999993" customHeight="1">
      <c r="F60" s="1406"/>
      <c r="G60" s="1406"/>
      <c r="H60" s="1406"/>
      <c r="I60" s="1406"/>
      <c r="J60" s="1406"/>
      <c r="K60" s="1406"/>
      <c r="L60" s="1406"/>
      <c r="M60" s="1406"/>
      <c r="N60" s="1406"/>
      <c r="O60" s="1406"/>
      <c r="P60" s="1406"/>
      <c r="Q60" s="1406"/>
      <c r="R60" s="1406"/>
      <c r="S60" s="1406"/>
      <c r="T60" s="1406"/>
      <c r="U60" s="1406"/>
    </row>
    <row r="61" spans="1:21" s="1332" customFormat="1" ht="20.100000000000001" customHeight="1">
      <c r="A61" s="1408" t="s">
        <v>1837</v>
      </c>
      <c r="C61" s="1387"/>
      <c r="D61" s="1387"/>
      <c r="E61" s="1387"/>
      <c r="F61" s="1405">
        <v>0.25</v>
      </c>
      <c r="G61" s="1405">
        <v>0.25</v>
      </c>
      <c r="H61" s="1405">
        <v>0.25</v>
      </c>
      <c r="I61" s="1405">
        <v>0.25</v>
      </c>
      <c r="J61" s="1405">
        <v>0.25</v>
      </c>
      <c r="K61" s="1405">
        <v>0.25</v>
      </c>
      <c r="L61" s="1405">
        <v>0.25</v>
      </c>
      <c r="M61" s="1405">
        <v>0.25</v>
      </c>
      <c r="N61" s="1405">
        <v>0.25</v>
      </c>
      <c r="O61" s="1405">
        <v>0.25</v>
      </c>
      <c r="P61" s="1405">
        <v>0.25</v>
      </c>
      <c r="Q61" s="1405">
        <v>0.25</v>
      </c>
      <c r="R61" s="1405">
        <v>0.25</v>
      </c>
      <c r="S61" s="1405">
        <v>0.25</v>
      </c>
      <c r="T61" s="1405">
        <v>0.25</v>
      </c>
      <c r="U61" s="1405">
        <v>0.25</v>
      </c>
    </row>
    <row r="62" spans="1:21" s="1332" customFormat="1" ht="9.9499999999999993" customHeight="1">
      <c r="F62" s="1406"/>
      <c r="G62" s="1406"/>
      <c r="H62" s="1406"/>
      <c r="I62" s="1406"/>
      <c r="J62" s="1406"/>
      <c r="K62" s="1406"/>
      <c r="L62" s="1406"/>
      <c r="M62" s="1406"/>
      <c r="N62" s="1406"/>
      <c r="O62" s="1406"/>
      <c r="P62" s="1406"/>
      <c r="Q62" s="1406"/>
      <c r="R62" s="1406"/>
      <c r="S62" s="1406"/>
      <c r="T62" s="1406"/>
      <c r="U62" s="1406"/>
    </row>
    <row r="63" spans="1:21" s="1332" customFormat="1" ht="20.100000000000001" customHeight="1">
      <c r="A63" s="1332" t="s">
        <v>1838</v>
      </c>
      <c r="F63" s="1409">
        <f>+F19*F58</f>
        <v>0</v>
      </c>
      <c r="G63" s="1409">
        <f>+G19*G58</f>
        <v>16.25</v>
      </c>
      <c r="H63" s="1409">
        <f>+H58</f>
        <v>0.45071879223422667</v>
      </c>
      <c r="I63" s="1409">
        <f t="shared" ref="I63:U63" si="27">+I58</f>
        <v>1.4437911708516236</v>
      </c>
      <c r="J63" s="1409">
        <f t="shared" si="27"/>
        <v>2.5656475364766553</v>
      </c>
      <c r="K63" s="1409">
        <f t="shared" si="27"/>
        <v>7.6396518347380358</v>
      </c>
      <c r="L63" s="1409">
        <f t="shared" si="27"/>
        <v>18.090934654167338</v>
      </c>
      <c r="M63" s="1409">
        <f t="shared" si="27"/>
        <v>24.327269226514844</v>
      </c>
      <c r="N63" s="1409">
        <f t="shared" si="27"/>
        <v>28.871497193778623</v>
      </c>
      <c r="O63" s="1409">
        <f t="shared" si="27"/>
        <v>35.545978802372723</v>
      </c>
      <c r="P63" s="1409">
        <f t="shared" si="27"/>
        <v>36.271556514008779</v>
      </c>
      <c r="Q63" s="1409">
        <f t="shared" si="27"/>
        <v>36.919932349630606</v>
      </c>
      <c r="R63" s="1409">
        <f t="shared" si="27"/>
        <v>36.434804438556462</v>
      </c>
      <c r="S63" s="1409">
        <f t="shared" si="27"/>
        <v>35.956051108233801</v>
      </c>
      <c r="T63" s="1409">
        <f t="shared" si="27"/>
        <v>36.207743465991449</v>
      </c>
      <c r="U63" s="1409">
        <f t="shared" si="27"/>
        <v>0</v>
      </c>
    </row>
    <row r="64" spans="1:21" s="1332" customFormat="1" ht="20.100000000000001" customHeight="1">
      <c r="A64" s="1332" t="s">
        <v>1839</v>
      </c>
      <c r="F64" s="1409">
        <f t="shared" ref="F64:U64" si="28">+F19*F59</f>
        <v>0</v>
      </c>
      <c r="G64" s="1409">
        <f t="shared" si="28"/>
        <v>0</v>
      </c>
      <c r="H64" s="1409">
        <f t="shared" si="28"/>
        <v>0</v>
      </c>
      <c r="I64" s="1409">
        <f t="shared" si="28"/>
        <v>0</v>
      </c>
      <c r="J64" s="1409">
        <f t="shared" si="28"/>
        <v>0</v>
      </c>
      <c r="K64" s="1409">
        <f t="shared" si="28"/>
        <v>0</v>
      </c>
      <c r="L64" s="1409">
        <f t="shared" si="28"/>
        <v>0</v>
      </c>
      <c r="M64" s="1409">
        <f t="shared" si="28"/>
        <v>0</v>
      </c>
      <c r="N64" s="1409">
        <f t="shared" si="28"/>
        <v>0</v>
      </c>
      <c r="O64" s="1409">
        <f t="shared" si="28"/>
        <v>0</v>
      </c>
      <c r="P64" s="1409">
        <f t="shared" si="28"/>
        <v>0</v>
      </c>
      <c r="Q64" s="1409">
        <f t="shared" si="28"/>
        <v>0</v>
      </c>
      <c r="R64" s="1409">
        <f t="shared" si="28"/>
        <v>0</v>
      </c>
      <c r="S64" s="1409">
        <f t="shared" si="28"/>
        <v>0</v>
      </c>
      <c r="T64" s="1409">
        <f t="shared" si="28"/>
        <v>0</v>
      </c>
      <c r="U64" s="1409">
        <f t="shared" si="28"/>
        <v>0</v>
      </c>
    </row>
    <row r="65" spans="8:20" ht="20.100000000000001" customHeight="1"/>
    <row r="66" spans="8:20" ht="20.100000000000001" customHeight="1"/>
    <row r="67" spans="8:20" ht="20.100000000000001" customHeight="1"/>
    <row r="68" spans="8:20" ht="20.100000000000001" customHeight="1"/>
    <row r="73" spans="8:20">
      <c r="H73" s="1410"/>
      <c r="I73" s="1410"/>
      <c r="J73" s="1410"/>
      <c r="K73" s="1410"/>
      <c r="L73" s="1410"/>
      <c r="M73" s="1410"/>
      <c r="N73" s="1410"/>
      <c r="O73" s="1410"/>
      <c r="P73" s="1410"/>
      <c r="Q73" s="1410"/>
      <c r="R73" s="1410"/>
      <c r="S73" s="1410"/>
      <c r="T73" s="1410"/>
    </row>
  </sheetData>
  <printOptions horizontalCentered="1"/>
  <pageMargins left="0.7" right="0.7" top="0.75" bottom="0.75" header="0.3" footer="0.3"/>
  <pageSetup paperSize="9" scale="69" orientation="landscape" r:id="rId1"/>
  <headerFooter>
    <oddFooter>Page &amp;P of &amp;N</oddFooter>
  </headerFooter>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56"/>
  <sheetViews>
    <sheetView topLeftCell="A27" zoomScaleNormal="100" workbookViewId="0">
      <selection activeCell="A27" sqref="A27"/>
    </sheetView>
  </sheetViews>
  <sheetFormatPr defaultColWidth="10.33203125" defaultRowHeight="12"/>
  <cols>
    <col min="1" max="1" width="10.33203125" style="983"/>
    <col min="2" max="2" width="44.6640625" style="983" customWidth="1"/>
    <col min="3" max="3" width="14.6640625" style="983" bestFit="1" customWidth="1"/>
    <col min="4" max="4" width="12.33203125" style="983" bestFit="1" customWidth="1"/>
    <col min="5" max="5" width="12.5" style="983" bestFit="1" customWidth="1"/>
    <col min="6" max="6" width="10.5" style="983" bestFit="1" customWidth="1"/>
    <col min="7" max="7" width="26.1640625" style="983" bestFit="1" customWidth="1"/>
    <col min="8" max="8" width="17.5" style="983" bestFit="1" customWidth="1"/>
    <col min="9" max="9" width="2.83203125" style="983" customWidth="1"/>
    <col min="10" max="10" width="19" style="983" customWidth="1"/>
    <col min="11" max="11" width="17.33203125" style="983" customWidth="1"/>
    <col min="12" max="12" width="18.83203125" style="983" customWidth="1"/>
    <col min="13" max="13" width="18" style="983" customWidth="1"/>
    <col min="14" max="15" width="14.6640625" style="983" bestFit="1" customWidth="1"/>
    <col min="16" max="16384" width="10.33203125" style="983"/>
  </cols>
  <sheetData>
    <row r="1" spans="1:14">
      <c r="A1" s="982" t="s">
        <v>1398</v>
      </c>
    </row>
    <row r="2" spans="1:14">
      <c r="A2" s="984"/>
      <c r="B2" s="985"/>
      <c r="C2" s="985"/>
      <c r="D2" s="986" t="s">
        <v>1399</v>
      </c>
      <c r="E2" s="986"/>
      <c r="F2" s="986"/>
      <c r="G2" s="986" t="s">
        <v>1399</v>
      </c>
      <c r="H2" s="987"/>
      <c r="I2" s="986"/>
      <c r="J2" s="2680" t="s">
        <v>1400</v>
      </c>
      <c r="K2" s="2680"/>
      <c r="L2" s="2680"/>
      <c r="M2" s="2680"/>
    </row>
    <row r="3" spans="1:14" ht="48">
      <c r="A3" s="988"/>
      <c r="B3" s="989" t="s">
        <v>1401</v>
      </c>
      <c r="C3" s="990" t="s">
        <v>1402</v>
      </c>
      <c r="D3" s="990" t="s">
        <v>1403</v>
      </c>
      <c r="E3" s="989" t="s">
        <v>1404</v>
      </c>
      <c r="F3" s="989" t="s">
        <v>1405</v>
      </c>
      <c r="G3" s="989" t="s">
        <v>1406</v>
      </c>
      <c r="H3" s="989" t="s">
        <v>1407</v>
      </c>
      <c r="I3" s="989"/>
      <c r="J3" s="989" t="s">
        <v>1408</v>
      </c>
      <c r="K3" s="989" t="s">
        <v>1409</v>
      </c>
      <c r="L3" s="989" t="s">
        <v>1410</v>
      </c>
      <c r="M3" s="989" t="s">
        <v>1411</v>
      </c>
      <c r="N3" s="983" t="s">
        <v>1546</v>
      </c>
    </row>
    <row r="4" spans="1:14">
      <c r="A4" s="984"/>
      <c r="B4" s="984" t="s">
        <v>1412</v>
      </c>
      <c r="C4" s="991">
        <v>75000</v>
      </c>
      <c r="D4" s="992">
        <v>41358</v>
      </c>
      <c r="E4" s="992">
        <v>41214</v>
      </c>
      <c r="F4" s="991">
        <v>4</v>
      </c>
      <c r="G4" s="992">
        <v>41364</v>
      </c>
      <c r="H4" s="992"/>
      <c r="I4" s="993"/>
      <c r="J4" s="993"/>
      <c r="K4" s="993"/>
      <c r="L4" s="993" t="s">
        <v>1413</v>
      </c>
      <c r="M4" s="993"/>
      <c r="N4" s="1095">
        <f>IF(D4&lt;$M$51,$L$50,IF(D4&lt;$M$52,$L$51,IF(D4&lt;$M$53,$L$52,IF(D4&lt;$M$54,$L$53,$L$54))))</f>
        <v>1</v>
      </c>
    </row>
    <row r="5" spans="1:14">
      <c r="A5" s="984"/>
      <c r="B5" s="984" t="s">
        <v>1412</v>
      </c>
      <c r="C5" s="991">
        <v>125000</v>
      </c>
      <c r="D5" s="992">
        <v>41358</v>
      </c>
      <c r="E5" s="992">
        <v>41518</v>
      </c>
      <c r="F5" s="991">
        <v>4</v>
      </c>
      <c r="G5" s="992">
        <v>41364</v>
      </c>
      <c r="H5" s="992"/>
      <c r="I5" s="993"/>
      <c r="J5" s="993"/>
      <c r="K5" s="993"/>
      <c r="L5" s="994" t="s">
        <v>1414</v>
      </c>
      <c r="M5" s="993"/>
      <c r="N5" s="1095">
        <f t="shared" ref="N5:N36" si="0">IF(D5&lt;$M$51,$L$50,IF(D5&lt;$M$52,$L$51,IF(D5&lt;$M$53,$L$52,IF(D5&lt;$M$54,$L$53,$L$54))))</f>
        <v>1</v>
      </c>
    </row>
    <row r="6" spans="1:14">
      <c r="A6" s="984"/>
      <c r="B6" s="984" t="s">
        <v>1415</v>
      </c>
      <c r="C6" s="991">
        <v>90000</v>
      </c>
      <c r="D6" s="992">
        <v>41529</v>
      </c>
      <c r="E6" s="992">
        <v>40391</v>
      </c>
      <c r="F6" s="991">
        <v>3</v>
      </c>
      <c r="G6" s="995">
        <f>E6+365*3</f>
        <v>41486</v>
      </c>
      <c r="H6" s="992" t="s">
        <v>1416</v>
      </c>
      <c r="I6" s="993"/>
      <c r="J6" s="993"/>
      <c r="K6" s="993"/>
      <c r="L6" s="993"/>
      <c r="M6" s="993" t="s">
        <v>1417</v>
      </c>
      <c r="N6" s="1095">
        <f t="shared" si="0"/>
        <v>1</v>
      </c>
    </row>
    <row r="7" spans="1:14">
      <c r="A7" s="984"/>
      <c r="B7" s="984" t="s">
        <v>1415</v>
      </c>
      <c r="C7" s="991">
        <v>30000</v>
      </c>
      <c r="D7" s="992">
        <v>41529</v>
      </c>
      <c r="E7" s="992">
        <v>40940</v>
      </c>
      <c r="F7" s="991">
        <v>3</v>
      </c>
      <c r="G7" s="995">
        <f>E7+365*3-31</f>
        <v>42004</v>
      </c>
      <c r="H7" s="992" t="s">
        <v>1416</v>
      </c>
      <c r="I7" s="993"/>
      <c r="J7" s="993"/>
      <c r="K7" s="993"/>
      <c r="L7" s="993"/>
      <c r="M7" s="993" t="s">
        <v>1418</v>
      </c>
      <c r="N7" s="1095">
        <f t="shared" si="0"/>
        <v>1</v>
      </c>
    </row>
    <row r="8" spans="1:14">
      <c r="A8" s="984"/>
      <c r="B8" s="984" t="s">
        <v>1412</v>
      </c>
      <c r="C8" s="991">
        <v>50000</v>
      </c>
      <c r="D8" s="992">
        <v>41529</v>
      </c>
      <c r="E8" s="992">
        <v>40483</v>
      </c>
      <c r="F8" s="991">
        <v>4</v>
      </c>
      <c r="G8" s="992">
        <v>41547</v>
      </c>
      <c r="H8" s="992"/>
      <c r="I8" s="993"/>
      <c r="J8" s="993"/>
      <c r="K8" s="993"/>
      <c r="L8" s="993" t="s">
        <v>1419</v>
      </c>
      <c r="M8" s="993"/>
      <c r="N8" s="1095">
        <f t="shared" si="0"/>
        <v>1</v>
      </c>
    </row>
    <row r="9" spans="1:14">
      <c r="A9" s="984"/>
      <c r="B9" s="984" t="s">
        <v>1412</v>
      </c>
      <c r="C9" s="991">
        <v>50000</v>
      </c>
      <c r="D9" s="992">
        <v>41529</v>
      </c>
      <c r="E9" s="992">
        <v>41122</v>
      </c>
      <c r="F9" s="991">
        <v>4</v>
      </c>
      <c r="G9" s="992">
        <v>41547</v>
      </c>
      <c r="H9" s="992"/>
      <c r="I9" s="993"/>
      <c r="J9" s="993"/>
      <c r="K9" s="993"/>
      <c r="L9" s="993" t="s">
        <v>1420</v>
      </c>
      <c r="M9" s="993"/>
      <c r="N9" s="1095">
        <f t="shared" si="0"/>
        <v>1</v>
      </c>
    </row>
    <row r="10" spans="1:14">
      <c r="A10" s="984"/>
      <c r="B10" s="984" t="s">
        <v>1412</v>
      </c>
      <c r="C10" s="991">
        <v>50000</v>
      </c>
      <c r="D10" s="992">
        <v>41529</v>
      </c>
      <c r="E10" s="992">
        <v>41306</v>
      </c>
      <c r="F10" s="991">
        <v>4</v>
      </c>
      <c r="G10" s="992">
        <v>41547</v>
      </c>
      <c r="H10" s="992"/>
      <c r="I10" s="993"/>
      <c r="J10" s="993"/>
      <c r="K10" s="993"/>
      <c r="L10" s="993" t="s">
        <v>1421</v>
      </c>
      <c r="M10" s="993"/>
      <c r="N10" s="1095">
        <f t="shared" si="0"/>
        <v>1</v>
      </c>
    </row>
    <row r="11" spans="1:14">
      <c r="A11" s="984"/>
      <c r="B11" s="996" t="s">
        <v>300</v>
      </c>
      <c r="C11" s="996"/>
      <c r="D11" s="992">
        <v>41775</v>
      </c>
      <c r="E11" s="992"/>
      <c r="F11" s="992"/>
      <c r="G11" s="992" t="s">
        <v>1422</v>
      </c>
      <c r="H11" s="992"/>
      <c r="I11" s="993"/>
      <c r="J11" s="993" t="s">
        <v>1413</v>
      </c>
      <c r="K11" s="993"/>
      <c r="L11" s="993"/>
      <c r="M11" s="993"/>
      <c r="N11" s="1095">
        <f t="shared" si="0"/>
        <v>1</v>
      </c>
    </row>
    <row r="12" spans="1:14">
      <c r="A12" s="984"/>
      <c r="B12" s="996" t="s">
        <v>1423</v>
      </c>
      <c r="C12" s="997">
        <v>2100769</v>
      </c>
      <c r="D12" s="992">
        <v>41775</v>
      </c>
      <c r="E12" s="992">
        <v>40297</v>
      </c>
      <c r="F12" s="991">
        <v>4</v>
      </c>
      <c r="G12" s="992" t="s">
        <v>1422</v>
      </c>
      <c r="H12" s="992"/>
      <c r="I12" s="993"/>
      <c r="J12" s="993"/>
      <c r="K12" s="993" t="s">
        <v>1413</v>
      </c>
      <c r="L12" s="993"/>
      <c r="M12" s="993"/>
      <c r="N12" s="1095"/>
    </row>
    <row r="13" spans="1:14">
      <c r="A13" s="984"/>
      <c r="B13" s="996" t="s">
        <v>1424</v>
      </c>
      <c r="C13" s="997">
        <v>1050385</v>
      </c>
      <c r="D13" s="992">
        <v>41775</v>
      </c>
      <c r="E13" s="992">
        <v>41733</v>
      </c>
      <c r="F13" s="998" t="s">
        <v>381</v>
      </c>
      <c r="G13" s="992" t="s">
        <v>1422</v>
      </c>
      <c r="H13" s="992"/>
      <c r="I13" s="993"/>
      <c r="J13" s="993"/>
      <c r="K13" s="993" t="s">
        <v>1414</v>
      </c>
      <c r="L13" s="993"/>
      <c r="M13" s="993"/>
      <c r="N13" s="1095"/>
    </row>
    <row r="14" spans="1:14">
      <c r="A14" s="999"/>
      <c r="B14" s="1000" t="s">
        <v>307</v>
      </c>
      <c r="C14" s="1000"/>
      <c r="D14" s="1001">
        <v>42010</v>
      </c>
      <c r="E14" s="1001"/>
      <c r="F14" s="1001"/>
      <c r="G14" s="1001">
        <v>42004</v>
      </c>
      <c r="H14" s="1001"/>
      <c r="I14" s="1002"/>
      <c r="J14" s="1002" t="s">
        <v>1414</v>
      </c>
      <c r="K14" s="1002"/>
      <c r="L14" s="1002"/>
      <c r="M14" s="1002"/>
      <c r="N14" s="1095">
        <f t="shared" si="0"/>
        <v>1</v>
      </c>
    </row>
    <row r="15" spans="1:14">
      <c r="A15" s="999"/>
      <c r="B15" s="999" t="s">
        <v>1412</v>
      </c>
      <c r="C15" s="1003">
        <v>650000</v>
      </c>
      <c r="D15" s="1001">
        <v>41977</v>
      </c>
      <c r="E15" s="1001">
        <v>41964</v>
      </c>
      <c r="F15" s="1003">
        <v>4</v>
      </c>
      <c r="G15" s="1001">
        <v>42004</v>
      </c>
      <c r="H15" s="1001"/>
      <c r="I15" s="1002"/>
      <c r="J15" s="1002"/>
      <c r="K15" s="1002"/>
      <c r="L15" s="993" t="s">
        <v>1425</v>
      </c>
      <c r="M15" s="1002"/>
      <c r="N15" s="1095">
        <f t="shared" si="0"/>
        <v>1</v>
      </c>
    </row>
    <row r="16" spans="1:14">
      <c r="A16" s="999"/>
      <c r="B16" s="999" t="s">
        <v>1415</v>
      </c>
      <c r="C16" s="1003">
        <v>50000</v>
      </c>
      <c r="D16" s="1001">
        <v>41977</v>
      </c>
      <c r="E16" s="1001">
        <v>41964</v>
      </c>
      <c r="F16" s="1003">
        <v>4</v>
      </c>
      <c r="G16" s="995" t="s">
        <v>1426</v>
      </c>
      <c r="H16" s="1001" t="s">
        <v>1416</v>
      </c>
      <c r="I16" s="1002"/>
      <c r="J16" s="1002"/>
      <c r="K16" s="1002"/>
      <c r="L16" s="1002"/>
      <c r="M16" s="1002" t="s">
        <v>1427</v>
      </c>
      <c r="N16" s="1095">
        <f t="shared" si="0"/>
        <v>1</v>
      </c>
    </row>
    <row r="17" spans="1:15">
      <c r="A17" s="999"/>
      <c r="B17" s="999" t="s">
        <v>1412</v>
      </c>
      <c r="C17" s="1003">
        <v>710000</v>
      </c>
      <c r="D17" s="1001">
        <v>42380</v>
      </c>
      <c r="E17" s="1001">
        <v>42360</v>
      </c>
      <c r="F17" s="1003">
        <v>4</v>
      </c>
      <c r="G17" s="1001">
        <v>42004</v>
      </c>
      <c r="H17" s="1001"/>
      <c r="I17" s="1002"/>
      <c r="J17" s="1002"/>
      <c r="K17" s="1002"/>
      <c r="L17" s="993" t="s">
        <v>1428</v>
      </c>
      <c r="M17" s="1002"/>
      <c r="N17" s="1095">
        <f t="shared" si="0"/>
        <v>3.5</v>
      </c>
    </row>
    <row r="18" spans="1:15">
      <c r="A18" s="999"/>
      <c r="B18" s="1000" t="s">
        <v>308</v>
      </c>
      <c r="C18" s="1000"/>
      <c r="D18" s="1001">
        <v>42222</v>
      </c>
      <c r="E18" s="1001"/>
      <c r="F18" s="1001"/>
      <c r="G18" s="1001">
        <v>42216</v>
      </c>
      <c r="H18" s="1001"/>
      <c r="I18" s="1002"/>
      <c r="J18" s="1002" t="s">
        <v>1419</v>
      </c>
      <c r="K18" s="1002"/>
      <c r="L18" s="1002"/>
      <c r="M18" s="1002"/>
      <c r="N18" s="1095">
        <f t="shared" si="0"/>
        <v>1</v>
      </c>
    </row>
    <row r="19" spans="1:15">
      <c r="A19" s="999"/>
      <c r="B19" s="999" t="s">
        <v>1415</v>
      </c>
      <c r="C19" s="1003">
        <v>250000</v>
      </c>
      <c r="D19" s="1001">
        <v>42380</v>
      </c>
      <c r="E19" s="1001">
        <v>42360</v>
      </c>
      <c r="F19" s="1003">
        <v>4</v>
      </c>
      <c r="G19" s="995" t="s">
        <v>1429</v>
      </c>
      <c r="H19" s="1001" t="s">
        <v>1416</v>
      </c>
      <c r="I19" s="1002"/>
      <c r="J19" s="1002"/>
      <c r="K19" s="1002"/>
      <c r="L19" s="1002"/>
      <c r="M19" s="1002" t="s">
        <v>1430</v>
      </c>
      <c r="N19" s="1095">
        <f t="shared" si="0"/>
        <v>3.5</v>
      </c>
    </row>
    <row r="20" spans="1:15">
      <c r="A20" s="999"/>
      <c r="B20" s="1000" t="s">
        <v>311</v>
      </c>
      <c r="C20" s="1000"/>
      <c r="D20" s="1001">
        <v>42471</v>
      </c>
      <c r="E20" s="1001"/>
      <c r="F20" s="1001"/>
      <c r="G20" s="1001">
        <v>42460</v>
      </c>
      <c r="H20" s="1001"/>
      <c r="I20" s="1002"/>
      <c r="J20" s="1002" t="s">
        <v>1420</v>
      </c>
      <c r="K20" s="1002"/>
      <c r="L20" s="1002"/>
      <c r="M20" s="1002"/>
      <c r="N20" s="1095">
        <f t="shared" si="0"/>
        <v>3.5</v>
      </c>
    </row>
    <row r="21" spans="1:15">
      <c r="A21" s="984"/>
      <c r="B21" s="984" t="s">
        <v>1415</v>
      </c>
      <c r="C21" s="991">
        <v>70000</v>
      </c>
      <c r="D21" s="992">
        <v>42444</v>
      </c>
      <c r="E21" s="992">
        <v>42444</v>
      </c>
      <c r="F21" s="991">
        <v>1</v>
      </c>
      <c r="G21" s="995">
        <v>42794</v>
      </c>
      <c r="H21" s="992" t="s">
        <v>1416</v>
      </c>
      <c r="I21" s="993"/>
      <c r="J21" s="993"/>
      <c r="K21" s="993"/>
      <c r="L21" s="993"/>
      <c r="M21" s="1004" t="s">
        <v>1431</v>
      </c>
      <c r="N21" s="1095">
        <f t="shared" si="0"/>
        <v>3.5</v>
      </c>
    </row>
    <row r="22" spans="1:15">
      <c r="A22" s="984"/>
      <c r="B22" s="984" t="s">
        <v>1412</v>
      </c>
      <c r="C22" s="991">
        <v>75000</v>
      </c>
      <c r="D22" s="992">
        <v>42570</v>
      </c>
      <c r="E22" s="992">
        <v>42488</v>
      </c>
      <c r="F22" s="991">
        <v>4</v>
      </c>
      <c r="G22" s="1001">
        <v>42460</v>
      </c>
      <c r="H22" s="1001"/>
      <c r="I22" s="993"/>
      <c r="J22" s="993"/>
      <c r="K22" s="993"/>
      <c r="L22" s="993" t="s">
        <v>1432</v>
      </c>
      <c r="M22" s="993"/>
      <c r="N22" s="1095">
        <f t="shared" si="0"/>
        <v>3.5</v>
      </c>
    </row>
    <row r="23" spans="1:15">
      <c r="A23" s="984"/>
      <c r="B23" s="996" t="s">
        <v>1433</v>
      </c>
      <c r="C23" s="996"/>
      <c r="D23" s="992">
        <v>42803</v>
      </c>
      <c r="E23" s="992"/>
      <c r="F23" s="992"/>
      <c r="G23" s="1001">
        <v>42794</v>
      </c>
      <c r="H23" s="1001"/>
      <c r="I23" s="993"/>
      <c r="J23" s="993" t="s">
        <v>1421</v>
      </c>
      <c r="K23" s="993"/>
      <c r="L23" s="993"/>
      <c r="M23" s="993"/>
      <c r="N23" s="1095">
        <f t="shared" si="0"/>
        <v>6</v>
      </c>
      <c r="O23" s="993"/>
    </row>
    <row r="24" spans="1:15">
      <c r="A24" s="984"/>
      <c r="B24" s="984" t="s">
        <v>1412</v>
      </c>
      <c r="C24" s="991">
        <v>510000</v>
      </c>
      <c r="D24" s="992">
        <v>42800</v>
      </c>
      <c r="E24" s="992">
        <v>42734</v>
      </c>
      <c r="F24" s="991">
        <v>4</v>
      </c>
      <c r="G24" s="1001">
        <v>42794</v>
      </c>
      <c r="H24" s="1001"/>
      <c r="I24" s="993"/>
      <c r="J24" s="993"/>
      <c r="K24" s="993"/>
      <c r="L24" s="993" t="s">
        <v>1434</v>
      </c>
      <c r="M24" s="993"/>
      <c r="N24" s="1095">
        <f t="shared" si="0"/>
        <v>6</v>
      </c>
      <c r="O24" s="993"/>
    </row>
    <row r="25" spans="1:15">
      <c r="A25" s="984"/>
      <c r="B25" s="984" t="s">
        <v>1435</v>
      </c>
      <c r="C25" s="991">
        <v>100000</v>
      </c>
      <c r="D25" s="992">
        <v>42940</v>
      </c>
      <c r="E25" s="992">
        <v>42962</v>
      </c>
      <c r="F25" s="991">
        <v>4</v>
      </c>
      <c r="G25" s="1001" t="s">
        <v>1436</v>
      </c>
      <c r="H25" s="992"/>
      <c r="I25" s="993"/>
      <c r="J25" s="993"/>
      <c r="K25" s="993"/>
      <c r="L25" s="993" t="s">
        <v>1437</v>
      </c>
      <c r="N25" s="1095">
        <f t="shared" si="0"/>
        <v>7</v>
      </c>
      <c r="O25" s="993"/>
    </row>
    <row r="26" spans="1:15">
      <c r="A26" s="984"/>
      <c r="B26" s="984" t="s">
        <v>1438</v>
      </c>
      <c r="C26" s="991">
        <v>50000</v>
      </c>
      <c r="D26" s="992">
        <v>42940</v>
      </c>
      <c r="E26" s="992">
        <v>42933</v>
      </c>
      <c r="F26" s="991">
        <v>4</v>
      </c>
      <c r="G26" s="1001">
        <v>42947</v>
      </c>
      <c r="H26" s="992"/>
      <c r="I26" s="993"/>
      <c r="J26" s="993"/>
      <c r="K26" s="993"/>
      <c r="L26" s="993" t="s">
        <v>1439</v>
      </c>
      <c r="N26" s="1095">
        <f t="shared" si="0"/>
        <v>7</v>
      </c>
    </row>
    <row r="27" spans="1:15">
      <c r="A27" s="984"/>
      <c r="B27" s="984" t="s">
        <v>1438</v>
      </c>
      <c r="C27" s="991">
        <v>100000</v>
      </c>
      <c r="D27" s="992">
        <v>43107</v>
      </c>
      <c r="E27" s="992">
        <v>43006</v>
      </c>
      <c r="F27" s="991">
        <v>4</v>
      </c>
      <c r="G27" s="992">
        <v>43100</v>
      </c>
      <c r="H27" s="992"/>
      <c r="I27" s="993"/>
      <c r="J27" s="993"/>
      <c r="K27" s="993"/>
      <c r="L27" s="993" t="s">
        <v>1440</v>
      </c>
      <c r="N27" s="1095">
        <f t="shared" si="0"/>
        <v>10</v>
      </c>
    </row>
    <row r="28" spans="1:15">
      <c r="A28" s="984"/>
      <c r="B28" s="984" t="s">
        <v>1438</v>
      </c>
      <c r="C28" s="991">
        <v>60000</v>
      </c>
      <c r="D28" s="992">
        <v>43107</v>
      </c>
      <c r="E28" s="992">
        <v>43087</v>
      </c>
      <c r="F28" s="991">
        <v>4</v>
      </c>
      <c r="G28" s="992">
        <v>43100</v>
      </c>
      <c r="H28" s="992"/>
      <c r="I28" s="993"/>
      <c r="J28" s="993"/>
      <c r="K28" s="993"/>
      <c r="L28" s="993" t="s">
        <v>1440</v>
      </c>
      <c r="N28" s="1095">
        <f t="shared" si="0"/>
        <v>10</v>
      </c>
    </row>
    <row r="29" spans="1:15">
      <c r="A29" s="984"/>
      <c r="B29" s="984" t="s">
        <v>1438</v>
      </c>
      <c r="C29" s="991">
        <v>488865</v>
      </c>
      <c r="D29" s="992">
        <v>43107</v>
      </c>
      <c r="E29" s="992">
        <v>43098</v>
      </c>
      <c r="F29" s="991">
        <v>4</v>
      </c>
      <c r="G29" s="992">
        <v>43100</v>
      </c>
      <c r="H29" s="992"/>
      <c r="I29" s="993"/>
      <c r="J29" s="993"/>
      <c r="K29" s="993"/>
      <c r="L29" s="993" t="s">
        <v>1440</v>
      </c>
      <c r="N29" s="1095">
        <f t="shared" si="0"/>
        <v>10</v>
      </c>
    </row>
    <row r="30" spans="1:15">
      <c r="A30" s="984"/>
      <c r="B30" s="984" t="s">
        <v>1438</v>
      </c>
      <c r="C30" s="991">
        <v>80000</v>
      </c>
      <c r="D30" s="992">
        <v>43107</v>
      </c>
      <c r="E30" s="992">
        <v>43129</v>
      </c>
      <c r="F30" s="991">
        <v>4</v>
      </c>
      <c r="G30" s="992">
        <v>43100</v>
      </c>
      <c r="H30" s="992"/>
      <c r="I30" s="993"/>
      <c r="J30" s="993"/>
      <c r="K30" s="993"/>
      <c r="L30" s="993" t="s">
        <v>1440</v>
      </c>
      <c r="N30" s="1095">
        <f t="shared" si="0"/>
        <v>10</v>
      </c>
    </row>
    <row r="31" spans="1:15">
      <c r="A31" s="984"/>
      <c r="B31" s="984" t="s">
        <v>1441</v>
      </c>
      <c r="C31" s="991">
        <v>6000</v>
      </c>
      <c r="D31" s="992">
        <v>43107</v>
      </c>
      <c r="E31" s="992">
        <v>43098</v>
      </c>
      <c r="F31" s="991">
        <v>4</v>
      </c>
      <c r="G31" s="992">
        <v>43100</v>
      </c>
      <c r="H31" s="992"/>
      <c r="I31" s="993"/>
      <c r="J31" s="993"/>
      <c r="K31" s="993"/>
      <c r="L31" s="993" t="s">
        <v>1442</v>
      </c>
      <c r="N31" s="1095">
        <f t="shared" si="0"/>
        <v>10</v>
      </c>
    </row>
    <row r="32" spans="1:15">
      <c r="A32" s="984"/>
      <c r="B32" s="984" t="s">
        <v>1443</v>
      </c>
      <c r="C32" s="998" t="s">
        <v>381</v>
      </c>
      <c r="D32" s="992">
        <v>43107</v>
      </c>
      <c r="E32" s="1001">
        <v>43008</v>
      </c>
      <c r="F32" s="991">
        <v>4</v>
      </c>
      <c r="G32" s="992">
        <v>43100</v>
      </c>
      <c r="H32" s="1005" t="s">
        <v>1444</v>
      </c>
      <c r="I32" s="993"/>
      <c r="K32" s="1002"/>
      <c r="L32" s="998" t="s">
        <v>1445</v>
      </c>
      <c r="M32" s="993"/>
      <c r="N32" s="1095">
        <f t="shared" si="0"/>
        <v>10</v>
      </c>
    </row>
    <row r="33" spans="1:18">
      <c r="A33" s="984"/>
      <c r="B33" s="984" t="s">
        <v>1446</v>
      </c>
      <c r="C33" s="998" t="s">
        <v>381</v>
      </c>
      <c r="D33" s="992">
        <v>43107</v>
      </c>
      <c r="E33" s="1001">
        <v>42758</v>
      </c>
      <c r="F33" s="991">
        <v>4</v>
      </c>
      <c r="G33" s="992">
        <v>43100</v>
      </c>
      <c r="H33" s="1005" t="s">
        <v>1444</v>
      </c>
      <c r="I33" s="993"/>
      <c r="K33" s="1002"/>
      <c r="L33" s="998" t="s">
        <v>1445</v>
      </c>
      <c r="M33" s="993"/>
      <c r="N33" s="1095">
        <f t="shared" si="0"/>
        <v>10</v>
      </c>
    </row>
    <row r="34" spans="1:18">
      <c r="A34" s="984"/>
      <c r="B34" s="984" t="s">
        <v>1447</v>
      </c>
      <c r="C34" s="998" t="s">
        <v>381</v>
      </c>
      <c r="D34" s="992" t="s">
        <v>1448</v>
      </c>
      <c r="E34" s="1001">
        <v>42758</v>
      </c>
      <c r="F34" s="991">
        <v>4</v>
      </c>
      <c r="G34" s="992">
        <v>43100</v>
      </c>
      <c r="H34" s="1005" t="s">
        <v>1444</v>
      </c>
      <c r="I34" s="993"/>
      <c r="K34" s="998" t="s">
        <v>1419</v>
      </c>
      <c r="L34" s="1002"/>
      <c r="M34" s="993"/>
      <c r="N34" s="1095">
        <f t="shared" si="0"/>
        <v>10</v>
      </c>
    </row>
    <row r="35" spans="1:18">
      <c r="A35" s="984"/>
      <c r="B35" s="996" t="s">
        <v>1449</v>
      </c>
      <c r="C35" s="998" t="s">
        <v>381</v>
      </c>
      <c r="D35" s="998" t="s">
        <v>381</v>
      </c>
      <c r="E35" s="998" t="s">
        <v>381</v>
      </c>
      <c r="F35" s="998" t="s">
        <v>381</v>
      </c>
      <c r="G35" s="992">
        <v>43131</v>
      </c>
      <c r="H35" s="992"/>
      <c r="I35" s="993"/>
      <c r="J35" s="998" t="s">
        <v>1425</v>
      </c>
      <c r="K35" s="993" t="s">
        <v>1450</v>
      </c>
      <c r="L35" s="993"/>
      <c r="M35" s="993"/>
      <c r="N35" s="1095">
        <f t="shared" si="0"/>
        <v>10</v>
      </c>
    </row>
    <row r="36" spans="1:18">
      <c r="A36" s="984"/>
      <c r="B36" s="984" t="s">
        <v>315</v>
      </c>
      <c r="C36" s="998" t="s">
        <v>381</v>
      </c>
      <c r="D36" s="998" t="s">
        <v>381</v>
      </c>
      <c r="E36" s="998" t="s">
        <v>381</v>
      </c>
      <c r="F36" s="998" t="s">
        <v>381</v>
      </c>
      <c r="G36" s="998" t="s">
        <v>381</v>
      </c>
      <c r="H36" s="984"/>
      <c r="I36" s="993"/>
      <c r="J36" s="998" t="s">
        <v>1451</v>
      </c>
      <c r="K36" s="993"/>
      <c r="L36" s="993"/>
      <c r="M36" s="993"/>
      <c r="N36" s="1095">
        <f t="shared" si="0"/>
        <v>10</v>
      </c>
      <c r="R36" s="1006"/>
    </row>
    <row r="37" spans="1:18">
      <c r="A37" s="984"/>
      <c r="C37" s="984"/>
      <c r="D37" s="993"/>
      <c r="E37" s="984"/>
      <c r="F37" s="984"/>
      <c r="G37" s="984"/>
      <c r="H37" s="984"/>
      <c r="I37" s="993"/>
      <c r="K37" s="993"/>
      <c r="L37" s="993"/>
      <c r="M37" s="993"/>
    </row>
    <row r="38" spans="1:18">
      <c r="A38" s="1007" t="s">
        <v>1416</v>
      </c>
      <c r="B38" s="2681" t="s">
        <v>1452</v>
      </c>
      <c r="C38" s="2681"/>
      <c r="D38" s="2681"/>
      <c r="E38" s="2681"/>
      <c r="F38" s="2681"/>
      <c r="G38" s="2681"/>
      <c r="H38" s="2681"/>
      <c r="I38" s="2681"/>
      <c r="J38" s="2681"/>
      <c r="K38" s="2681"/>
      <c r="L38" s="2681"/>
      <c r="M38" s="2681"/>
      <c r="N38" s="2681"/>
      <c r="O38" s="2681"/>
      <c r="P38" s="2681"/>
      <c r="Q38" s="2681"/>
      <c r="R38" s="2681"/>
    </row>
    <row r="39" spans="1:18">
      <c r="A39" s="1007"/>
      <c r="B39" s="2681"/>
      <c r="C39" s="2681"/>
      <c r="D39" s="2681"/>
      <c r="E39" s="2681"/>
      <c r="F39" s="2681"/>
      <c r="G39" s="2681"/>
      <c r="H39" s="2681"/>
      <c r="I39" s="2681"/>
      <c r="J39" s="2681"/>
      <c r="K39" s="2681"/>
      <c r="L39" s="2681"/>
      <c r="M39" s="2681"/>
      <c r="N39" s="2681"/>
      <c r="O39" s="2681"/>
      <c r="P39" s="2681"/>
      <c r="Q39" s="2681"/>
      <c r="R39" s="2681"/>
    </row>
    <row r="40" spans="1:18">
      <c r="A40" s="1007"/>
      <c r="B40" s="2681"/>
      <c r="C40" s="2681"/>
      <c r="D40" s="2681"/>
      <c r="E40" s="2681"/>
      <c r="F40" s="2681"/>
      <c r="G40" s="2681"/>
      <c r="H40" s="2681"/>
      <c r="I40" s="2681"/>
      <c r="J40" s="2681"/>
      <c r="K40" s="2681"/>
      <c r="L40" s="2681"/>
      <c r="M40" s="2681"/>
      <c r="N40" s="2681"/>
      <c r="O40" s="2681"/>
      <c r="P40" s="2681"/>
      <c r="Q40" s="2681"/>
      <c r="R40" s="2681"/>
    </row>
    <row r="41" spans="1:18">
      <c r="A41" s="1007" t="s">
        <v>1453</v>
      </c>
      <c r="B41" s="983" t="s">
        <v>1454</v>
      </c>
    </row>
    <row r="50" spans="12:15">
      <c r="L50" s="1008">
        <v>1</v>
      </c>
      <c r="N50" s="983">
        <f>SUMIF($N$4:$N$36,L50,$C$4:$C$36)</f>
        <v>1170000</v>
      </c>
    </row>
    <row r="51" spans="12:15">
      <c r="L51" s="1008">
        <v>3.5</v>
      </c>
      <c r="M51" s="1006">
        <v>42369</v>
      </c>
      <c r="N51" s="983">
        <f>SUMIF($N$4:$N$36,L51,$C$4:$C$36)</f>
        <v>1105000</v>
      </c>
    </row>
    <row r="52" spans="12:15">
      <c r="L52" s="1008">
        <v>6</v>
      </c>
      <c r="M52" s="1006">
        <v>42582</v>
      </c>
      <c r="N52" s="983">
        <f>SUMIF($N$4:$N$36,L52,$C$4:$C$36)</f>
        <v>510000</v>
      </c>
    </row>
    <row r="53" spans="12:15">
      <c r="L53" s="1008">
        <v>7</v>
      </c>
      <c r="M53" s="1006">
        <v>42825</v>
      </c>
      <c r="N53" s="983">
        <f>SUMIF($N$4:$N$36,L53,$C$4:$C$36)</f>
        <v>150000</v>
      </c>
    </row>
    <row r="54" spans="12:15">
      <c r="L54" s="1008">
        <v>10</v>
      </c>
      <c r="M54" s="1006">
        <v>42946</v>
      </c>
      <c r="N54" s="983">
        <f>SUMIF($N$4:$N$36,L54,$C$4:$C$36)</f>
        <v>734865</v>
      </c>
    </row>
    <row r="55" spans="12:15">
      <c r="N55" s="1220">
        <f>SUM(N50:N54)</f>
        <v>3669865</v>
      </c>
    </row>
    <row r="56" spans="12:15">
      <c r="N56" s="1221">
        <f>SUM(C4:C31)-N55</f>
        <v>3151154</v>
      </c>
      <c r="O56" s="1221">
        <f>SUM(C12:C13)</f>
        <v>3151154</v>
      </c>
    </row>
  </sheetData>
  <mergeCells count="2">
    <mergeCell ref="J2:M2"/>
    <mergeCell ref="B38:R40"/>
  </mergeCells>
  <pageMargins left="0.7" right="0.7" top="0.75" bottom="0.75" header="0.3" footer="0.3"/>
  <pageSetup paperSize="9" orientation="portrait" horizontalDpi="300" verticalDpi="300" r:id="rId1"/>
  <drawing r:id="rId2"/>
  <legacyDrawing r:id="rId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7"/>
  <sheetViews>
    <sheetView workbookViewId="0"/>
  </sheetViews>
  <sheetFormatPr defaultColWidth="9.33203125" defaultRowHeight="15"/>
  <cols>
    <col min="1" max="1" width="37.83203125" style="1012" bestFit="1" customWidth="1"/>
    <col min="2" max="2" width="21.5" style="1012" bestFit="1" customWidth="1"/>
    <col min="3" max="3" width="17.83203125" style="1012" bestFit="1" customWidth="1"/>
    <col min="4" max="4" width="25.5" style="1012" bestFit="1" customWidth="1"/>
    <col min="5" max="5" width="26" style="1011" customWidth="1"/>
    <col min="6" max="16384" width="9.33203125" style="1012"/>
  </cols>
  <sheetData>
    <row r="1" spans="1:5">
      <c r="A1" s="1009" t="s">
        <v>1459</v>
      </c>
      <c r="B1" s="1010"/>
      <c r="C1" s="1010"/>
      <c r="D1" s="1010"/>
    </row>
    <row r="2" spans="1:5">
      <c r="A2" s="1010"/>
      <c r="B2" s="1010"/>
      <c r="C2" s="1010"/>
      <c r="D2" s="1010"/>
    </row>
    <row r="3" spans="1:5" ht="30">
      <c r="A3" s="1013" t="s">
        <v>1460</v>
      </c>
      <c r="B3" s="1014" t="s">
        <v>1461</v>
      </c>
      <c r="C3" s="1014" t="s">
        <v>1462</v>
      </c>
      <c r="D3" s="1014" t="s">
        <v>1463</v>
      </c>
      <c r="E3" s="1015" t="s">
        <v>1464</v>
      </c>
    </row>
    <row r="4" spans="1:5">
      <c r="A4" s="1016" t="s">
        <v>1465</v>
      </c>
      <c r="B4" s="1017">
        <v>499990</v>
      </c>
      <c r="C4" s="1018">
        <v>1E-3</v>
      </c>
      <c r="D4" s="1018">
        <f>B4*C4</f>
        <v>499.99</v>
      </c>
      <c r="E4" s="1019"/>
    </row>
    <row r="5" spans="1:5">
      <c r="A5" s="1016" t="s">
        <v>1466</v>
      </c>
      <c r="B5" s="1017">
        <v>250000</v>
      </c>
      <c r="C5" s="1018">
        <v>1E-3</v>
      </c>
      <c r="D5" s="1018">
        <f t="shared" ref="D5:D16" si="0">B5*C5</f>
        <v>250</v>
      </c>
      <c r="E5" s="1019"/>
    </row>
    <row r="6" spans="1:5" ht="28.5">
      <c r="A6" s="1020" t="s">
        <v>1467</v>
      </c>
      <c r="B6" s="1017">
        <v>250000</v>
      </c>
      <c r="C6" s="1018">
        <v>1E-3</v>
      </c>
      <c r="D6" s="1018">
        <f t="shared" si="0"/>
        <v>250</v>
      </c>
      <c r="E6" s="1019"/>
    </row>
    <row r="7" spans="1:5">
      <c r="A7" s="1016" t="s">
        <v>1289</v>
      </c>
      <c r="B7" s="1017">
        <v>451150</v>
      </c>
      <c r="C7" s="1018">
        <v>1E-3</v>
      </c>
      <c r="D7" s="1018">
        <f t="shared" si="0"/>
        <v>451.15000000000003</v>
      </c>
      <c r="E7" s="1019"/>
    </row>
    <row r="8" spans="1:5">
      <c r="A8" s="1016" t="s">
        <v>1290</v>
      </c>
      <c r="B8" s="1017">
        <v>38250</v>
      </c>
      <c r="C8" s="1018">
        <v>1E-3</v>
      </c>
      <c r="D8" s="1018">
        <f t="shared" si="0"/>
        <v>38.25</v>
      </c>
      <c r="E8" s="1019"/>
    </row>
    <row r="9" spans="1:5">
      <c r="A9" s="1016" t="s">
        <v>1468</v>
      </c>
      <c r="B9" s="1017">
        <v>10600</v>
      </c>
      <c r="C9" s="1018">
        <v>1E-3</v>
      </c>
      <c r="D9" s="1018">
        <f t="shared" si="0"/>
        <v>10.6</v>
      </c>
      <c r="E9" s="1019"/>
    </row>
    <row r="10" spans="1:5">
      <c r="A10" s="1016" t="s">
        <v>1469</v>
      </c>
      <c r="B10" s="1017">
        <v>150000</v>
      </c>
      <c r="C10" s="1018">
        <v>1E-3</v>
      </c>
      <c r="D10" s="1018">
        <f t="shared" si="0"/>
        <v>150</v>
      </c>
      <c r="E10" s="1019">
        <v>41455</v>
      </c>
    </row>
    <row r="11" spans="1:5">
      <c r="A11" s="1016" t="s">
        <v>1470</v>
      </c>
      <c r="B11" s="1017">
        <v>1000000</v>
      </c>
      <c r="C11" s="1018">
        <v>1E-3</v>
      </c>
      <c r="D11" s="1018">
        <f t="shared" si="0"/>
        <v>1000</v>
      </c>
      <c r="E11" s="1019"/>
    </row>
    <row r="12" spans="1:5">
      <c r="A12" s="1016" t="s">
        <v>1471</v>
      </c>
      <c r="B12" s="1017">
        <v>1000000</v>
      </c>
      <c r="C12" s="1018">
        <v>1E-3</v>
      </c>
      <c r="D12" s="1018">
        <f t="shared" si="0"/>
        <v>1000</v>
      </c>
      <c r="E12" s="1019"/>
    </row>
    <row r="13" spans="1:5">
      <c r="A13" s="1016" t="s">
        <v>1472</v>
      </c>
      <c r="B13" s="1017">
        <v>125000</v>
      </c>
      <c r="C13" s="1018">
        <v>1E-3</v>
      </c>
      <c r="D13" s="1018">
        <f t="shared" si="0"/>
        <v>125</v>
      </c>
      <c r="E13" s="1019"/>
    </row>
    <row r="14" spans="1:5">
      <c r="A14" s="1016" t="s">
        <v>1473</v>
      </c>
      <c r="B14" s="1017">
        <v>500000</v>
      </c>
      <c r="C14" s="1018">
        <v>1E-3</v>
      </c>
      <c r="D14" s="1018">
        <f t="shared" si="0"/>
        <v>500</v>
      </c>
      <c r="E14" s="1019">
        <v>40800</v>
      </c>
    </row>
    <row r="15" spans="1:5">
      <c r="A15" s="1016" t="s">
        <v>1474</v>
      </c>
      <c r="B15" s="1017">
        <v>2100769</v>
      </c>
      <c r="C15" s="1018">
        <v>1E-3</v>
      </c>
      <c r="D15" s="1018">
        <f t="shared" si="0"/>
        <v>2100.7690000000002</v>
      </c>
      <c r="E15" s="1019">
        <v>41871</v>
      </c>
    </row>
    <row r="16" spans="1:5">
      <c r="A16" s="1016" t="s">
        <v>1475</v>
      </c>
      <c r="B16" s="1017">
        <v>1050385</v>
      </c>
      <c r="C16" s="1018">
        <v>1E-3</v>
      </c>
      <c r="D16" s="1018">
        <f t="shared" si="0"/>
        <v>1050.385</v>
      </c>
      <c r="E16" s="1019">
        <v>41871</v>
      </c>
    </row>
    <row r="17" spans="4:4">
      <c r="D17" s="1021">
        <f>SUM(D4:D16)</f>
        <v>7426.1440000000002</v>
      </c>
    </row>
  </sheetData>
  <pageMargins left="0.7" right="0.7" top="0.75" bottom="0.75" header="0.3" footer="0.3"/>
  <pageSetup paperSize="9" orientation="landscape"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showGridLines="0" workbookViewId="0"/>
  </sheetViews>
  <sheetFormatPr defaultColWidth="9.33203125" defaultRowHeight="15"/>
  <cols>
    <col min="1" max="1" width="43.33203125" style="1012" customWidth="1"/>
    <col min="2" max="2" width="19.5" style="1012" customWidth="1"/>
    <col min="3" max="3" width="20.1640625" style="1012" customWidth="1"/>
    <col min="4" max="4" width="20.6640625" style="1011" customWidth="1"/>
    <col min="5" max="16384" width="9.33203125" style="1012"/>
  </cols>
  <sheetData>
    <row r="1" spans="1:4" ht="57">
      <c r="A1" s="1022" t="s">
        <v>1460</v>
      </c>
      <c r="B1" s="1022" t="s">
        <v>1476</v>
      </c>
      <c r="C1" s="1023" t="s">
        <v>1477</v>
      </c>
      <c r="D1" s="1015" t="s">
        <v>1464</v>
      </c>
    </row>
    <row r="2" spans="1:4" ht="28.5" customHeight="1">
      <c r="A2" s="1024" t="s">
        <v>1284</v>
      </c>
      <c r="B2" s="1025">
        <v>1420444</v>
      </c>
      <c r="C2" s="1025">
        <v>1420444</v>
      </c>
      <c r="D2" s="1026">
        <v>41773</v>
      </c>
    </row>
    <row r="3" spans="1:4" ht="28.5" customHeight="1">
      <c r="A3" s="1024" t="s">
        <v>1478</v>
      </c>
      <c r="B3" s="1025">
        <v>645656</v>
      </c>
      <c r="C3" s="1025">
        <v>645656</v>
      </c>
      <c r="D3" s="1026">
        <v>41774</v>
      </c>
    </row>
    <row r="4" spans="1:4" ht="28.5" customHeight="1">
      <c r="A4" s="1027" t="s">
        <v>1479</v>
      </c>
      <c r="B4" s="1025">
        <v>645656</v>
      </c>
      <c r="C4" s="1025">
        <v>645656</v>
      </c>
      <c r="D4" s="1026">
        <v>41774</v>
      </c>
    </row>
    <row r="5" spans="1:4" ht="28.5" customHeight="1">
      <c r="A5" s="1024" t="s">
        <v>1289</v>
      </c>
      <c r="B5" s="1025">
        <v>1165151</v>
      </c>
      <c r="C5" s="1025">
        <v>1165151</v>
      </c>
      <c r="D5" s="1026">
        <v>41774</v>
      </c>
    </row>
    <row r="6" spans="1:4" ht="28.5" customHeight="1">
      <c r="A6" s="1024" t="s">
        <v>1290</v>
      </c>
      <c r="B6" s="1025">
        <v>98785</v>
      </c>
      <c r="C6" s="1025">
        <v>98785</v>
      </c>
      <c r="D6" s="1026">
        <v>41774</v>
      </c>
    </row>
    <row r="7" spans="1:4" ht="28.5" customHeight="1">
      <c r="A7" s="1024" t="s">
        <v>1291</v>
      </c>
      <c r="B7" s="1025">
        <v>27376</v>
      </c>
      <c r="C7" s="1025">
        <v>27376</v>
      </c>
      <c r="D7" s="1026">
        <v>41774</v>
      </c>
    </row>
    <row r="8" spans="1:4" ht="28.5" customHeight="1">
      <c r="A8" s="1024" t="s">
        <v>1292</v>
      </c>
      <c r="B8" s="1025">
        <v>734845</v>
      </c>
      <c r="C8" s="1025">
        <v>734845</v>
      </c>
      <c r="D8" s="1026">
        <v>41767</v>
      </c>
    </row>
    <row r="9" spans="1:4" ht="28.5" customHeight="1">
      <c r="A9" s="1027" t="s">
        <v>1480</v>
      </c>
      <c r="B9" s="1025">
        <v>762086</v>
      </c>
      <c r="C9" s="1025">
        <v>762086</v>
      </c>
      <c r="D9" s="1026">
        <v>41774</v>
      </c>
    </row>
    <row r="10" spans="1:4" ht="28.5" customHeight="1">
      <c r="A10" s="1024" t="s">
        <v>81</v>
      </c>
      <c r="B10" s="1028">
        <v>5499999</v>
      </c>
      <c r="C10" s="1028">
        <v>5499999</v>
      </c>
      <c r="D10" s="1029" t="s">
        <v>1481</v>
      </c>
    </row>
  </sheetData>
  <pageMargins left="0.7" right="0.7" top="0.75" bottom="0.75" header="0.3" footer="0.3"/>
  <pageSetup paperSize="9" orientation="landscape"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H53"/>
  <sheetViews>
    <sheetView workbookViewId="0">
      <pane xSplit="1" ySplit="1" topLeftCell="B2" activePane="bottomRight" state="frozen"/>
      <selection activeCell="C32" sqref="C32"/>
      <selection pane="topRight" activeCell="C32" sqref="C32"/>
      <selection pane="bottomLeft" activeCell="C32" sqref="C32"/>
      <selection pane="bottomRight" activeCell="B2" sqref="B2"/>
    </sheetView>
  </sheetViews>
  <sheetFormatPr defaultColWidth="9.33203125" defaultRowHeight="15"/>
  <cols>
    <col min="1" max="1" width="62.83203125" style="1012" bestFit="1" customWidth="1"/>
    <col min="2" max="5" width="18.83203125" style="1012" customWidth="1"/>
    <col min="6" max="6" width="21.1640625" style="1011" customWidth="1"/>
    <col min="7" max="7" width="14.83203125" style="1045" bestFit="1" customWidth="1"/>
    <col min="8" max="8" width="18.83203125" style="1012" bestFit="1" customWidth="1"/>
    <col min="9" max="16384" width="9.33203125" style="1012"/>
  </cols>
  <sheetData>
    <row r="1" spans="1:8" ht="85.5">
      <c r="A1" s="1023" t="s">
        <v>1482</v>
      </c>
      <c r="B1" s="1023" t="s">
        <v>1483</v>
      </c>
      <c r="C1" s="1023" t="s">
        <v>1484</v>
      </c>
      <c r="D1" s="1023" t="s">
        <v>1485</v>
      </c>
      <c r="E1" s="1023" t="s">
        <v>1486</v>
      </c>
      <c r="F1" s="1015" t="s">
        <v>1464</v>
      </c>
      <c r="G1" s="1030" t="s">
        <v>418</v>
      </c>
    </row>
    <row r="2" spans="1:8">
      <c r="A2" s="1027" t="s">
        <v>1487</v>
      </c>
      <c r="B2" s="1031" t="s">
        <v>1488</v>
      </c>
      <c r="C2" s="1028">
        <v>500000</v>
      </c>
      <c r="D2" s="1028">
        <v>578553</v>
      </c>
      <c r="E2" s="1032">
        <v>771404</v>
      </c>
      <c r="F2" s="1033"/>
      <c r="G2" s="1034">
        <v>500000</v>
      </c>
      <c r="H2" s="1035"/>
    </row>
    <row r="3" spans="1:8">
      <c r="A3" s="1027" t="s">
        <v>1294</v>
      </c>
      <c r="B3" s="1031" t="s">
        <v>1488</v>
      </c>
      <c r="C3" s="1028">
        <v>500000</v>
      </c>
      <c r="D3" s="1028">
        <v>578553</v>
      </c>
      <c r="E3" s="1032">
        <v>771404</v>
      </c>
      <c r="F3" s="1033"/>
      <c r="G3" s="1034">
        <v>500000</v>
      </c>
      <c r="H3" s="1035"/>
    </row>
    <row r="4" spans="1:8">
      <c r="A4" s="2682" t="s">
        <v>1489</v>
      </c>
      <c r="B4" s="1036" t="s">
        <v>1384</v>
      </c>
      <c r="C4" s="1037">
        <v>3438503.12</v>
      </c>
      <c r="D4" s="2683">
        <v>3675204.75</v>
      </c>
      <c r="E4" s="2684">
        <v>4900273</v>
      </c>
      <c r="F4" s="1033"/>
      <c r="G4" s="1034"/>
      <c r="H4" s="1035"/>
    </row>
    <row r="5" spans="1:8">
      <c r="A5" s="2682"/>
      <c r="B5" s="1038">
        <v>40297</v>
      </c>
      <c r="C5" s="1039">
        <v>600000</v>
      </c>
      <c r="D5" s="2683"/>
      <c r="E5" s="2684"/>
      <c r="F5" s="1033"/>
      <c r="G5" s="1034">
        <v>600000</v>
      </c>
      <c r="H5" s="1035"/>
    </row>
    <row r="6" spans="1:8">
      <c r="A6" s="2682"/>
      <c r="B6" s="1038">
        <v>40802</v>
      </c>
      <c r="C6" s="1039">
        <v>763889</v>
      </c>
      <c r="D6" s="2683"/>
      <c r="E6" s="2684"/>
      <c r="F6" s="1040">
        <v>40801</v>
      </c>
      <c r="G6" s="1034">
        <v>763889</v>
      </c>
      <c r="H6" s="1035"/>
    </row>
    <row r="7" spans="1:8">
      <c r="A7" s="2682"/>
      <c r="B7" s="1038">
        <v>41110</v>
      </c>
      <c r="C7" s="1041">
        <v>525039.12</v>
      </c>
      <c r="D7" s="2683"/>
      <c r="E7" s="2684"/>
      <c r="F7" s="1040">
        <v>41111</v>
      </c>
      <c r="G7" s="1034">
        <v>525039.12</v>
      </c>
      <c r="H7" s="1035"/>
    </row>
    <row r="8" spans="1:8">
      <c r="A8" s="2682"/>
      <c r="B8" s="1038">
        <v>41323</v>
      </c>
      <c r="C8" s="1039">
        <v>645656</v>
      </c>
      <c r="D8" s="2683"/>
      <c r="E8" s="2684"/>
      <c r="F8" s="1040">
        <v>41325</v>
      </c>
      <c r="G8" s="1034">
        <v>645656</v>
      </c>
      <c r="H8" s="1035"/>
    </row>
    <row r="9" spans="1:8">
      <c r="A9" s="2682"/>
      <c r="B9" s="1038">
        <v>41512</v>
      </c>
      <c r="C9" s="1039">
        <v>903919</v>
      </c>
      <c r="D9" s="2683"/>
      <c r="E9" s="2684"/>
      <c r="F9" s="1040">
        <v>41513</v>
      </c>
      <c r="G9" s="1034">
        <v>903919</v>
      </c>
      <c r="H9" s="1035"/>
    </row>
    <row r="10" spans="1:8">
      <c r="A10" s="2682" t="s">
        <v>1490</v>
      </c>
      <c r="B10" s="1036" t="s">
        <v>1384</v>
      </c>
      <c r="C10" s="1037">
        <v>1540228.15</v>
      </c>
      <c r="D10" s="2683">
        <v>1644249.75</v>
      </c>
      <c r="E10" s="2684">
        <v>2192333</v>
      </c>
      <c r="F10" s="1033"/>
      <c r="G10" s="1034"/>
      <c r="H10" s="1035"/>
    </row>
    <row r="11" spans="1:8">
      <c r="A11" s="2682"/>
      <c r="B11" s="1038">
        <v>40297</v>
      </c>
      <c r="C11" s="1039">
        <v>250000</v>
      </c>
      <c r="D11" s="2683"/>
      <c r="E11" s="2684"/>
      <c r="F11" s="1033"/>
      <c r="G11" s="1034">
        <v>250000</v>
      </c>
      <c r="H11" s="1035"/>
    </row>
    <row r="12" spans="1:8">
      <c r="A12" s="2682"/>
      <c r="B12" s="1038">
        <v>40802</v>
      </c>
      <c r="C12" s="1039">
        <v>347222</v>
      </c>
      <c r="D12" s="2683"/>
      <c r="E12" s="2684"/>
      <c r="F12" s="1040">
        <v>40800</v>
      </c>
      <c r="G12" s="1034">
        <v>347222</v>
      </c>
      <c r="H12" s="1035"/>
    </row>
    <row r="13" spans="1:8">
      <c r="A13" s="2682"/>
      <c r="B13" s="1038">
        <v>41110</v>
      </c>
      <c r="C13" s="1041">
        <v>238654.15</v>
      </c>
      <c r="D13" s="2683"/>
      <c r="E13" s="2684"/>
      <c r="F13" s="1040">
        <v>41135</v>
      </c>
      <c r="G13" s="1034">
        <f>238644.15+10</f>
        <v>238654.15</v>
      </c>
      <c r="H13" s="1035"/>
    </row>
    <row r="14" spans="1:8">
      <c r="A14" s="2682"/>
      <c r="B14" s="1038">
        <v>41323</v>
      </c>
      <c r="C14" s="1039">
        <v>293480</v>
      </c>
      <c r="D14" s="2683"/>
      <c r="E14" s="2684"/>
      <c r="F14" s="1040">
        <v>41325</v>
      </c>
      <c r="G14" s="1034">
        <v>293480</v>
      </c>
      <c r="H14" s="1035"/>
    </row>
    <row r="15" spans="1:8">
      <c r="A15" s="2682"/>
      <c r="B15" s="1038">
        <v>41512</v>
      </c>
      <c r="C15" s="1039">
        <v>410872</v>
      </c>
      <c r="D15" s="2683"/>
      <c r="E15" s="2684"/>
      <c r="F15" s="1040">
        <v>41513</v>
      </c>
      <c r="G15" s="1034">
        <v>410872</v>
      </c>
      <c r="H15" s="1035"/>
    </row>
    <row r="16" spans="1:8">
      <c r="A16" s="2682" t="s">
        <v>1491</v>
      </c>
      <c r="B16" s="1031" t="s">
        <v>1384</v>
      </c>
      <c r="C16" s="1037">
        <v>1540228.15</v>
      </c>
      <c r="D16" s="2683">
        <v>1644249.75</v>
      </c>
      <c r="E16" s="2684">
        <v>2192333</v>
      </c>
      <c r="F16" s="1033"/>
      <c r="G16" s="1034"/>
      <c r="H16" s="1035"/>
    </row>
    <row r="17" spans="1:8">
      <c r="A17" s="2682"/>
      <c r="B17" s="1038">
        <v>40297</v>
      </c>
      <c r="C17" s="1039">
        <v>250000</v>
      </c>
      <c r="D17" s="2683"/>
      <c r="E17" s="2684"/>
      <c r="F17" s="1033"/>
      <c r="G17" s="1034">
        <v>250000</v>
      </c>
      <c r="H17" s="1035"/>
    </row>
    <row r="18" spans="1:8">
      <c r="A18" s="2682"/>
      <c r="B18" s="1038">
        <v>40802</v>
      </c>
      <c r="C18" s="1039">
        <v>347222</v>
      </c>
      <c r="D18" s="2683"/>
      <c r="E18" s="2684"/>
      <c r="F18" s="1040">
        <v>40813</v>
      </c>
      <c r="G18" s="1034">
        <v>347222</v>
      </c>
      <c r="H18" s="1035"/>
    </row>
    <row r="19" spans="1:8">
      <c r="A19" s="2682"/>
      <c r="B19" s="1038">
        <v>41110</v>
      </c>
      <c r="C19" s="1041">
        <v>238654.15</v>
      </c>
      <c r="D19" s="2683"/>
      <c r="E19" s="2684"/>
      <c r="F19" s="1040">
        <v>41136</v>
      </c>
      <c r="G19" s="1034">
        <f>238634.15+20</f>
        <v>238654.15</v>
      </c>
      <c r="H19" s="1035"/>
    </row>
    <row r="20" spans="1:8">
      <c r="A20" s="2682"/>
      <c r="B20" s="1038">
        <v>41323</v>
      </c>
      <c r="C20" s="1039">
        <v>293480</v>
      </c>
      <c r="D20" s="2683"/>
      <c r="E20" s="2684"/>
      <c r="F20" s="1040">
        <v>41325</v>
      </c>
      <c r="G20" s="1034">
        <v>293480</v>
      </c>
      <c r="H20" s="1035"/>
    </row>
    <row r="21" spans="1:8">
      <c r="A21" s="2682"/>
      <c r="B21" s="1038">
        <v>41512</v>
      </c>
      <c r="C21" s="1039">
        <v>410872</v>
      </c>
      <c r="D21" s="2683"/>
      <c r="E21" s="2684"/>
      <c r="F21" s="1040">
        <v>41515</v>
      </c>
      <c r="G21" s="1034">
        <v>410872</v>
      </c>
      <c r="H21" s="1035"/>
    </row>
    <row r="22" spans="1:8">
      <c r="A22" s="2682" t="s">
        <v>1492</v>
      </c>
      <c r="B22" s="1031" t="s">
        <v>1384</v>
      </c>
      <c r="C22" s="1037">
        <v>2779496.1</v>
      </c>
      <c r="D22" s="2683">
        <v>2967213.51</v>
      </c>
      <c r="E22" s="2684">
        <v>3956285</v>
      </c>
      <c r="F22" s="1033"/>
      <c r="G22" s="1034"/>
      <c r="H22" s="1035"/>
    </row>
    <row r="23" spans="1:8">
      <c r="A23" s="2682"/>
      <c r="B23" s="1038">
        <v>40297</v>
      </c>
      <c r="C23" s="1039">
        <v>451150</v>
      </c>
      <c r="D23" s="2683"/>
      <c r="E23" s="2684"/>
      <c r="F23" s="1033"/>
      <c r="G23" s="1034">
        <v>451150</v>
      </c>
      <c r="H23" s="1035"/>
    </row>
    <row r="24" spans="1:8">
      <c r="A24" s="2682"/>
      <c r="B24" s="1038">
        <v>40802</v>
      </c>
      <c r="C24" s="1041">
        <v>626596.81999999995</v>
      </c>
      <c r="D24" s="2683"/>
      <c r="E24" s="2684"/>
      <c r="F24" s="1040">
        <v>40803</v>
      </c>
      <c r="G24" s="1034">
        <v>626596.81999999995</v>
      </c>
      <c r="H24" s="1035"/>
    </row>
    <row r="25" spans="1:8">
      <c r="A25" s="2682"/>
      <c r="B25" s="1038">
        <v>41110</v>
      </c>
      <c r="C25" s="1041">
        <v>430675.27</v>
      </c>
      <c r="D25" s="2683"/>
      <c r="E25" s="2684"/>
      <c r="F25" s="1040">
        <v>41116</v>
      </c>
      <c r="G25" s="1034">
        <v>430675.27</v>
      </c>
      <c r="H25" s="1035"/>
    </row>
    <row r="26" spans="1:8">
      <c r="A26" s="2682"/>
      <c r="B26" s="1038">
        <v>41323</v>
      </c>
      <c r="C26" s="1041">
        <v>529614.01</v>
      </c>
      <c r="D26" s="2683"/>
      <c r="E26" s="2684"/>
      <c r="F26" s="1040">
        <v>41325</v>
      </c>
      <c r="G26" s="1034">
        <v>529614.01</v>
      </c>
      <c r="H26" s="1035"/>
    </row>
    <row r="27" spans="1:8">
      <c r="A27" s="2682"/>
      <c r="B27" s="1038">
        <v>41512</v>
      </c>
      <c r="C27" s="1039">
        <v>741460</v>
      </c>
      <c r="D27" s="2683"/>
      <c r="E27" s="2684"/>
      <c r="F27" s="1040">
        <v>41513</v>
      </c>
      <c r="G27" s="1034">
        <v>741460</v>
      </c>
      <c r="H27" s="1035"/>
    </row>
    <row r="28" spans="1:8">
      <c r="A28" s="2682" t="s">
        <v>1493</v>
      </c>
      <c r="B28" s="1031" t="s">
        <v>1384</v>
      </c>
      <c r="C28" s="1037">
        <v>235654.49</v>
      </c>
      <c r="D28" s="2683">
        <v>251569.77</v>
      </c>
      <c r="E28" s="2684">
        <v>335426</v>
      </c>
      <c r="F28" s="1033"/>
      <c r="G28" s="1034"/>
      <c r="H28" s="1035"/>
    </row>
    <row r="29" spans="1:8">
      <c r="A29" s="2682"/>
      <c r="B29" s="1038">
        <v>40297</v>
      </c>
      <c r="C29" s="1039">
        <v>38250</v>
      </c>
      <c r="D29" s="2683"/>
      <c r="E29" s="2684"/>
      <c r="F29" s="1033"/>
      <c r="G29" s="1034">
        <v>38250</v>
      </c>
      <c r="H29" s="1035"/>
    </row>
    <row r="30" spans="1:8">
      <c r="A30" s="2682"/>
      <c r="B30" s="1038">
        <v>40802</v>
      </c>
      <c r="C30" s="1041">
        <v>53124.97</v>
      </c>
      <c r="D30" s="2683"/>
      <c r="E30" s="2684"/>
      <c r="F30" s="1040">
        <v>40803</v>
      </c>
      <c r="G30" s="1034">
        <v>53124.97</v>
      </c>
      <c r="H30" s="1035"/>
    </row>
    <row r="31" spans="1:8">
      <c r="A31" s="2682"/>
      <c r="B31" s="1038">
        <v>41110</v>
      </c>
      <c r="C31" s="1041">
        <v>36514.080000000002</v>
      </c>
      <c r="D31" s="2683"/>
      <c r="E31" s="2684"/>
      <c r="F31" s="1040">
        <v>41116</v>
      </c>
      <c r="G31" s="1034">
        <v>36514.080000000002</v>
      </c>
      <c r="H31" s="1035"/>
    </row>
    <row r="32" spans="1:8">
      <c r="A32" s="2682"/>
      <c r="B32" s="1038">
        <v>41323</v>
      </c>
      <c r="C32" s="1041">
        <v>44902.44</v>
      </c>
      <c r="D32" s="2683"/>
      <c r="E32" s="2684"/>
      <c r="F32" s="1040">
        <v>41325</v>
      </c>
      <c r="G32" s="1034">
        <v>44902.44</v>
      </c>
      <c r="H32" s="1035"/>
    </row>
    <row r="33" spans="1:8">
      <c r="A33" s="2682"/>
      <c r="B33" s="1038">
        <v>41512</v>
      </c>
      <c r="C33" s="1039">
        <v>62863</v>
      </c>
      <c r="D33" s="2683"/>
      <c r="E33" s="2684"/>
      <c r="F33" s="1040">
        <v>41513</v>
      </c>
      <c r="G33" s="1034">
        <v>62863</v>
      </c>
      <c r="H33" s="1035"/>
    </row>
    <row r="34" spans="1:8">
      <c r="A34" s="2682" t="s">
        <v>1494</v>
      </c>
      <c r="B34" s="1031" t="s">
        <v>1384</v>
      </c>
      <c r="C34" s="1037">
        <v>65305.7</v>
      </c>
      <c r="D34" s="2683">
        <v>69716.22</v>
      </c>
      <c r="E34" s="2684">
        <v>92955</v>
      </c>
      <c r="F34" s="1033"/>
      <c r="G34" s="1034"/>
      <c r="H34" s="1035"/>
    </row>
    <row r="35" spans="1:8">
      <c r="A35" s="2682"/>
      <c r="B35" s="1038">
        <v>40297</v>
      </c>
      <c r="C35" s="1039">
        <v>10600</v>
      </c>
      <c r="D35" s="2683"/>
      <c r="E35" s="2684"/>
      <c r="F35" s="1033"/>
      <c r="G35" s="1034">
        <v>10600</v>
      </c>
      <c r="H35" s="1035"/>
    </row>
    <row r="36" spans="1:8">
      <c r="A36" s="2682"/>
      <c r="B36" s="1038">
        <v>40802</v>
      </c>
      <c r="C36" s="1041">
        <v>14722.21</v>
      </c>
      <c r="D36" s="2683"/>
      <c r="E36" s="2684"/>
      <c r="F36" s="1040">
        <v>40803</v>
      </c>
      <c r="G36" s="1034">
        <v>14722.21</v>
      </c>
      <c r="H36" s="1035"/>
    </row>
    <row r="37" spans="1:8">
      <c r="A37" s="2682"/>
      <c r="B37" s="1038">
        <v>41110</v>
      </c>
      <c r="C37" s="1041">
        <v>10118.94</v>
      </c>
      <c r="D37" s="2683"/>
      <c r="E37" s="2684"/>
      <c r="F37" s="1040">
        <v>41116</v>
      </c>
      <c r="G37" s="1034">
        <v>10118.94</v>
      </c>
      <c r="H37" s="1035"/>
    </row>
    <row r="38" spans="1:8">
      <c r="A38" s="2682"/>
      <c r="B38" s="1038">
        <v>41323</v>
      </c>
      <c r="C38" s="1041">
        <v>12443.55</v>
      </c>
      <c r="D38" s="2683"/>
      <c r="E38" s="2684"/>
      <c r="F38" s="1040">
        <v>41325</v>
      </c>
      <c r="G38" s="1034">
        <v>12443.55</v>
      </c>
      <c r="H38" s="1035"/>
    </row>
    <row r="39" spans="1:8">
      <c r="A39" s="2682"/>
      <c r="B39" s="1038">
        <v>41512</v>
      </c>
      <c r="C39" s="1039">
        <v>17421</v>
      </c>
      <c r="D39" s="2683"/>
      <c r="E39" s="2684"/>
      <c r="F39" s="1040">
        <v>41513</v>
      </c>
      <c r="G39" s="1034">
        <v>17421</v>
      </c>
      <c r="H39" s="1035"/>
    </row>
    <row r="40" spans="1:8">
      <c r="A40" s="2682" t="s">
        <v>1495</v>
      </c>
      <c r="B40" s="1031" t="s">
        <v>1384</v>
      </c>
      <c r="C40" s="1037">
        <v>1887526.15</v>
      </c>
      <c r="D40" s="2683">
        <v>2031870.75</v>
      </c>
      <c r="E40" s="2684">
        <v>2709161</v>
      </c>
      <c r="F40" s="1033"/>
      <c r="G40" s="1034"/>
      <c r="H40" s="1035"/>
    </row>
    <row r="41" spans="1:8">
      <c r="A41" s="2682"/>
      <c r="B41" s="1038">
        <v>40318</v>
      </c>
      <c r="C41" s="1039">
        <v>500000</v>
      </c>
      <c r="D41" s="2683"/>
      <c r="E41" s="2684"/>
      <c r="F41" s="1033"/>
      <c r="G41" s="1034">
        <v>500000</v>
      </c>
      <c r="H41" s="1035"/>
    </row>
    <row r="42" spans="1:8">
      <c r="A42" s="2682"/>
      <c r="B42" s="1038">
        <v>40802</v>
      </c>
      <c r="C42" s="1039">
        <v>347222</v>
      </c>
      <c r="D42" s="2683"/>
      <c r="E42" s="2684"/>
      <c r="F42" s="1040">
        <v>40809</v>
      </c>
      <c r="G42" s="1034">
        <v>347222</v>
      </c>
      <c r="H42" s="1035"/>
    </row>
    <row r="43" spans="1:8">
      <c r="A43" s="2682"/>
      <c r="B43" s="1038">
        <v>41110</v>
      </c>
      <c r="C43" s="1041">
        <v>238654.15</v>
      </c>
      <c r="D43" s="2683"/>
      <c r="E43" s="2684"/>
      <c r="F43" s="1040">
        <v>41138</v>
      </c>
      <c r="G43" s="1034">
        <v>238654</v>
      </c>
      <c r="H43" s="1035"/>
    </row>
    <row r="44" spans="1:8">
      <c r="A44" s="2682"/>
      <c r="B44" s="1038">
        <v>41323</v>
      </c>
      <c r="C44" s="1039">
        <v>334021</v>
      </c>
      <c r="D44" s="2683"/>
      <c r="E44" s="2684"/>
      <c r="F44" s="1040">
        <v>41337</v>
      </c>
      <c r="G44" s="1034">
        <v>334021</v>
      </c>
      <c r="H44" s="1035"/>
    </row>
    <row r="45" spans="1:8">
      <c r="A45" s="2682"/>
      <c r="B45" s="1038">
        <v>41512</v>
      </c>
      <c r="C45" s="1039">
        <v>467629</v>
      </c>
      <c r="D45" s="2683"/>
      <c r="E45" s="2684"/>
      <c r="F45" s="1040">
        <v>41549</v>
      </c>
      <c r="G45" s="1034">
        <v>467629</v>
      </c>
      <c r="H45" s="1035"/>
    </row>
    <row r="46" spans="1:8">
      <c r="A46" s="2682" t="s">
        <v>1496</v>
      </c>
      <c r="B46" s="1031" t="s">
        <v>1384</v>
      </c>
      <c r="C46" s="1037">
        <v>2113057.14</v>
      </c>
      <c r="D46" s="2683">
        <v>2246126.25</v>
      </c>
      <c r="E46" s="2684">
        <v>2994835</v>
      </c>
      <c r="F46" s="1033"/>
      <c r="G46" s="1034"/>
      <c r="H46" s="1035"/>
    </row>
    <row r="47" spans="1:8">
      <c r="A47" s="2682"/>
      <c r="B47" s="1038">
        <v>40802</v>
      </c>
      <c r="C47" s="1039">
        <v>1000000</v>
      </c>
      <c r="D47" s="2683"/>
      <c r="E47" s="2684"/>
      <c r="F47" s="1040">
        <v>40800</v>
      </c>
      <c r="G47" s="1034">
        <v>1000000</v>
      </c>
      <c r="H47" s="1035"/>
    </row>
    <row r="48" spans="1:8">
      <c r="A48" s="2682"/>
      <c r="B48" s="1038">
        <v>41110</v>
      </c>
      <c r="C48" s="1041">
        <v>281690.14</v>
      </c>
      <c r="D48" s="2683"/>
      <c r="E48" s="2684"/>
      <c r="F48" s="1040">
        <v>41110</v>
      </c>
      <c r="G48" s="1034">
        <v>281000</v>
      </c>
      <c r="H48" s="1035"/>
    </row>
    <row r="49" spans="1:8">
      <c r="A49" s="2682"/>
      <c r="B49" s="1038">
        <v>41323</v>
      </c>
      <c r="C49" s="1039">
        <v>346403</v>
      </c>
      <c r="D49" s="2683"/>
      <c r="E49" s="2684"/>
      <c r="F49" s="1040">
        <v>41324</v>
      </c>
      <c r="G49" s="1034">
        <v>346403</v>
      </c>
      <c r="H49" s="1035"/>
    </row>
    <row r="50" spans="1:8">
      <c r="A50" s="2682"/>
      <c r="B50" s="1038">
        <v>41512</v>
      </c>
      <c r="C50" s="1039">
        <v>484964</v>
      </c>
      <c r="D50" s="2683"/>
      <c r="E50" s="2684"/>
      <c r="F50" s="1040">
        <v>41512</v>
      </c>
      <c r="G50" s="1034">
        <v>484964</v>
      </c>
      <c r="H50" s="1035"/>
    </row>
    <row r="51" spans="1:8">
      <c r="A51" s="1042" t="s">
        <v>81</v>
      </c>
      <c r="B51" s="1031" t="s">
        <v>1384</v>
      </c>
      <c r="C51" s="1028">
        <v>14599999</v>
      </c>
      <c r="D51" s="1028">
        <v>15687307</v>
      </c>
      <c r="E51" s="1032">
        <v>20916409</v>
      </c>
      <c r="F51" s="1033"/>
      <c r="G51" s="1034">
        <f>SUM(G2:G50)</f>
        <v>14599308.710000001</v>
      </c>
      <c r="H51" s="1043"/>
    </row>
    <row r="52" spans="1:8">
      <c r="C52" s="1044"/>
    </row>
    <row r="53" spans="1:8">
      <c r="C53" s="1046"/>
    </row>
  </sheetData>
  <mergeCells count="24">
    <mergeCell ref="A4:A9"/>
    <mergeCell ref="D4:D9"/>
    <mergeCell ref="E4:E9"/>
    <mergeCell ref="A10:A15"/>
    <mergeCell ref="D10:D15"/>
    <mergeCell ref="E10:E15"/>
    <mergeCell ref="A16:A21"/>
    <mergeCell ref="D16:D21"/>
    <mergeCell ref="E16:E21"/>
    <mergeCell ref="A22:A27"/>
    <mergeCell ref="D22:D27"/>
    <mergeCell ref="E22:E27"/>
    <mergeCell ref="A28:A33"/>
    <mergeCell ref="D28:D33"/>
    <mergeCell ref="E28:E33"/>
    <mergeCell ref="A34:A39"/>
    <mergeCell ref="D34:D39"/>
    <mergeCell ref="E34:E39"/>
    <mergeCell ref="A40:A45"/>
    <mergeCell ref="D40:D45"/>
    <mergeCell ref="E40:E45"/>
    <mergeCell ref="A46:A50"/>
    <mergeCell ref="D46:D50"/>
    <mergeCell ref="E46:E50"/>
  </mergeCells>
  <pageMargins left="0.7" right="0.7" top="0.75" bottom="0.75" header="0.3" footer="0.3"/>
  <pageSetup paperSize="9" scale="89" fitToHeight="0" orientation="landscape"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31"/>
  <sheetViews>
    <sheetView showGridLines="0" workbookViewId="0">
      <pane xSplit="1" ySplit="2" topLeftCell="B14" activePane="bottomRight" state="frozen"/>
      <selection activeCell="C32" sqref="C32"/>
      <selection pane="topRight" activeCell="C32" sqref="C32"/>
      <selection pane="bottomLeft" activeCell="C32" sqref="C32"/>
      <selection pane="bottomRight" activeCell="B14" sqref="B14"/>
    </sheetView>
  </sheetViews>
  <sheetFormatPr defaultColWidth="10.5" defaultRowHeight="15"/>
  <cols>
    <col min="1" max="1" width="46.83203125" style="1056" bestFit="1" customWidth="1"/>
    <col min="2" max="2" width="18.6640625" style="1056" bestFit="1" customWidth="1"/>
    <col min="3" max="3" width="21.6640625" style="1056" customWidth="1"/>
    <col min="4" max="4" width="16.1640625" style="1011" bestFit="1" customWidth="1"/>
    <col min="5" max="5" width="14.6640625" style="1045" customWidth="1"/>
    <col min="6" max="6" width="10.5" style="1056"/>
    <col min="7" max="7" width="15.5" style="1056" bestFit="1" customWidth="1"/>
    <col min="8" max="16384" width="10.5" style="1056"/>
  </cols>
  <sheetData>
    <row r="1" spans="1:7" s="1048" customFormat="1" ht="15.75">
      <c r="A1" s="1047" t="s">
        <v>1370</v>
      </c>
      <c r="D1" s="1049"/>
      <c r="E1" s="1050"/>
    </row>
    <row r="2" spans="1:7" s="1048" customFormat="1" ht="45">
      <c r="A2" s="1051" t="s">
        <v>1460</v>
      </c>
      <c r="B2" s="1051" t="s">
        <v>1497</v>
      </c>
      <c r="C2" s="1051" t="s">
        <v>1477</v>
      </c>
      <c r="D2" s="1015" t="s">
        <v>1464</v>
      </c>
      <c r="E2" s="1030" t="s">
        <v>418</v>
      </c>
      <c r="F2" s="1048" t="s">
        <v>918</v>
      </c>
      <c r="G2" s="1088" t="s">
        <v>151</v>
      </c>
    </row>
    <row r="3" spans="1:7">
      <c r="A3" s="1052" t="s">
        <v>1284</v>
      </c>
      <c r="B3" s="1053">
        <v>714285</v>
      </c>
      <c r="C3" s="1054">
        <v>2499997.5</v>
      </c>
      <c r="D3" s="1026">
        <v>42010</v>
      </c>
      <c r="E3" s="1055">
        <v>2499997.5</v>
      </c>
      <c r="F3" s="1056">
        <v>3.5</v>
      </c>
      <c r="G3" s="1088">
        <f>E3/F3</f>
        <v>714285</v>
      </c>
    </row>
    <row r="4" spans="1:7">
      <c r="A4" s="1052" t="s">
        <v>1478</v>
      </c>
      <c r="B4" s="1053">
        <v>158105</v>
      </c>
      <c r="C4" s="1054">
        <v>553367.5</v>
      </c>
      <c r="D4" s="1026">
        <v>42011</v>
      </c>
      <c r="E4" s="1055">
        <v>553367.5</v>
      </c>
      <c r="F4" s="1056">
        <f>F3</f>
        <v>3.5</v>
      </c>
      <c r="G4" s="1088">
        <f t="shared" ref="G4:G13" si="0">E4/F4</f>
        <v>158105</v>
      </c>
    </row>
    <row r="5" spans="1:7" ht="30">
      <c r="A5" s="1057" t="s">
        <v>1479</v>
      </c>
      <c r="B5" s="1053">
        <v>158105</v>
      </c>
      <c r="C5" s="1054">
        <v>553367.5</v>
      </c>
      <c r="D5" s="1026">
        <v>42010</v>
      </c>
      <c r="E5" s="1055">
        <v>553367.5</v>
      </c>
      <c r="F5" s="1056">
        <f t="shared" ref="F5:F13" si="1">F4</f>
        <v>3.5</v>
      </c>
      <c r="G5" s="1088">
        <f t="shared" si="0"/>
        <v>158105</v>
      </c>
    </row>
    <row r="6" spans="1:7">
      <c r="A6" s="1052" t="s">
        <v>1289</v>
      </c>
      <c r="B6" s="1053">
        <v>285317</v>
      </c>
      <c r="C6" s="1054">
        <v>998609.5</v>
      </c>
      <c r="D6" s="1026">
        <v>42010</v>
      </c>
      <c r="E6" s="1055">
        <v>998609.5</v>
      </c>
      <c r="F6" s="1056">
        <f t="shared" si="1"/>
        <v>3.5</v>
      </c>
      <c r="G6" s="1088">
        <f t="shared" si="0"/>
        <v>285317</v>
      </c>
    </row>
    <row r="7" spans="1:7">
      <c r="A7" s="1052" t="s">
        <v>1290</v>
      </c>
      <c r="B7" s="1053">
        <v>24190</v>
      </c>
      <c r="C7" s="1054">
        <v>84665</v>
      </c>
      <c r="D7" s="1026">
        <v>42010</v>
      </c>
      <c r="E7" s="1055">
        <v>84665</v>
      </c>
      <c r="F7" s="1056">
        <f t="shared" si="1"/>
        <v>3.5</v>
      </c>
      <c r="G7" s="1088">
        <f t="shared" si="0"/>
        <v>24190</v>
      </c>
    </row>
    <row r="8" spans="1:7">
      <c r="A8" s="1052" t="s">
        <v>1291</v>
      </c>
      <c r="B8" s="1053">
        <v>6703</v>
      </c>
      <c r="C8" s="1054">
        <v>23460.5</v>
      </c>
      <c r="D8" s="1026">
        <v>42010</v>
      </c>
      <c r="E8" s="1055">
        <v>23460.5</v>
      </c>
      <c r="F8" s="1056">
        <f t="shared" si="1"/>
        <v>3.5</v>
      </c>
      <c r="G8" s="1088">
        <f t="shared" si="0"/>
        <v>6703</v>
      </c>
    </row>
    <row r="9" spans="1:7">
      <c r="A9" s="1052" t="s">
        <v>1292</v>
      </c>
      <c r="B9" s="1053">
        <v>191866</v>
      </c>
      <c r="C9" s="1054">
        <v>671531</v>
      </c>
      <c r="D9" s="1026">
        <v>42010</v>
      </c>
      <c r="E9" s="1055">
        <v>671532</v>
      </c>
      <c r="F9" s="1056">
        <f t="shared" si="1"/>
        <v>3.5</v>
      </c>
      <c r="G9" s="1088">
        <f t="shared" si="0"/>
        <v>191866.28571428571</v>
      </c>
    </row>
    <row r="10" spans="1:7">
      <c r="A10" s="1057" t="s">
        <v>1480</v>
      </c>
      <c r="B10" s="1053">
        <v>461428</v>
      </c>
      <c r="C10" s="1054">
        <v>1614998</v>
      </c>
      <c r="D10" s="1026">
        <v>42009</v>
      </c>
      <c r="E10" s="1055">
        <v>1614998</v>
      </c>
      <c r="F10" s="1056">
        <f t="shared" si="1"/>
        <v>3.5</v>
      </c>
      <c r="G10" s="1088">
        <f t="shared" si="0"/>
        <v>461428</v>
      </c>
    </row>
    <row r="11" spans="1:7">
      <c r="A11" s="1057" t="s">
        <v>1305</v>
      </c>
      <c r="B11" s="1053">
        <v>1142858</v>
      </c>
      <c r="C11" s="1054">
        <v>4000003</v>
      </c>
      <c r="D11" s="1026">
        <v>42011</v>
      </c>
      <c r="E11" s="1055">
        <v>4000013</v>
      </c>
      <c r="F11" s="1056">
        <f t="shared" si="1"/>
        <v>3.5</v>
      </c>
      <c r="G11" s="1088">
        <f t="shared" si="0"/>
        <v>1142860.857142857</v>
      </c>
    </row>
    <row r="12" spans="1:7">
      <c r="A12" s="1057" t="s">
        <v>1498</v>
      </c>
      <c r="B12" s="1053">
        <v>285714</v>
      </c>
      <c r="C12" s="1054">
        <v>999999</v>
      </c>
      <c r="D12" s="1026">
        <v>42011</v>
      </c>
      <c r="E12" s="1055">
        <v>999999</v>
      </c>
      <c r="F12" s="1056">
        <f t="shared" si="1"/>
        <v>3.5</v>
      </c>
      <c r="G12" s="1088">
        <f t="shared" si="0"/>
        <v>285714</v>
      </c>
    </row>
    <row r="13" spans="1:7">
      <c r="A13" s="1057" t="s">
        <v>1307</v>
      </c>
      <c r="B13" s="1053">
        <v>142857</v>
      </c>
      <c r="C13" s="1054">
        <v>499999.5</v>
      </c>
      <c r="D13" s="1026">
        <v>42010</v>
      </c>
      <c r="E13" s="1055">
        <v>500000</v>
      </c>
      <c r="F13" s="1056">
        <f t="shared" si="1"/>
        <v>3.5</v>
      </c>
      <c r="G13" s="1088">
        <f t="shared" si="0"/>
        <v>142857.14285714287</v>
      </c>
    </row>
    <row r="14" spans="1:7">
      <c r="A14" s="1052" t="s">
        <v>81</v>
      </c>
      <c r="B14" s="1053">
        <v>3571428</v>
      </c>
      <c r="C14" s="1054">
        <v>12499998</v>
      </c>
      <c r="D14" s="1058" t="s">
        <v>1481</v>
      </c>
      <c r="E14" s="1055">
        <f>SUM(E3:E13)</f>
        <v>12500009.5</v>
      </c>
      <c r="G14" s="1089">
        <f>SUM(G3:G13)</f>
        <v>3571431.2857142854</v>
      </c>
    </row>
    <row r="15" spans="1:7" ht="15.75">
      <c r="A15" s="1059"/>
      <c r="C15" s="1060"/>
      <c r="D15" s="1061"/>
      <c r="E15" s="1062"/>
    </row>
    <row r="16" spans="1:7" ht="15.75">
      <c r="A16" s="1059"/>
      <c r="C16" s="1060"/>
      <c r="D16" s="1061"/>
      <c r="E16" s="1062"/>
    </row>
    <row r="17" spans="1:7" ht="15.75">
      <c r="A17" s="1059"/>
      <c r="C17" s="1060"/>
      <c r="D17" s="1061"/>
      <c r="E17" s="1062"/>
    </row>
    <row r="18" spans="1:7" ht="15.75">
      <c r="A18" s="1047" t="s">
        <v>1371</v>
      </c>
      <c r="C18" s="1060"/>
      <c r="D18" s="1061"/>
      <c r="E18" s="1062"/>
    </row>
    <row r="19" spans="1:7" ht="45">
      <c r="A19" s="1063" t="s">
        <v>1460</v>
      </c>
      <c r="B19" s="1063" t="s">
        <v>1499</v>
      </c>
      <c r="C19" s="1064" t="s">
        <v>1500</v>
      </c>
      <c r="D19" s="1015" t="s">
        <v>1464</v>
      </c>
      <c r="E19" s="1030" t="s">
        <v>418</v>
      </c>
      <c r="F19" s="1056" t="s">
        <v>918</v>
      </c>
      <c r="G19" s="1056" t="s">
        <v>151</v>
      </c>
    </row>
    <row r="20" spans="1:7">
      <c r="A20" s="1052" t="s">
        <v>1284</v>
      </c>
      <c r="B20" s="1053">
        <v>714286</v>
      </c>
      <c r="C20" s="1054">
        <v>2500001</v>
      </c>
      <c r="D20" s="1026">
        <v>42216</v>
      </c>
      <c r="E20" s="1055">
        <v>2500001</v>
      </c>
      <c r="F20" s="1056">
        <f>F13</f>
        <v>3.5</v>
      </c>
      <c r="G20" s="1088">
        <f t="shared" ref="G20:G30" si="2">E20/F20</f>
        <v>714286</v>
      </c>
    </row>
    <row r="21" spans="1:7">
      <c r="A21" s="1052" t="s">
        <v>1478</v>
      </c>
      <c r="B21" s="1053">
        <v>158105</v>
      </c>
      <c r="C21" s="1054">
        <v>553367.5</v>
      </c>
      <c r="D21" s="1026">
        <v>42221</v>
      </c>
      <c r="E21" s="1055">
        <v>553367.5</v>
      </c>
      <c r="F21" s="1056">
        <f>F20</f>
        <v>3.5</v>
      </c>
      <c r="G21" s="1088">
        <f t="shared" si="2"/>
        <v>158105</v>
      </c>
    </row>
    <row r="22" spans="1:7" ht="30">
      <c r="A22" s="1057" t="s">
        <v>1479</v>
      </c>
      <c r="B22" s="1053">
        <v>158105</v>
      </c>
      <c r="C22" s="1054">
        <v>553367.5</v>
      </c>
      <c r="D22" s="1026">
        <v>42221</v>
      </c>
      <c r="E22" s="1055">
        <v>553367.5</v>
      </c>
      <c r="F22" s="1056">
        <f t="shared" ref="F22:F30" si="3">F21</f>
        <v>3.5</v>
      </c>
      <c r="G22" s="1088">
        <f t="shared" si="2"/>
        <v>158105</v>
      </c>
    </row>
    <row r="23" spans="1:7">
      <c r="A23" s="1052" t="s">
        <v>1289</v>
      </c>
      <c r="B23" s="1053">
        <v>285317</v>
      </c>
      <c r="C23" s="1054">
        <v>998609.5</v>
      </c>
      <c r="D23" s="1026">
        <v>42222</v>
      </c>
      <c r="E23" s="1055">
        <v>998609.5</v>
      </c>
      <c r="F23" s="1056">
        <f t="shared" si="3"/>
        <v>3.5</v>
      </c>
      <c r="G23" s="1088">
        <f t="shared" si="2"/>
        <v>285317</v>
      </c>
    </row>
    <row r="24" spans="1:7">
      <c r="A24" s="1052" t="s">
        <v>1290</v>
      </c>
      <c r="B24" s="1053">
        <v>24190</v>
      </c>
      <c r="C24" s="1054">
        <v>84665</v>
      </c>
      <c r="D24" s="1026">
        <v>42222</v>
      </c>
      <c r="E24" s="1055">
        <v>84665</v>
      </c>
      <c r="F24" s="1056">
        <f t="shared" si="3"/>
        <v>3.5</v>
      </c>
      <c r="G24" s="1088">
        <f t="shared" si="2"/>
        <v>24190</v>
      </c>
    </row>
    <row r="25" spans="1:7">
      <c r="A25" s="1052" t="s">
        <v>1291</v>
      </c>
      <c r="B25" s="1053">
        <v>6703</v>
      </c>
      <c r="C25" s="1054">
        <v>23460.5</v>
      </c>
      <c r="D25" s="1026">
        <v>42222</v>
      </c>
      <c r="E25" s="1055">
        <v>23460.5</v>
      </c>
      <c r="F25" s="1056">
        <f t="shared" si="3"/>
        <v>3.5</v>
      </c>
      <c r="G25" s="1088">
        <f t="shared" si="2"/>
        <v>6703</v>
      </c>
    </row>
    <row r="26" spans="1:7">
      <c r="A26" s="1052" t="s">
        <v>1292</v>
      </c>
      <c r="B26" s="1053">
        <v>191866</v>
      </c>
      <c r="C26" s="1054">
        <v>671531</v>
      </c>
      <c r="D26" s="1026">
        <v>42219</v>
      </c>
      <c r="E26" s="1055">
        <v>671532</v>
      </c>
      <c r="F26" s="1056">
        <f t="shared" si="3"/>
        <v>3.5</v>
      </c>
      <c r="G26" s="1088">
        <f t="shared" si="2"/>
        <v>191866.28571428571</v>
      </c>
    </row>
    <row r="27" spans="1:7">
      <c r="A27" s="1057" t="s">
        <v>1480</v>
      </c>
      <c r="B27" s="1053">
        <v>461429</v>
      </c>
      <c r="C27" s="1054">
        <v>1615001.5</v>
      </c>
      <c r="D27" s="1026">
        <v>42220</v>
      </c>
      <c r="E27" s="1055">
        <v>1615001.5</v>
      </c>
      <c r="F27" s="1056">
        <f t="shared" si="3"/>
        <v>3.5</v>
      </c>
      <c r="G27" s="1088">
        <f t="shared" si="2"/>
        <v>461429</v>
      </c>
    </row>
    <row r="28" spans="1:7">
      <c r="A28" s="1057" t="s">
        <v>1305</v>
      </c>
      <c r="B28" s="1053">
        <v>1142857</v>
      </c>
      <c r="C28" s="1054">
        <v>3999999.5</v>
      </c>
      <c r="D28" s="1026">
        <v>42222</v>
      </c>
      <c r="E28" s="1055">
        <v>4000009.5</v>
      </c>
      <c r="F28" s="1056">
        <f t="shared" si="3"/>
        <v>3.5</v>
      </c>
      <c r="G28" s="1088">
        <f t="shared" si="2"/>
        <v>1142859.857142857</v>
      </c>
    </row>
    <row r="29" spans="1:7">
      <c r="A29" s="1057" t="s">
        <v>1498</v>
      </c>
      <c r="B29" s="1053">
        <v>285714</v>
      </c>
      <c r="C29" s="1054">
        <v>999999</v>
      </c>
      <c r="D29" s="1026">
        <v>42221</v>
      </c>
      <c r="E29" s="1055">
        <v>999999</v>
      </c>
      <c r="F29" s="1056">
        <f t="shared" si="3"/>
        <v>3.5</v>
      </c>
      <c r="G29" s="1088">
        <f t="shared" si="2"/>
        <v>285714</v>
      </c>
    </row>
    <row r="30" spans="1:7">
      <c r="A30" s="1057" t="s">
        <v>1307</v>
      </c>
      <c r="B30" s="1053">
        <v>142857</v>
      </c>
      <c r="C30" s="1054">
        <v>499999.5</v>
      </c>
      <c r="D30" s="1026">
        <v>42221</v>
      </c>
      <c r="E30" s="1055">
        <v>500000</v>
      </c>
      <c r="F30" s="1056">
        <f t="shared" si="3"/>
        <v>3.5</v>
      </c>
      <c r="G30" s="1088">
        <f t="shared" si="2"/>
        <v>142857.14285714287</v>
      </c>
    </row>
    <row r="31" spans="1:7">
      <c r="A31" s="1052" t="s">
        <v>81</v>
      </c>
      <c r="B31" s="1053">
        <v>3571429</v>
      </c>
      <c r="C31" s="1054">
        <v>12500001.5</v>
      </c>
      <c r="D31" s="1065" t="s">
        <v>1481</v>
      </c>
      <c r="E31" s="1055">
        <f>SUM(E20:E30)</f>
        <v>12500013</v>
      </c>
      <c r="G31" s="1089">
        <f>SUM(G20:G30)</f>
        <v>3571432.2857142854</v>
      </c>
    </row>
  </sheetData>
  <pageMargins left="0.7" right="0.7" top="0.75" bottom="0.75" header="0.3" footer="0.3"/>
  <pageSetup paperSize="9" fitToHeight="0" orientation="landscape"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6"/>
  <sheetViews>
    <sheetView showGridLines="0" topLeftCell="A13" workbookViewId="0">
      <selection activeCell="A13" sqref="A13"/>
    </sheetView>
  </sheetViews>
  <sheetFormatPr defaultColWidth="10.5" defaultRowHeight="15"/>
  <cols>
    <col min="1" max="1" width="37" style="1011" customWidth="1"/>
    <col min="2" max="2" width="35.5" style="1011" bestFit="1" customWidth="1"/>
    <col min="3" max="3" width="17.5" style="1011" customWidth="1"/>
    <col min="4" max="4" width="15.1640625" style="1011" customWidth="1"/>
    <col min="5" max="5" width="14.83203125" style="1045" bestFit="1" customWidth="1"/>
    <col min="6" max="16384" width="10.5" style="1011"/>
  </cols>
  <sheetData>
    <row r="1" spans="1:5">
      <c r="A1" s="1011" t="s">
        <v>1501</v>
      </c>
    </row>
    <row r="2" spans="1:5" ht="60">
      <c r="A2" s="1063" t="s">
        <v>1460</v>
      </c>
      <c r="B2" s="1063" t="s">
        <v>1502</v>
      </c>
      <c r="C2" s="1066" t="s">
        <v>1500</v>
      </c>
      <c r="D2" s="1015" t="s">
        <v>1464</v>
      </c>
      <c r="E2" s="1030" t="s">
        <v>418</v>
      </c>
    </row>
    <row r="3" spans="1:5" ht="30">
      <c r="A3" s="1057" t="s">
        <v>1503</v>
      </c>
      <c r="B3" s="1067" t="s">
        <v>1504</v>
      </c>
      <c r="C3" s="1053">
        <v>5000000</v>
      </c>
      <c r="D3" s="1026">
        <v>42513</v>
      </c>
      <c r="E3" s="1055">
        <v>5000000</v>
      </c>
    </row>
    <row r="4" spans="1:5" ht="30">
      <c r="A4" s="1057" t="s">
        <v>1309</v>
      </c>
      <c r="B4" s="1067" t="s">
        <v>1505</v>
      </c>
      <c r="C4" s="1053">
        <v>1000000</v>
      </c>
      <c r="D4" s="1026">
        <v>42480</v>
      </c>
      <c r="E4" s="1055">
        <v>1000000</v>
      </c>
    </row>
    <row r="5" spans="1:5" ht="30">
      <c r="A5" s="1057" t="s">
        <v>1506</v>
      </c>
      <c r="B5" s="1067" t="s">
        <v>1507</v>
      </c>
      <c r="C5" s="1053">
        <v>2000000</v>
      </c>
      <c r="D5" s="1026">
        <v>42486</v>
      </c>
      <c r="E5" s="1055">
        <v>2000000</v>
      </c>
    </row>
    <row r="6" spans="1:5" ht="30">
      <c r="A6" s="1057" t="s">
        <v>1503</v>
      </c>
      <c r="B6" s="1067" t="s">
        <v>1508</v>
      </c>
      <c r="C6" s="1067">
        <v>1E-3</v>
      </c>
      <c r="D6" s="1068"/>
      <c r="E6" s="1055"/>
    </row>
    <row r="7" spans="1:5" ht="30">
      <c r="A7" s="1057" t="s">
        <v>1509</v>
      </c>
      <c r="B7" s="1067" t="s">
        <v>1510</v>
      </c>
      <c r="C7" s="1067">
        <v>1E-3</v>
      </c>
      <c r="D7" s="1068"/>
      <c r="E7" s="1055"/>
    </row>
    <row r="8" spans="1:5" ht="30">
      <c r="A8" s="1052" t="s">
        <v>81</v>
      </c>
      <c r="B8" s="1067" t="s">
        <v>1511</v>
      </c>
      <c r="C8" s="1069">
        <v>8000000.0020000003</v>
      </c>
      <c r="D8" s="1029" t="s">
        <v>1481</v>
      </c>
      <c r="E8" s="1055">
        <f>SUM(E3:E7)</f>
        <v>8000000</v>
      </c>
    </row>
    <row r="9" spans="1:5">
      <c r="D9" s="1061"/>
      <c r="E9" s="1062"/>
    </row>
    <row r="10" spans="1:5">
      <c r="D10" s="1061"/>
      <c r="E10" s="1062"/>
    </row>
    <row r="11" spans="1:5">
      <c r="A11" s="1011" t="s">
        <v>1512</v>
      </c>
      <c r="D11" s="1061"/>
      <c r="E11" s="1062"/>
    </row>
    <row r="12" spans="1:5">
      <c r="D12" s="1061"/>
      <c r="E12" s="1062"/>
    </row>
    <row r="13" spans="1:5" ht="57">
      <c r="A13" s="1022" t="s">
        <v>1460</v>
      </c>
      <c r="B13" s="1022" t="s">
        <v>1513</v>
      </c>
      <c r="C13" s="1023" t="s">
        <v>1500</v>
      </c>
      <c r="D13" s="1015" t="s">
        <v>1464</v>
      </c>
      <c r="E13" s="1030" t="s">
        <v>418</v>
      </c>
    </row>
    <row r="14" spans="1:5">
      <c r="A14" s="1027" t="s">
        <v>1309</v>
      </c>
      <c r="B14" s="1053">
        <v>99370</v>
      </c>
      <c r="C14" s="1053">
        <v>1000000</v>
      </c>
      <c r="D14" s="1026">
        <v>42856</v>
      </c>
      <c r="E14" s="1055">
        <v>1000000</v>
      </c>
    </row>
    <row r="15" spans="1:5" ht="28.5">
      <c r="A15" s="1027" t="s">
        <v>1506</v>
      </c>
      <c r="B15" s="1053">
        <v>198741</v>
      </c>
      <c r="C15" s="1053">
        <v>2000000</v>
      </c>
      <c r="D15" s="1026">
        <v>42856</v>
      </c>
      <c r="E15" s="1055">
        <v>2000000</v>
      </c>
    </row>
    <row r="16" spans="1:5">
      <c r="A16" s="1024" t="s">
        <v>81</v>
      </c>
      <c r="B16" s="1070">
        <v>298111</v>
      </c>
      <c r="C16" s="1070">
        <v>3000000</v>
      </c>
      <c r="D16" s="1029" t="s">
        <v>1481</v>
      </c>
      <c r="E16" s="1055">
        <f>SUM(E14:E15)</f>
        <v>3000000</v>
      </c>
    </row>
  </sheetData>
  <pageMargins left="0.7" right="0.7" top="0.75" bottom="0.75" header="0.3" footer="0.3"/>
  <pageSetup paperSize="9" fitToHeight="0" orientation="landscape"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H20"/>
  <sheetViews>
    <sheetView showGridLines="0" workbookViewId="0">
      <selection activeCell="H5" sqref="H5"/>
    </sheetView>
  </sheetViews>
  <sheetFormatPr defaultColWidth="10.5" defaultRowHeight="12.75"/>
  <cols>
    <col min="1" max="1" width="38.83203125" style="1061" customWidth="1"/>
    <col min="2" max="2" width="23.33203125" style="1061" customWidth="1"/>
    <col min="3" max="3" width="29.83203125" style="1061" customWidth="1"/>
    <col min="4" max="4" width="22.5" style="1061" hidden="1" customWidth="1"/>
    <col min="5" max="5" width="22" style="1061" bestFit="1" customWidth="1"/>
    <col min="6" max="6" width="10.5" style="1061"/>
    <col min="7" max="7" width="18" style="1062" bestFit="1" customWidth="1"/>
    <col min="8" max="8" width="23" style="1061" customWidth="1"/>
    <col min="9" max="16384" width="10.5" style="1061"/>
  </cols>
  <sheetData>
    <row r="1" spans="1:8">
      <c r="A1" s="1061" t="s">
        <v>1501</v>
      </c>
    </row>
    <row r="2" spans="1:8" ht="99" customHeight="1">
      <c r="A2" s="1071" t="s">
        <v>1460</v>
      </c>
      <c r="B2" s="1064" t="s">
        <v>1514</v>
      </c>
      <c r="C2" s="1064" t="s">
        <v>1515</v>
      </c>
      <c r="D2" s="1064" t="s">
        <v>1516</v>
      </c>
      <c r="E2" s="1064" t="s">
        <v>1517</v>
      </c>
      <c r="F2" s="1072" t="s">
        <v>1464</v>
      </c>
      <c r="G2" s="1073" t="s">
        <v>1518</v>
      </c>
    </row>
    <row r="3" spans="1:8">
      <c r="A3" s="1031" t="s">
        <v>1381</v>
      </c>
      <c r="B3" s="1074" t="s">
        <v>1384</v>
      </c>
      <c r="C3" s="1025">
        <v>8000000</v>
      </c>
      <c r="D3" s="1025">
        <v>20355556</v>
      </c>
      <c r="E3" s="1075">
        <v>0.96619999999999995</v>
      </c>
      <c r="F3" s="1026">
        <v>42536</v>
      </c>
      <c r="G3" s="1076">
        <v>8000000</v>
      </c>
    </row>
    <row r="4" spans="1:8" ht="62.25">
      <c r="A4" s="1031" t="s">
        <v>1519</v>
      </c>
      <c r="B4" s="1025">
        <v>1242131</v>
      </c>
      <c r="C4" s="1025">
        <v>12500000</v>
      </c>
      <c r="D4" s="1025">
        <v>555556</v>
      </c>
      <c r="E4" s="1075">
        <v>2.64E-2</v>
      </c>
      <c r="F4" s="1026">
        <v>42481</v>
      </c>
      <c r="G4" s="1076">
        <v>80983750</v>
      </c>
    </row>
    <row r="5" spans="1:8" ht="49.5">
      <c r="A5" s="1031" t="s">
        <v>1520</v>
      </c>
      <c r="B5" s="1025">
        <v>298111</v>
      </c>
      <c r="C5" s="1025">
        <v>3000000</v>
      </c>
      <c r="D5" s="1025">
        <v>133333</v>
      </c>
      <c r="E5" s="1075">
        <v>6.3E-3</v>
      </c>
      <c r="F5" s="1026">
        <v>42494</v>
      </c>
      <c r="G5" s="1076">
        <v>19436100</v>
      </c>
    </row>
    <row r="6" spans="1:8" ht="49.5">
      <c r="A6" s="1031" t="s">
        <v>1521</v>
      </c>
      <c r="B6" s="1025">
        <v>49685</v>
      </c>
      <c r="C6" s="1025">
        <v>500000</v>
      </c>
      <c r="D6" s="1025">
        <v>22222</v>
      </c>
      <c r="E6" s="1075">
        <v>1.1000000000000001E-3</v>
      </c>
      <c r="F6" s="1026">
        <v>42479</v>
      </c>
      <c r="G6" s="1076">
        <v>3239350</v>
      </c>
    </row>
    <row r="7" spans="1:8">
      <c r="A7" s="1077" t="s">
        <v>81</v>
      </c>
      <c r="B7" s="1025">
        <v>1589927</v>
      </c>
      <c r="C7" s="1025">
        <v>24000000</v>
      </c>
      <c r="D7" s="1025">
        <v>21066667</v>
      </c>
      <c r="E7" s="1078">
        <v>1</v>
      </c>
    </row>
    <row r="10" spans="1:8">
      <c r="A10" s="1061" t="s">
        <v>1512</v>
      </c>
    </row>
    <row r="11" spans="1:8" ht="89.25">
      <c r="A11" s="1071" t="s">
        <v>1460</v>
      </c>
      <c r="B11" s="1064" t="s">
        <v>1522</v>
      </c>
      <c r="C11" s="1064" t="s">
        <v>1523</v>
      </c>
      <c r="D11" s="1064" t="s">
        <v>1524</v>
      </c>
      <c r="E11" s="1064" t="s">
        <v>1525</v>
      </c>
      <c r="F11" s="1064" t="s">
        <v>1526</v>
      </c>
      <c r="G11" s="1072" t="s">
        <v>1464</v>
      </c>
      <c r="H11" s="1079" t="s">
        <v>1518</v>
      </c>
    </row>
    <row r="12" spans="1:8" ht="25.5">
      <c r="A12" s="1031" t="s">
        <v>1527</v>
      </c>
      <c r="B12" s="1074" t="s">
        <v>1384</v>
      </c>
      <c r="C12" s="1025">
        <v>3000000</v>
      </c>
      <c r="D12" s="1025">
        <v>20488890</v>
      </c>
      <c r="E12" s="1074" t="s">
        <v>1384</v>
      </c>
      <c r="F12" s="1075">
        <v>0.92569999999999997</v>
      </c>
      <c r="G12" s="1026">
        <v>43007</v>
      </c>
      <c r="H12" s="1076">
        <v>3000000</v>
      </c>
    </row>
    <row r="13" spans="1:8" ht="62.25">
      <c r="A13" s="1031" t="s">
        <v>1519</v>
      </c>
      <c r="B13" s="1074">
        <v>0</v>
      </c>
      <c r="C13" s="1074">
        <v>0</v>
      </c>
      <c r="D13" s="1025">
        <v>555556</v>
      </c>
      <c r="E13" s="1025">
        <v>1242131</v>
      </c>
      <c r="F13" s="1075">
        <v>2.5100000000000001E-2</v>
      </c>
      <c r="G13" s="1055"/>
      <c r="H13" s="1076"/>
    </row>
    <row r="14" spans="1:8" ht="49.5">
      <c r="A14" s="1080" t="s">
        <v>1528</v>
      </c>
      <c r="B14" s="1025">
        <v>546537</v>
      </c>
      <c r="C14" s="1025">
        <v>5500000</v>
      </c>
      <c r="D14" s="1025">
        <v>244444</v>
      </c>
      <c r="E14" s="1025">
        <v>546537</v>
      </c>
      <c r="F14" s="1075">
        <v>1.1039999999999999E-2</v>
      </c>
      <c r="G14" s="1026">
        <v>42824</v>
      </c>
      <c r="H14" s="1076">
        <v>35632850</v>
      </c>
    </row>
    <row r="15" spans="1:8" ht="49.5">
      <c r="A15" s="1080" t="s">
        <v>1529</v>
      </c>
      <c r="B15" s="1025">
        <v>596223</v>
      </c>
      <c r="C15" s="1025">
        <v>6000000</v>
      </c>
      <c r="D15" s="1054">
        <v>266666.5</v>
      </c>
      <c r="E15" s="1025">
        <v>596223</v>
      </c>
      <c r="F15" s="1075">
        <v>1.205E-2</v>
      </c>
      <c r="G15" s="1026">
        <v>42824</v>
      </c>
      <c r="H15" s="1076">
        <v>38872200</v>
      </c>
    </row>
    <row r="16" spans="1:8" ht="24.75">
      <c r="A16" s="1080" t="s">
        <v>1530</v>
      </c>
      <c r="B16" s="1025">
        <v>596223</v>
      </c>
      <c r="C16" s="1025">
        <v>6000000</v>
      </c>
      <c r="D16" s="1054">
        <v>266666.5</v>
      </c>
      <c r="E16" s="1025">
        <v>596223</v>
      </c>
      <c r="F16" s="1075">
        <v>1.205E-2</v>
      </c>
      <c r="G16" s="1026">
        <v>42826</v>
      </c>
      <c r="H16" s="1076">
        <v>38872200</v>
      </c>
    </row>
    <row r="17" spans="1:8" ht="62.25">
      <c r="A17" s="1031" t="s">
        <v>1531</v>
      </c>
      <c r="B17" s="1025">
        <v>248426</v>
      </c>
      <c r="C17" s="1025">
        <v>2500000</v>
      </c>
      <c r="D17" s="1025">
        <v>222223</v>
      </c>
      <c r="E17" s="1025">
        <v>496852</v>
      </c>
      <c r="F17" s="1075">
        <v>1.004E-2</v>
      </c>
      <c r="G17" s="1026">
        <v>42760</v>
      </c>
      <c r="H17" s="1076">
        <v>16196750</v>
      </c>
    </row>
    <row r="18" spans="1:8" ht="62.25">
      <c r="A18" s="1031" t="s">
        <v>1532</v>
      </c>
      <c r="B18" s="1025">
        <v>49695</v>
      </c>
      <c r="C18" s="1025">
        <v>500000</v>
      </c>
      <c r="D18" s="1025">
        <v>44444</v>
      </c>
      <c r="E18" s="1025">
        <v>99370</v>
      </c>
      <c r="F18" s="1075">
        <v>2.0100000000000001E-3</v>
      </c>
      <c r="G18" s="1026">
        <v>42755</v>
      </c>
      <c r="H18" s="1076">
        <v>3239350</v>
      </c>
    </row>
    <row r="19" spans="1:8" ht="49.5">
      <c r="A19" s="1031" t="s">
        <v>1521</v>
      </c>
      <c r="B19" s="1025">
        <v>49685</v>
      </c>
      <c r="C19" s="1025">
        <v>500000</v>
      </c>
      <c r="D19" s="1025">
        <v>44444</v>
      </c>
      <c r="E19" s="1025">
        <v>99370</v>
      </c>
      <c r="F19" s="1075">
        <v>2.0100000000000001E-3</v>
      </c>
      <c r="G19" s="1026">
        <v>42760</v>
      </c>
      <c r="H19" s="1076">
        <v>3239350</v>
      </c>
    </row>
    <row r="20" spans="1:8">
      <c r="A20" s="1074" t="s">
        <v>81</v>
      </c>
      <c r="B20" s="1025">
        <v>2086780</v>
      </c>
      <c r="C20" s="1025">
        <v>24000000</v>
      </c>
      <c r="D20" s="1025">
        <v>22133334</v>
      </c>
      <c r="E20" s="1025">
        <v>3676706</v>
      </c>
      <c r="F20" s="1078">
        <v>1</v>
      </c>
    </row>
  </sheetData>
  <pageMargins left="0.7" right="0.7" top="0.75" bottom="0.75" header="0.3" footer="0.3"/>
  <pageSetup paperSize="9" scale="94" fitToHeight="0" orientation="landscape"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G14"/>
  <sheetViews>
    <sheetView workbookViewId="0">
      <selection activeCell="A8" sqref="A8"/>
    </sheetView>
  </sheetViews>
  <sheetFormatPr defaultColWidth="10.5" defaultRowHeight="15"/>
  <cols>
    <col min="1" max="1" width="15" style="1011" bestFit="1" customWidth="1"/>
    <col min="2" max="3" width="21.6640625" style="1011" customWidth="1"/>
    <col min="4" max="4" width="10.5" style="1011"/>
    <col min="5" max="5" width="21.5" style="1011" bestFit="1" customWidth="1"/>
    <col min="6" max="6" width="17.6640625" style="1011" bestFit="1" customWidth="1"/>
    <col min="7" max="7" width="24.1640625" style="1011" customWidth="1"/>
    <col min="8" max="16384" width="10.5" style="1011"/>
  </cols>
  <sheetData>
    <row r="2" spans="1:7">
      <c r="B2" s="1011" t="s">
        <v>1533</v>
      </c>
      <c r="C2" s="1011" t="s">
        <v>1534</v>
      </c>
    </row>
    <row r="3" spans="1:7">
      <c r="A3" s="1081" t="s">
        <v>1535</v>
      </c>
      <c r="B3" s="1082">
        <f>SUM(B5:B10)</f>
        <v>56099997.502000004</v>
      </c>
      <c r="C3" s="1082">
        <f>SUM(C5:C10)</f>
        <v>37000000</v>
      </c>
      <c r="D3" s="1011">
        <v>6.9</v>
      </c>
      <c r="E3" s="1083">
        <f>B3*D3</f>
        <v>387089982.76380002</v>
      </c>
      <c r="F3" s="1083"/>
    </row>
    <row r="4" spans="1:7">
      <c r="A4" s="1011" t="s">
        <v>1536</v>
      </c>
      <c r="B4" s="1084">
        <f>'Ordinary Share'!D17</f>
        <v>7426.1440000000002</v>
      </c>
      <c r="C4" s="1085"/>
      <c r="E4" s="1083"/>
      <c r="F4" s="1083"/>
    </row>
    <row r="5" spans="1:7">
      <c r="A5" s="1011" t="s">
        <v>1537</v>
      </c>
      <c r="B5" s="1085">
        <f>'Series A-1'!C10</f>
        <v>5499999</v>
      </c>
      <c r="C5" s="1085"/>
    </row>
    <row r="6" spans="1:7">
      <c r="A6" s="1011" t="s">
        <v>1538</v>
      </c>
      <c r="B6" s="1085">
        <f>'Series A-2'!C51</f>
        <v>14599999</v>
      </c>
      <c r="C6" s="1085"/>
    </row>
    <row r="7" spans="1:7">
      <c r="A7" s="1011" t="s">
        <v>1539</v>
      </c>
      <c r="B7" s="1084">
        <f>'Series B'!C14</f>
        <v>12499998</v>
      </c>
      <c r="C7" s="1084"/>
    </row>
    <row r="8" spans="1:7">
      <c r="A8" s="1011" t="s">
        <v>1540</v>
      </c>
      <c r="B8" s="1084">
        <f>'Series B'!C31</f>
        <v>12500001.5</v>
      </c>
      <c r="C8" s="1084"/>
    </row>
    <row r="9" spans="1:7">
      <c r="A9" s="1011" t="s">
        <v>1541</v>
      </c>
      <c r="B9" s="1085">
        <f>'Series C (Cayman)'!C8</f>
        <v>8000000.0020000003</v>
      </c>
      <c r="C9" s="1085">
        <f>'Series C (JV)'!C4+'Series C (JV)'!C5+'Series C (JV)'!C6</f>
        <v>16000000</v>
      </c>
    </row>
    <row r="10" spans="1:7">
      <c r="A10" s="1011" t="s">
        <v>1542</v>
      </c>
      <c r="B10" s="1085">
        <f>'Series C (Cayman)'!C16</f>
        <v>3000000</v>
      </c>
      <c r="C10" s="1085">
        <f>'Series C (JV)'!C20-'Series C (JV)'!C12</f>
        <v>21000000</v>
      </c>
    </row>
    <row r="11" spans="1:7">
      <c r="B11" s="1084"/>
    </row>
    <row r="13" spans="1:7">
      <c r="E13" s="1086"/>
      <c r="F13" s="1045"/>
      <c r="G13" s="1083"/>
    </row>
    <row r="14" spans="1:7">
      <c r="B14" s="1087">
        <v>45099997.5</v>
      </c>
    </row>
  </sheetData>
  <pageMargins left="0.7" right="0.7" top="0.75" bottom="0.75" header="0.3" footer="0.3"/>
  <pageSetup paperSize="9"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
  <sheetViews>
    <sheetView workbookViewId="0"/>
  </sheetViews>
  <sheetFormatPr defaultRowHeight="12.75"/>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CH74"/>
  <sheetViews>
    <sheetView showGridLines="0" view="pageBreakPreview" topLeftCell="H1" zoomScaleNormal="100" zoomScaleSheetLayoutView="100" workbookViewId="0">
      <pane ySplit="10" topLeftCell="A13" activePane="bottomLeft" state="frozen"/>
      <selection activeCell="BU10" sqref="BU10"/>
      <selection pane="bottomLeft" activeCell="H13" sqref="H13:H42"/>
    </sheetView>
  </sheetViews>
  <sheetFormatPr defaultColWidth="9.33203125" defaultRowHeight="11.25" outlineLevelCol="1"/>
  <cols>
    <col min="1" max="1" width="40.1640625" style="374" bestFit="1" customWidth="1"/>
    <col min="2" max="2" width="14.83203125" style="374" bestFit="1" customWidth="1"/>
    <col min="3" max="3" width="36" style="372" bestFit="1" customWidth="1"/>
    <col min="4" max="4" width="19" style="372" bestFit="1" customWidth="1"/>
    <col min="5" max="9" width="17.83203125" style="372" customWidth="1"/>
    <col min="10" max="10" width="15.33203125" style="372" customWidth="1"/>
    <col min="11" max="11" width="14" style="372" customWidth="1"/>
    <col min="12" max="12" width="15.6640625" style="372" bestFit="1" customWidth="1"/>
    <col min="13" max="13" width="16.1640625" style="372" customWidth="1"/>
    <col min="14" max="16" width="14.83203125" style="372" bestFit="1" customWidth="1"/>
    <col min="17" max="18" width="14.83203125" style="372" customWidth="1"/>
    <col min="19" max="23" width="14.83203125" style="372" bestFit="1" customWidth="1"/>
    <col min="24" max="24" width="14.83203125" style="372" customWidth="1"/>
    <col min="25" max="29" width="14.83203125" style="372" bestFit="1" customWidth="1"/>
    <col min="30" max="30" width="17" style="372" bestFit="1" customWidth="1"/>
    <col min="31" max="31" width="14.83203125" style="372" bestFit="1" customWidth="1"/>
    <col min="32" max="32" width="19.1640625" style="372" customWidth="1"/>
    <col min="33" max="33" width="19.5" style="372" customWidth="1"/>
    <col min="34" max="34" width="21.1640625" style="372" customWidth="1"/>
    <col min="35" max="35" width="19" style="372" bestFit="1" customWidth="1"/>
    <col min="36" max="36" width="12.83203125" style="372" customWidth="1"/>
    <col min="37" max="37" width="15.33203125" style="372" customWidth="1"/>
    <col min="38" max="38" width="13.1640625" style="372" customWidth="1"/>
    <col min="39" max="39" width="18.5" style="372" bestFit="1" customWidth="1"/>
    <col min="40" max="40" width="14.83203125" style="372" bestFit="1" customWidth="1"/>
    <col min="41" max="42" width="14.83203125" style="372" customWidth="1"/>
    <col min="43" max="43" width="14.83203125" style="371" customWidth="1"/>
    <col min="44" max="44" width="14.83203125" style="372" customWidth="1"/>
    <col min="45" max="45" width="11.1640625" style="371" customWidth="1"/>
    <col min="46" max="46" width="14.83203125" style="372" bestFit="1" customWidth="1"/>
    <col min="47" max="50" width="14.83203125" style="371" customWidth="1"/>
    <col min="51" max="51" width="16" style="371" customWidth="1"/>
    <col min="52" max="54" width="14.83203125" style="371" customWidth="1"/>
    <col min="55" max="55" width="14.83203125" style="372" customWidth="1"/>
    <col min="56" max="69" width="14.83203125" style="371" customWidth="1"/>
    <col min="70" max="70" width="17" style="371" customWidth="1" outlineLevel="1"/>
    <col min="71" max="78" width="9.33203125" style="371"/>
    <col min="79" max="82" width="9.33203125" style="370"/>
    <col min="83" max="83" width="9.33203125" style="418"/>
    <col min="84" max="16384" width="9.33203125" style="370"/>
  </cols>
  <sheetData>
    <row r="1" spans="1:86" s="367" customFormat="1">
      <c r="A1" s="374" t="s">
        <v>464</v>
      </c>
      <c r="B1" s="400">
        <v>43281</v>
      </c>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c r="AD1" s="372"/>
      <c r="AE1" s="372"/>
      <c r="AF1" s="372"/>
      <c r="AG1" s="372"/>
      <c r="AH1" s="372"/>
      <c r="AI1" s="372"/>
      <c r="AJ1" s="372"/>
      <c r="AK1" s="372"/>
      <c r="AL1" s="372"/>
      <c r="AM1" s="372"/>
      <c r="AN1" s="372"/>
      <c r="AO1" s="372"/>
      <c r="AP1" s="372"/>
      <c r="AQ1" s="368"/>
      <c r="AR1" s="372"/>
      <c r="AS1" s="369"/>
      <c r="AT1" s="372"/>
      <c r="AU1" s="368"/>
      <c r="AV1" s="368"/>
      <c r="AW1" s="368"/>
      <c r="AX1" s="368"/>
      <c r="AY1" s="368"/>
      <c r="AZ1" s="368"/>
      <c r="BA1" s="368"/>
      <c r="BB1" s="368"/>
      <c r="BC1" s="368"/>
      <c r="BD1" s="368"/>
      <c r="BE1" s="368"/>
      <c r="BF1" s="368"/>
      <c r="BG1" s="368"/>
      <c r="BH1" s="368"/>
      <c r="BI1" s="368"/>
      <c r="BJ1" s="368"/>
      <c r="BK1" s="368"/>
      <c r="BL1" s="368"/>
      <c r="BM1" s="368"/>
      <c r="BN1" s="368"/>
      <c r="BO1" s="368"/>
      <c r="BP1" s="368"/>
      <c r="BQ1" s="368"/>
      <c r="BR1" s="368"/>
      <c r="BS1" s="368"/>
      <c r="BT1" s="368"/>
      <c r="BU1" s="368"/>
      <c r="BV1" s="368"/>
      <c r="BW1" s="368"/>
      <c r="BX1" s="368"/>
      <c r="BY1" s="368"/>
      <c r="BZ1" s="368"/>
    </row>
    <row r="2" spans="1:86" s="367" customFormat="1">
      <c r="A2" s="374" t="s">
        <v>465</v>
      </c>
      <c r="B2" s="401" t="s">
        <v>494</v>
      </c>
      <c r="C2" s="372"/>
      <c r="D2" s="372"/>
      <c r="E2" s="372"/>
      <c r="F2" s="372"/>
      <c r="G2" s="372"/>
      <c r="H2" s="372"/>
      <c r="I2" s="372"/>
      <c r="J2" s="372"/>
      <c r="K2" s="402" t="s">
        <v>17</v>
      </c>
      <c r="L2" s="403">
        <v>43281</v>
      </c>
      <c r="M2" s="372"/>
      <c r="N2" s="372"/>
      <c r="O2" s="372"/>
      <c r="P2" s="372"/>
      <c r="Q2" s="372"/>
      <c r="R2" s="372"/>
      <c r="S2" s="372"/>
      <c r="T2" s="372"/>
      <c r="U2" s="372"/>
      <c r="V2" s="372"/>
      <c r="W2" s="372"/>
      <c r="X2" s="372"/>
      <c r="Y2" s="372"/>
      <c r="Z2" s="372"/>
      <c r="AA2" s="372"/>
      <c r="AB2" s="372"/>
      <c r="AC2" s="372"/>
      <c r="AD2" s="372"/>
      <c r="AE2" s="372"/>
      <c r="AF2" s="372"/>
      <c r="AG2" s="372"/>
      <c r="AH2" s="372"/>
      <c r="AI2" s="372"/>
      <c r="AJ2" s="372"/>
      <c r="AK2" s="372"/>
      <c r="AL2" s="372"/>
      <c r="AM2" s="372"/>
      <c r="AN2" s="372"/>
      <c r="AO2" s="372"/>
      <c r="AP2" s="372"/>
      <c r="AQ2" s="368"/>
      <c r="AR2" s="372"/>
      <c r="AS2" s="369"/>
      <c r="AT2" s="372"/>
      <c r="AU2" s="368"/>
      <c r="AV2" s="368"/>
      <c r="AW2" s="368"/>
      <c r="AX2" s="368"/>
      <c r="AY2" s="368"/>
      <c r="AZ2" s="368"/>
      <c r="BA2" s="368"/>
      <c r="BB2" s="368"/>
      <c r="BC2" s="368"/>
      <c r="BD2" s="368"/>
      <c r="BE2" s="368"/>
      <c r="BF2" s="368"/>
      <c r="BG2" s="368"/>
      <c r="BH2" s="368"/>
      <c r="BI2" s="368"/>
      <c r="BJ2" s="368"/>
      <c r="BK2" s="368"/>
      <c r="BL2" s="368"/>
      <c r="BM2" s="368"/>
      <c r="BN2" s="368"/>
      <c r="BO2" s="368"/>
      <c r="BP2" s="368"/>
      <c r="BQ2" s="368"/>
      <c r="BR2" s="368"/>
      <c r="BS2" s="368"/>
      <c r="BT2" s="368"/>
      <c r="BU2" s="368"/>
      <c r="BV2" s="368"/>
      <c r="BW2" s="368"/>
      <c r="BX2" s="368"/>
      <c r="BY2" s="368"/>
      <c r="BZ2" s="368"/>
    </row>
    <row r="3" spans="1:86" s="367" customFormat="1">
      <c r="A3" s="374" t="s">
        <v>466</v>
      </c>
      <c r="B3" s="401" t="s">
        <v>495</v>
      </c>
      <c r="C3" s="372"/>
      <c r="D3" s="372"/>
      <c r="E3" s="372"/>
      <c r="F3" s="372"/>
      <c r="G3" s="372"/>
      <c r="H3" s="372"/>
      <c r="I3" s="372"/>
      <c r="J3" s="372"/>
      <c r="K3" s="404" t="s">
        <v>273</v>
      </c>
      <c r="L3" s="405" t="s">
        <v>275</v>
      </c>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68"/>
      <c r="AR3" s="372"/>
      <c r="AS3" s="369"/>
      <c r="AT3" s="372"/>
      <c r="AU3" s="368"/>
      <c r="AV3" s="368"/>
      <c r="AW3" s="368"/>
      <c r="AX3" s="368"/>
      <c r="AY3" s="368"/>
      <c r="AZ3" s="368"/>
      <c r="BA3" s="368"/>
      <c r="BB3" s="368"/>
      <c r="BC3" s="368"/>
      <c r="BD3" s="368"/>
      <c r="BE3" s="368"/>
      <c r="BF3" s="368"/>
      <c r="BG3" s="368"/>
      <c r="BH3" s="368"/>
      <c r="BI3" s="368"/>
      <c r="BJ3" s="368"/>
      <c r="BK3" s="368"/>
      <c r="BL3" s="368"/>
      <c r="BM3" s="368"/>
      <c r="BN3" s="368"/>
      <c r="BO3" s="368"/>
      <c r="BP3" s="368"/>
      <c r="BQ3" s="368"/>
      <c r="BR3" s="368"/>
      <c r="BS3" s="368"/>
      <c r="BT3" s="368"/>
      <c r="BU3" s="368"/>
      <c r="BV3" s="368"/>
      <c r="BW3" s="368"/>
      <c r="BX3" s="368"/>
      <c r="BY3" s="368"/>
      <c r="BZ3" s="368"/>
    </row>
    <row r="4" spans="1:86" s="367" customFormat="1">
      <c r="A4" s="374" t="s">
        <v>467</v>
      </c>
      <c r="B4" s="401" t="s">
        <v>496</v>
      </c>
      <c r="C4" s="372"/>
      <c r="D4" s="372"/>
      <c r="E4" s="372"/>
      <c r="F4" s="372"/>
      <c r="G4" s="372"/>
      <c r="H4" s="372"/>
      <c r="I4" s="372"/>
      <c r="J4" s="372"/>
      <c r="K4" s="404" t="s">
        <v>543</v>
      </c>
      <c r="L4" s="405" t="s">
        <v>544</v>
      </c>
      <c r="M4" s="372"/>
      <c r="N4" s="372"/>
      <c r="O4" s="372"/>
      <c r="P4" s="372"/>
      <c r="Q4" s="372"/>
      <c r="R4" s="372"/>
      <c r="S4" s="372"/>
      <c r="T4" s="372"/>
      <c r="U4" s="372"/>
      <c r="V4" s="372"/>
      <c r="W4" s="372"/>
      <c r="X4" s="372"/>
      <c r="Y4" s="372"/>
      <c r="Z4" s="372"/>
      <c r="AA4" s="372"/>
      <c r="AB4" s="372"/>
      <c r="AC4" s="372"/>
      <c r="AD4" s="372"/>
      <c r="AE4" s="372"/>
      <c r="AF4" s="372"/>
      <c r="AG4" s="372"/>
      <c r="AH4" s="372"/>
      <c r="AI4" s="372"/>
      <c r="AJ4" s="372"/>
      <c r="AK4" s="372"/>
      <c r="AL4" s="372"/>
      <c r="AM4" s="372"/>
      <c r="AN4" s="372"/>
      <c r="AO4" s="372"/>
      <c r="AP4" s="372"/>
      <c r="AQ4" s="368"/>
      <c r="AR4" s="372"/>
      <c r="AS4" s="368"/>
      <c r="AT4" s="372"/>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368"/>
      <c r="BV4" s="368"/>
      <c r="BW4" s="368"/>
      <c r="BX4" s="368"/>
      <c r="BY4" s="368"/>
      <c r="BZ4" s="368"/>
    </row>
    <row r="5" spans="1:86" s="367" customFormat="1">
      <c r="A5" s="374" t="s">
        <v>468</v>
      </c>
      <c r="B5" s="401" t="s">
        <v>546</v>
      </c>
      <c r="C5" s="372"/>
      <c r="D5" s="372"/>
      <c r="E5" s="372"/>
      <c r="F5" s="372"/>
      <c r="G5" s="372"/>
      <c r="H5" s="372"/>
      <c r="I5" s="372"/>
      <c r="J5" s="372"/>
      <c r="K5" s="404" t="s">
        <v>274</v>
      </c>
      <c r="L5" s="405" t="s">
        <v>276</v>
      </c>
      <c r="M5" s="372"/>
      <c r="N5" s="372"/>
      <c r="O5" s="372"/>
      <c r="P5" s="372"/>
      <c r="Q5" s="372"/>
      <c r="R5" s="372"/>
      <c r="S5" s="372"/>
      <c r="T5" s="372"/>
      <c r="U5" s="372"/>
      <c r="V5" s="372"/>
      <c r="W5" s="372"/>
      <c r="X5" s="372"/>
      <c r="Y5" s="372"/>
      <c r="Z5" s="372"/>
      <c r="AA5" s="372"/>
      <c r="AB5" s="372"/>
      <c r="AC5" s="372"/>
      <c r="AD5" s="372"/>
      <c r="AE5" s="372"/>
      <c r="AF5" s="372"/>
      <c r="AG5" s="372"/>
      <c r="AH5" s="372"/>
      <c r="AI5" s="372"/>
      <c r="AJ5" s="372"/>
      <c r="AK5" s="372"/>
      <c r="AL5" s="372"/>
      <c r="AM5" s="372"/>
      <c r="AN5" s="372"/>
      <c r="AO5" s="372"/>
      <c r="AP5" s="372"/>
      <c r="AQ5" s="368"/>
      <c r="AR5" s="372"/>
      <c r="AS5" s="368"/>
      <c r="AT5" s="372"/>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368"/>
      <c r="BV5" s="368"/>
      <c r="BW5" s="368"/>
      <c r="BX5" s="368"/>
      <c r="BY5" s="368"/>
      <c r="BZ5" s="368"/>
    </row>
    <row r="6" spans="1:86" s="367" customFormat="1">
      <c r="A6" s="374" t="s">
        <v>469</v>
      </c>
      <c r="B6" s="401" t="s">
        <v>1606</v>
      </c>
      <c r="C6" s="372"/>
      <c r="D6" s="372"/>
      <c r="E6" s="372"/>
      <c r="F6" s="372"/>
      <c r="G6" s="372"/>
      <c r="H6" s="372"/>
      <c r="I6" s="372"/>
      <c r="J6" s="372"/>
      <c r="K6" s="406" t="s">
        <v>19</v>
      </c>
      <c r="L6" s="407" t="s">
        <v>20</v>
      </c>
      <c r="M6" s="372"/>
      <c r="N6" s="372"/>
      <c r="O6" s="372"/>
      <c r="P6" s="372"/>
      <c r="Q6" s="372"/>
      <c r="R6" s="372"/>
      <c r="S6" s="372"/>
      <c r="T6" s="372"/>
      <c r="U6" s="372"/>
      <c r="V6" s="372"/>
      <c r="W6" s="372"/>
      <c r="X6" s="372"/>
      <c r="Y6" s="372"/>
      <c r="Z6" s="372"/>
      <c r="AA6" s="372"/>
      <c r="AB6" s="372"/>
      <c r="AC6" s="372"/>
      <c r="AD6" s="372"/>
      <c r="AE6" s="408"/>
      <c r="AF6" s="372"/>
      <c r="AG6" s="372"/>
      <c r="AH6" s="372"/>
      <c r="AI6" s="372"/>
      <c r="AJ6" s="372"/>
      <c r="AK6" s="372"/>
      <c r="AL6" s="372"/>
      <c r="AM6" s="372"/>
      <c r="AN6" s="372"/>
      <c r="AO6" s="372"/>
      <c r="AP6" s="372"/>
      <c r="AQ6" s="368"/>
      <c r="AR6" s="372"/>
      <c r="AS6" s="368"/>
      <c r="AT6" s="372"/>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368"/>
      <c r="BV6" s="368"/>
      <c r="BW6" s="368"/>
      <c r="BX6" s="368"/>
      <c r="BY6" s="368"/>
      <c r="BZ6" s="368"/>
    </row>
    <row r="7" spans="1:86" s="367" customFormat="1">
      <c r="A7" s="374" t="s">
        <v>545</v>
      </c>
      <c r="B7" s="401" t="s">
        <v>1607</v>
      </c>
      <c r="C7" s="372"/>
      <c r="D7" s="372"/>
      <c r="E7" s="372"/>
      <c r="F7" s="372"/>
      <c r="G7" s="372"/>
      <c r="H7" s="372"/>
      <c r="I7" s="372"/>
      <c r="J7" s="372"/>
      <c r="K7" s="408"/>
      <c r="L7" s="408"/>
      <c r="M7" s="372"/>
      <c r="N7" s="372"/>
      <c r="O7" s="372"/>
      <c r="P7" s="372"/>
      <c r="Q7" s="372"/>
      <c r="R7" s="372"/>
      <c r="S7" s="372"/>
      <c r="T7" s="372"/>
      <c r="U7" s="372"/>
      <c r="V7" s="372"/>
      <c r="W7" s="372"/>
      <c r="X7" s="372"/>
      <c r="Y7" s="372"/>
      <c r="Z7" s="372"/>
      <c r="AA7" s="372"/>
      <c r="AB7" s="372"/>
      <c r="AC7" s="372"/>
      <c r="AD7" s="372"/>
      <c r="AE7" s="408"/>
      <c r="AF7" s="409"/>
      <c r="AG7" s="409"/>
      <c r="AH7" s="372"/>
      <c r="AI7" s="372"/>
      <c r="AJ7" s="372"/>
      <c r="AK7" s="372"/>
      <c r="AL7" s="372"/>
      <c r="AM7" s="372"/>
      <c r="AN7" s="372"/>
      <c r="AO7" s="372"/>
      <c r="AP7" s="372"/>
      <c r="AQ7" s="368"/>
      <c r="AR7" s="372"/>
      <c r="AS7" s="368"/>
      <c r="AT7" s="372"/>
      <c r="AU7" s="368"/>
      <c r="AV7" s="368"/>
      <c r="AW7" s="368"/>
      <c r="AX7" s="368"/>
      <c r="AY7" s="368"/>
      <c r="AZ7" s="368"/>
      <c r="BA7" s="368"/>
      <c r="BB7" s="368"/>
      <c r="BC7" s="368"/>
      <c r="BD7" s="368"/>
      <c r="BE7" s="368"/>
      <c r="BF7" s="368"/>
      <c r="BG7" s="368"/>
      <c r="BH7" s="368"/>
      <c r="BI7" s="368"/>
      <c r="BJ7" s="368"/>
      <c r="BK7" s="368"/>
      <c r="BL7" s="368"/>
      <c r="BM7" s="368"/>
      <c r="BN7" s="368"/>
      <c r="BO7" s="368"/>
      <c r="BP7" s="368"/>
      <c r="BQ7" s="368"/>
      <c r="BR7" s="368"/>
      <c r="BS7" s="368"/>
      <c r="BT7" s="368"/>
      <c r="BU7" s="368"/>
      <c r="BV7" s="368"/>
      <c r="BW7" s="368"/>
      <c r="BX7" s="368"/>
      <c r="BY7" s="368"/>
      <c r="BZ7" s="368"/>
    </row>
    <row r="8" spans="1:86" s="367" customFormat="1">
      <c r="A8" s="374" t="s">
        <v>470</v>
      </c>
      <c r="B8" s="400">
        <v>43190</v>
      </c>
      <c r="C8" s="372"/>
      <c r="D8" s="372"/>
      <c r="E8" s="372"/>
      <c r="F8" s="372"/>
      <c r="G8" s="372"/>
      <c r="H8" s="372"/>
      <c r="I8" s="372"/>
      <c r="J8" s="372"/>
      <c r="K8" s="372"/>
      <c r="L8" s="372"/>
      <c r="M8" s="372"/>
      <c r="N8" s="372"/>
      <c r="O8" s="372"/>
      <c r="P8" s="372"/>
      <c r="Q8" s="372"/>
      <c r="R8" s="372"/>
      <c r="S8" s="372"/>
      <c r="T8" s="372"/>
      <c r="U8" s="372"/>
      <c r="V8" s="372"/>
      <c r="W8" s="372"/>
      <c r="X8" s="372"/>
      <c r="Y8" s="372"/>
      <c r="Z8" s="372"/>
      <c r="AA8" s="372"/>
      <c r="AB8" s="372"/>
      <c r="AC8" s="372"/>
      <c r="AD8" s="372"/>
      <c r="AE8" s="372"/>
      <c r="AF8" s="372"/>
      <c r="AG8" s="372"/>
      <c r="AH8" s="372"/>
      <c r="AI8" s="372"/>
      <c r="AJ8" s="372"/>
      <c r="AK8" s="372"/>
      <c r="AL8" s="372"/>
      <c r="AM8" s="372"/>
      <c r="AN8" s="372"/>
      <c r="AO8" s="372"/>
      <c r="AP8" s="372"/>
      <c r="AQ8" s="368"/>
      <c r="AR8" s="372"/>
      <c r="AS8" s="368"/>
      <c r="AT8" s="372"/>
      <c r="AU8" s="368"/>
      <c r="AV8" s="368"/>
      <c r="AW8" s="368"/>
      <c r="AX8" s="368"/>
      <c r="AY8" s="368"/>
      <c r="AZ8" s="368"/>
      <c r="BA8" s="368"/>
      <c r="BB8" s="368"/>
      <c r="BC8" s="368"/>
      <c r="BD8" s="368"/>
      <c r="BE8" s="368"/>
      <c r="BF8" s="368"/>
      <c r="BG8" s="368"/>
      <c r="BH8" s="368"/>
      <c r="BI8" s="368"/>
      <c r="BJ8" s="368"/>
      <c r="BK8" s="368"/>
      <c r="BL8" s="368"/>
      <c r="BM8" s="368"/>
      <c r="BN8" s="368"/>
      <c r="BO8" s="368"/>
      <c r="BP8" s="368"/>
      <c r="BQ8" s="368"/>
      <c r="BR8" s="368"/>
      <c r="BS8" s="368"/>
      <c r="BT8" s="368"/>
      <c r="BU8" s="368"/>
      <c r="BV8" s="368"/>
      <c r="BW8" s="368"/>
      <c r="BX8" s="368"/>
      <c r="BY8" s="368"/>
      <c r="BZ8" s="368"/>
    </row>
    <row r="9" spans="1:86" s="378" customFormat="1" ht="12.75">
      <c r="A9" s="20"/>
      <c r="B9" s="20"/>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140"/>
      <c r="AH9" s="140"/>
      <c r="AI9" s="140"/>
      <c r="AJ9" s="140"/>
      <c r="AK9" s="140"/>
      <c r="AL9" s="140"/>
      <c r="AM9" s="140"/>
      <c r="AN9" s="140"/>
      <c r="AO9" s="140"/>
      <c r="AP9" s="140"/>
      <c r="AQ9" s="379"/>
      <c r="AR9" s="140"/>
      <c r="AS9" s="379"/>
      <c r="AT9" s="140"/>
      <c r="AU9" s="379"/>
      <c r="AV9" s="379"/>
      <c r="AW9" s="379"/>
      <c r="AX9" s="379"/>
      <c r="AY9" s="379"/>
      <c r="AZ9" s="379"/>
      <c r="BA9" s="379"/>
      <c r="BB9" s="379"/>
      <c r="BC9" s="140"/>
      <c r="BD9" s="379"/>
      <c r="BE9" s="379"/>
      <c r="BF9" s="379"/>
      <c r="BG9" s="379"/>
      <c r="BH9" s="379"/>
      <c r="BI9" s="379"/>
      <c r="BJ9" s="379"/>
      <c r="BK9" s="379"/>
      <c r="BL9" s="379"/>
      <c r="BM9" s="379"/>
      <c r="BN9" s="379"/>
      <c r="BO9" s="379"/>
      <c r="BP9" s="379"/>
      <c r="BQ9" s="379"/>
      <c r="BR9" s="379"/>
      <c r="BS9" s="379"/>
      <c r="BT9" s="379"/>
      <c r="BU9" s="379"/>
      <c r="BV9" s="379"/>
      <c r="BW9" s="379"/>
      <c r="BX9" s="379"/>
      <c r="BY9" s="379"/>
      <c r="BZ9" s="379"/>
    </row>
    <row r="10" spans="1:86">
      <c r="A10" s="410" t="s">
        <v>497</v>
      </c>
      <c r="W10" s="411"/>
      <c r="AF10" s="372" t="s">
        <v>165</v>
      </c>
      <c r="AJ10" s="372" t="s">
        <v>169</v>
      </c>
      <c r="AK10" s="372" t="s">
        <v>164</v>
      </c>
      <c r="AL10" s="372" t="s">
        <v>165</v>
      </c>
      <c r="AM10" s="372" t="s">
        <v>169</v>
      </c>
      <c r="AN10" s="372" t="s">
        <v>164</v>
      </c>
      <c r="AO10" s="372" t="s">
        <v>165</v>
      </c>
      <c r="AQ10" s="368">
        <v>1</v>
      </c>
      <c r="AR10" s="372">
        <v>2</v>
      </c>
      <c r="AS10" s="368">
        <v>5</v>
      </c>
      <c r="AU10" s="372" t="s">
        <v>169</v>
      </c>
      <c r="AV10" s="372" t="s">
        <v>164</v>
      </c>
      <c r="AW10" s="372" t="s">
        <v>165</v>
      </c>
      <c r="AX10" s="411" t="s">
        <v>494</v>
      </c>
      <c r="AY10" s="411" t="s">
        <v>495</v>
      </c>
      <c r="AZ10" s="372" t="s">
        <v>169</v>
      </c>
      <c r="BA10" s="372" t="s">
        <v>164</v>
      </c>
      <c r="BB10" s="372" t="s">
        <v>165</v>
      </c>
      <c r="BC10" s="372" t="s">
        <v>494</v>
      </c>
      <c r="BD10" s="372" t="s">
        <v>495</v>
      </c>
      <c r="BE10" s="372"/>
      <c r="BF10" s="372"/>
      <c r="BG10" s="372"/>
      <c r="BH10" s="368"/>
      <c r="BI10" s="368"/>
      <c r="BJ10" s="368"/>
      <c r="BK10" s="368"/>
      <c r="BL10" s="368"/>
      <c r="BM10" s="368"/>
      <c r="BN10" s="368"/>
      <c r="BO10" s="368"/>
      <c r="BP10" s="368"/>
      <c r="BQ10" s="368"/>
      <c r="BR10" s="368"/>
      <c r="BS10" s="368" t="s">
        <v>47</v>
      </c>
      <c r="BT10" s="368"/>
      <c r="BU10" s="368"/>
      <c r="BV10" s="368"/>
      <c r="BW10" s="368"/>
      <c r="BX10" s="368"/>
      <c r="BY10" s="368"/>
      <c r="BZ10" s="368"/>
      <c r="CA10" s="367"/>
      <c r="CB10" s="367"/>
      <c r="CC10" s="367"/>
      <c r="CD10" s="367"/>
      <c r="CE10" s="367"/>
      <c r="CF10" s="367"/>
      <c r="CG10" s="367"/>
      <c r="CH10" s="367"/>
    </row>
    <row r="11" spans="1:86" ht="12.75">
      <c r="A11" s="374" t="s">
        <v>38</v>
      </c>
      <c r="B11" s="374" t="s">
        <v>471</v>
      </c>
      <c r="C11" s="372" t="s">
        <v>472</v>
      </c>
      <c r="D11" s="372" t="s">
        <v>473</v>
      </c>
      <c r="E11" s="372" t="s">
        <v>474</v>
      </c>
      <c r="F11" s="372" t="s">
        <v>547</v>
      </c>
      <c r="G11" s="371" t="s">
        <v>475</v>
      </c>
      <c r="H11" s="371" t="s">
        <v>71</v>
      </c>
      <c r="I11" s="371" t="s">
        <v>442</v>
      </c>
      <c r="J11" s="372" t="s">
        <v>24</v>
      </c>
      <c r="K11" s="372" t="s">
        <v>25</v>
      </c>
      <c r="L11" s="372" t="s">
        <v>26</v>
      </c>
      <c r="M11" s="372" t="s">
        <v>27</v>
      </c>
      <c r="N11" s="372" t="s">
        <v>30</v>
      </c>
      <c r="O11" s="140" t="s">
        <v>520</v>
      </c>
      <c r="P11" s="372" t="s">
        <v>521</v>
      </c>
      <c r="Q11" s="372" t="s">
        <v>522</v>
      </c>
      <c r="R11" s="372" t="s">
        <v>548</v>
      </c>
      <c r="S11" s="372" t="s">
        <v>549</v>
      </c>
      <c r="T11" s="372" t="s">
        <v>550</v>
      </c>
      <c r="U11" s="372" t="s">
        <v>551</v>
      </c>
      <c r="V11" s="372" t="s">
        <v>1608</v>
      </c>
      <c r="W11" s="372" t="s">
        <v>1609</v>
      </c>
      <c r="X11" s="140" t="s">
        <v>523</v>
      </c>
      <c r="Y11" s="372" t="s">
        <v>524</v>
      </c>
      <c r="Z11" s="372" t="s">
        <v>476</v>
      </c>
      <c r="AA11" s="372" t="s">
        <v>527</v>
      </c>
      <c r="AB11" s="372" t="s">
        <v>528</v>
      </c>
      <c r="AC11" s="372" t="s">
        <v>529</v>
      </c>
      <c r="AD11" s="372" t="s">
        <v>1610</v>
      </c>
      <c r="AE11" s="372" t="s">
        <v>1611</v>
      </c>
      <c r="AF11" s="372" t="s">
        <v>532</v>
      </c>
      <c r="AG11" s="372" t="s">
        <v>559</v>
      </c>
      <c r="AH11" s="372" t="s">
        <v>560</v>
      </c>
      <c r="AI11" s="372" t="s">
        <v>561</v>
      </c>
      <c r="AJ11" s="372" t="s">
        <v>533</v>
      </c>
      <c r="AK11" s="372" t="s">
        <v>533</v>
      </c>
      <c r="AL11" s="372" t="s">
        <v>533</v>
      </c>
      <c r="AM11" s="372" t="s">
        <v>440</v>
      </c>
      <c r="AN11" s="372" t="s">
        <v>440</v>
      </c>
      <c r="AO11" s="372" t="s">
        <v>440</v>
      </c>
      <c r="AP11" s="372" t="s">
        <v>562</v>
      </c>
      <c r="AQ11" s="372" t="s">
        <v>479</v>
      </c>
      <c r="AR11" s="372" t="s">
        <v>478</v>
      </c>
      <c r="AS11" s="372" t="s">
        <v>477</v>
      </c>
      <c r="AT11" s="372" t="s">
        <v>7</v>
      </c>
      <c r="AU11" s="371" t="s">
        <v>386</v>
      </c>
      <c r="AV11" s="371" t="s">
        <v>386</v>
      </c>
      <c r="AW11" s="371" t="s">
        <v>386</v>
      </c>
      <c r="AX11" s="371" t="s">
        <v>386</v>
      </c>
      <c r="AY11" s="372" t="s">
        <v>386</v>
      </c>
      <c r="AZ11" s="371" t="s">
        <v>387</v>
      </c>
      <c r="BA11" s="371" t="s">
        <v>387</v>
      </c>
      <c r="BB11" s="371" t="s">
        <v>387</v>
      </c>
      <c r="BC11" s="372" t="s">
        <v>387</v>
      </c>
      <c r="BD11" s="371" t="s">
        <v>387</v>
      </c>
      <c r="BE11" s="371" t="s">
        <v>552</v>
      </c>
      <c r="BF11" s="371" t="s">
        <v>553</v>
      </c>
      <c r="BG11" s="371" t="s">
        <v>554</v>
      </c>
      <c r="BH11" s="371" t="s">
        <v>555</v>
      </c>
      <c r="BI11" s="371" t="s">
        <v>556</v>
      </c>
      <c r="BJ11" s="371" t="s">
        <v>557</v>
      </c>
      <c r="BK11" s="371" t="s">
        <v>480</v>
      </c>
      <c r="BL11" s="371" t="s">
        <v>481</v>
      </c>
      <c r="BM11" s="371" t="s">
        <v>482</v>
      </c>
      <c r="BN11" s="371" t="s">
        <v>483</v>
      </c>
      <c r="BO11" s="371" t="s">
        <v>484</v>
      </c>
      <c r="BP11" s="371" t="s">
        <v>485</v>
      </c>
      <c r="BQ11" s="371" t="s">
        <v>486</v>
      </c>
      <c r="BR11" s="371" t="s">
        <v>487</v>
      </c>
      <c r="BS11" s="373" t="s">
        <v>498</v>
      </c>
      <c r="BT11" s="373" t="s">
        <v>499</v>
      </c>
      <c r="BU11" s="373" t="s">
        <v>500</v>
      </c>
      <c r="BV11" s="373" t="s">
        <v>501</v>
      </c>
      <c r="BW11" s="373" t="s">
        <v>502</v>
      </c>
      <c r="BX11" s="373" t="s">
        <v>989</v>
      </c>
      <c r="BY11" s="373" t="s">
        <v>990</v>
      </c>
      <c r="BZ11" s="373" t="s">
        <v>991</v>
      </c>
      <c r="CB11" s="370" t="s">
        <v>563</v>
      </c>
      <c r="CC11" s="370" t="s">
        <v>147</v>
      </c>
      <c r="CD11" s="370" t="s">
        <v>148</v>
      </c>
      <c r="CE11" s="371" t="s">
        <v>536</v>
      </c>
    </row>
    <row r="12" spans="1:86">
      <c r="CE12" s="370"/>
    </row>
    <row r="13" spans="1:86" s="371" customFormat="1" ht="12.75">
      <c r="A13" s="372" t="s">
        <v>1612</v>
      </c>
      <c r="B13" s="412" t="s">
        <v>1613</v>
      </c>
      <c r="C13" s="372" t="s">
        <v>1614</v>
      </c>
      <c r="D13" s="372" t="s">
        <v>1615</v>
      </c>
      <c r="E13" s="411">
        <v>43100</v>
      </c>
      <c r="F13" s="411">
        <v>43190</v>
      </c>
      <c r="G13" s="411">
        <v>33605</v>
      </c>
      <c r="H13" s="413">
        <v>110584.08422999999</v>
      </c>
      <c r="I13" s="413">
        <v>46.34769</v>
      </c>
      <c r="J13" s="413">
        <v>112194.50996</v>
      </c>
      <c r="K13" s="413">
        <v>37.684269999999998</v>
      </c>
      <c r="L13" s="413" t="s">
        <v>1</v>
      </c>
      <c r="M13" s="413" t="s">
        <v>1</v>
      </c>
      <c r="N13" s="413">
        <v>1737.6084000000001</v>
      </c>
      <c r="O13" s="413">
        <v>16804.59172</v>
      </c>
      <c r="P13" s="413">
        <v>16251.231239999999</v>
      </c>
      <c r="Q13" s="413">
        <v>18209.76585</v>
      </c>
      <c r="R13" s="413">
        <v>15871.280479999999</v>
      </c>
      <c r="S13" s="413">
        <v>18013.653439999998</v>
      </c>
      <c r="T13" s="413">
        <v>17333.342359999999</v>
      </c>
      <c r="U13" s="413">
        <v>18225.362359999999</v>
      </c>
      <c r="V13" s="413">
        <v>19451.656569999999</v>
      </c>
      <c r="W13" s="413">
        <v>21435.06234</v>
      </c>
      <c r="X13" s="413">
        <v>7683.9595200000003</v>
      </c>
      <c r="Y13" s="413">
        <v>7586.9754499999999</v>
      </c>
      <c r="Z13" s="413">
        <v>8411.5254399999994</v>
      </c>
      <c r="AA13" s="413">
        <v>7312.1763600000004</v>
      </c>
      <c r="AB13" s="413">
        <v>8391.4053899999999</v>
      </c>
      <c r="AC13" s="413">
        <v>7890.1490400000002</v>
      </c>
      <c r="AD13" s="413">
        <v>8365.6371600000002</v>
      </c>
      <c r="AE13" s="413">
        <v>9008.6327899999997</v>
      </c>
      <c r="AF13" s="414">
        <v>0.84045199999999998</v>
      </c>
      <c r="AG13" s="414">
        <v>0.46192300000000003</v>
      </c>
      <c r="AH13" s="414">
        <v>0.43565600000000004</v>
      </c>
      <c r="AI13" s="414">
        <v>0.351489</v>
      </c>
      <c r="AJ13" s="413">
        <v>-479.50231000000002</v>
      </c>
      <c r="AK13" s="413">
        <v>-1496.57419</v>
      </c>
      <c r="AL13" s="413">
        <v>-750.04917</v>
      </c>
      <c r="AM13" s="413">
        <v>-848.03277000000003</v>
      </c>
      <c r="AN13" s="413">
        <v>-1090.07772</v>
      </c>
      <c r="AO13" s="413">
        <v>-1337.9568200000001</v>
      </c>
      <c r="AP13" s="415" t="s">
        <v>3136</v>
      </c>
      <c r="AQ13" s="416">
        <v>0.54383999999999999</v>
      </c>
      <c r="AR13" s="416">
        <v>0.58235999999999999</v>
      </c>
      <c r="AS13" s="416">
        <v>0.51153000000000004</v>
      </c>
      <c r="AT13" s="414">
        <v>2.6520000000000002E-2</v>
      </c>
      <c r="AU13" s="413">
        <v>5264.1313300000002</v>
      </c>
      <c r="AV13" s="413">
        <v>5554.0617400000001</v>
      </c>
      <c r="AW13" s="413">
        <v>6400.5407999999998</v>
      </c>
      <c r="AX13" s="413">
        <v>5384.8480300000001</v>
      </c>
      <c r="AY13" s="413">
        <v>6149.3751400000001</v>
      </c>
      <c r="AZ13" s="413">
        <v>5699.0003299999998</v>
      </c>
      <c r="BA13" s="413">
        <v>5794.9112599999999</v>
      </c>
      <c r="BB13" s="413">
        <v>7311.73981</v>
      </c>
      <c r="BC13" s="413">
        <v>6427.5988200000002</v>
      </c>
      <c r="BD13" s="413">
        <v>8033.8610699999999</v>
      </c>
      <c r="BE13" s="413">
        <v>49.17136</v>
      </c>
      <c r="BF13" s="413">
        <v>119579.29502999999</v>
      </c>
      <c r="BG13" s="413">
        <v>273.19805000000002</v>
      </c>
      <c r="BH13" s="371" t="s">
        <v>1</v>
      </c>
      <c r="BI13" s="371" t="s">
        <v>1</v>
      </c>
      <c r="BJ13" s="413">
        <v>3040.3362200000001</v>
      </c>
      <c r="BK13" s="371">
        <v>21.426300000000001</v>
      </c>
      <c r="BL13" s="371">
        <v>1.0680000000000002E-3</v>
      </c>
      <c r="BM13" s="371">
        <v>5.561E-2</v>
      </c>
      <c r="BN13" s="371">
        <v>6.5412999999999999E-2</v>
      </c>
      <c r="BO13" s="371">
        <v>6.1670000000000006E-3</v>
      </c>
      <c r="BP13" s="371">
        <v>7.3264999999999997E-2</v>
      </c>
      <c r="BQ13" s="371">
        <v>8.8681999999999997E-2</v>
      </c>
      <c r="BR13" s="375">
        <v>2.6267540392343924E-2</v>
      </c>
      <c r="BS13" s="417">
        <v>0.23337104782440229</v>
      </c>
      <c r="BT13" s="417">
        <v>0.27152222085926869</v>
      </c>
      <c r="BU13" s="417">
        <v>0.27509605137080317</v>
      </c>
      <c r="BV13" s="417">
        <v>0.26647478565178756</v>
      </c>
      <c r="BW13" s="417">
        <v>0.25702694560965095</v>
      </c>
      <c r="BX13" s="417">
        <v>0.25752787186184822</v>
      </c>
      <c r="BY13" s="417">
        <v>0.26523876608060654</v>
      </c>
      <c r="BZ13" s="417">
        <v>0.26473478426800701</v>
      </c>
      <c r="CB13" s="371">
        <v>2</v>
      </c>
      <c r="CC13" s="50" t="s">
        <v>150</v>
      </c>
      <c r="CD13" s="50" t="s">
        <v>149</v>
      </c>
      <c r="CE13" s="373">
        <v>42551</v>
      </c>
    </row>
    <row r="14" spans="1:86" s="371" customFormat="1" ht="12.75">
      <c r="A14" s="372" t="s">
        <v>1635</v>
      </c>
      <c r="B14" s="412" t="s">
        <v>1636</v>
      </c>
      <c r="C14" s="372" t="s">
        <v>1637</v>
      </c>
      <c r="D14" s="372" t="s">
        <v>1638</v>
      </c>
      <c r="E14" s="411">
        <v>43100</v>
      </c>
      <c r="F14" s="411">
        <v>43190</v>
      </c>
      <c r="G14" s="411">
        <v>35244</v>
      </c>
      <c r="H14" s="413">
        <v>6000.97145</v>
      </c>
      <c r="I14" s="413">
        <v>3.6211700000000002</v>
      </c>
      <c r="J14" s="413">
        <v>7436.2830000000004</v>
      </c>
      <c r="K14" s="413">
        <v>0</v>
      </c>
      <c r="L14" s="413" t="s">
        <v>1</v>
      </c>
      <c r="M14" s="413">
        <v>1.49579</v>
      </c>
      <c r="N14" s="413">
        <v>75.958299999999994</v>
      </c>
      <c r="O14" s="413">
        <v>266.80338999999998</v>
      </c>
      <c r="P14" s="413">
        <v>312.89407</v>
      </c>
      <c r="Q14" s="413">
        <v>430.28374000000002</v>
      </c>
      <c r="R14" s="413">
        <v>293.86101000000002</v>
      </c>
      <c r="S14" s="413">
        <v>391.18522999999999</v>
      </c>
      <c r="T14" s="413">
        <v>464.06795</v>
      </c>
      <c r="U14" s="413">
        <v>574.01760999999999</v>
      </c>
      <c r="V14" s="413">
        <v>694.93681000000004</v>
      </c>
      <c r="W14" s="413" t="s">
        <v>1</v>
      </c>
      <c r="X14" s="413">
        <v>116.16725</v>
      </c>
      <c r="Y14" s="413">
        <v>147.95707999999999</v>
      </c>
      <c r="Z14" s="413">
        <v>192.60059000000001</v>
      </c>
      <c r="AA14" s="413">
        <v>138.30298999999999</v>
      </c>
      <c r="AB14" s="413">
        <v>176.11248000000001</v>
      </c>
      <c r="AC14" s="413">
        <v>213.51394999999999</v>
      </c>
      <c r="AD14" s="413">
        <v>273.06540000000001</v>
      </c>
      <c r="AE14" s="413">
        <v>348.25108999999998</v>
      </c>
      <c r="AF14" s="414">
        <v>0.73735499999999998</v>
      </c>
      <c r="AG14" s="414">
        <v>0.44761200000000001</v>
      </c>
      <c r="AH14" s="414">
        <v>0.385986</v>
      </c>
      <c r="AI14" s="414">
        <v>0.33344200000000002</v>
      </c>
      <c r="AJ14" s="413">
        <v>208.21476999999999</v>
      </c>
      <c r="AK14" s="413">
        <v>261.31078000000002</v>
      </c>
      <c r="AL14" s="413">
        <v>300.94391999999999</v>
      </c>
      <c r="AM14" s="413">
        <v>-84.246690000000001</v>
      </c>
      <c r="AN14" s="413">
        <v>-42.101129999999998</v>
      </c>
      <c r="AO14" s="413">
        <v>-29.843720000000001</v>
      </c>
      <c r="AP14" s="415" t="s">
        <v>3137</v>
      </c>
      <c r="AQ14" s="416">
        <v>0.35363</v>
      </c>
      <c r="AR14" s="416">
        <v>0.28037000000000001</v>
      </c>
      <c r="AS14" s="416">
        <v>0.76253000000000004</v>
      </c>
      <c r="AT14" s="414">
        <v>6.96E-4</v>
      </c>
      <c r="AU14" s="413">
        <v>82.069850000000002</v>
      </c>
      <c r="AV14" s="413">
        <v>99.969819999999999</v>
      </c>
      <c r="AW14" s="413">
        <v>143.99148</v>
      </c>
      <c r="AX14" s="413">
        <v>92.059510000000003</v>
      </c>
      <c r="AY14" s="413">
        <v>129.11276000000001</v>
      </c>
      <c r="AZ14" s="413">
        <v>409.01224999999999</v>
      </c>
      <c r="BA14" s="413">
        <v>602.43596000000002</v>
      </c>
      <c r="BB14" s="413">
        <v>766.90673000000004</v>
      </c>
      <c r="BC14" s="413">
        <v>568.20081000000005</v>
      </c>
      <c r="BD14" s="413">
        <v>697.34590000000003</v>
      </c>
      <c r="BE14" s="413">
        <v>3.5520900000000002</v>
      </c>
      <c r="BF14" s="413">
        <v>7294.4171100000003</v>
      </c>
      <c r="BG14" s="413">
        <v>34.270769999999999</v>
      </c>
      <c r="BH14" s="371" t="s">
        <v>1</v>
      </c>
      <c r="BI14" s="371">
        <v>0.90691999999999995</v>
      </c>
      <c r="BJ14" s="413">
        <v>52.994079999999997</v>
      </c>
      <c r="BK14" s="371">
        <v>13.686299999999999</v>
      </c>
      <c r="BL14" s="371">
        <v>0.252002</v>
      </c>
      <c r="BM14" s="371">
        <v>0.21064699999999997</v>
      </c>
      <c r="BN14" s="371">
        <v>0.207648</v>
      </c>
      <c r="BO14" s="376">
        <v>0.26943499999999998</v>
      </c>
      <c r="BP14" s="371">
        <v>0.32692599999999999</v>
      </c>
      <c r="BQ14" s="371">
        <v>0.44930999999999999</v>
      </c>
      <c r="BR14" s="375">
        <v>6.1182442078801302E-2</v>
      </c>
      <c r="BS14" s="417">
        <v>0.3812640752848403</v>
      </c>
      <c r="BT14" s="417">
        <v>0.30342602923922368</v>
      </c>
      <c r="BU14" s="417">
        <v>0.36676460309803083</v>
      </c>
      <c r="BV14" s="417">
        <v>0.39110730772015856</v>
      </c>
      <c r="BW14" s="417">
        <v>0.38563460568161612</v>
      </c>
      <c r="BX14" s="417">
        <v>0.38238304339159807</v>
      </c>
      <c r="BY14" s="417">
        <v>0.38300947116642342</v>
      </c>
      <c r="BZ14" s="417">
        <v>0.39344711435708657</v>
      </c>
      <c r="CB14" s="371">
        <v>2</v>
      </c>
      <c r="CC14" s="50" t="s">
        <v>150</v>
      </c>
      <c r="CD14" s="50" t="s">
        <v>149</v>
      </c>
      <c r="CE14" s="373">
        <v>42551</v>
      </c>
    </row>
    <row r="15" spans="1:86" s="371" customFormat="1" ht="12.75">
      <c r="A15" s="372" t="s">
        <v>1616</v>
      </c>
      <c r="B15" s="412" t="s">
        <v>1617</v>
      </c>
      <c r="C15" s="372" t="s">
        <v>1618</v>
      </c>
      <c r="D15" s="372" t="s">
        <v>1619</v>
      </c>
      <c r="E15" s="411">
        <v>43100</v>
      </c>
      <c r="F15" s="411">
        <v>43100</v>
      </c>
      <c r="G15" s="411">
        <v>42166</v>
      </c>
      <c r="H15" s="413">
        <v>3399.7200899999998</v>
      </c>
      <c r="I15" s="413">
        <v>2.2711299999999999</v>
      </c>
      <c r="J15" s="413">
        <v>5765.9263099999998</v>
      </c>
      <c r="K15" s="413">
        <v>677.16830000000004</v>
      </c>
      <c r="L15" s="413" t="s">
        <v>1</v>
      </c>
      <c r="M15" s="413">
        <v>35.787419999999997</v>
      </c>
      <c r="N15" s="413">
        <v>476.92147999999997</v>
      </c>
      <c r="O15" s="413">
        <v>257.70134999999999</v>
      </c>
      <c r="P15" s="413">
        <v>402.87020999999999</v>
      </c>
      <c r="Q15" s="413">
        <v>573.92133999999999</v>
      </c>
      <c r="R15" s="413">
        <v>402.87020999999999</v>
      </c>
      <c r="S15" s="413">
        <v>573.92133999999999</v>
      </c>
      <c r="T15" s="413">
        <v>757.17007999999998</v>
      </c>
      <c r="U15" s="413">
        <v>939.10441000000003</v>
      </c>
      <c r="V15" s="413">
        <v>1129.0559499999999</v>
      </c>
      <c r="W15" s="413">
        <v>1277.4571699999999</v>
      </c>
      <c r="X15" s="413">
        <v>104.83466</v>
      </c>
      <c r="Y15" s="413">
        <v>141.29749000000001</v>
      </c>
      <c r="Z15" s="413">
        <v>206.29013</v>
      </c>
      <c r="AA15" s="413">
        <v>141.29749000000001</v>
      </c>
      <c r="AB15" s="413">
        <v>206.29013</v>
      </c>
      <c r="AC15" s="413">
        <v>269.70600000000002</v>
      </c>
      <c r="AD15" s="413">
        <v>329.74324999999999</v>
      </c>
      <c r="AE15" s="413">
        <v>390.61011000000002</v>
      </c>
      <c r="AF15" s="414">
        <v>0.81891400000000003</v>
      </c>
      <c r="AG15" s="414">
        <v>0.35943900000000001</v>
      </c>
      <c r="AH15" s="414">
        <v>0.29418099999999997</v>
      </c>
      <c r="AI15" s="414">
        <v>0.25048300000000001</v>
      </c>
      <c r="AJ15" s="413">
        <v>76.224260000000001</v>
      </c>
      <c r="AK15" s="413">
        <v>82.928100000000001</v>
      </c>
      <c r="AL15" s="413">
        <v>163.62949</v>
      </c>
      <c r="AM15" s="413">
        <v>-9.4016199999999994</v>
      </c>
      <c r="AN15" s="413">
        <v>-16.769739999999999</v>
      </c>
      <c r="AO15" s="413">
        <v>-21.279910000000001</v>
      </c>
      <c r="AP15" s="415" t="s">
        <v>3138</v>
      </c>
      <c r="AQ15" s="416">
        <v>0.99390999999999996</v>
      </c>
      <c r="AR15" s="416">
        <v>0.80166999999999999</v>
      </c>
      <c r="AS15" s="416">
        <v>0.72962000000000005</v>
      </c>
      <c r="AT15" s="414">
        <v>3.8429999999999996E-3</v>
      </c>
      <c r="AU15" s="413">
        <v>81.05198</v>
      </c>
      <c r="AV15" s="413">
        <v>102.86805</v>
      </c>
      <c r="AW15" s="413">
        <v>142.06956</v>
      </c>
      <c r="AX15" s="413">
        <v>102.86805</v>
      </c>
      <c r="AY15" s="413">
        <v>142.06956</v>
      </c>
      <c r="AZ15" s="413">
        <v>867.99614999999994</v>
      </c>
      <c r="BA15" s="413">
        <v>974.49981000000002</v>
      </c>
      <c r="BB15" s="413">
        <v>1172.58303</v>
      </c>
      <c r="BC15" s="413">
        <v>974.49981000000002</v>
      </c>
      <c r="BD15" s="413">
        <v>1172.58303</v>
      </c>
      <c r="BE15" s="413">
        <v>2.2525599999999999</v>
      </c>
      <c r="BF15" s="413">
        <v>5718.79781</v>
      </c>
      <c r="BG15" s="413">
        <v>365.55482000000001</v>
      </c>
      <c r="BH15" s="371" t="s">
        <v>1</v>
      </c>
      <c r="BI15" s="371">
        <v>35.492719999999998</v>
      </c>
      <c r="BJ15" s="413">
        <v>77.25121</v>
      </c>
      <c r="BK15" s="371">
        <v>16.117000000000001</v>
      </c>
      <c r="BL15" s="371">
        <v>0.49397099999999999</v>
      </c>
      <c r="BM15" s="371">
        <v>0.48914000000000002</v>
      </c>
      <c r="BN15" s="371">
        <v>0.415933</v>
      </c>
      <c r="BO15" s="371">
        <v>0.404304</v>
      </c>
      <c r="BP15" s="371">
        <v>0.52722999999999998</v>
      </c>
      <c r="BQ15" s="371">
        <v>0.52358800000000005</v>
      </c>
      <c r="BR15" s="375">
        <v>6.5257949808940716E-2</v>
      </c>
      <c r="BS15" s="417">
        <v>0.4165407869412846</v>
      </c>
      <c r="BT15" s="417">
        <v>0.39060716108232951</v>
      </c>
      <c r="BU15" s="417">
        <v>0.39544882696315536</v>
      </c>
      <c r="BV15" s="417">
        <v>0.39956663729133235</v>
      </c>
      <c r="BW15" s="417" t="s">
        <v>1</v>
      </c>
      <c r="BX15" s="417" t="s">
        <v>1</v>
      </c>
      <c r="BY15" s="417" t="s">
        <v>1</v>
      </c>
      <c r="BZ15" s="417" t="s">
        <v>1</v>
      </c>
      <c r="CB15" s="371">
        <v>2</v>
      </c>
      <c r="CC15" s="50" t="s">
        <v>150</v>
      </c>
      <c r="CD15" s="50" t="s">
        <v>149</v>
      </c>
      <c r="CE15" s="373">
        <v>42551</v>
      </c>
    </row>
    <row r="16" spans="1:86" s="371" customFormat="1" ht="12.75">
      <c r="A16" s="372" t="s">
        <v>1620</v>
      </c>
      <c r="B16" s="412" t="s">
        <v>1621</v>
      </c>
      <c r="C16" s="372" t="s">
        <v>1622</v>
      </c>
      <c r="D16" s="372" t="s">
        <v>1619</v>
      </c>
      <c r="E16" s="411">
        <v>43100</v>
      </c>
      <c r="F16" s="411">
        <v>43100</v>
      </c>
      <c r="G16" s="411">
        <v>41829</v>
      </c>
      <c r="H16" s="413">
        <v>2515.66275</v>
      </c>
      <c r="I16" s="413">
        <v>1.02596</v>
      </c>
      <c r="J16" s="413">
        <v>3359.9747900000002</v>
      </c>
      <c r="K16" s="413">
        <v>439.75547999999998</v>
      </c>
      <c r="L16" s="413" t="s">
        <v>1</v>
      </c>
      <c r="M16" s="413">
        <v>19.597180000000002</v>
      </c>
      <c r="N16" s="413">
        <v>419.44011999999998</v>
      </c>
      <c r="O16" s="413">
        <v>394.78305999999998</v>
      </c>
      <c r="P16" s="413">
        <v>420.22554000000002</v>
      </c>
      <c r="Q16" s="413">
        <v>586.29443000000003</v>
      </c>
      <c r="R16" s="413">
        <v>420.22554000000002</v>
      </c>
      <c r="S16" s="413">
        <v>586.29443000000003</v>
      </c>
      <c r="T16" s="413">
        <v>681.62617</v>
      </c>
      <c r="U16" s="413">
        <v>797.48961999999995</v>
      </c>
      <c r="V16" s="413">
        <v>911.34821999999997</v>
      </c>
      <c r="W16" s="413">
        <v>1023.8088</v>
      </c>
      <c r="X16" s="413">
        <v>134.58081999999999</v>
      </c>
      <c r="Y16" s="413">
        <v>134.06732</v>
      </c>
      <c r="Z16" s="413">
        <v>183.18518</v>
      </c>
      <c r="AA16" s="413">
        <v>134.06732</v>
      </c>
      <c r="AB16" s="413">
        <v>183.18518</v>
      </c>
      <c r="AC16" s="413">
        <v>238.81822</v>
      </c>
      <c r="AD16" s="413">
        <v>281.19260000000003</v>
      </c>
      <c r="AE16" s="413">
        <v>313.61133000000001</v>
      </c>
      <c r="AF16" s="414">
        <v>0.77679699999999996</v>
      </c>
      <c r="AG16" s="414">
        <v>0.31244499999999997</v>
      </c>
      <c r="AH16" s="414">
        <v>0.249359</v>
      </c>
      <c r="AI16" s="414">
        <v>0.25725100000000001</v>
      </c>
      <c r="AJ16" s="413">
        <v>203.59737999999999</v>
      </c>
      <c r="AK16" s="413">
        <v>339.03059000000002</v>
      </c>
      <c r="AL16" s="413">
        <v>426.18977000000001</v>
      </c>
      <c r="AM16" s="413">
        <v>-31.437349999999999</v>
      </c>
      <c r="AN16" s="413">
        <v>-37.936889999999998</v>
      </c>
      <c r="AO16" s="413">
        <v>-77.969170000000005</v>
      </c>
      <c r="AP16" s="415" t="s">
        <v>3139</v>
      </c>
      <c r="AQ16" s="416">
        <v>1.08599</v>
      </c>
      <c r="AR16" s="416">
        <v>0.93838999999999995</v>
      </c>
      <c r="AS16" s="416">
        <v>0.80442000000000002</v>
      </c>
      <c r="AT16" s="414">
        <v>1.0895999999999999E-2</v>
      </c>
      <c r="AU16" s="413">
        <v>117.78189999999999</v>
      </c>
      <c r="AV16" s="413">
        <v>128.75465</v>
      </c>
      <c r="AW16" s="413">
        <v>150.70081999999999</v>
      </c>
      <c r="AX16" s="413">
        <v>128.75465</v>
      </c>
      <c r="AY16" s="413">
        <v>150.70081999999999</v>
      </c>
      <c r="AZ16" s="413">
        <v>893.26622999999995</v>
      </c>
      <c r="BA16" s="413">
        <v>945.07028000000003</v>
      </c>
      <c r="BB16" s="413">
        <v>1059.81773</v>
      </c>
      <c r="BC16" s="413">
        <v>945.07028000000003</v>
      </c>
      <c r="BD16" s="413">
        <v>1059.81773</v>
      </c>
      <c r="BE16" s="413">
        <v>0.95682999999999996</v>
      </c>
      <c r="BF16" s="413">
        <v>3133.5827599999998</v>
      </c>
      <c r="BG16" s="413">
        <v>469.91534000000001</v>
      </c>
      <c r="BH16" s="371" t="s">
        <v>1</v>
      </c>
      <c r="BI16" s="371">
        <v>20.05059</v>
      </c>
      <c r="BJ16" s="413">
        <v>341.53370000000001</v>
      </c>
      <c r="BK16" s="371">
        <v>12.161</v>
      </c>
      <c r="BL16" s="371">
        <v>0.21998100000000001</v>
      </c>
      <c r="BM16" s="371">
        <v>0.14460100000000001</v>
      </c>
      <c r="BN16" s="371">
        <v>0.12299400000000001</v>
      </c>
      <c r="BO16" s="371">
        <v>0.16796</v>
      </c>
      <c r="BP16" s="371">
        <v>0.13835500000000001</v>
      </c>
      <c r="BQ16" s="371">
        <v>0.275175</v>
      </c>
      <c r="BR16" s="375">
        <v>6.3086493931044166E-2</v>
      </c>
      <c r="BS16" s="417">
        <v>0.43677110001721992</v>
      </c>
      <c r="BT16" s="417">
        <v>0.3682228385764143</v>
      </c>
      <c r="BU16" s="417">
        <v>0.38477740391868537</v>
      </c>
      <c r="BV16" s="417">
        <v>0.38401808467479637</v>
      </c>
      <c r="BW16" s="417" t="s">
        <v>1</v>
      </c>
      <c r="BX16" s="417" t="s">
        <v>1</v>
      </c>
      <c r="BY16" s="417" t="s">
        <v>1</v>
      </c>
      <c r="BZ16" s="417" t="s">
        <v>1</v>
      </c>
      <c r="CB16" s="371">
        <v>2</v>
      </c>
      <c r="CC16" s="50" t="s">
        <v>150</v>
      </c>
      <c r="CD16" s="50" t="s">
        <v>149</v>
      </c>
      <c r="CE16" s="373">
        <v>42551</v>
      </c>
    </row>
    <row r="17" spans="1:83" s="371" customFormat="1" ht="12.75">
      <c r="A17" s="372" t="s">
        <v>1643</v>
      </c>
      <c r="B17" s="412" t="s">
        <v>1644</v>
      </c>
      <c r="C17" s="372" t="s">
        <v>1645</v>
      </c>
      <c r="D17" s="372" t="s">
        <v>505</v>
      </c>
      <c r="E17" s="411">
        <v>43100</v>
      </c>
      <c r="F17" s="411">
        <v>43190</v>
      </c>
      <c r="G17" s="411">
        <v>41193</v>
      </c>
      <c r="H17" s="413">
        <v>2204.7008599999999</v>
      </c>
      <c r="I17" s="413">
        <v>83.91</v>
      </c>
      <c r="J17" s="413">
        <v>2482.30575</v>
      </c>
      <c r="K17" s="413">
        <v>359.44900000000001</v>
      </c>
      <c r="L17" s="413" t="s">
        <v>1</v>
      </c>
      <c r="M17" s="413" t="s">
        <v>1</v>
      </c>
      <c r="N17" s="413">
        <v>326.09199999999998</v>
      </c>
      <c r="O17" s="413">
        <v>1.782</v>
      </c>
      <c r="P17" s="413">
        <v>45.554000000000002</v>
      </c>
      <c r="Q17" s="413">
        <v>145.87100000000001</v>
      </c>
      <c r="R17" s="413">
        <v>24.951000000000001</v>
      </c>
      <c r="S17" s="413">
        <v>130.95599999999999</v>
      </c>
      <c r="T17" s="413">
        <v>179.11264</v>
      </c>
      <c r="U17" s="413">
        <v>274.30029999999999</v>
      </c>
      <c r="V17" s="413">
        <v>320.26038</v>
      </c>
      <c r="W17" s="413">
        <v>621.84749999999997</v>
      </c>
      <c r="X17" s="413">
        <v>-269.77199999999999</v>
      </c>
      <c r="Y17" s="413">
        <v>-355.15199999999999</v>
      </c>
      <c r="Z17" s="413">
        <v>-316.81599999999997</v>
      </c>
      <c r="AA17" s="413">
        <v>-353.70699999999999</v>
      </c>
      <c r="AB17" s="413">
        <v>-325.81099999999998</v>
      </c>
      <c r="AC17" s="413">
        <v>-279.57587999999998</v>
      </c>
      <c r="AD17" s="413">
        <v>-245.96132</v>
      </c>
      <c r="AE17" s="413">
        <v>-491.16399999999999</v>
      </c>
      <c r="AF17" s="414">
        <v>0.98934600000000006</v>
      </c>
      <c r="AG17" s="414">
        <v>-2.171891</v>
      </c>
      <c r="AH17" s="414">
        <v>-2.2067779999999999</v>
      </c>
      <c r="AI17" s="414">
        <v>-2.4132759999999998</v>
      </c>
      <c r="AJ17" s="413">
        <v>-81.165000000000006</v>
      </c>
      <c r="AK17" s="413">
        <v>-45.707000000000001</v>
      </c>
      <c r="AL17" s="413">
        <v>-41.692999999999998</v>
      </c>
      <c r="AM17" s="413">
        <v>-6.4119999999999999</v>
      </c>
      <c r="AN17" s="413">
        <v>-6.6970000000000001</v>
      </c>
      <c r="AO17" s="413">
        <v>-6.4560000000000004</v>
      </c>
      <c r="AP17" s="415" t="s">
        <v>2748</v>
      </c>
      <c r="AQ17" s="416">
        <v>1.2401800000000001</v>
      </c>
      <c r="AR17" s="416">
        <v>1.8649199999999999</v>
      </c>
      <c r="AS17" s="416">
        <v>-1.67344</v>
      </c>
      <c r="AT17" s="414">
        <v>0</v>
      </c>
      <c r="AU17" s="413">
        <v>-313.71699999999998</v>
      </c>
      <c r="AV17" s="413">
        <v>-376.08600000000001</v>
      </c>
      <c r="AW17" s="413">
        <v>-352.02699999999999</v>
      </c>
      <c r="AX17" s="413">
        <v>-412.83</v>
      </c>
      <c r="AY17" s="413">
        <v>-360.36700000000002</v>
      </c>
      <c r="AZ17" s="413">
        <v>488.33300000000003</v>
      </c>
      <c r="BA17" s="413">
        <v>240.238</v>
      </c>
      <c r="BB17" s="413">
        <v>-52.274999999999999</v>
      </c>
      <c r="BC17" s="413">
        <v>314.93200000000002</v>
      </c>
      <c r="BD17" s="413">
        <v>16.385999999999999</v>
      </c>
      <c r="BE17" s="413">
        <v>61.52</v>
      </c>
      <c r="BF17" s="413">
        <v>1548.6231499999999</v>
      </c>
      <c r="BG17" s="413">
        <v>355.67700000000002</v>
      </c>
      <c r="BH17" s="371" t="s">
        <v>1</v>
      </c>
      <c r="BI17" s="371" t="s">
        <v>1</v>
      </c>
      <c r="BJ17" s="413">
        <v>414.91699999999997</v>
      </c>
      <c r="BK17" s="371" t="s">
        <v>1</v>
      </c>
      <c r="BL17" s="371">
        <v>8.047542</v>
      </c>
      <c r="BM17" s="371">
        <v>2.7430439999999998</v>
      </c>
      <c r="BN17" s="371">
        <v>1.336954</v>
      </c>
      <c r="BO17" s="371" t="s">
        <v>1</v>
      </c>
      <c r="BP17" s="371" t="s">
        <v>1</v>
      </c>
      <c r="BQ17" s="371" t="s">
        <v>1</v>
      </c>
      <c r="BR17" s="375">
        <v>3.4886989189078024E-2</v>
      </c>
      <c r="BS17" s="417">
        <v>0.63494375623135568</v>
      </c>
      <c r="BT17" s="417">
        <v>0.55938950878676441</v>
      </c>
      <c r="BU17" s="417">
        <v>0.60449747603175452</v>
      </c>
      <c r="BV17" s="417">
        <v>0.63082850805088186</v>
      </c>
      <c r="BW17" s="417">
        <v>0.92099373355268976</v>
      </c>
      <c r="BX17" s="417">
        <v>0.88075139052579154</v>
      </c>
      <c r="BY17" s="417" t="s">
        <v>1</v>
      </c>
      <c r="BZ17" s="417" t="s">
        <v>1</v>
      </c>
      <c r="CB17" s="371">
        <v>2</v>
      </c>
      <c r="CC17" s="50" t="s">
        <v>150</v>
      </c>
      <c r="CD17" s="50" t="s">
        <v>149</v>
      </c>
      <c r="CE17" s="373">
        <v>42551</v>
      </c>
    </row>
    <row r="18" spans="1:83" s="371" customFormat="1" ht="12.75">
      <c r="A18" s="372" t="s">
        <v>1623</v>
      </c>
      <c r="B18" s="412" t="s">
        <v>1624</v>
      </c>
      <c r="C18" s="372" t="s">
        <v>1625</v>
      </c>
      <c r="D18" s="372" t="s">
        <v>1619</v>
      </c>
      <c r="E18" s="411">
        <v>43100</v>
      </c>
      <c r="F18" s="411">
        <v>43100</v>
      </c>
      <c r="G18" s="411">
        <v>39248</v>
      </c>
      <c r="H18" s="413">
        <v>379.61124999999998</v>
      </c>
      <c r="I18" s="413">
        <v>1.04125</v>
      </c>
      <c r="J18" s="413">
        <v>1705.28388</v>
      </c>
      <c r="K18" s="413">
        <v>746.46118999999999</v>
      </c>
      <c r="L18" s="413" t="s">
        <v>1</v>
      </c>
      <c r="M18" s="413" t="s">
        <v>1</v>
      </c>
      <c r="N18" s="413">
        <v>244.9426</v>
      </c>
      <c r="O18" s="413">
        <v>992.83531000000005</v>
      </c>
      <c r="P18" s="413">
        <v>875.35559000000001</v>
      </c>
      <c r="Q18" s="413">
        <v>1049.1716200000001</v>
      </c>
      <c r="R18" s="413">
        <v>875.35559000000001</v>
      </c>
      <c r="S18" s="413">
        <v>1049.1716200000001</v>
      </c>
      <c r="T18" s="413">
        <v>1193.23696</v>
      </c>
      <c r="U18" s="413">
        <v>1285.52421</v>
      </c>
      <c r="V18" s="413">
        <v>1414.86087</v>
      </c>
      <c r="W18" s="413" t="s">
        <v>1</v>
      </c>
      <c r="X18" s="413">
        <v>200.17134999999999</v>
      </c>
      <c r="Y18" s="413">
        <v>150.23777999999999</v>
      </c>
      <c r="Z18" s="413">
        <v>209.88580999999999</v>
      </c>
      <c r="AA18" s="413">
        <v>150.23777999999999</v>
      </c>
      <c r="AB18" s="413">
        <v>209.88580999999999</v>
      </c>
      <c r="AC18" s="413">
        <v>270.03415999999999</v>
      </c>
      <c r="AD18" s="413">
        <v>279.20434999999998</v>
      </c>
      <c r="AE18" s="413">
        <v>277.16381000000001</v>
      </c>
      <c r="AF18" s="414">
        <v>0.36595</v>
      </c>
      <c r="AG18" s="414">
        <v>0.200049</v>
      </c>
      <c r="AH18" s="414">
        <v>8.5180000000000006E-2</v>
      </c>
      <c r="AI18" s="414">
        <v>1.1976000000000001E-2</v>
      </c>
      <c r="AJ18" s="413">
        <v>142.24519000000001</v>
      </c>
      <c r="AK18" s="413">
        <v>125.88545000000001</v>
      </c>
      <c r="AL18" s="413">
        <v>123.82467</v>
      </c>
      <c r="AM18" s="413">
        <v>-93.275049999999993</v>
      </c>
      <c r="AN18" s="413">
        <v>-58.014809999999997</v>
      </c>
      <c r="AO18" s="413">
        <v>-70.406809999999993</v>
      </c>
      <c r="AP18" s="415" t="s">
        <v>3140</v>
      </c>
      <c r="AQ18" s="416">
        <v>0.59653</v>
      </c>
      <c r="AR18" s="416">
        <v>0.14000000000000001</v>
      </c>
      <c r="AS18" s="416">
        <v>0.89766999999999997</v>
      </c>
      <c r="AT18" s="414">
        <v>7.254E-3</v>
      </c>
      <c r="AU18" s="413">
        <v>14.23958</v>
      </c>
      <c r="AV18" s="413">
        <v>-39.226170000000003</v>
      </c>
      <c r="AW18" s="413">
        <v>12.565200000000001</v>
      </c>
      <c r="AX18" s="413">
        <v>-39.226170000000003</v>
      </c>
      <c r="AY18" s="413">
        <v>12.565200000000001</v>
      </c>
      <c r="AZ18" s="413">
        <v>866.91031999999996</v>
      </c>
      <c r="BA18" s="413">
        <v>770.15382</v>
      </c>
      <c r="BB18" s="413">
        <v>836.33254999999997</v>
      </c>
      <c r="BC18" s="413">
        <v>770.15382</v>
      </c>
      <c r="BD18" s="413">
        <v>836.33254999999997</v>
      </c>
      <c r="BE18" s="413">
        <v>1.03582</v>
      </c>
      <c r="BF18" s="413">
        <v>1685.1526799999999</v>
      </c>
      <c r="BG18" s="413">
        <v>824.84756000000004</v>
      </c>
      <c r="BH18" s="371" t="s">
        <v>1</v>
      </c>
      <c r="BI18" s="371" t="s">
        <v>1</v>
      </c>
      <c r="BJ18" s="413">
        <v>224.50315000000001</v>
      </c>
      <c r="BK18" s="371" t="s">
        <v>504</v>
      </c>
      <c r="BL18" s="371">
        <v>3.2173E-2</v>
      </c>
      <c r="BM18" s="371">
        <v>6.9179999999999997E-3</v>
      </c>
      <c r="BN18" s="371">
        <v>3.1455000000000004E-2</v>
      </c>
      <c r="BO18" s="371">
        <v>2.8154999999999999E-2</v>
      </c>
      <c r="BP18" s="371">
        <v>-7.5760000000000003E-3</v>
      </c>
      <c r="BQ18" s="371">
        <v>0.134964</v>
      </c>
      <c r="BR18" s="375">
        <v>0.114868433059598</v>
      </c>
      <c r="BS18" s="417">
        <v>0.40902947159122122</v>
      </c>
      <c r="BT18" s="417">
        <v>0.39486230006289236</v>
      </c>
      <c r="BU18" s="417">
        <v>0.46352947344646472</v>
      </c>
      <c r="BV18" s="417">
        <v>0.47650962748142167</v>
      </c>
      <c r="BW18" s="417">
        <v>0.47634130477978948</v>
      </c>
      <c r="BX18" s="417">
        <v>0.46252415364888488</v>
      </c>
      <c r="BY18" s="417">
        <v>0.47679258775889194</v>
      </c>
      <c r="BZ18" s="417">
        <v>0.47759702601940823</v>
      </c>
      <c r="CB18" s="371">
        <v>2</v>
      </c>
      <c r="CC18" s="50" t="s">
        <v>150</v>
      </c>
      <c r="CD18" s="50" t="s">
        <v>149</v>
      </c>
      <c r="CE18" s="373">
        <v>42551</v>
      </c>
    </row>
    <row r="19" spans="1:83" s="371" customFormat="1" ht="12.75">
      <c r="A19" s="372" t="s">
        <v>1626</v>
      </c>
      <c r="B19" s="412" t="s">
        <v>1627</v>
      </c>
      <c r="C19" s="372" t="s">
        <v>1628</v>
      </c>
      <c r="D19" s="372" t="s">
        <v>534</v>
      </c>
      <c r="E19" s="411">
        <v>43100</v>
      </c>
      <c r="F19" s="411">
        <v>43190</v>
      </c>
      <c r="G19" s="411">
        <v>38091</v>
      </c>
      <c r="H19" s="413">
        <v>336.76713999999998</v>
      </c>
      <c r="I19" s="413">
        <v>15.72</v>
      </c>
      <c r="J19" s="413">
        <v>1811.4944</v>
      </c>
      <c r="K19" s="413">
        <v>0</v>
      </c>
      <c r="L19" s="413" t="s">
        <v>1</v>
      </c>
      <c r="M19" s="413" t="s">
        <v>1</v>
      </c>
      <c r="N19" s="413">
        <v>125.36199999999999</v>
      </c>
      <c r="O19" s="413">
        <v>56.244999999999997</v>
      </c>
      <c r="P19" s="413">
        <v>92.858999999999995</v>
      </c>
      <c r="Q19" s="413">
        <v>189.261</v>
      </c>
      <c r="R19" s="413">
        <v>81.320999999999998</v>
      </c>
      <c r="S19" s="413">
        <v>159.20099999999999</v>
      </c>
      <c r="T19" s="413">
        <v>291.39585</v>
      </c>
      <c r="U19" s="413">
        <v>395.32461000000001</v>
      </c>
      <c r="V19" s="413">
        <v>568.34267</v>
      </c>
      <c r="W19" s="413">
        <v>607.66432999999995</v>
      </c>
      <c r="X19" s="413">
        <v>1.321</v>
      </c>
      <c r="Y19" s="413">
        <v>14.4</v>
      </c>
      <c r="Z19" s="413">
        <v>69.251000000000005</v>
      </c>
      <c r="AA19" s="413">
        <v>10.266</v>
      </c>
      <c r="AB19" s="413">
        <v>52.960999999999999</v>
      </c>
      <c r="AC19" s="413">
        <v>134.88560000000001</v>
      </c>
      <c r="AD19" s="413">
        <v>192.84943999999999</v>
      </c>
      <c r="AE19" s="413">
        <v>365.52499999999998</v>
      </c>
      <c r="AF19" s="414">
        <v>0.97843100000000005</v>
      </c>
      <c r="AG19" s="414">
        <v>0.36590200000000001</v>
      </c>
      <c r="AH19" s="414">
        <v>0.36515700000000001</v>
      </c>
      <c r="AI19" s="414">
        <v>0.75130600000000003</v>
      </c>
      <c r="AJ19" s="413">
        <v>2.0670000000000002</v>
      </c>
      <c r="AK19" s="413">
        <v>-1.7509999999999999</v>
      </c>
      <c r="AL19" s="413">
        <v>-2.2879999999999998</v>
      </c>
      <c r="AM19" s="413">
        <v>-5.0000000000000001E-3</v>
      </c>
      <c r="AN19" s="413">
        <v>-0.28199999999999997</v>
      </c>
      <c r="AO19" s="413">
        <v>-0.38600000000000001</v>
      </c>
      <c r="AP19" s="415" t="s">
        <v>2747</v>
      </c>
      <c r="AQ19" s="416">
        <v>2.7013600000000002</v>
      </c>
      <c r="AR19" s="416">
        <v>2.4050699999999998</v>
      </c>
      <c r="AS19" s="416">
        <v>1.8480399999999999</v>
      </c>
      <c r="AT19" s="414">
        <v>0</v>
      </c>
      <c r="AU19" s="413">
        <v>-1.597</v>
      </c>
      <c r="AV19" s="413">
        <v>12.547000000000001</v>
      </c>
      <c r="AW19" s="413">
        <v>142.19300000000001</v>
      </c>
      <c r="AX19" s="413">
        <v>8.14</v>
      </c>
      <c r="AY19" s="413">
        <v>129.12200000000001</v>
      </c>
      <c r="AZ19" s="413">
        <v>20.167999999999999</v>
      </c>
      <c r="BA19" s="413">
        <v>49.58</v>
      </c>
      <c r="BB19" s="413">
        <v>215.227</v>
      </c>
      <c r="BC19" s="413">
        <v>41.378999999999998</v>
      </c>
      <c r="BD19" s="413">
        <v>190.96799999999999</v>
      </c>
      <c r="BE19" s="413">
        <v>16.45</v>
      </c>
      <c r="BF19" s="413">
        <v>1888.9591800000001</v>
      </c>
      <c r="BG19" s="413">
        <v>0</v>
      </c>
      <c r="BH19" s="371" t="s">
        <v>1</v>
      </c>
      <c r="BI19" s="371" t="s">
        <v>1</v>
      </c>
      <c r="BJ19" s="413">
        <v>88.744</v>
      </c>
      <c r="BK19" s="371" t="s">
        <v>504</v>
      </c>
      <c r="BL19" s="371">
        <v>0.83437700000000004</v>
      </c>
      <c r="BM19" s="371">
        <v>0.80379099999999992</v>
      </c>
      <c r="BN19" s="371">
        <v>1.0663420000000001</v>
      </c>
      <c r="BO19" s="371">
        <v>6.2403840000000006</v>
      </c>
      <c r="BP19" s="371" t="s">
        <v>1</v>
      </c>
      <c r="BQ19" s="371" t="s">
        <v>1</v>
      </c>
      <c r="BR19" s="375">
        <v>7.4500293245835113E-4</v>
      </c>
      <c r="BS19" s="417">
        <v>0.61814359218294024</v>
      </c>
      <c r="BT19" s="417">
        <v>0.55656194139049708</v>
      </c>
      <c r="BU19" s="417">
        <v>0.57073646955180102</v>
      </c>
      <c r="BV19" s="417">
        <v>0.5773424632119396</v>
      </c>
      <c r="BW19" s="417">
        <v>0.68787185822676966</v>
      </c>
      <c r="BX19" s="417">
        <v>0.67589586874005481</v>
      </c>
      <c r="BY19" s="417">
        <v>0.67820609943985266</v>
      </c>
      <c r="BZ19" s="417">
        <v>0.65861760749066267</v>
      </c>
      <c r="CB19" s="371">
        <v>2</v>
      </c>
      <c r="CC19" s="50" t="s">
        <v>150</v>
      </c>
      <c r="CD19" s="50" t="s">
        <v>149</v>
      </c>
      <c r="CE19" s="373">
        <v>42551</v>
      </c>
    </row>
    <row r="20" spans="1:83" s="371" customFormat="1" ht="12.75">
      <c r="A20" s="372" t="s">
        <v>1629</v>
      </c>
      <c r="B20" s="412" t="s">
        <v>1630</v>
      </c>
      <c r="C20" s="372" t="s">
        <v>1631</v>
      </c>
      <c r="D20" s="372" t="s">
        <v>503</v>
      </c>
      <c r="E20" s="411">
        <v>43100</v>
      </c>
      <c r="F20" s="411">
        <v>43190</v>
      </c>
      <c r="G20" s="411">
        <v>38196</v>
      </c>
      <c r="H20" s="413">
        <v>7365.7138199999999</v>
      </c>
      <c r="I20" s="413">
        <v>1.9</v>
      </c>
      <c r="J20" s="413">
        <v>266.04825</v>
      </c>
      <c r="K20" s="413">
        <v>140.26900000000001</v>
      </c>
      <c r="L20" s="413" t="s">
        <v>1</v>
      </c>
      <c r="M20" s="413" t="s">
        <v>1</v>
      </c>
      <c r="N20" s="413">
        <v>26.706</v>
      </c>
      <c r="O20" s="413" t="s">
        <v>1</v>
      </c>
      <c r="P20" s="413">
        <v>177.767</v>
      </c>
      <c r="Q20" s="413">
        <v>11.601000000000001</v>
      </c>
      <c r="R20" s="413">
        <v>174.75800000000001</v>
      </c>
      <c r="S20" s="413">
        <v>11.145</v>
      </c>
      <c r="T20" s="413">
        <v>20.834</v>
      </c>
      <c r="U20" s="413">
        <v>45.429000000000002</v>
      </c>
      <c r="V20" s="413">
        <v>97.474000000000004</v>
      </c>
      <c r="W20" s="413">
        <v>208.886</v>
      </c>
      <c r="X20" s="413">
        <v>-116.377</v>
      </c>
      <c r="Y20" s="413">
        <v>64.426000000000002</v>
      </c>
      <c r="Z20" s="413">
        <v>-99.314999999999998</v>
      </c>
      <c r="AA20" s="413">
        <v>64.921999999999997</v>
      </c>
      <c r="AB20" s="413">
        <v>-93.563000000000002</v>
      </c>
      <c r="AC20" s="413" t="s">
        <v>1</v>
      </c>
      <c r="AD20" s="413" t="s">
        <v>1</v>
      </c>
      <c r="AE20" s="413" t="s">
        <v>1</v>
      </c>
      <c r="AF20" s="414">
        <v>-0.61089499999999997</v>
      </c>
      <c r="AG20" s="414" t="s">
        <v>1</v>
      </c>
      <c r="AH20" s="414" t="s">
        <v>1</v>
      </c>
      <c r="AI20" s="414" t="s">
        <v>1</v>
      </c>
      <c r="AJ20" s="413">
        <v>-157.71100000000001</v>
      </c>
      <c r="AK20" s="413">
        <v>-13.138</v>
      </c>
      <c r="AL20" s="413">
        <v>-28.693000000000001</v>
      </c>
      <c r="AM20" s="413">
        <v>-7.226</v>
      </c>
      <c r="AN20" s="413">
        <v>0</v>
      </c>
      <c r="AO20" s="413" t="s">
        <v>1</v>
      </c>
      <c r="AP20" s="415" t="s">
        <v>2749</v>
      </c>
      <c r="AQ20" s="416">
        <v>1.8771800000000001</v>
      </c>
      <c r="AR20" s="416">
        <v>2.7697400000000001</v>
      </c>
      <c r="AS20" s="416">
        <v>2.7257899999999999</v>
      </c>
      <c r="AT20" s="414">
        <v>0</v>
      </c>
      <c r="AU20" s="413">
        <v>-362.66</v>
      </c>
      <c r="AV20" s="413">
        <v>134.21299999999999</v>
      </c>
      <c r="AW20" s="413">
        <v>-131.39400000000001</v>
      </c>
      <c r="AX20" s="413">
        <v>125.664</v>
      </c>
      <c r="AY20" s="413">
        <v>-117.333</v>
      </c>
      <c r="AZ20" s="413">
        <v>-373.464</v>
      </c>
      <c r="BA20" s="413">
        <v>-198.72499999999999</v>
      </c>
      <c r="BB20" s="413">
        <v>-223.208</v>
      </c>
      <c r="BC20" s="413">
        <v>-183.59299999999999</v>
      </c>
      <c r="BD20" s="413">
        <v>-214.732</v>
      </c>
      <c r="BE20" s="413">
        <v>2.2799999999999998</v>
      </c>
      <c r="BF20" s="413">
        <v>280.46589</v>
      </c>
      <c r="BG20" s="413">
        <v>156.822</v>
      </c>
      <c r="BH20" s="371" t="s">
        <v>1</v>
      </c>
      <c r="BI20" s="371" t="s">
        <v>1</v>
      </c>
      <c r="BJ20" s="413">
        <v>43.945999999999998</v>
      </c>
      <c r="BK20" s="371" t="s">
        <v>504</v>
      </c>
      <c r="BL20" s="371">
        <v>0</v>
      </c>
      <c r="BM20" s="371">
        <v>0</v>
      </c>
      <c r="BN20" s="371">
        <v>2.1921659999999998</v>
      </c>
      <c r="BO20" s="371" t="s">
        <v>1</v>
      </c>
      <c r="BP20" s="371" t="s">
        <v>1</v>
      </c>
      <c r="BQ20" s="371" t="s">
        <v>1</v>
      </c>
      <c r="BR20" s="375">
        <v>0.1373157486423584</v>
      </c>
      <c r="BS20" s="417">
        <v>1.051397553941015</v>
      </c>
      <c r="BT20" s="417">
        <v>1.0547039589395328</v>
      </c>
      <c r="BU20" s="417">
        <v>1.1115187186582705</v>
      </c>
      <c r="BV20" s="417">
        <v>1.0020862387386444</v>
      </c>
      <c r="BW20" s="417">
        <v>0.94382524642339161</v>
      </c>
      <c r="BX20" s="417">
        <v>0.90350097708485821</v>
      </c>
      <c r="BY20" s="417">
        <v>0.8729069185263002</v>
      </c>
      <c r="BZ20" s="417">
        <v>0.85455850010020018</v>
      </c>
      <c r="CB20" s="371">
        <v>2</v>
      </c>
      <c r="CC20" s="50" t="s">
        <v>150</v>
      </c>
      <c r="CD20" s="50" t="s">
        <v>149</v>
      </c>
      <c r="CE20" s="373">
        <v>42551</v>
      </c>
    </row>
    <row r="21" spans="1:83" s="371" customFormat="1" ht="12.75">
      <c r="A21" s="372" t="s">
        <v>1632</v>
      </c>
      <c r="B21" s="412" t="s">
        <v>1633</v>
      </c>
      <c r="C21" s="372" t="s">
        <v>1634</v>
      </c>
      <c r="D21" s="372" t="s">
        <v>1615</v>
      </c>
      <c r="E21" s="411">
        <v>43100</v>
      </c>
      <c r="F21" s="411">
        <v>43190</v>
      </c>
      <c r="G21" s="411">
        <v>40505</v>
      </c>
      <c r="H21" s="413">
        <v>1686.1324</v>
      </c>
      <c r="I21" s="413">
        <v>13.15272</v>
      </c>
      <c r="J21" s="413">
        <v>403.61899</v>
      </c>
      <c r="K21" s="413">
        <v>22.171900000000001</v>
      </c>
      <c r="L21" s="413" t="s">
        <v>1</v>
      </c>
      <c r="M21" s="413" t="s">
        <v>1</v>
      </c>
      <c r="N21" s="413">
        <v>92.739000000000004</v>
      </c>
      <c r="O21" s="413">
        <v>28.79383</v>
      </c>
      <c r="P21" s="413">
        <v>43.950650000000003</v>
      </c>
      <c r="Q21" s="413">
        <v>12.0631</v>
      </c>
      <c r="R21" s="413">
        <v>33.335369999999998</v>
      </c>
      <c r="S21" s="413">
        <v>22.542059999999999</v>
      </c>
      <c r="T21" s="413">
        <v>10.686590000000001</v>
      </c>
      <c r="U21" s="413">
        <v>60.234870000000001</v>
      </c>
      <c r="V21" s="413">
        <v>83.694180000000003</v>
      </c>
      <c r="W21" s="413">
        <v>51.379130000000004</v>
      </c>
      <c r="X21" s="413">
        <v>-13.742929999999999</v>
      </c>
      <c r="Y21" s="413">
        <v>-7.0728499999999999</v>
      </c>
      <c r="Z21" s="413">
        <v>-53.052549999999997</v>
      </c>
      <c r="AA21" s="413">
        <v>-15.652049999999999</v>
      </c>
      <c r="AB21" s="413">
        <v>-38.968139999999998</v>
      </c>
      <c r="AC21" s="413">
        <v>-63.454059999999998</v>
      </c>
      <c r="AD21" s="413">
        <v>-32.388579999999997</v>
      </c>
      <c r="AE21" s="413">
        <v>-19.85435</v>
      </c>
      <c r="AF21" s="414">
        <v>0.92310700000000001</v>
      </c>
      <c r="AG21" s="414" t="s">
        <v>1</v>
      </c>
      <c r="AH21" s="414" t="s">
        <v>1</v>
      </c>
      <c r="AI21" s="414" t="s">
        <v>1</v>
      </c>
      <c r="AJ21" s="413">
        <v>15.90856</v>
      </c>
      <c r="AK21" s="413">
        <v>-1.87446</v>
      </c>
      <c r="AL21" s="413">
        <v>-3.78694</v>
      </c>
      <c r="AM21" s="413">
        <v>-0.56020999999999999</v>
      </c>
      <c r="AN21" s="413">
        <v>-0.62217999999999996</v>
      </c>
      <c r="AO21" s="413">
        <v>-0.98887999999999998</v>
      </c>
      <c r="AP21" s="415" t="s">
        <v>2777</v>
      </c>
      <c r="AQ21" s="416">
        <v>0.62039</v>
      </c>
      <c r="AR21" s="416">
        <v>0.44239000000000001</v>
      </c>
      <c r="AS21" s="416">
        <v>0.18926999999999999</v>
      </c>
      <c r="AT21" s="414">
        <v>0</v>
      </c>
      <c r="AU21" s="413">
        <v>-21.175450000000001</v>
      </c>
      <c r="AV21" s="413">
        <v>-14.72791</v>
      </c>
      <c r="AW21" s="413">
        <v>-55.757680000000001</v>
      </c>
      <c r="AX21" s="413">
        <v>-21.853179999999998</v>
      </c>
      <c r="AY21" s="413">
        <v>-43.910220000000002</v>
      </c>
      <c r="AZ21" s="413">
        <v>27.30519</v>
      </c>
      <c r="BA21" s="413">
        <v>36.333910000000003</v>
      </c>
      <c r="BB21" s="413">
        <v>72.238590000000002</v>
      </c>
      <c r="BC21" s="413">
        <v>39.499870000000001</v>
      </c>
      <c r="BD21" s="413">
        <v>85.228110000000001</v>
      </c>
      <c r="BE21" s="413">
        <v>15.387740000000001</v>
      </c>
      <c r="BF21" s="413">
        <v>472.20526999999998</v>
      </c>
      <c r="BG21" s="413">
        <v>21.890360000000001</v>
      </c>
      <c r="BH21" s="371" t="s">
        <v>1</v>
      </c>
      <c r="BI21" s="371" t="s">
        <v>1</v>
      </c>
      <c r="BJ21" s="413">
        <v>107.05831999999999</v>
      </c>
      <c r="BK21" s="371" t="s">
        <v>504</v>
      </c>
      <c r="BL21" s="371">
        <v>-0.37754899999999997</v>
      </c>
      <c r="BM21" s="371">
        <v>-8.234E-3</v>
      </c>
      <c r="BN21" s="371">
        <v>-6.7082000000000003E-2</v>
      </c>
      <c r="BO21" s="371" t="s">
        <v>1</v>
      </c>
      <c r="BP21" s="371" t="s">
        <v>1</v>
      </c>
      <c r="BQ21" s="371" t="s">
        <v>1</v>
      </c>
      <c r="BR21" s="375">
        <v>6.517810513052201E-2</v>
      </c>
      <c r="BS21" s="417">
        <v>0.34590003503636213</v>
      </c>
      <c r="BT21" s="417">
        <v>0.36099757688110856</v>
      </c>
      <c r="BU21" s="417">
        <v>0.43428111568006561</v>
      </c>
      <c r="BV21" s="417">
        <v>0.43422670013311038</v>
      </c>
      <c r="BW21" s="417">
        <v>0.42877432311291869</v>
      </c>
      <c r="BX21" s="417">
        <v>0.42220925229151757</v>
      </c>
      <c r="BY21" s="417">
        <v>0.43355066042918222</v>
      </c>
      <c r="BZ21" s="417">
        <v>0.42680518440982129</v>
      </c>
      <c r="CB21" s="371">
        <v>2</v>
      </c>
      <c r="CC21" s="50" t="s">
        <v>150</v>
      </c>
      <c r="CD21" s="50" t="s">
        <v>149</v>
      </c>
      <c r="CE21" s="373">
        <v>42551</v>
      </c>
    </row>
    <row r="22" spans="1:83" s="371" customFormat="1" ht="12.75">
      <c r="A22" s="372" t="s">
        <v>2778</v>
      </c>
      <c r="B22" s="412" t="s">
        <v>2779</v>
      </c>
      <c r="C22" s="372" t="s">
        <v>2780</v>
      </c>
      <c r="D22" s="372" t="s">
        <v>503</v>
      </c>
      <c r="E22" s="411">
        <v>43100</v>
      </c>
      <c r="F22" s="411">
        <v>43190</v>
      </c>
      <c r="G22" s="411">
        <v>39233</v>
      </c>
      <c r="H22" s="413">
        <v>2548.1713800000002</v>
      </c>
      <c r="I22" s="413">
        <v>15.62</v>
      </c>
      <c r="J22" s="413">
        <v>2943.9233800000002</v>
      </c>
      <c r="K22" s="413">
        <v>166.768</v>
      </c>
      <c r="L22" s="413" t="s">
        <v>1</v>
      </c>
      <c r="M22" s="413" t="s">
        <v>1</v>
      </c>
      <c r="N22" s="413">
        <v>562.52</v>
      </c>
      <c r="O22" s="413" t="s">
        <v>1</v>
      </c>
      <c r="P22" s="413">
        <v>9.1270000000000007</v>
      </c>
      <c r="Q22" s="413">
        <v>49.457000000000001</v>
      </c>
      <c r="R22" s="413">
        <v>4.9580000000000002</v>
      </c>
      <c r="S22" s="413">
        <v>36.93</v>
      </c>
      <c r="T22" s="413">
        <v>86.128420000000006</v>
      </c>
      <c r="U22" s="413">
        <v>171.63927000000001</v>
      </c>
      <c r="V22" s="413">
        <v>249.64086</v>
      </c>
      <c r="W22" s="413">
        <v>372.8</v>
      </c>
      <c r="X22" s="413">
        <v>-140.798</v>
      </c>
      <c r="Y22" s="413">
        <v>-179.30699999999999</v>
      </c>
      <c r="Z22" s="413">
        <v>-206.286</v>
      </c>
      <c r="AA22" s="413">
        <v>-171.81899999999999</v>
      </c>
      <c r="AB22" s="413">
        <v>-198.78700000000001</v>
      </c>
      <c r="AC22" s="413">
        <v>-223.57651999999999</v>
      </c>
      <c r="AD22" s="413">
        <v>-208.11902000000001</v>
      </c>
      <c r="AE22" s="413">
        <v>-137.76684</v>
      </c>
      <c r="AF22" s="414">
        <v>0.83670599999999995</v>
      </c>
      <c r="AG22" s="414" t="s">
        <v>1</v>
      </c>
      <c r="AH22" s="414" t="s">
        <v>1</v>
      </c>
      <c r="AI22" s="414" t="s">
        <v>1</v>
      </c>
      <c r="AJ22" s="413">
        <v>-61.765000000000001</v>
      </c>
      <c r="AK22" s="413">
        <v>-93.230999999999995</v>
      </c>
      <c r="AL22" s="413">
        <v>-111.19199999999999</v>
      </c>
      <c r="AM22" s="413">
        <v>-6.9420000000000002</v>
      </c>
      <c r="AN22" s="413">
        <v>-3.8050000000000002</v>
      </c>
      <c r="AO22" s="413">
        <v>-4.6130000000000004</v>
      </c>
      <c r="AP22" s="415" t="s">
        <v>2781</v>
      </c>
      <c r="AQ22" s="416">
        <v>1.40198</v>
      </c>
      <c r="AR22" s="416">
        <v>2.5157799999999999</v>
      </c>
      <c r="AS22" s="416">
        <v>1.41713</v>
      </c>
      <c r="AT22" s="414">
        <v>0</v>
      </c>
      <c r="AU22" s="413">
        <v>-151.52099999999999</v>
      </c>
      <c r="AV22" s="413">
        <v>-211.34299999999999</v>
      </c>
      <c r="AW22" s="413">
        <v>-278.92599999999999</v>
      </c>
      <c r="AX22" s="413">
        <v>-200.042</v>
      </c>
      <c r="AY22" s="413">
        <v>-284.00200000000001</v>
      </c>
      <c r="AZ22" s="413">
        <v>311.63200000000001</v>
      </c>
      <c r="BA22" s="413">
        <v>310.77800000000002</v>
      </c>
      <c r="BB22" s="413">
        <v>521.61699999999996</v>
      </c>
      <c r="BC22" s="413">
        <v>360.15100000000001</v>
      </c>
      <c r="BD22" s="413">
        <v>352.85</v>
      </c>
      <c r="BE22" s="413">
        <v>15.04</v>
      </c>
      <c r="BF22" s="413">
        <v>2810.8469399999999</v>
      </c>
      <c r="BG22" s="413">
        <v>164.47399999999999</v>
      </c>
      <c r="BH22" s="371" t="s">
        <v>1</v>
      </c>
      <c r="BI22" s="371" t="s">
        <v>1</v>
      </c>
      <c r="BJ22" s="413">
        <v>358.56200000000001</v>
      </c>
      <c r="BK22" s="371" t="s">
        <v>504</v>
      </c>
      <c r="BL22" s="371">
        <v>0</v>
      </c>
      <c r="BM22" s="371">
        <v>3.008257</v>
      </c>
      <c r="BN22" s="371">
        <v>0.359821</v>
      </c>
      <c r="BO22" s="371" t="s">
        <v>1</v>
      </c>
      <c r="BP22" s="371" t="s">
        <v>1</v>
      </c>
      <c r="BQ22" s="371" t="s">
        <v>1</v>
      </c>
      <c r="BR22" s="375">
        <v>7.5601027154902231E-2</v>
      </c>
      <c r="BS22" s="417">
        <v>0.55801884982157191</v>
      </c>
      <c r="BT22" s="417">
        <v>0.62463087489829994</v>
      </c>
      <c r="BU22" s="417">
        <v>0.81713503666063581</v>
      </c>
      <c r="BV22" s="417">
        <v>0.78752459862572421</v>
      </c>
      <c r="BW22" s="417">
        <v>0.74667290845052103</v>
      </c>
      <c r="BX22" s="417">
        <v>0.78612432866511328</v>
      </c>
      <c r="BY22" s="417">
        <v>0.79038060209848571</v>
      </c>
      <c r="BZ22" s="417">
        <v>0.76631316661183047</v>
      </c>
      <c r="CB22" s="371">
        <v>2</v>
      </c>
      <c r="CC22" s="50" t="s">
        <v>150</v>
      </c>
      <c r="CD22" s="50" t="s">
        <v>149</v>
      </c>
      <c r="CE22" s="373">
        <v>42551</v>
      </c>
    </row>
    <row r="23" spans="1:83" s="371" customFormat="1" ht="12.75">
      <c r="A23" s="372" t="s">
        <v>1650</v>
      </c>
      <c r="B23" s="412" t="s">
        <v>1651</v>
      </c>
      <c r="C23" s="372" t="s">
        <v>1652</v>
      </c>
      <c r="D23" s="372" t="s">
        <v>1653</v>
      </c>
      <c r="E23" s="411">
        <v>43190</v>
      </c>
      <c r="F23" s="411">
        <v>43190</v>
      </c>
      <c r="G23" s="411">
        <v>42670</v>
      </c>
      <c r="H23" s="413">
        <v>1418.6912500000001</v>
      </c>
      <c r="I23" s="413">
        <v>22.87</v>
      </c>
      <c r="J23" s="413">
        <v>1483.6912500000001</v>
      </c>
      <c r="K23" s="413">
        <v>43.624000000000002</v>
      </c>
      <c r="L23" s="413" t="s">
        <v>1</v>
      </c>
      <c r="M23" s="413" t="s">
        <v>1</v>
      </c>
      <c r="N23" s="413">
        <v>108.624</v>
      </c>
      <c r="O23" s="413" t="s">
        <v>1</v>
      </c>
      <c r="P23" s="413" t="s">
        <v>1</v>
      </c>
      <c r="Q23" s="413" t="s">
        <v>1</v>
      </c>
      <c r="R23" s="413" t="s">
        <v>1</v>
      </c>
      <c r="S23" s="413" t="s">
        <v>1</v>
      </c>
      <c r="T23" s="413" t="s">
        <v>1</v>
      </c>
      <c r="U23" s="413">
        <v>28.75</v>
      </c>
      <c r="V23" s="413">
        <v>10</v>
      </c>
      <c r="W23" s="413">
        <v>178.75</v>
      </c>
      <c r="X23" s="413" t="s">
        <v>1</v>
      </c>
      <c r="Y23" s="413">
        <v>-55.795999999999999</v>
      </c>
      <c r="Z23" s="413">
        <v>-140.82</v>
      </c>
      <c r="AA23" s="413" t="s">
        <v>1</v>
      </c>
      <c r="AB23" s="413">
        <v>-116.443</v>
      </c>
      <c r="AC23" s="413" t="s">
        <v>1</v>
      </c>
      <c r="AD23" s="413" t="s">
        <v>1</v>
      </c>
      <c r="AE23" s="413" t="s">
        <v>1</v>
      </c>
      <c r="AF23" s="414" t="s">
        <v>1</v>
      </c>
      <c r="AG23" s="414" t="s">
        <v>1</v>
      </c>
      <c r="AH23" s="414" t="s">
        <v>1</v>
      </c>
      <c r="AI23" s="414" t="s">
        <v>1</v>
      </c>
      <c r="AJ23" s="413" t="s">
        <v>1</v>
      </c>
      <c r="AK23" s="413">
        <v>-15.010999999999999</v>
      </c>
      <c r="AL23" s="413">
        <v>-30.946000000000002</v>
      </c>
      <c r="AM23" s="413" t="s">
        <v>1</v>
      </c>
      <c r="AN23" s="413">
        <v>-0.96699999999999997</v>
      </c>
      <c r="AO23" s="413">
        <v>-0.60399999999999998</v>
      </c>
      <c r="AP23" s="415" t="s">
        <v>3141</v>
      </c>
      <c r="AQ23" s="416">
        <v>0.43552999999999997</v>
      </c>
      <c r="AR23" s="416">
        <v>0.68572</v>
      </c>
      <c r="AS23" s="416" t="s">
        <v>1</v>
      </c>
      <c r="AT23" s="414">
        <v>0</v>
      </c>
      <c r="AU23" s="413" t="s">
        <v>1</v>
      </c>
      <c r="AV23" s="413">
        <v>-83.44</v>
      </c>
      <c r="AW23" s="413">
        <v>-143.255</v>
      </c>
      <c r="AX23" s="413" t="s">
        <v>1</v>
      </c>
      <c r="AY23" s="413">
        <v>-116.676</v>
      </c>
      <c r="AZ23" s="413" t="s">
        <v>1</v>
      </c>
      <c r="BA23" s="413">
        <v>166.77600000000001</v>
      </c>
      <c r="BB23" s="413">
        <v>37.728999999999999</v>
      </c>
      <c r="BC23" s="413" t="s">
        <v>1</v>
      </c>
      <c r="BD23" s="413">
        <v>82.197999999999993</v>
      </c>
      <c r="BE23" s="413">
        <v>21.27</v>
      </c>
      <c r="BF23" s="413">
        <v>1297.24443</v>
      </c>
      <c r="BG23" s="413">
        <v>28.574999999999999</v>
      </c>
      <c r="BH23" s="371" t="s">
        <v>1</v>
      </c>
      <c r="BI23" s="371" t="s">
        <v>1</v>
      </c>
      <c r="BJ23" s="413">
        <v>128.87299999999999</v>
      </c>
      <c r="BK23" s="371" t="s">
        <v>504</v>
      </c>
      <c r="BL23" s="371">
        <v>0</v>
      </c>
      <c r="BM23" s="371">
        <v>0</v>
      </c>
      <c r="BN23" s="371">
        <v>0</v>
      </c>
      <c r="BO23" s="371">
        <v>0</v>
      </c>
      <c r="BP23" s="371">
        <v>0</v>
      </c>
      <c r="BQ23" s="371">
        <v>0</v>
      </c>
      <c r="BR23" s="375" t="s">
        <v>504</v>
      </c>
      <c r="BS23" s="417">
        <v>0.56623364830270728</v>
      </c>
      <c r="BT23" s="417">
        <v>0.58241620249703041</v>
      </c>
      <c r="BU23" s="417" t="s">
        <v>1</v>
      </c>
      <c r="BV23" s="417" t="s">
        <v>1</v>
      </c>
      <c r="BW23" s="417" t="s">
        <v>1</v>
      </c>
      <c r="BX23" s="417" t="s">
        <v>1</v>
      </c>
      <c r="BY23" s="417" t="s">
        <v>1</v>
      </c>
      <c r="BZ23" s="417" t="s">
        <v>1</v>
      </c>
      <c r="CB23" s="371">
        <v>2</v>
      </c>
      <c r="CC23" s="50" t="s">
        <v>150</v>
      </c>
      <c r="CD23" s="50" t="s">
        <v>149</v>
      </c>
      <c r="CE23" s="373">
        <v>42551</v>
      </c>
    </row>
    <row r="24" spans="1:83" s="371" customFormat="1" ht="12.75">
      <c r="A24" s="372" t="s">
        <v>1647</v>
      </c>
      <c r="B24" s="412" t="s">
        <v>1648</v>
      </c>
      <c r="C24" s="372" t="s">
        <v>1649</v>
      </c>
      <c r="D24" s="372" t="s">
        <v>505</v>
      </c>
      <c r="E24" s="411">
        <v>43100</v>
      </c>
      <c r="F24" s="411">
        <v>43190</v>
      </c>
      <c r="G24" s="411">
        <v>36623</v>
      </c>
      <c r="H24" s="413">
        <v>1253.1064200000001</v>
      </c>
      <c r="I24" s="413">
        <v>12</v>
      </c>
      <c r="J24" s="413">
        <v>1269.98242</v>
      </c>
      <c r="K24" s="413">
        <v>245.39599999999999</v>
      </c>
      <c r="L24" s="413" t="s">
        <v>1</v>
      </c>
      <c r="M24" s="413" t="s">
        <v>1</v>
      </c>
      <c r="N24" s="413">
        <v>262.27199999999999</v>
      </c>
      <c r="O24" s="413">
        <v>140.71600000000001</v>
      </c>
      <c r="P24" s="413">
        <v>89.135999999999996</v>
      </c>
      <c r="Q24" s="413">
        <v>97.248999999999995</v>
      </c>
      <c r="R24" s="413">
        <v>83.337000000000003</v>
      </c>
      <c r="S24" s="413">
        <v>90.334999999999994</v>
      </c>
      <c r="T24" s="413">
        <v>71.616</v>
      </c>
      <c r="U24" s="413">
        <v>206.62008</v>
      </c>
      <c r="V24" s="413">
        <v>273.62119999999999</v>
      </c>
      <c r="W24" s="413">
        <v>427.49779999999998</v>
      </c>
      <c r="X24" s="413">
        <v>3.7530000000000001</v>
      </c>
      <c r="Y24" s="413">
        <v>-143.167</v>
      </c>
      <c r="Z24" s="413">
        <v>-128.47200000000001</v>
      </c>
      <c r="AA24" s="413">
        <v>-135.80199999999999</v>
      </c>
      <c r="AB24" s="413">
        <v>-131.18100000000001</v>
      </c>
      <c r="AC24" s="413">
        <v>-151.5</v>
      </c>
      <c r="AD24" s="413">
        <v>-24</v>
      </c>
      <c r="AE24" s="413">
        <v>47</v>
      </c>
      <c r="AF24" s="414">
        <v>-0.67839200000000011</v>
      </c>
      <c r="AG24" s="414">
        <v>-1.321062</v>
      </c>
      <c r="AH24" s="414">
        <v>-1.3590059999999999</v>
      </c>
      <c r="AI24" s="414">
        <v>-1.4008779999999998</v>
      </c>
      <c r="AJ24" s="413">
        <v>-104.911</v>
      </c>
      <c r="AK24" s="413">
        <v>-101.96299999999999</v>
      </c>
      <c r="AL24" s="413">
        <v>-75.974999999999994</v>
      </c>
      <c r="AM24" s="413">
        <v>-0.94699999999999995</v>
      </c>
      <c r="AN24" s="413">
        <v>-0.26900000000000002</v>
      </c>
      <c r="AO24" s="413">
        <v>-0.17599999999999999</v>
      </c>
      <c r="AP24" s="415" t="s">
        <v>2750</v>
      </c>
      <c r="AQ24" s="416">
        <v>0.63517000000000001</v>
      </c>
      <c r="AR24" s="416">
        <v>0.86067000000000005</v>
      </c>
      <c r="AS24" s="416">
        <v>0.32644000000000001</v>
      </c>
      <c r="AT24" s="414">
        <v>0</v>
      </c>
      <c r="AU24" s="413">
        <v>-11.489000000000001</v>
      </c>
      <c r="AV24" s="413">
        <v>-141.43700000000001</v>
      </c>
      <c r="AW24" s="413">
        <v>-136.23400000000001</v>
      </c>
      <c r="AX24" s="413">
        <v>-141.429</v>
      </c>
      <c r="AY24" s="413">
        <v>-129.05000000000001</v>
      </c>
      <c r="AZ24" s="413">
        <v>252.881</v>
      </c>
      <c r="BA24" s="413">
        <v>134.60300000000001</v>
      </c>
      <c r="BB24" s="413">
        <v>26.193999999999999</v>
      </c>
      <c r="BC24" s="413">
        <v>157.40100000000001</v>
      </c>
      <c r="BD24" s="413">
        <v>52.101999999999997</v>
      </c>
      <c r="BE24" s="413">
        <v>8.57</v>
      </c>
      <c r="BF24" s="413">
        <v>904.92196999999999</v>
      </c>
      <c r="BG24" s="413">
        <v>245.67</v>
      </c>
      <c r="BH24" s="371" t="s">
        <v>1</v>
      </c>
      <c r="BI24" s="371" t="s">
        <v>1</v>
      </c>
      <c r="BJ24" s="413">
        <v>310.78800000000001</v>
      </c>
      <c r="BK24" s="371" t="s">
        <v>504</v>
      </c>
      <c r="BL24" s="371">
        <v>-0.16867499999999999</v>
      </c>
      <c r="BM24" s="371">
        <v>0.58616800000000002</v>
      </c>
      <c r="BN24" s="371">
        <v>1.429478</v>
      </c>
      <c r="BO24" s="371" t="s">
        <v>1</v>
      </c>
      <c r="BP24" s="371" t="s">
        <v>1</v>
      </c>
      <c r="BQ24" s="371" t="s">
        <v>1</v>
      </c>
      <c r="BR24" s="375">
        <v>3.7943834898045224E-2</v>
      </c>
      <c r="BS24" s="417">
        <v>0.47847696610761248</v>
      </c>
      <c r="BT24" s="417">
        <v>0.46011894801782688</v>
      </c>
      <c r="BU24" s="417">
        <v>0.6049406608063348</v>
      </c>
      <c r="BV24" s="417">
        <v>0.59377047190641041</v>
      </c>
      <c r="BW24" s="417">
        <v>0.58931085772614611</v>
      </c>
      <c r="BX24" s="417">
        <v>0.58268908094598493</v>
      </c>
      <c r="BY24" s="417">
        <v>0.61820281445367398</v>
      </c>
      <c r="BZ24" s="417">
        <v>0.63024912702689206</v>
      </c>
      <c r="CB24" s="371">
        <v>2</v>
      </c>
      <c r="CC24" s="50" t="s">
        <v>150</v>
      </c>
      <c r="CD24" s="50" t="s">
        <v>149</v>
      </c>
      <c r="CE24" s="373">
        <v>42551</v>
      </c>
    </row>
    <row r="25" spans="1:83" s="371" customFormat="1" ht="12.75">
      <c r="A25" s="372" t="s">
        <v>1157</v>
      </c>
      <c r="B25" s="412" t="s">
        <v>1159</v>
      </c>
      <c r="C25" s="372" t="s">
        <v>1156</v>
      </c>
      <c r="D25" s="372" t="s">
        <v>503</v>
      </c>
      <c r="E25" s="411">
        <v>43100</v>
      </c>
      <c r="F25" s="411">
        <v>43190</v>
      </c>
      <c r="G25" s="411">
        <v>43013</v>
      </c>
      <c r="H25" s="413">
        <v>930.20021999999994</v>
      </c>
      <c r="I25" s="413">
        <v>31.26</v>
      </c>
      <c r="J25" s="413">
        <v>1066.6532199999999</v>
      </c>
      <c r="K25" s="413">
        <v>0</v>
      </c>
      <c r="L25" s="413" t="s">
        <v>1</v>
      </c>
      <c r="M25" s="413" t="s">
        <v>1</v>
      </c>
      <c r="N25" s="413">
        <v>136.453</v>
      </c>
      <c r="O25" s="413" t="s">
        <v>1</v>
      </c>
      <c r="P25" s="413" t="s">
        <v>1</v>
      </c>
      <c r="Q25" s="413" t="s">
        <v>1</v>
      </c>
      <c r="R25" s="413" t="s">
        <v>1</v>
      </c>
      <c r="S25" s="413" t="s">
        <v>1</v>
      </c>
      <c r="T25" s="413" t="s">
        <v>1</v>
      </c>
      <c r="U25" s="413">
        <v>0.67901999999999996</v>
      </c>
      <c r="V25" s="413">
        <v>44</v>
      </c>
      <c r="W25" s="413">
        <v>142.5</v>
      </c>
      <c r="X25" s="413" t="s">
        <v>1</v>
      </c>
      <c r="Y25" s="413" t="s">
        <v>1</v>
      </c>
      <c r="Z25" s="413">
        <v>-42.793999999999997</v>
      </c>
      <c r="AA25" s="413">
        <v>-25.760999999999999</v>
      </c>
      <c r="AB25" s="413">
        <v>-32.189</v>
      </c>
      <c r="AC25" s="413">
        <v>-51.885309999999997</v>
      </c>
      <c r="AD25" s="413">
        <v>-63.808480000000003</v>
      </c>
      <c r="AE25" s="413" t="s">
        <v>1</v>
      </c>
      <c r="AF25" s="414" t="s">
        <v>1</v>
      </c>
      <c r="AG25" s="414" t="s">
        <v>1</v>
      </c>
      <c r="AH25" s="414" t="s">
        <v>1</v>
      </c>
      <c r="AI25" s="414" t="s">
        <v>1</v>
      </c>
      <c r="AJ25" s="413" t="s">
        <v>1</v>
      </c>
      <c r="AK25" s="413">
        <v>-3.21</v>
      </c>
      <c r="AL25" s="413">
        <v>-3.6179999999999999</v>
      </c>
      <c r="AM25" s="413">
        <v>-0.57799999999999996</v>
      </c>
      <c r="AN25" s="413">
        <v>-0.496</v>
      </c>
      <c r="AO25" s="413">
        <v>-0.13300000000000001</v>
      </c>
      <c r="AP25" s="415" t="s">
        <v>2751</v>
      </c>
      <c r="AQ25" s="416">
        <v>1.56447</v>
      </c>
      <c r="AR25" s="416" t="s">
        <v>1</v>
      </c>
      <c r="AS25" s="416" t="s">
        <v>1</v>
      </c>
      <c r="AT25" s="414">
        <v>0</v>
      </c>
      <c r="AU25" s="413">
        <v>-15.553000000000001</v>
      </c>
      <c r="AV25" s="413">
        <v>-26.847000000000001</v>
      </c>
      <c r="AW25" s="413">
        <v>-43.808</v>
      </c>
      <c r="AX25" s="413">
        <v>-25.872</v>
      </c>
      <c r="AY25" s="413">
        <v>-33.709000000000003</v>
      </c>
      <c r="AZ25" s="413">
        <v>32.000999999999998</v>
      </c>
      <c r="BA25" s="413">
        <v>21.574999999999999</v>
      </c>
      <c r="BB25" s="413">
        <v>133.65799999999999</v>
      </c>
      <c r="BC25" s="413">
        <v>7.2969999999999997</v>
      </c>
      <c r="BD25" s="413">
        <v>144.78800000000001</v>
      </c>
      <c r="BE25" s="413">
        <v>19.899999999999999</v>
      </c>
      <c r="BF25" s="413">
        <v>542.95438999999999</v>
      </c>
      <c r="BG25" s="413">
        <v>0</v>
      </c>
      <c r="BH25" s="371" t="s">
        <v>1</v>
      </c>
      <c r="BI25" s="371" t="s">
        <v>1</v>
      </c>
      <c r="BJ25" s="413">
        <v>148.08199999999999</v>
      </c>
      <c r="BK25" s="371" t="s">
        <v>1</v>
      </c>
      <c r="BL25" s="371">
        <v>0</v>
      </c>
      <c r="BM25" s="371">
        <v>0</v>
      </c>
      <c r="BN25" s="371">
        <v>0</v>
      </c>
      <c r="BO25" s="371">
        <v>0</v>
      </c>
      <c r="BP25" s="371">
        <v>0</v>
      </c>
      <c r="BQ25" s="371">
        <v>0</v>
      </c>
      <c r="BR25" s="375" t="s">
        <v>504</v>
      </c>
      <c r="BS25" s="417">
        <v>0.75506822835532827</v>
      </c>
      <c r="BT25" s="417" t="s">
        <v>1</v>
      </c>
      <c r="BU25" s="417" t="s">
        <v>1</v>
      </c>
      <c r="BV25" s="417" t="s">
        <v>1</v>
      </c>
      <c r="BW25" s="417" t="s">
        <v>1</v>
      </c>
      <c r="BX25" s="417" t="s">
        <v>1</v>
      </c>
      <c r="BY25" s="417" t="s">
        <v>1</v>
      </c>
      <c r="BZ25" s="417" t="s">
        <v>1</v>
      </c>
      <c r="CB25" s="371">
        <v>2</v>
      </c>
      <c r="CC25" s="50" t="s">
        <v>150</v>
      </c>
      <c r="CD25" s="50" t="s">
        <v>149</v>
      </c>
      <c r="CE25" s="373">
        <v>42551</v>
      </c>
    </row>
    <row r="26" spans="1:83" s="371" customFormat="1" ht="12.75">
      <c r="A26" s="372" t="s">
        <v>3142</v>
      </c>
      <c r="B26" s="412" t="s">
        <v>3143</v>
      </c>
      <c r="C26" s="372" t="s">
        <v>3144</v>
      </c>
      <c r="D26" s="372" t="s">
        <v>505</v>
      </c>
      <c r="E26" s="411">
        <v>43100</v>
      </c>
      <c r="F26" s="411">
        <v>43190</v>
      </c>
      <c r="G26" s="411">
        <v>43272</v>
      </c>
      <c r="H26" s="413">
        <v>859.63972999999999</v>
      </c>
      <c r="I26" s="413">
        <v>24.17</v>
      </c>
      <c r="J26" s="413">
        <v>809.60373000000004</v>
      </c>
      <c r="K26" s="413">
        <v>0</v>
      </c>
      <c r="L26" s="413">
        <v>132.386</v>
      </c>
      <c r="M26" s="413" t="s">
        <v>1</v>
      </c>
      <c r="N26" s="413">
        <v>82.35</v>
      </c>
      <c r="O26" s="413" t="s">
        <v>1</v>
      </c>
      <c r="P26" s="413" t="s">
        <v>1</v>
      </c>
      <c r="Q26" s="413">
        <v>6.2809999999999997</v>
      </c>
      <c r="R26" s="413">
        <v>9.7919999999999998</v>
      </c>
      <c r="S26" s="413">
        <v>4.9619999999999997</v>
      </c>
      <c r="T26" s="413" t="s">
        <v>1</v>
      </c>
      <c r="U26" s="413" t="s">
        <v>1</v>
      </c>
      <c r="V26" s="413" t="s">
        <v>1</v>
      </c>
      <c r="W26" s="413" t="s">
        <v>1</v>
      </c>
      <c r="X26" s="413" t="s">
        <v>1</v>
      </c>
      <c r="Y26" s="413" t="s">
        <v>1</v>
      </c>
      <c r="Z26" s="413">
        <v>-34.843000000000004</v>
      </c>
      <c r="AA26" s="413">
        <v>-17.532</v>
      </c>
      <c r="AB26" s="413">
        <v>-31.827999999999999</v>
      </c>
      <c r="AC26" s="413" t="s">
        <v>1</v>
      </c>
      <c r="AD26" s="413" t="s">
        <v>1</v>
      </c>
      <c r="AE26" s="413" t="s">
        <v>1</v>
      </c>
      <c r="AF26" s="414" t="s">
        <v>1</v>
      </c>
      <c r="AG26" s="414" t="s">
        <v>1</v>
      </c>
      <c r="AH26" s="414" t="s">
        <v>1</v>
      </c>
      <c r="AI26" s="414" t="s">
        <v>1</v>
      </c>
      <c r="AJ26" s="413" t="s">
        <v>1</v>
      </c>
      <c r="AK26" s="413" t="s">
        <v>1</v>
      </c>
      <c r="AL26" s="413">
        <v>-2.8730000000000002</v>
      </c>
      <c r="AM26" s="413" t="s">
        <v>1</v>
      </c>
      <c r="AN26" s="413" t="s">
        <v>1</v>
      </c>
      <c r="AO26" s="413">
        <v>-1.36</v>
      </c>
      <c r="AP26" s="415" t="s">
        <v>3145</v>
      </c>
      <c r="AQ26" s="416" t="s">
        <v>1</v>
      </c>
      <c r="AR26" s="416" t="s">
        <v>1</v>
      </c>
      <c r="AS26" s="416" t="s">
        <v>1</v>
      </c>
      <c r="AT26" s="414">
        <v>0</v>
      </c>
      <c r="AU26" s="413" t="s">
        <v>1</v>
      </c>
      <c r="AV26" s="413" t="s">
        <v>1</v>
      </c>
      <c r="AW26" s="413">
        <v>-35.042999999999999</v>
      </c>
      <c r="AX26" s="413">
        <v>-15.478</v>
      </c>
      <c r="AY26" s="413">
        <v>-32.067999999999998</v>
      </c>
      <c r="AZ26" s="413" t="s">
        <v>1</v>
      </c>
      <c r="BA26" s="413" t="s">
        <v>1</v>
      </c>
      <c r="BB26" s="413">
        <v>81.52</v>
      </c>
      <c r="BC26" s="413">
        <v>14.099</v>
      </c>
      <c r="BD26" s="413">
        <v>92.668000000000006</v>
      </c>
      <c r="BE26" s="413" t="s">
        <v>1</v>
      </c>
      <c r="BF26" s="413" t="s">
        <v>1</v>
      </c>
      <c r="BG26" s="413" t="s">
        <v>1</v>
      </c>
      <c r="BH26" s="371" t="s">
        <v>1</v>
      </c>
      <c r="BI26" s="371" t="s">
        <v>1</v>
      </c>
      <c r="BJ26" s="413" t="s">
        <v>1</v>
      </c>
      <c r="BK26" s="371" t="s">
        <v>1</v>
      </c>
      <c r="BL26" s="371">
        <v>0</v>
      </c>
      <c r="BM26" s="371">
        <v>0</v>
      </c>
      <c r="BN26" s="371">
        <v>0</v>
      </c>
      <c r="BO26" s="371">
        <v>0</v>
      </c>
      <c r="BP26" s="371">
        <v>0</v>
      </c>
      <c r="BQ26" s="371">
        <v>0</v>
      </c>
      <c r="BR26" s="375">
        <v>7.1644642572838729E-2</v>
      </c>
      <c r="BS26" s="417">
        <v>0.7027346729590529</v>
      </c>
      <c r="BT26" s="417" t="s">
        <v>1</v>
      </c>
      <c r="BU26" s="417" t="s">
        <v>1</v>
      </c>
      <c r="BV26" s="417" t="s">
        <v>1</v>
      </c>
      <c r="BW26" s="417" t="s">
        <v>1</v>
      </c>
      <c r="BX26" s="417" t="s">
        <v>1</v>
      </c>
      <c r="BY26" s="417" t="s">
        <v>1</v>
      </c>
      <c r="BZ26" s="417" t="s">
        <v>1</v>
      </c>
      <c r="CB26" s="371">
        <v>2</v>
      </c>
      <c r="CC26" s="50" t="s">
        <v>150</v>
      </c>
      <c r="CD26" s="50" t="s">
        <v>149</v>
      </c>
      <c r="CE26" s="373">
        <v>42551</v>
      </c>
    </row>
    <row r="27" spans="1:83" s="371" customFormat="1" ht="12.75">
      <c r="A27" s="372" t="s">
        <v>1033</v>
      </c>
      <c r="B27" s="412" t="s">
        <v>1035</v>
      </c>
      <c r="C27" s="372" t="s">
        <v>1032</v>
      </c>
      <c r="D27" s="372" t="s">
        <v>534</v>
      </c>
      <c r="E27" s="411">
        <v>43100</v>
      </c>
      <c r="F27" s="411">
        <v>43190</v>
      </c>
      <c r="G27" s="411">
        <v>42803</v>
      </c>
      <c r="H27" s="413">
        <v>593.39386999999999</v>
      </c>
      <c r="I27" s="413">
        <v>26.51</v>
      </c>
      <c r="J27" s="413">
        <v>614.36387000000002</v>
      </c>
      <c r="K27" s="413">
        <v>0</v>
      </c>
      <c r="L27" s="413" t="s">
        <v>1</v>
      </c>
      <c r="M27" s="413">
        <v>0.56799999999999995</v>
      </c>
      <c r="N27" s="413">
        <v>21.538</v>
      </c>
      <c r="O27" s="413" t="s">
        <v>1</v>
      </c>
      <c r="P27" s="413" t="s">
        <v>1</v>
      </c>
      <c r="Q27" s="413" t="s">
        <v>1</v>
      </c>
      <c r="R27" s="413" t="s">
        <v>1</v>
      </c>
      <c r="S27" s="413" t="s">
        <v>1</v>
      </c>
      <c r="T27" s="413" t="s">
        <v>1</v>
      </c>
      <c r="U27" s="413">
        <v>15</v>
      </c>
      <c r="V27" s="413">
        <v>115.9175</v>
      </c>
      <c r="W27" s="413">
        <v>289.64949999999999</v>
      </c>
      <c r="X27" s="413">
        <v>-7.4489999999999998</v>
      </c>
      <c r="Y27" s="413">
        <v>-58.225000000000001</v>
      </c>
      <c r="Z27" s="413">
        <v>-64.953999999999994</v>
      </c>
      <c r="AA27" s="413">
        <v>-12.35</v>
      </c>
      <c r="AB27" s="413">
        <v>-97.948999999999998</v>
      </c>
      <c r="AC27" s="413">
        <v>-67</v>
      </c>
      <c r="AD27" s="413">
        <v>-76.599999999999994</v>
      </c>
      <c r="AE27" s="413">
        <v>3.9</v>
      </c>
      <c r="AF27" s="414" t="s">
        <v>1</v>
      </c>
      <c r="AG27" s="414" t="s">
        <v>1</v>
      </c>
      <c r="AH27" s="414" t="s">
        <v>1</v>
      </c>
      <c r="AI27" s="414" t="s">
        <v>1</v>
      </c>
      <c r="AJ27" s="413" t="s">
        <v>1</v>
      </c>
      <c r="AK27" s="413">
        <v>-0.82899999999999996</v>
      </c>
      <c r="AL27" s="413">
        <v>-4.0540000000000003</v>
      </c>
      <c r="AM27" s="413">
        <v>-0.04</v>
      </c>
      <c r="AN27" s="413">
        <v>-7.8E-2</v>
      </c>
      <c r="AO27" s="413">
        <v>-7.4999999999999997E-2</v>
      </c>
      <c r="AP27" s="415" t="s">
        <v>3146</v>
      </c>
      <c r="AQ27" s="416">
        <v>1.18415</v>
      </c>
      <c r="AR27" s="416">
        <v>1.4369099999999999</v>
      </c>
      <c r="AS27" s="416" t="s">
        <v>1</v>
      </c>
      <c r="AT27" s="414">
        <v>0</v>
      </c>
      <c r="AU27" s="413">
        <v>-7.7750000000000004</v>
      </c>
      <c r="AV27" s="413">
        <v>-58.347999999999999</v>
      </c>
      <c r="AW27" s="413">
        <v>-62.756999999999998</v>
      </c>
      <c r="AX27" s="413">
        <v>-12.545</v>
      </c>
      <c r="AY27" s="413">
        <v>-96.388000000000005</v>
      </c>
      <c r="AZ27" s="413">
        <v>9.6579999999999995</v>
      </c>
      <c r="BA27" s="413">
        <v>54.026000000000003</v>
      </c>
      <c r="BB27" s="413">
        <v>18.091000000000001</v>
      </c>
      <c r="BC27" s="413">
        <v>12.298999999999999</v>
      </c>
      <c r="BD27" s="413">
        <v>28.036000000000001</v>
      </c>
      <c r="BE27" s="413">
        <v>25.62</v>
      </c>
      <c r="BF27" s="413">
        <v>585.28792999999996</v>
      </c>
      <c r="BG27" s="413">
        <v>0</v>
      </c>
      <c r="BH27" s="371" t="s">
        <v>1</v>
      </c>
      <c r="BI27" s="371">
        <v>1.3560000000000001</v>
      </c>
      <c r="BJ27" s="413">
        <v>40.723999999999997</v>
      </c>
      <c r="BK27" s="371" t="s">
        <v>1</v>
      </c>
      <c r="BL27" s="371">
        <v>0</v>
      </c>
      <c r="BM27" s="371">
        <v>0</v>
      </c>
      <c r="BN27" s="371">
        <v>0</v>
      </c>
      <c r="BO27" s="371" t="s">
        <v>1</v>
      </c>
      <c r="BP27" s="371">
        <v>0</v>
      </c>
      <c r="BQ27" s="371">
        <v>0</v>
      </c>
      <c r="BR27" s="375" t="s">
        <v>504</v>
      </c>
      <c r="BS27" s="417">
        <v>0.76402375856046234</v>
      </c>
      <c r="BT27" s="417">
        <v>0.74997182580919175</v>
      </c>
      <c r="BU27" s="417" t="s">
        <v>1</v>
      </c>
      <c r="BV27" s="417" t="s">
        <v>1</v>
      </c>
      <c r="BW27" s="417" t="s">
        <v>1</v>
      </c>
      <c r="BX27" s="417" t="s">
        <v>1</v>
      </c>
      <c r="BY27" s="417" t="s">
        <v>1</v>
      </c>
      <c r="BZ27" s="417" t="s">
        <v>1</v>
      </c>
      <c r="CB27" s="371">
        <v>2</v>
      </c>
      <c r="CC27" s="50" t="s">
        <v>150</v>
      </c>
      <c r="CD27" s="50" t="s">
        <v>149</v>
      </c>
      <c r="CE27" s="373">
        <v>42551</v>
      </c>
    </row>
    <row r="28" spans="1:83" s="371" customFormat="1" ht="12.75">
      <c r="A28" s="372" t="s">
        <v>3147</v>
      </c>
      <c r="B28" s="412" t="s">
        <v>1654</v>
      </c>
      <c r="C28" s="372" t="s">
        <v>2901</v>
      </c>
      <c r="D28" s="372" t="s">
        <v>505</v>
      </c>
      <c r="E28" s="411">
        <v>43100</v>
      </c>
      <c r="F28" s="411">
        <v>43190</v>
      </c>
      <c r="G28" s="411">
        <v>41663</v>
      </c>
      <c r="H28" s="413">
        <v>564.50228000000004</v>
      </c>
      <c r="I28" s="413">
        <v>13.42</v>
      </c>
      <c r="J28" s="413">
        <v>788.67728</v>
      </c>
      <c r="K28" s="413">
        <v>5.3609999999999998</v>
      </c>
      <c r="L28" s="413" t="s">
        <v>1</v>
      </c>
      <c r="M28" s="413" t="s">
        <v>1</v>
      </c>
      <c r="N28" s="413">
        <v>229.536</v>
      </c>
      <c r="O28" s="413" t="s">
        <v>1</v>
      </c>
      <c r="P28" s="413">
        <v>4.7930000000000001</v>
      </c>
      <c r="Q28" s="413">
        <v>5.2069999999999999</v>
      </c>
      <c r="R28" s="413" t="s">
        <v>1</v>
      </c>
      <c r="S28" s="413">
        <v>10</v>
      </c>
      <c r="T28" s="413">
        <v>0.71428999999999998</v>
      </c>
      <c r="U28" s="413">
        <v>2.8571399999999998</v>
      </c>
      <c r="V28" s="413">
        <v>59.333329999999997</v>
      </c>
      <c r="W28" s="413">
        <v>23.969249999999999</v>
      </c>
      <c r="X28" s="413">
        <v>-25.989000000000001</v>
      </c>
      <c r="Y28" s="413">
        <v>-21.613</v>
      </c>
      <c r="Z28" s="413">
        <v>-28.588000000000001</v>
      </c>
      <c r="AA28" s="413">
        <v>-25.556999999999999</v>
      </c>
      <c r="AB28" s="413">
        <v>-18.690000000000001</v>
      </c>
      <c r="AC28" s="413">
        <v>-54.825000000000003</v>
      </c>
      <c r="AD28" s="413">
        <v>-58.965000000000003</v>
      </c>
      <c r="AE28" s="413">
        <v>-68.311999999999998</v>
      </c>
      <c r="AF28" s="414">
        <v>-2.077779</v>
      </c>
      <c r="AG28" s="414" t="s">
        <v>1</v>
      </c>
      <c r="AH28" s="414" t="s">
        <v>1</v>
      </c>
      <c r="AI28" s="414" t="s">
        <v>1</v>
      </c>
      <c r="AJ28" s="413">
        <v>-4.2489999999999997</v>
      </c>
      <c r="AK28" s="413">
        <v>-6.8220000000000001</v>
      </c>
      <c r="AL28" s="413">
        <v>-13.058999999999999</v>
      </c>
      <c r="AM28" s="413" t="s">
        <v>1</v>
      </c>
      <c r="AN28" s="413">
        <v>-4.2000000000000003E-2</v>
      </c>
      <c r="AO28" s="413">
        <v>-7.2999999999999995E-2</v>
      </c>
      <c r="AP28" s="415" t="s">
        <v>2902</v>
      </c>
      <c r="AQ28" s="416">
        <v>1.98756</v>
      </c>
      <c r="AR28" s="416">
        <v>2.4502199999999998</v>
      </c>
      <c r="AS28" s="416">
        <v>1.8963300000000001</v>
      </c>
      <c r="AT28" s="414">
        <v>0</v>
      </c>
      <c r="AU28" s="413">
        <v>-20.048999999999999</v>
      </c>
      <c r="AV28" s="413">
        <v>-25.173999999999999</v>
      </c>
      <c r="AW28" s="413">
        <v>-39.210999999999999</v>
      </c>
      <c r="AX28" s="413">
        <v>-26.670999999999999</v>
      </c>
      <c r="AY28" s="413">
        <v>-27.556999999999999</v>
      </c>
      <c r="AZ28" s="413">
        <v>21.846</v>
      </c>
      <c r="BA28" s="413">
        <v>9.2270000000000003</v>
      </c>
      <c r="BB28" s="413">
        <v>212.19900000000001</v>
      </c>
      <c r="BC28" s="413">
        <v>3.9369999999999998</v>
      </c>
      <c r="BD28" s="413">
        <v>84.947000000000003</v>
      </c>
      <c r="BE28" s="413">
        <v>12.99</v>
      </c>
      <c r="BF28" s="413">
        <v>759.93830000000003</v>
      </c>
      <c r="BG28" s="413">
        <v>6.0979999999999999</v>
      </c>
      <c r="BH28" s="371" t="s">
        <v>1</v>
      </c>
      <c r="BI28" s="371" t="s">
        <v>1</v>
      </c>
      <c r="BJ28" s="413">
        <v>97.21</v>
      </c>
      <c r="BK28" s="371" t="s">
        <v>1</v>
      </c>
      <c r="BL28" s="371">
        <v>0</v>
      </c>
      <c r="BM28" s="371">
        <v>0</v>
      </c>
      <c r="BN28" s="371">
        <v>0.121338</v>
      </c>
      <c r="BO28" s="371" t="s">
        <v>1</v>
      </c>
      <c r="BP28" s="371" t="s">
        <v>1</v>
      </c>
      <c r="BQ28" s="371" t="s">
        <v>1</v>
      </c>
      <c r="BR28" s="375">
        <v>7.2978682542730938E-3</v>
      </c>
      <c r="BS28" s="417">
        <v>0.61574222287267066</v>
      </c>
      <c r="BT28" s="417">
        <v>0.68436083114667368</v>
      </c>
      <c r="BU28" s="417">
        <v>0.80159679860663302</v>
      </c>
      <c r="BV28" s="417">
        <v>0.81333488102131191</v>
      </c>
      <c r="BW28" s="417">
        <v>0.82185143184977794</v>
      </c>
      <c r="BX28" s="417" t="s">
        <v>1</v>
      </c>
      <c r="BY28" s="417" t="s">
        <v>1</v>
      </c>
      <c r="BZ28" s="417" t="s">
        <v>1</v>
      </c>
      <c r="CB28" s="371">
        <v>2</v>
      </c>
      <c r="CC28" s="50" t="s">
        <v>150</v>
      </c>
      <c r="CD28" s="50" t="s">
        <v>149</v>
      </c>
      <c r="CE28" s="373">
        <v>42551</v>
      </c>
    </row>
    <row r="29" spans="1:83" s="371" customFormat="1" ht="12.75">
      <c r="A29" s="372" t="s">
        <v>1655</v>
      </c>
      <c r="B29" s="412" t="s">
        <v>1656</v>
      </c>
      <c r="C29" s="372" t="s">
        <v>1657</v>
      </c>
      <c r="D29" s="372" t="s">
        <v>505</v>
      </c>
      <c r="E29" s="411">
        <v>43100</v>
      </c>
      <c r="F29" s="411">
        <v>43190</v>
      </c>
      <c r="G29" s="411">
        <v>41631</v>
      </c>
      <c r="H29" s="413">
        <v>529.47951999999998</v>
      </c>
      <c r="I29" s="413">
        <v>17.670000000000002</v>
      </c>
      <c r="J29" s="413">
        <v>966.48504000000003</v>
      </c>
      <c r="K29" s="413">
        <v>0</v>
      </c>
      <c r="L29" s="413" t="s">
        <v>1</v>
      </c>
      <c r="M29" s="413" t="s">
        <v>1</v>
      </c>
      <c r="N29" s="413">
        <v>437.00551000000002</v>
      </c>
      <c r="O29" s="413">
        <v>8.8050000000000003E-2</v>
      </c>
      <c r="P29" s="413">
        <v>0.42598999999999998</v>
      </c>
      <c r="Q29" s="413">
        <v>0.15054999999999999</v>
      </c>
      <c r="R29" s="413">
        <v>0.33069999999999999</v>
      </c>
      <c r="S29" s="413">
        <v>0.24584</v>
      </c>
      <c r="T29" s="413">
        <v>9.7100000000000006E-2</v>
      </c>
      <c r="U29" s="413">
        <v>30.175909999999998</v>
      </c>
      <c r="V29" s="413">
        <v>144.4684</v>
      </c>
      <c r="W29" s="413">
        <v>339.03383000000002</v>
      </c>
      <c r="X29" s="413">
        <v>-111.73876</v>
      </c>
      <c r="Y29" s="413">
        <v>-117.31586</v>
      </c>
      <c r="Z29" s="413">
        <v>-111.92426</v>
      </c>
      <c r="AA29" s="413">
        <v>-118.06202</v>
      </c>
      <c r="AB29" s="413">
        <v>-102.62626</v>
      </c>
      <c r="AC29" s="413">
        <v>-199.56141</v>
      </c>
      <c r="AD29" s="413">
        <v>-230.16524999999999</v>
      </c>
      <c r="AE29" s="413">
        <v>-226.6</v>
      </c>
      <c r="AF29" s="414" t="s">
        <v>1</v>
      </c>
      <c r="AG29" s="414" t="s">
        <v>1</v>
      </c>
      <c r="AH29" s="414" t="s">
        <v>1</v>
      </c>
      <c r="AI29" s="414" t="s">
        <v>1</v>
      </c>
      <c r="AJ29" s="413">
        <v>-2.1565699999999999</v>
      </c>
      <c r="AK29" s="413">
        <v>-12.48917</v>
      </c>
      <c r="AL29" s="413">
        <v>-13.5047</v>
      </c>
      <c r="AM29" s="413">
        <v>-0.34406999999999999</v>
      </c>
      <c r="AN29" s="413">
        <v>-7.3590000000000003E-2</v>
      </c>
      <c r="AO29" s="413">
        <v>-0.99002000000000001</v>
      </c>
      <c r="AP29" s="415" t="s">
        <v>2752</v>
      </c>
      <c r="AQ29" s="416">
        <v>1.99055</v>
      </c>
      <c r="AR29" s="416">
        <v>2.1202700000000001</v>
      </c>
      <c r="AS29" s="416">
        <v>0.74321999999999999</v>
      </c>
      <c r="AT29" s="414">
        <v>0</v>
      </c>
      <c r="AU29" s="413">
        <v>-110.34777</v>
      </c>
      <c r="AV29" s="413">
        <v>-115.5184</v>
      </c>
      <c r="AW29" s="413">
        <v>-106.31990999999999</v>
      </c>
      <c r="AX29" s="413">
        <v>-116.42627</v>
      </c>
      <c r="AY29" s="413">
        <v>-97.773409999999998</v>
      </c>
      <c r="AZ29" s="413">
        <v>452.74441999999999</v>
      </c>
      <c r="BA29" s="413">
        <v>353.02708000000001</v>
      </c>
      <c r="BB29" s="413">
        <v>423.18896000000001</v>
      </c>
      <c r="BC29" s="413">
        <v>375.50254000000001</v>
      </c>
      <c r="BD29" s="413">
        <v>454.43696</v>
      </c>
      <c r="BE29" s="413">
        <v>21.05</v>
      </c>
      <c r="BF29" s="413">
        <v>1151.02352</v>
      </c>
      <c r="BG29" s="413">
        <v>0</v>
      </c>
      <c r="BH29" s="371" t="s">
        <v>1</v>
      </c>
      <c r="BI29" s="371" t="s">
        <v>1</v>
      </c>
      <c r="BJ29" s="413">
        <v>464.33103999999997</v>
      </c>
      <c r="BK29" s="371" t="s">
        <v>504</v>
      </c>
      <c r="BL29" s="371">
        <v>0.30760999999999999</v>
      </c>
      <c r="BM29" s="371">
        <v>-0.285553</v>
      </c>
      <c r="BN29" s="371">
        <v>-0.43780500000000006</v>
      </c>
      <c r="BO29" s="371" t="s">
        <v>1</v>
      </c>
      <c r="BP29" s="371" t="s">
        <v>1</v>
      </c>
      <c r="BQ29" s="371" t="s">
        <v>1</v>
      </c>
      <c r="BR29" s="375">
        <v>1.6336100963135172</v>
      </c>
      <c r="BS29" s="417">
        <v>0.61291654484815106</v>
      </c>
      <c r="BT29" s="417">
        <v>0.93976256879974218</v>
      </c>
      <c r="BU29" s="417">
        <v>0.95468344999739974</v>
      </c>
      <c r="BV29" s="417">
        <v>0.87859778643738873</v>
      </c>
      <c r="BW29" s="417">
        <v>0.85854205399386185</v>
      </c>
      <c r="BX29" s="417" t="s">
        <v>1</v>
      </c>
      <c r="BY29" s="417" t="s">
        <v>1</v>
      </c>
      <c r="BZ29" s="417" t="s">
        <v>1</v>
      </c>
      <c r="CB29" s="371">
        <v>2</v>
      </c>
      <c r="CC29" s="50" t="s">
        <v>150</v>
      </c>
      <c r="CD29" s="50" t="s">
        <v>149</v>
      </c>
      <c r="CE29" s="373">
        <v>42551</v>
      </c>
    </row>
    <row r="30" spans="1:83" s="371" customFormat="1" ht="12.75">
      <c r="A30" s="372" t="s">
        <v>853</v>
      </c>
      <c r="B30" s="412" t="s">
        <v>855</v>
      </c>
      <c r="C30" s="372" t="s">
        <v>852</v>
      </c>
      <c r="D30" s="372" t="s">
        <v>534</v>
      </c>
      <c r="E30" s="411">
        <v>43100</v>
      </c>
      <c r="F30" s="411">
        <v>43190</v>
      </c>
      <c r="G30" s="411">
        <v>42123</v>
      </c>
      <c r="H30" s="413">
        <v>491.46026999999998</v>
      </c>
      <c r="I30" s="413">
        <v>9.49</v>
      </c>
      <c r="J30" s="413">
        <v>565.20726999999999</v>
      </c>
      <c r="K30" s="413">
        <v>3.7210000000000001</v>
      </c>
      <c r="L30" s="413" t="s">
        <v>1</v>
      </c>
      <c r="M30" s="413" t="s">
        <v>1</v>
      </c>
      <c r="N30" s="413">
        <v>77.468000000000004</v>
      </c>
      <c r="O30" s="413" t="s">
        <v>1</v>
      </c>
      <c r="P30" s="413" t="s">
        <v>1</v>
      </c>
      <c r="Q30" s="413" t="s">
        <v>1</v>
      </c>
      <c r="R30" s="413" t="s">
        <v>1</v>
      </c>
      <c r="S30" s="413" t="s">
        <v>1</v>
      </c>
      <c r="T30" s="413" t="s">
        <v>1</v>
      </c>
      <c r="U30" s="413" t="s">
        <v>1</v>
      </c>
      <c r="V30" s="413" t="s">
        <v>1</v>
      </c>
      <c r="W30" s="413" t="s">
        <v>1</v>
      </c>
      <c r="X30" s="413" t="s">
        <v>1</v>
      </c>
      <c r="Y30" s="413" t="s">
        <v>1</v>
      </c>
      <c r="Z30" s="413" t="s">
        <v>1</v>
      </c>
      <c r="AA30" s="413" t="s">
        <v>1</v>
      </c>
      <c r="AB30" s="413" t="s">
        <v>1</v>
      </c>
      <c r="AC30" s="413">
        <v>-21.8</v>
      </c>
      <c r="AD30" s="413">
        <v>-26.6</v>
      </c>
      <c r="AE30" s="413">
        <v>-33.799999999999997</v>
      </c>
      <c r="AF30" s="414" t="s">
        <v>1</v>
      </c>
      <c r="AG30" s="414" t="s">
        <v>1</v>
      </c>
      <c r="AH30" s="414" t="s">
        <v>1</v>
      </c>
      <c r="AI30" s="414" t="s">
        <v>1</v>
      </c>
      <c r="AJ30" s="413">
        <v>-1.00823</v>
      </c>
      <c r="AK30" s="413">
        <v>-1.0215399999999999</v>
      </c>
      <c r="AL30" s="413">
        <v>-1.355</v>
      </c>
      <c r="AM30" s="413" t="s">
        <v>1</v>
      </c>
      <c r="AN30" s="413" t="s">
        <v>1</v>
      </c>
      <c r="AO30" s="413" t="s">
        <v>1</v>
      </c>
      <c r="AP30" s="415" t="s">
        <v>2795</v>
      </c>
      <c r="AQ30" s="416">
        <v>1.38575</v>
      </c>
      <c r="AR30" s="416">
        <v>1.5939399999999999</v>
      </c>
      <c r="AS30" s="416">
        <v>2.76172</v>
      </c>
      <c r="AT30" s="414">
        <v>0</v>
      </c>
      <c r="AU30" s="413">
        <v>-21.27956</v>
      </c>
      <c r="AV30" s="413">
        <v>-16.36683</v>
      </c>
      <c r="AW30" s="413">
        <v>-18.906669999999998</v>
      </c>
      <c r="AX30" s="413">
        <v>-14.731820000000001</v>
      </c>
      <c r="AY30" s="413">
        <v>-20.577670000000001</v>
      </c>
      <c r="AZ30" s="413">
        <v>5.7697399999999996</v>
      </c>
      <c r="BA30" s="413">
        <v>7.5460900000000004</v>
      </c>
      <c r="BB30" s="413">
        <v>72.632000000000005</v>
      </c>
      <c r="BC30" s="413">
        <v>8.0428700000000006</v>
      </c>
      <c r="BD30" s="413">
        <v>13.464840000000001</v>
      </c>
      <c r="BE30" s="413">
        <v>4.37</v>
      </c>
      <c r="BF30" s="413">
        <v>222.42777000000001</v>
      </c>
      <c r="BG30" s="413">
        <v>3.4505400000000002</v>
      </c>
      <c r="BH30" s="371" t="s">
        <v>1</v>
      </c>
      <c r="BI30" s="371" t="s">
        <v>1</v>
      </c>
      <c r="BJ30" s="413">
        <v>20.575959999999998</v>
      </c>
      <c r="BK30" s="371" t="s">
        <v>1</v>
      </c>
      <c r="BL30" s="371">
        <v>0</v>
      </c>
      <c r="BM30" s="371">
        <v>0</v>
      </c>
      <c r="BN30" s="371">
        <v>0</v>
      </c>
      <c r="BO30" s="371">
        <v>0</v>
      </c>
      <c r="BP30" s="371">
        <v>0</v>
      </c>
      <c r="BQ30" s="371">
        <v>0</v>
      </c>
      <c r="BR30" s="375" t="s">
        <v>504</v>
      </c>
      <c r="BS30" s="417">
        <v>1.108049474673342</v>
      </c>
      <c r="BT30" s="417">
        <v>0.90426976033919249</v>
      </c>
      <c r="BU30" s="417">
        <v>1.0385011747809152</v>
      </c>
      <c r="BV30" s="417">
        <v>1.018566973519184</v>
      </c>
      <c r="BW30" s="417" t="s">
        <v>1</v>
      </c>
      <c r="BX30" s="417" t="s">
        <v>1</v>
      </c>
      <c r="BY30" s="417" t="s">
        <v>1</v>
      </c>
      <c r="BZ30" s="417" t="s">
        <v>1</v>
      </c>
      <c r="CB30" s="371">
        <v>2</v>
      </c>
      <c r="CC30" s="50" t="s">
        <v>150</v>
      </c>
      <c r="CD30" s="50" t="s">
        <v>149</v>
      </c>
      <c r="CE30" s="373">
        <v>42551</v>
      </c>
    </row>
    <row r="31" spans="1:83" s="371" customFormat="1" ht="12.75">
      <c r="A31" s="372" t="s">
        <v>3148</v>
      </c>
      <c r="B31" s="412" t="s">
        <v>3149</v>
      </c>
      <c r="C31" s="372" t="s">
        <v>3150</v>
      </c>
      <c r="D31" s="372" t="s">
        <v>505</v>
      </c>
      <c r="E31" s="411">
        <v>43100</v>
      </c>
      <c r="F31" s="411">
        <v>43190</v>
      </c>
      <c r="G31" s="411">
        <v>43272</v>
      </c>
      <c r="H31" s="413">
        <v>436.81565999999998</v>
      </c>
      <c r="I31" s="413">
        <v>18.98</v>
      </c>
      <c r="J31" s="413">
        <v>374.58265999999998</v>
      </c>
      <c r="K31" s="413">
        <v>18.050999999999998</v>
      </c>
      <c r="L31" s="413">
        <v>102.292</v>
      </c>
      <c r="M31" s="413" t="s">
        <v>1</v>
      </c>
      <c r="N31" s="413">
        <v>58.11</v>
      </c>
      <c r="O31" s="413" t="s">
        <v>1</v>
      </c>
      <c r="P31" s="413" t="s">
        <v>1</v>
      </c>
      <c r="Q31" s="413">
        <v>1.4650000000000001</v>
      </c>
      <c r="R31" s="413">
        <v>1.075</v>
      </c>
      <c r="S31" s="413">
        <v>1.556</v>
      </c>
      <c r="T31" s="413" t="s">
        <v>1</v>
      </c>
      <c r="U31" s="413" t="s">
        <v>1</v>
      </c>
      <c r="V31" s="413" t="s">
        <v>1</v>
      </c>
      <c r="W31" s="413" t="s">
        <v>1</v>
      </c>
      <c r="X31" s="413" t="s">
        <v>1</v>
      </c>
      <c r="Y31" s="413" t="s">
        <v>1</v>
      </c>
      <c r="Z31" s="413">
        <v>-33.508000000000003</v>
      </c>
      <c r="AA31" s="413">
        <v>-13.115</v>
      </c>
      <c r="AB31" s="413">
        <v>-26.452000000000002</v>
      </c>
      <c r="AC31" s="413" t="s">
        <v>1</v>
      </c>
      <c r="AD31" s="413" t="s">
        <v>1</v>
      </c>
      <c r="AE31" s="413" t="s">
        <v>1</v>
      </c>
      <c r="AF31" s="414">
        <v>0.96860000000000002</v>
      </c>
      <c r="AG31" s="414" t="s">
        <v>1</v>
      </c>
      <c r="AH31" s="414" t="s">
        <v>1</v>
      </c>
      <c r="AI31" s="414" t="s">
        <v>1</v>
      </c>
      <c r="AJ31" s="413" t="s">
        <v>1</v>
      </c>
      <c r="AK31" s="413" t="s">
        <v>1</v>
      </c>
      <c r="AL31" s="413">
        <v>-7.4660000000000002</v>
      </c>
      <c r="AM31" s="413" t="s">
        <v>1</v>
      </c>
      <c r="AN31" s="413" t="s">
        <v>1</v>
      </c>
      <c r="AO31" s="413">
        <v>-0.69099999999999995</v>
      </c>
      <c r="AP31" s="415" t="s">
        <v>3151</v>
      </c>
      <c r="AQ31" s="416" t="s">
        <v>1</v>
      </c>
      <c r="AR31" s="416" t="s">
        <v>1</v>
      </c>
      <c r="AS31" s="416" t="s">
        <v>1</v>
      </c>
      <c r="AT31" s="414">
        <v>0</v>
      </c>
      <c r="AU31" s="413" t="s">
        <v>1</v>
      </c>
      <c r="AV31" s="413" t="s">
        <v>1</v>
      </c>
      <c r="AW31" s="413">
        <v>-33.811999999999998</v>
      </c>
      <c r="AX31" s="413">
        <v>-13.209</v>
      </c>
      <c r="AY31" s="413">
        <v>-26.553999999999998</v>
      </c>
      <c r="AZ31" s="413" t="s">
        <v>1</v>
      </c>
      <c r="BA31" s="413" t="s">
        <v>1</v>
      </c>
      <c r="BB31" s="413">
        <v>32.85</v>
      </c>
      <c r="BC31" s="413">
        <v>30.963999999999999</v>
      </c>
      <c r="BD31" s="413">
        <v>40.048000000000002</v>
      </c>
      <c r="BE31" s="413" t="s">
        <v>1</v>
      </c>
      <c r="BF31" s="413" t="s">
        <v>1</v>
      </c>
      <c r="BG31" s="413">
        <v>0</v>
      </c>
      <c r="BH31" s="371">
        <v>97.878</v>
      </c>
      <c r="BI31" s="371" t="s">
        <v>1</v>
      </c>
      <c r="BJ31" s="413">
        <v>42.045000000000002</v>
      </c>
      <c r="BK31" s="371" t="s">
        <v>1</v>
      </c>
      <c r="BL31" s="371">
        <v>0</v>
      </c>
      <c r="BM31" s="371">
        <v>0</v>
      </c>
      <c r="BN31" s="371">
        <v>0</v>
      </c>
      <c r="BO31" s="371">
        <v>0</v>
      </c>
      <c r="BP31" s="371">
        <v>0</v>
      </c>
      <c r="BQ31" s="371">
        <v>0</v>
      </c>
      <c r="BR31" s="375">
        <v>0.13788395904436859</v>
      </c>
      <c r="BS31" s="417">
        <v>0.62556853488824193</v>
      </c>
      <c r="BT31" s="417" t="s">
        <v>1</v>
      </c>
      <c r="BU31" s="417" t="s">
        <v>1</v>
      </c>
      <c r="BV31" s="417" t="s">
        <v>1</v>
      </c>
      <c r="BW31" s="417" t="s">
        <v>1</v>
      </c>
      <c r="BX31" s="417" t="s">
        <v>1</v>
      </c>
      <c r="BY31" s="417" t="s">
        <v>1</v>
      </c>
      <c r="BZ31" s="417" t="s">
        <v>1</v>
      </c>
      <c r="CB31" s="371">
        <v>2</v>
      </c>
      <c r="CC31" s="50" t="s">
        <v>150</v>
      </c>
      <c r="CD31" s="50" t="s">
        <v>149</v>
      </c>
      <c r="CE31" s="373">
        <v>42551</v>
      </c>
    </row>
    <row r="32" spans="1:83" s="371" customFormat="1" ht="12.75">
      <c r="A32" s="372" t="s">
        <v>1184</v>
      </c>
      <c r="B32" s="412" t="s">
        <v>1186</v>
      </c>
      <c r="C32" s="372" t="s">
        <v>1183</v>
      </c>
      <c r="D32" s="372" t="s">
        <v>505</v>
      </c>
      <c r="E32" s="411">
        <v>43100</v>
      </c>
      <c r="F32" s="411">
        <v>43190</v>
      </c>
      <c r="G32" s="411">
        <v>43076</v>
      </c>
      <c r="H32" s="413">
        <v>398.43880999999999</v>
      </c>
      <c r="I32" s="413">
        <v>22.08</v>
      </c>
      <c r="J32" s="413">
        <v>593.68480999999997</v>
      </c>
      <c r="K32" s="413">
        <v>0</v>
      </c>
      <c r="L32" s="413" t="s">
        <v>1</v>
      </c>
      <c r="M32" s="413" t="s">
        <v>1</v>
      </c>
      <c r="N32" s="413">
        <v>195.24600000000001</v>
      </c>
      <c r="O32" s="413" t="s">
        <v>1</v>
      </c>
      <c r="P32" s="413" t="s">
        <v>1</v>
      </c>
      <c r="Q32" s="413" t="s">
        <v>1</v>
      </c>
      <c r="R32" s="413" t="s">
        <v>1</v>
      </c>
      <c r="S32" s="413" t="s">
        <v>1</v>
      </c>
      <c r="T32" s="413" t="s">
        <v>1</v>
      </c>
      <c r="U32" s="413" t="s">
        <v>1</v>
      </c>
      <c r="V32" s="413" t="s">
        <v>1</v>
      </c>
      <c r="W32" s="413">
        <v>80</v>
      </c>
      <c r="X32" s="413" t="s">
        <v>1</v>
      </c>
      <c r="Y32" s="413" t="s">
        <v>1</v>
      </c>
      <c r="Z32" s="413">
        <v>-46.865000000000002</v>
      </c>
      <c r="AA32" s="413" t="s">
        <v>1</v>
      </c>
      <c r="AB32" s="413">
        <v>-32.723999999999997</v>
      </c>
      <c r="AC32" s="413">
        <v>-94.513999999999996</v>
      </c>
      <c r="AD32" s="413">
        <v>-78.200999999999993</v>
      </c>
      <c r="AE32" s="413">
        <v>-90.662999999999997</v>
      </c>
      <c r="AF32" s="414" t="s">
        <v>1</v>
      </c>
      <c r="AG32" s="414" t="s">
        <v>1</v>
      </c>
      <c r="AH32" s="414" t="s">
        <v>1</v>
      </c>
      <c r="AI32" s="414" t="s">
        <v>1</v>
      </c>
      <c r="AJ32" s="413" t="s">
        <v>1</v>
      </c>
      <c r="AK32" s="413" t="s">
        <v>1</v>
      </c>
      <c r="AL32" s="413">
        <v>-6.1310000000000002</v>
      </c>
      <c r="AM32" s="413" t="s">
        <v>1</v>
      </c>
      <c r="AN32" s="413" t="s">
        <v>1</v>
      </c>
      <c r="AO32" s="413">
        <v>-8.6999999999999994E-2</v>
      </c>
      <c r="AP32" s="415" t="s">
        <v>2782</v>
      </c>
      <c r="AQ32" s="416">
        <v>3.1049500000000001</v>
      </c>
      <c r="AR32" s="416" t="s">
        <v>1</v>
      </c>
      <c r="AS32" s="416" t="s">
        <v>1</v>
      </c>
      <c r="AT32" s="414">
        <v>0</v>
      </c>
      <c r="AU32" s="413" t="s">
        <v>1</v>
      </c>
      <c r="AV32" s="413">
        <v>-5.726</v>
      </c>
      <c r="AW32" s="413">
        <v>-46.899000000000001</v>
      </c>
      <c r="AX32" s="413">
        <v>-3.085</v>
      </c>
      <c r="AY32" s="413">
        <v>-32.744</v>
      </c>
      <c r="AZ32" s="413" t="s">
        <v>1</v>
      </c>
      <c r="BA32" s="413">
        <v>2.2829999999999999</v>
      </c>
      <c r="BB32" s="413">
        <v>190.024</v>
      </c>
      <c r="BC32" s="413">
        <v>2.2829999999999999</v>
      </c>
      <c r="BD32" s="413">
        <v>195.982</v>
      </c>
      <c r="BE32" s="413">
        <v>21.18</v>
      </c>
      <c r="BF32" s="413">
        <v>578.87967000000003</v>
      </c>
      <c r="BG32" s="413">
        <v>0</v>
      </c>
      <c r="BH32" s="371" t="s">
        <v>1</v>
      </c>
      <c r="BI32" s="371" t="s">
        <v>1</v>
      </c>
      <c r="BJ32" s="413">
        <v>198.10499999999999</v>
      </c>
      <c r="BK32" s="371" t="s">
        <v>1</v>
      </c>
      <c r="BL32" s="371">
        <v>0</v>
      </c>
      <c r="BM32" s="371">
        <v>0</v>
      </c>
      <c r="BN32" s="371">
        <v>0</v>
      </c>
      <c r="BO32" s="371">
        <v>0</v>
      </c>
      <c r="BP32" s="371">
        <v>0</v>
      </c>
      <c r="BQ32" s="371">
        <v>0</v>
      </c>
      <c r="BR32" s="375" t="s">
        <v>504</v>
      </c>
      <c r="BS32" s="417">
        <v>0.63836989495902519</v>
      </c>
      <c r="BT32" s="417" t="s">
        <v>1</v>
      </c>
      <c r="BU32" s="417" t="s">
        <v>1</v>
      </c>
      <c r="BV32" s="417" t="s">
        <v>1</v>
      </c>
      <c r="BW32" s="417" t="s">
        <v>1</v>
      </c>
      <c r="BX32" s="417" t="s">
        <v>1</v>
      </c>
      <c r="BY32" s="417" t="s">
        <v>1</v>
      </c>
      <c r="BZ32" s="417" t="s">
        <v>1</v>
      </c>
      <c r="CB32" s="371">
        <v>2</v>
      </c>
      <c r="CC32" s="50" t="s">
        <v>150</v>
      </c>
      <c r="CD32" s="50" t="s">
        <v>149</v>
      </c>
      <c r="CE32" s="373">
        <v>42551</v>
      </c>
    </row>
    <row r="33" spans="1:83" s="371" customFormat="1" ht="12.75">
      <c r="A33" s="372" t="s">
        <v>1194</v>
      </c>
      <c r="B33" s="412" t="s">
        <v>1196</v>
      </c>
      <c r="C33" s="372" t="s">
        <v>1658</v>
      </c>
      <c r="D33" s="372" t="s">
        <v>505</v>
      </c>
      <c r="E33" s="411">
        <v>43100</v>
      </c>
      <c r="F33" s="411">
        <v>43190</v>
      </c>
      <c r="G33" s="411">
        <v>43006</v>
      </c>
      <c r="H33" s="413">
        <v>340.19842</v>
      </c>
      <c r="I33" s="413">
        <v>16</v>
      </c>
      <c r="J33" s="413">
        <v>462.47541999999999</v>
      </c>
      <c r="K33" s="413">
        <v>0</v>
      </c>
      <c r="L33" s="413" t="s">
        <v>1</v>
      </c>
      <c r="M33" s="413" t="s">
        <v>1</v>
      </c>
      <c r="N33" s="413">
        <v>122.277</v>
      </c>
      <c r="O33" s="413" t="s">
        <v>1</v>
      </c>
      <c r="P33" s="413" t="s">
        <v>1</v>
      </c>
      <c r="Q33" s="413" t="s">
        <v>1</v>
      </c>
      <c r="R33" s="413" t="s">
        <v>1</v>
      </c>
      <c r="S33" s="413" t="s">
        <v>1</v>
      </c>
      <c r="T33" s="413" t="s">
        <v>1</v>
      </c>
      <c r="U33" s="413" t="s">
        <v>1</v>
      </c>
      <c r="V33" s="413">
        <v>0.78983000000000003</v>
      </c>
      <c r="W33" s="413">
        <v>145.66249999999999</v>
      </c>
      <c r="X33" s="413">
        <v>-9.2840000000000007</v>
      </c>
      <c r="Y33" s="413">
        <v>-12.585000000000001</v>
      </c>
      <c r="Z33" s="413">
        <v>-32.640999999999998</v>
      </c>
      <c r="AA33" s="413">
        <v>-12.082000000000001</v>
      </c>
      <c r="AB33" s="413">
        <v>-27.297000000000001</v>
      </c>
      <c r="AC33" s="413" t="s">
        <v>1</v>
      </c>
      <c r="AD33" s="413" t="s">
        <v>1</v>
      </c>
      <c r="AE33" s="413" t="s">
        <v>1</v>
      </c>
      <c r="AF33" s="414" t="s">
        <v>1</v>
      </c>
      <c r="AG33" s="414" t="s">
        <v>1</v>
      </c>
      <c r="AH33" s="414" t="s">
        <v>1</v>
      </c>
      <c r="AI33" s="414" t="s">
        <v>1</v>
      </c>
      <c r="AJ33" s="413">
        <v>0.17299999999999999</v>
      </c>
      <c r="AK33" s="413" t="s">
        <v>1</v>
      </c>
      <c r="AL33" s="413">
        <v>-3.9929999999999999</v>
      </c>
      <c r="AM33" s="413">
        <v>-0.28899999999999998</v>
      </c>
      <c r="AN33" s="413">
        <v>-0.223</v>
      </c>
      <c r="AO33" s="413">
        <v>-0.19900000000000001</v>
      </c>
      <c r="AP33" s="415" t="s">
        <v>3152</v>
      </c>
      <c r="AQ33" s="416">
        <v>0.13217999999999999</v>
      </c>
      <c r="AR33" s="416" t="s">
        <v>1</v>
      </c>
      <c r="AS33" s="416" t="s">
        <v>1</v>
      </c>
      <c r="AT33" s="414">
        <v>0</v>
      </c>
      <c r="AU33" s="413">
        <v>-13.648</v>
      </c>
      <c r="AV33" s="413">
        <v>-12.723000000000001</v>
      </c>
      <c r="AW33" s="413">
        <v>-40.572000000000003</v>
      </c>
      <c r="AX33" s="413">
        <v>-12.198</v>
      </c>
      <c r="AY33" s="413">
        <v>-29.686</v>
      </c>
      <c r="AZ33" s="413">
        <v>11.102</v>
      </c>
      <c r="BA33" s="413">
        <v>9.0440000000000005</v>
      </c>
      <c r="BB33" s="413">
        <v>118.636</v>
      </c>
      <c r="BC33" s="413">
        <v>9.0440000000000005</v>
      </c>
      <c r="BD33" s="413">
        <v>125.812</v>
      </c>
      <c r="BE33" s="413">
        <v>14.31</v>
      </c>
      <c r="BF33" s="413">
        <v>413.62646000000001</v>
      </c>
      <c r="BG33" s="413">
        <v>0</v>
      </c>
      <c r="BH33" s="371" t="s">
        <v>1</v>
      </c>
      <c r="BI33" s="371" t="s">
        <v>1</v>
      </c>
      <c r="BJ33" s="413">
        <v>69.584000000000003</v>
      </c>
      <c r="BK33" s="371" t="s">
        <v>504</v>
      </c>
      <c r="BL33" s="371">
        <v>0</v>
      </c>
      <c r="BM33" s="371">
        <v>0</v>
      </c>
      <c r="BN33" s="371">
        <v>0</v>
      </c>
      <c r="BO33" s="371">
        <v>0</v>
      </c>
      <c r="BP33" s="371">
        <v>0</v>
      </c>
      <c r="BQ33" s="371">
        <v>0</v>
      </c>
      <c r="BR33" s="375" t="s">
        <v>504</v>
      </c>
      <c r="BS33" s="417">
        <v>0.70879391390974333</v>
      </c>
      <c r="BT33" s="417" t="s">
        <v>1</v>
      </c>
      <c r="BU33" s="417" t="s">
        <v>1</v>
      </c>
      <c r="BV33" s="417" t="s">
        <v>1</v>
      </c>
      <c r="BW33" s="417" t="s">
        <v>1</v>
      </c>
      <c r="BX33" s="417" t="s">
        <v>1</v>
      </c>
      <c r="BY33" s="417" t="s">
        <v>1</v>
      </c>
      <c r="BZ33" s="417" t="s">
        <v>1</v>
      </c>
      <c r="CB33" s="371">
        <v>2</v>
      </c>
      <c r="CC33" s="50" t="s">
        <v>150</v>
      </c>
      <c r="CD33" s="50" t="s">
        <v>149</v>
      </c>
      <c r="CE33" s="373">
        <v>42551</v>
      </c>
    </row>
    <row r="34" spans="1:83" s="371" customFormat="1" ht="12.75">
      <c r="A34" s="372" t="s">
        <v>1669</v>
      </c>
      <c r="B34" s="412" t="s">
        <v>1670</v>
      </c>
      <c r="C34" s="372" t="s">
        <v>1671</v>
      </c>
      <c r="D34" s="372" t="s">
        <v>505</v>
      </c>
      <c r="E34" s="411">
        <v>43100</v>
      </c>
      <c r="F34" s="411">
        <v>43190</v>
      </c>
      <c r="G34" s="411">
        <v>41810</v>
      </c>
      <c r="H34" s="413">
        <v>294.85737</v>
      </c>
      <c r="I34" s="413">
        <v>10.23</v>
      </c>
      <c r="J34" s="413">
        <v>363.76737000000003</v>
      </c>
      <c r="K34" s="413">
        <v>20.16</v>
      </c>
      <c r="L34" s="413" t="s">
        <v>1</v>
      </c>
      <c r="M34" s="413" t="s">
        <v>1</v>
      </c>
      <c r="N34" s="413">
        <v>89.07</v>
      </c>
      <c r="O34" s="413" t="s">
        <v>1</v>
      </c>
      <c r="P34" s="413" t="s">
        <v>1</v>
      </c>
      <c r="Q34" s="413" t="s">
        <v>1</v>
      </c>
      <c r="R34" s="413" t="s">
        <v>1</v>
      </c>
      <c r="S34" s="413" t="s">
        <v>1</v>
      </c>
      <c r="T34" s="413" t="s">
        <v>1</v>
      </c>
      <c r="U34" s="413">
        <v>3.3333300000000001</v>
      </c>
      <c r="V34" s="413" t="s">
        <v>1</v>
      </c>
      <c r="W34" s="413" t="s">
        <v>1</v>
      </c>
      <c r="X34" s="413">
        <v>-78.314999999999998</v>
      </c>
      <c r="Y34" s="413">
        <v>-52.027000000000001</v>
      </c>
      <c r="Z34" s="413">
        <v>-55.238999999999997</v>
      </c>
      <c r="AA34" s="413">
        <v>-56.61</v>
      </c>
      <c r="AB34" s="413">
        <v>-52.811</v>
      </c>
      <c r="AC34" s="413" t="s">
        <v>1</v>
      </c>
      <c r="AD34" s="413" t="s">
        <v>1</v>
      </c>
      <c r="AE34" s="413" t="s">
        <v>1</v>
      </c>
      <c r="AF34" s="414" t="s">
        <v>1</v>
      </c>
      <c r="AG34" s="414" t="s">
        <v>1</v>
      </c>
      <c r="AH34" s="414" t="s">
        <v>1</v>
      </c>
      <c r="AI34" s="414" t="s">
        <v>1</v>
      </c>
      <c r="AJ34" s="413">
        <v>-7.2249999999999996</v>
      </c>
      <c r="AK34" s="413">
        <v>-4.0140000000000002</v>
      </c>
      <c r="AL34" s="413">
        <v>-5.1050000000000004</v>
      </c>
      <c r="AM34" s="413">
        <v>-0.96799999999999997</v>
      </c>
      <c r="AN34" s="413">
        <v>-0.27</v>
      </c>
      <c r="AO34" s="413">
        <v>-4.5999999999999999E-2</v>
      </c>
      <c r="AP34" s="415" t="s">
        <v>2800</v>
      </c>
      <c r="AQ34" s="416">
        <v>-1.17459</v>
      </c>
      <c r="AR34" s="416">
        <v>-0.30192999999999998</v>
      </c>
      <c r="AS34" s="416">
        <v>-0.58462000000000003</v>
      </c>
      <c r="AT34" s="414">
        <v>0</v>
      </c>
      <c r="AU34" s="413">
        <v>-78.55</v>
      </c>
      <c r="AV34" s="413">
        <v>-53.152999999999999</v>
      </c>
      <c r="AW34" s="413">
        <v>-54.972999999999999</v>
      </c>
      <c r="AX34" s="413">
        <v>-57.878</v>
      </c>
      <c r="AY34" s="413">
        <v>-52.027999999999999</v>
      </c>
      <c r="AZ34" s="413">
        <v>154.428</v>
      </c>
      <c r="BA34" s="413">
        <v>110.774</v>
      </c>
      <c r="BB34" s="413">
        <v>64.997</v>
      </c>
      <c r="BC34" s="413">
        <v>121.727</v>
      </c>
      <c r="BD34" s="413">
        <v>78.216999999999999</v>
      </c>
      <c r="BE34" s="413">
        <v>7.45</v>
      </c>
      <c r="BF34" s="413">
        <v>205.31368000000001</v>
      </c>
      <c r="BG34" s="413">
        <v>20</v>
      </c>
      <c r="BH34" s="371" t="s">
        <v>1</v>
      </c>
      <c r="BI34" s="371" t="s">
        <v>1</v>
      </c>
      <c r="BJ34" s="413">
        <v>102.05200000000001</v>
      </c>
      <c r="BK34" s="371" t="s">
        <v>1</v>
      </c>
      <c r="BL34" s="371">
        <v>0</v>
      </c>
      <c r="BM34" s="371">
        <v>0</v>
      </c>
      <c r="BN34" s="371">
        <v>0</v>
      </c>
      <c r="BO34" s="371" t="s">
        <v>1</v>
      </c>
      <c r="BP34" s="371" t="s">
        <v>1</v>
      </c>
      <c r="BQ34" s="371">
        <v>0</v>
      </c>
      <c r="BR34" s="375" t="s">
        <v>504</v>
      </c>
      <c r="BS34" s="417">
        <v>0.62800291493254212</v>
      </c>
      <c r="BT34" s="417">
        <v>0.78226227350182032</v>
      </c>
      <c r="BU34" s="417">
        <v>1.1302394832325817</v>
      </c>
      <c r="BV34" s="417">
        <v>1.020360192619892</v>
      </c>
      <c r="BW34" s="417">
        <v>1.0178372234009103</v>
      </c>
      <c r="BX34" s="417" t="s">
        <v>1</v>
      </c>
      <c r="BY34" s="417" t="s">
        <v>1</v>
      </c>
      <c r="BZ34" s="417" t="s">
        <v>1</v>
      </c>
      <c r="CB34" s="371">
        <v>2</v>
      </c>
      <c r="CC34" s="50" t="s">
        <v>150</v>
      </c>
      <c r="CD34" s="50" t="s">
        <v>149</v>
      </c>
      <c r="CE34" s="373">
        <v>42551</v>
      </c>
    </row>
    <row r="35" spans="1:83" s="371" customFormat="1" ht="12.75">
      <c r="A35" s="372" t="s">
        <v>2791</v>
      </c>
      <c r="B35" s="412" t="s">
        <v>2792</v>
      </c>
      <c r="C35" s="372" t="s">
        <v>2793</v>
      </c>
      <c r="D35" s="372" t="s">
        <v>503</v>
      </c>
      <c r="E35" s="411">
        <v>43100</v>
      </c>
      <c r="F35" s="411">
        <v>43190</v>
      </c>
      <c r="G35" s="411">
        <v>39058</v>
      </c>
      <c r="H35" s="413">
        <v>264.44821999999999</v>
      </c>
      <c r="I35" s="413">
        <v>7.96</v>
      </c>
      <c r="J35" s="413">
        <v>327.38742000000002</v>
      </c>
      <c r="K35" s="413">
        <v>0</v>
      </c>
      <c r="L35" s="413" t="s">
        <v>1</v>
      </c>
      <c r="M35" s="413" t="s">
        <v>1</v>
      </c>
      <c r="N35" s="413">
        <v>62.9392</v>
      </c>
      <c r="O35" s="413" t="s">
        <v>1</v>
      </c>
      <c r="P35" s="413" t="s">
        <v>1</v>
      </c>
      <c r="Q35" s="413" t="s">
        <v>1</v>
      </c>
      <c r="R35" s="413" t="s">
        <v>1</v>
      </c>
      <c r="S35" s="413" t="s">
        <v>1</v>
      </c>
      <c r="T35" s="413" t="s">
        <v>1</v>
      </c>
      <c r="U35" s="413" t="s">
        <v>1</v>
      </c>
      <c r="V35" s="413" t="s">
        <v>1</v>
      </c>
      <c r="W35" s="413" t="s">
        <v>1</v>
      </c>
      <c r="X35" s="413">
        <v>-9.9773800000000001</v>
      </c>
      <c r="Y35" s="413">
        <v>-10.49654</v>
      </c>
      <c r="Z35" s="413">
        <v>-14.642580000000001</v>
      </c>
      <c r="AA35" s="413">
        <v>-10.867710000000001</v>
      </c>
      <c r="AB35" s="413">
        <v>-12.999000000000001</v>
      </c>
      <c r="AC35" s="413">
        <v>-22</v>
      </c>
      <c r="AD35" s="413">
        <v>-29.46</v>
      </c>
      <c r="AE35" s="413">
        <v>-17.79</v>
      </c>
      <c r="AF35" s="414" t="s">
        <v>1</v>
      </c>
      <c r="AG35" s="414" t="s">
        <v>1</v>
      </c>
      <c r="AH35" s="414" t="s">
        <v>1</v>
      </c>
      <c r="AI35" s="414" t="s">
        <v>1</v>
      </c>
      <c r="AJ35" s="413">
        <v>1.9310000000000001E-2</v>
      </c>
      <c r="AK35" s="413">
        <v>-0.33476</v>
      </c>
      <c r="AL35" s="413">
        <v>-0.56630999999999998</v>
      </c>
      <c r="AM35" s="413">
        <v>-2.4330000000000001E-2</v>
      </c>
      <c r="AN35" s="413">
        <v>-6.2480000000000001E-2</v>
      </c>
      <c r="AO35" s="413">
        <v>-8.5800000000000008E-3</v>
      </c>
      <c r="AP35" s="415" t="s">
        <v>2794</v>
      </c>
      <c r="AQ35" s="416">
        <v>1.0388599999999999</v>
      </c>
      <c r="AR35" s="416">
        <v>1.3481099999999999</v>
      </c>
      <c r="AS35" s="416">
        <v>0.24084</v>
      </c>
      <c r="AT35" s="414">
        <v>0</v>
      </c>
      <c r="AU35" s="413">
        <v>-10.011609999999999</v>
      </c>
      <c r="AV35" s="413">
        <v>-10.500909999999999</v>
      </c>
      <c r="AW35" s="413">
        <v>-12.68966</v>
      </c>
      <c r="AX35" s="413">
        <v>-10.86598</v>
      </c>
      <c r="AY35" s="413">
        <v>-11.16314</v>
      </c>
      <c r="AZ35" s="413">
        <v>39.140140000000002</v>
      </c>
      <c r="BA35" s="413">
        <v>32.751429999999999</v>
      </c>
      <c r="BB35" s="413">
        <v>75.569810000000004</v>
      </c>
      <c r="BC35" s="413">
        <v>34.531930000000003</v>
      </c>
      <c r="BD35" s="413">
        <v>38.642139999999998</v>
      </c>
      <c r="BE35" s="413">
        <v>10.220000000000001</v>
      </c>
      <c r="BF35" s="413">
        <v>418.28973999999999</v>
      </c>
      <c r="BG35" s="413">
        <v>0</v>
      </c>
      <c r="BH35" s="371" t="s">
        <v>1</v>
      </c>
      <c r="BI35" s="371" t="s">
        <v>1</v>
      </c>
      <c r="BJ35" s="413">
        <v>27.99174</v>
      </c>
      <c r="BK35" s="371" t="s">
        <v>504</v>
      </c>
      <c r="BL35" s="371">
        <v>0</v>
      </c>
      <c r="BM35" s="371">
        <v>0</v>
      </c>
      <c r="BN35" s="371">
        <v>0</v>
      </c>
      <c r="BO35" s="371" t="s">
        <v>1</v>
      </c>
      <c r="BP35" s="371" t="s">
        <v>1</v>
      </c>
      <c r="BQ35" s="371" t="s">
        <v>1</v>
      </c>
      <c r="BR35" s="371" t="s">
        <v>504</v>
      </c>
      <c r="BS35" s="417">
        <v>0.61146508834167079</v>
      </c>
      <c r="BT35" s="417">
        <v>0.51145301585206249</v>
      </c>
      <c r="BU35" s="417">
        <v>0.53341465176244662</v>
      </c>
      <c r="BV35" s="417">
        <v>0.60761715593783316</v>
      </c>
      <c r="BW35" s="417">
        <v>0.59885102392555545</v>
      </c>
      <c r="BX35" s="417">
        <v>0.65589200493632394</v>
      </c>
      <c r="BY35" s="417">
        <v>0.70481835225978662</v>
      </c>
      <c r="BZ35" s="417">
        <v>0.722839947982026</v>
      </c>
      <c r="CB35" s="371">
        <v>2</v>
      </c>
      <c r="CC35" s="50" t="s">
        <v>150</v>
      </c>
      <c r="CD35" s="50" t="s">
        <v>149</v>
      </c>
      <c r="CE35" s="373">
        <v>42551</v>
      </c>
    </row>
    <row r="36" spans="1:83" s="371" customFormat="1" ht="12.75">
      <c r="A36" s="372" t="s">
        <v>2783</v>
      </c>
      <c r="B36" s="412" t="s">
        <v>2784</v>
      </c>
      <c r="C36" s="372" t="s">
        <v>2785</v>
      </c>
      <c r="D36" s="372" t="s">
        <v>534</v>
      </c>
      <c r="E36" s="411">
        <v>43100</v>
      </c>
      <c r="F36" s="411">
        <v>43190</v>
      </c>
      <c r="G36" s="411">
        <v>40249</v>
      </c>
      <c r="H36" s="413">
        <v>260.23347999999999</v>
      </c>
      <c r="I36" s="413">
        <v>2.2599999999999998</v>
      </c>
      <c r="J36" s="413">
        <v>268.64048000000003</v>
      </c>
      <c r="K36" s="413">
        <v>18.588000000000001</v>
      </c>
      <c r="L36" s="413" t="s">
        <v>1</v>
      </c>
      <c r="M36" s="413" t="s">
        <v>1</v>
      </c>
      <c r="N36" s="413">
        <v>26.995000000000001</v>
      </c>
      <c r="O36" s="413">
        <v>20.093</v>
      </c>
      <c r="P36" s="413">
        <v>3.8439999999999999</v>
      </c>
      <c r="Q36" s="413">
        <v>6.0730000000000004</v>
      </c>
      <c r="R36" s="413">
        <v>2.5150000000000001</v>
      </c>
      <c r="S36" s="413">
        <v>7.5789999999999997</v>
      </c>
      <c r="T36" s="413">
        <v>6.1336700000000004</v>
      </c>
      <c r="U36" s="413">
        <v>19.423500000000001</v>
      </c>
      <c r="V36" s="413">
        <v>71.5</v>
      </c>
      <c r="W36" s="413">
        <v>118.3</v>
      </c>
      <c r="X36" s="413">
        <v>-4.2</v>
      </c>
      <c r="Y36" s="413">
        <v>-29.883500000000002</v>
      </c>
      <c r="Z36" s="413" t="s">
        <v>1</v>
      </c>
      <c r="AA36" s="413">
        <v>-29.363</v>
      </c>
      <c r="AB36" s="413">
        <v>-26.707999999999998</v>
      </c>
      <c r="AC36" s="413" t="s">
        <v>1</v>
      </c>
      <c r="AD36" s="413">
        <v>-55.5</v>
      </c>
      <c r="AE36" s="413" t="s">
        <v>1</v>
      </c>
      <c r="AF36" s="414">
        <v>-2.725835</v>
      </c>
      <c r="AG36" s="414" t="s">
        <v>1</v>
      </c>
      <c r="AH36" s="414" t="s">
        <v>1</v>
      </c>
      <c r="AI36" s="414" t="s">
        <v>1</v>
      </c>
      <c r="AJ36" s="413">
        <v>-0.98399999999999999</v>
      </c>
      <c r="AK36" s="413">
        <v>-8.2219999999999995</v>
      </c>
      <c r="AL36" s="413">
        <v>-15.234999999999999</v>
      </c>
      <c r="AM36" s="413">
        <v>-2.1999999999999999E-2</v>
      </c>
      <c r="AN36" s="413">
        <v>-7.0000000000000001E-3</v>
      </c>
      <c r="AO36" s="413" t="s">
        <v>1</v>
      </c>
      <c r="AP36" s="415" t="s">
        <v>2903</v>
      </c>
      <c r="AQ36" s="416">
        <v>-0.14817</v>
      </c>
      <c r="AR36" s="416">
        <v>0.37068000000000001</v>
      </c>
      <c r="AS36" s="416">
        <v>1.61704</v>
      </c>
      <c r="AT36" s="414">
        <v>0</v>
      </c>
      <c r="AU36" s="413">
        <v>-11.837</v>
      </c>
      <c r="AV36" s="413">
        <v>-28.016999999999999</v>
      </c>
      <c r="AW36" s="413">
        <v>-65.173000000000002</v>
      </c>
      <c r="AX36" s="413">
        <v>-26.887</v>
      </c>
      <c r="AY36" s="413">
        <v>-65.025000000000006</v>
      </c>
      <c r="AZ36" s="413">
        <v>9.9149999999999991</v>
      </c>
      <c r="BA36" s="413">
        <v>4.9109999999999996</v>
      </c>
      <c r="BB36" s="413">
        <v>-50.244999999999997</v>
      </c>
      <c r="BC36" s="413">
        <v>-1.923</v>
      </c>
      <c r="BD36" s="413">
        <v>-40.762999999999998</v>
      </c>
      <c r="BE36" s="413">
        <v>2.9</v>
      </c>
      <c r="BF36" s="413">
        <v>344.71566999999999</v>
      </c>
      <c r="BG36" s="413">
        <v>18.477</v>
      </c>
      <c r="BH36" s="371" t="s">
        <v>1</v>
      </c>
      <c r="BI36" s="371" t="s">
        <v>1</v>
      </c>
      <c r="BJ36" s="413">
        <v>33.524999999999999</v>
      </c>
      <c r="BK36" s="371" t="s">
        <v>504</v>
      </c>
      <c r="BL36" s="371">
        <v>-0.45023299999999999</v>
      </c>
      <c r="BM36" s="371">
        <v>0.26954</v>
      </c>
      <c r="BN36" s="371">
        <v>-0.201849</v>
      </c>
      <c r="BO36" s="371">
        <v>0</v>
      </c>
      <c r="BP36" s="371">
        <v>0</v>
      </c>
      <c r="BQ36" s="371">
        <v>0</v>
      </c>
      <c r="BR36" s="371">
        <v>0</v>
      </c>
      <c r="BS36" s="417">
        <v>0.64238582139805211</v>
      </c>
      <c r="BT36" s="417">
        <v>0.80569706584351064</v>
      </c>
      <c r="BU36" s="417">
        <v>0.78126941231523839</v>
      </c>
      <c r="BV36" s="417">
        <v>0.81853123590133092</v>
      </c>
      <c r="BW36" s="417">
        <v>0.7640873487153691</v>
      </c>
      <c r="BX36" s="417">
        <v>0.81245388350940684</v>
      </c>
      <c r="BY36" s="417">
        <v>0.77490205003981816</v>
      </c>
      <c r="BZ36" s="417">
        <v>0.75339036861295994</v>
      </c>
      <c r="CB36" s="371">
        <v>2</v>
      </c>
      <c r="CC36" s="50" t="s">
        <v>150</v>
      </c>
      <c r="CD36" s="50" t="s">
        <v>149</v>
      </c>
      <c r="CE36" s="373">
        <v>42551</v>
      </c>
    </row>
    <row r="37" spans="1:83" s="371" customFormat="1" ht="12.75">
      <c r="A37" s="372" t="s">
        <v>2786</v>
      </c>
      <c r="B37" s="412" t="s">
        <v>2787</v>
      </c>
      <c r="C37" s="372" t="s">
        <v>2788</v>
      </c>
      <c r="D37" s="372" t="s">
        <v>2789</v>
      </c>
      <c r="E37" s="411">
        <v>43100</v>
      </c>
      <c r="F37" s="411">
        <v>43190</v>
      </c>
      <c r="G37" s="411">
        <v>33668</v>
      </c>
      <c r="H37" s="413">
        <v>233.89886999999999</v>
      </c>
      <c r="I37" s="413">
        <v>2.06</v>
      </c>
      <c r="J37" s="413">
        <v>261.35887000000002</v>
      </c>
      <c r="K37" s="413">
        <v>1.4319999999999999</v>
      </c>
      <c r="L37" s="413" t="s">
        <v>1</v>
      </c>
      <c r="M37" s="413">
        <v>2.4870000000000001</v>
      </c>
      <c r="N37" s="413">
        <v>31.379000000000001</v>
      </c>
      <c r="O37" s="413">
        <v>7.8449999999999998</v>
      </c>
      <c r="P37" s="413">
        <v>4.24</v>
      </c>
      <c r="Q37" s="413">
        <v>3.7690000000000001</v>
      </c>
      <c r="R37" s="413">
        <v>5.923</v>
      </c>
      <c r="S37" s="413">
        <v>3.4580000000000002</v>
      </c>
      <c r="T37" s="413">
        <v>2.3733300000000002</v>
      </c>
      <c r="U37" s="413">
        <v>6.3353299999999999</v>
      </c>
      <c r="V37" s="413">
        <v>8.0020000000000007</v>
      </c>
      <c r="W37" s="413">
        <v>15.234999999999999</v>
      </c>
      <c r="X37" s="413">
        <v>-69.564999999999998</v>
      </c>
      <c r="Y37" s="413">
        <v>-42.639000000000003</v>
      </c>
      <c r="Z37" s="413">
        <v>-36.64</v>
      </c>
      <c r="AA37" s="413">
        <v>-54.21</v>
      </c>
      <c r="AB37" s="413">
        <v>-37.36</v>
      </c>
      <c r="AC37" s="413" t="s">
        <v>1</v>
      </c>
      <c r="AD37" s="413" t="s">
        <v>1</v>
      </c>
      <c r="AE37" s="413" t="s">
        <v>1</v>
      </c>
      <c r="AF37" s="414">
        <v>0.94162899999999994</v>
      </c>
      <c r="AG37" s="414" t="s">
        <v>1</v>
      </c>
      <c r="AH37" s="414" t="s">
        <v>1</v>
      </c>
      <c r="AI37" s="414" t="s">
        <v>1</v>
      </c>
      <c r="AJ37" s="413">
        <v>-8.6059999999999999</v>
      </c>
      <c r="AK37" s="413">
        <v>-3.1</v>
      </c>
      <c r="AL37" s="413">
        <v>-0.72099999999999997</v>
      </c>
      <c r="AM37" s="413">
        <v>-5.8109999999999999</v>
      </c>
      <c r="AN37" s="413">
        <v>-1.891</v>
      </c>
      <c r="AO37" s="413">
        <v>-1.3089999999999999</v>
      </c>
      <c r="AP37" s="415" t="s">
        <v>2790</v>
      </c>
      <c r="AQ37" s="416">
        <v>1.39717</v>
      </c>
      <c r="AR37" s="416">
        <v>1.6478699999999999</v>
      </c>
      <c r="AS37" s="416">
        <v>2.0350600000000001</v>
      </c>
      <c r="AT37" s="414">
        <v>0</v>
      </c>
      <c r="AU37" s="413">
        <v>-69.540999999999997</v>
      </c>
      <c r="AV37" s="413">
        <v>89.641999999999996</v>
      </c>
      <c r="AW37" s="413">
        <v>-134.011</v>
      </c>
      <c r="AX37" s="413">
        <v>18.620999999999999</v>
      </c>
      <c r="AY37" s="413">
        <v>-23.289000000000001</v>
      </c>
      <c r="AZ37" s="413">
        <v>59.591999999999999</v>
      </c>
      <c r="BA37" s="413">
        <v>189.697</v>
      </c>
      <c r="BB37" s="413">
        <v>102.455</v>
      </c>
      <c r="BC37" s="413">
        <v>130.50800000000001</v>
      </c>
      <c r="BD37" s="413">
        <v>164.26300000000001</v>
      </c>
      <c r="BE37" s="413">
        <v>2.69</v>
      </c>
      <c r="BF37" s="413">
        <v>341.27802000000003</v>
      </c>
      <c r="BG37" s="413">
        <v>1.5329999999999999</v>
      </c>
      <c r="BH37" s="371" t="s">
        <v>1</v>
      </c>
      <c r="BI37" s="371">
        <v>1.6220000000000001</v>
      </c>
      <c r="BJ37" s="413">
        <v>38.174999999999997</v>
      </c>
      <c r="BK37" s="371" t="s">
        <v>504</v>
      </c>
      <c r="BL37" s="371">
        <v>-0.306867</v>
      </c>
      <c r="BM37" s="371">
        <v>-0.11521200000000001</v>
      </c>
      <c r="BN37" s="371">
        <v>-5.6649999999999999E-3</v>
      </c>
      <c r="BO37" s="371" t="s">
        <v>1</v>
      </c>
      <c r="BP37" s="371" t="s">
        <v>1</v>
      </c>
      <c r="BQ37" s="371" t="s">
        <v>1</v>
      </c>
      <c r="BR37" s="371">
        <v>0.88644202706288144</v>
      </c>
      <c r="BS37" s="375">
        <v>0.4733738040280821</v>
      </c>
      <c r="BT37" s="375">
        <v>0.49807450607799941</v>
      </c>
      <c r="BU37" s="375">
        <v>0.5704375475118042</v>
      </c>
      <c r="BV37" s="375">
        <v>0.57622206874852833</v>
      </c>
      <c r="BW37" s="375">
        <v>0.55991745269550841</v>
      </c>
      <c r="BX37" s="375">
        <v>0.55652423222443714</v>
      </c>
      <c r="BY37" s="375">
        <v>0.57819565801864048</v>
      </c>
      <c r="BZ37" s="375">
        <v>0.58388735351943744</v>
      </c>
      <c r="CB37" s="371">
        <v>2</v>
      </c>
      <c r="CC37" s="50" t="s">
        <v>150</v>
      </c>
      <c r="CD37" s="50" t="s">
        <v>149</v>
      </c>
      <c r="CE37" s="373">
        <v>42551</v>
      </c>
    </row>
    <row r="38" spans="1:83" s="371" customFormat="1" ht="12.75">
      <c r="A38" s="372" t="s">
        <v>2796</v>
      </c>
      <c r="B38" s="412" t="s">
        <v>2797</v>
      </c>
      <c r="C38" s="372" t="s">
        <v>2798</v>
      </c>
      <c r="D38" s="372" t="s">
        <v>505</v>
      </c>
      <c r="E38" s="411">
        <v>43100</v>
      </c>
      <c r="F38" s="411">
        <v>43190</v>
      </c>
      <c r="G38" s="411">
        <v>38106</v>
      </c>
      <c r="H38" s="413">
        <v>230.33963</v>
      </c>
      <c r="I38" s="413">
        <v>8.3000000000000007</v>
      </c>
      <c r="J38" s="413">
        <v>449.83963</v>
      </c>
      <c r="K38" s="413">
        <v>31.954000000000001</v>
      </c>
      <c r="L38" s="413" t="s">
        <v>1</v>
      </c>
      <c r="M38" s="413" t="s">
        <v>1</v>
      </c>
      <c r="N38" s="413">
        <v>251.45400000000001</v>
      </c>
      <c r="O38" s="413">
        <v>32.664999999999999</v>
      </c>
      <c r="P38" s="413">
        <v>102.139</v>
      </c>
      <c r="Q38" s="413">
        <v>14.483000000000001</v>
      </c>
      <c r="R38" s="413">
        <v>106.407</v>
      </c>
      <c r="S38" s="413">
        <v>13.368</v>
      </c>
      <c r="T38" s="413">
        <v>22.119420000000002</v>
      </c>
      <c r="U38" s="413">
        <v>22.95</v>
      </c>
      <c r="V38" s="413">
        <v>35.9</v>
      </c>
      <c r="W38" s="413" t="s">
        <v>1</v>
      </c>
      <c r="X38" s="413">
        <v>-39.838000000000001</v>
      </c>
      <c r="Y38" s="413">
        <v>3.8820000000000001</v>
      </c>
      <c r="Z38" s="413">
        <v>-114.104</v>
      </c>
      <c r="AA38" s="413">
        <v>14.928000000000001</v>
      </c>
      <c r="AB38" s="413">
        <v>-111.476</v>
      </c>
      <c r="AC38" s="413">
        <v>-91.118759999999995</v>
      </c>
      <c r="AD38" s="413">
        <v>120.3793</v>
      </c>
      <c r="AE38" s="413">
        <v>127.89953</v>
      </c>
      <c r="AF38" s="414" t="s">
        <v>1</v>
      </c>
      <c r="AG38" s="414" t="s">
        <v>1</v>
      </c>
      <c r="AH38" s="414" t="s">
        <v>1</v>
      </c>
      <c r="AI38" s="414" t="s">
        <v>1</v>
      </c>
      <c r="AJ38" s="413">
        <v>-21.986999999999998</v>
      </c>
      <c r="AK38" s="413">
        <v>-27.504000000000001</v>
      </c>
      <c r="AL38" s="413">
        <v>-17.661000000000001</v>
      </c>
      <c r="AM38" s="413">
        <v>-0.85199999999999998</v>
      </c>
      <c r="AN38" s="413">
        <v>-2.5640000000000001</v>
      </c>
      <c r="AO38" s="413">
        <v>-1.75</v>
      </c>
      <c r="AP38" s="415" t="s">
        <v>2799</v>
      </c>
      <c r="AQ38" s="416">
        <v>0.84896000000000005</v>
      </c>
      <c r="AR38" s="416">
        <v>1.42587</v>
      </c>
      <c r="AS38" s="416">
        <v>1.47993</v>
      </c>
      <c r="AT38" s="414">
        <v>0</v>
      </c>
      <c r="AU38" s="413">
        <v>-41.084000000000003</v>
      </c>
      <c r="AV38" s="413">
        <v>3.0409999999999999</v>
      </c>
      <c r="AW38" s="413">
        <v>-132.20400000000001</v>
      </c>
      <c r="AX38" s="413">
        <v>16.452999999999999</v>
      </c>
      <c r="AY38" s="413">
        <v>-127.79</v>
      </c>
      <c r="AZ38" s="413">
        <v>57.905999999999999</v>
      </c>
      <c r="BA38" s="413">
        <v>95.382999999999996</v>
      </c>
      <c r="BB38" s="413">
        <v>99.599000000000004</v>
      </c>
      <c r="BC38" s="413">
        <v>94.361000000000004</v>
      </c>
      <c r="BD38" s="413">
        <v>109.842</v>
      </c>
      <c r="BE38" s="413">
        <v>7.2</v>
      </c>
      <c r="BF38" s="413">
        <v>388.85840999999999</v>
      </c>
      <c r="BG38" s="413">
        <v>31.777000000000001</v>
      </c>
      <c r="BH38" s="371" t="s">
        <v>1</v>
      </c>
      <c r="BI38" s="371" t="s">
        <v>1</v>
      </c>
      <c r="BJ38" s="413">
        <v>268.89100000000002</v>
      </c>
      <c r="BK38" s="371" t="s">
        <v>1</v>
      </c>
      <c r="BL38" s="371">
        <v>-0.33413300000000001</v>
      </c>
      <c r="BM38" s="371">
        <v>-0.30624499999999999</v>
      </c>
      <c r="BN38" s="371">
        <v>0.17163100000000001</v>
      </c>
      <c r="BO38" s="371" t="s">
        <v>1</v>
      </c>
      <c r="BP38" s="371" t="s">
        <v>1</v>
      </c>
      <c r="BQ38" s="371" t="s">
        <v>1</v>
      </c>
      <c r="BR38" s="371">
        <v>0.14996892908927709</v>
      </c>
      <c r="BS38" s="375">
        <v>0.63990529213013903</v>
      </c>
      <c r="BT38" s="375">
        <v>0.57025368499276863</v>
      </c>
      <c r="BU38" s="375">
        <v>0.58226071681264757</v>
      </c>
      <c r="BV38" s="375">
        <v>0.59048079054178071</v>
      </c>
      <c r="BW38" s="375">
        <v>0.77261302070781535</v>
      </c>
      <c r="BX38" s="375">
        <v>0.76369409644724728</v>
      </c>
      <c r="BY38" s="375">
        <v>0.73878952913576046</v>
      </c>
      <c r="BZ38" s="375">
        <v>0.71859779538897817</v>
      </c>
      <c r="CB38" s="371">
        <v>2</v>
      </c>
      <c r="CC38" s="50" t="s">
        <v>150</v>
      </c>
      <c r="CD38" s="50" t="s">
        <v>149</v>
      </c>
      <c r="CE38" s="373">
        <v>42551</v>
      </c>
    </row>
    <row r="39" spans="1:83" s="371" customFormat="1" ht="12.75">
      <c r="A39" s="372" t="s">
        <v>1673</v>
      </c>
      <c r="B39" s="412" t="s">
        <v>1674</v>
      </c>
      <c r="C39" s="372" t="s">
        <v>1675</v>
      </c>
      <c r="D39" s="372" t="s">
        <v>619</v>
      </c>
      <c r="E39" s="411">
        <v>42735</v>
      </c>
      <c r="F39" s="411">
        <v>42825</v>
      </c>
      <c r="G39" s="411">
        <v>32548</v>
      </c>
      <c r="H39" s="413">
        <v>209.49594999999999</v>
      </c>
      <c r="I39" s="413">
        <v>2.4</v>
      </c>
      <c r="J39" s="413">
        <v>146.04595</v>
      </c>
      <c r="K39" s="413">
        <v>68.088999999999999</v>
      </c>
      <c r="L39" s="413" t="s">
        <v>1</v>
      </c>
      <c r="M39" s="413" t="s">
        <v>1</v>
      </c>
      <c r="N39" s="413">
        <v>4.6390000000000002</v>
      </c>
      <c r="O39" s="413">
        <v>6.0000000000000001E-3</v>
      </c>
      <c r="P39" s="413">
        <v>0.77800000000000002</v>
      </c>
      <c r="Q39" s="413">
        <v>1.044</v>
      </c>
      <c r="R39" s="413">
        <v>1.1950000000000001</v>
      </c>
      <c r="S39" s="413" t="s">
        <v>1</v>
      </c>
      <c r="T39" s="413" t="s">
        <v>1</v>
      </c>
      <c r="U39" s="413" t="s">
        <v>1</v>
      </c>
      <c r="V39" s="413" t="s">
        <v>1</v>
      </c>
      <c r="W39" s="413" t="s">
        <v>1</v>
      </c>
      <c r="X39" s="413">
        <v>-11.614000000000001</v>
      </c>
      <c r="Y39" s="413">
        <v>-16.122</v>
      </c>
      <c r="Z39" s="413">
        <v>-6.2069999999999999</v>
      </c>
      <c r="AA39" s="413">
        <v>-7.8289999999999997</v>
      </c>
      <c r="AB39" s="413" t="s">
        <v>1</v>
      </c>
      <c r="AC39" s="413" t="s">
        <v>1</v>
      </c>
      <c r="AD39" s="413" t="s">
        <v>1</v>
      </c>
      <c r="AE39" s="413" t="s">
        <v>1</v>
      </c>
      <c r="AF39" s="414">
        <v>-0.43199199999999999</v>
      </c>
      <c r="AG39" s="414" t="s">
        <v>1</v>
      </c>
      <c r="AH39" s="414" t="s">
        <v>1</v>
      </c>
      <c r="AI39" s="414">
        <v>-2.057471</v>
      </c>
      <c r="AJ39" s="413">
        <v>-14.817</v>
      </c>
      <c r="AK39" s="413">
        <v>-12.302</v>
      </c>
      <c r="AL39" s="413">
        <v>-6.0590000000000002</v>
      </c>
      <c r="AM39" s="413" t="s">
        <v>1</v>
      </c>
      <c r="AN39" s="413" t="s">
        <v>1</v>
      </c>
      <c r="AO39" s="413" t="s">
        <v>1</v>
      </c>
      <c r="AP39" s="415" t="s">
        <v>1676</v>
      </c>
      <c r="AQ39" s="416">
        <v>1.6578999999999999</v>
      </c>
      <c r="AR39" s="416">
        <v>1.09487</v>
      </c>
      <c r="AS39" s="416">
        <v>2.19746</v>
      </c>
      <c r="AT39" s="414">
        <v>0</v>
      </c>
      <c r="AU39" s="413">
        <v>-54.99</v>
      </c>
      <c r="AV39" s="413">
        <v>-9.2420000000000009</v>
      </c>
      <c r="AW39" s="413">
        <v>-2.1480000000000001</v>
      </c>
      <c r="AX39" s="413">
        <v>-10.041</v>
      </c>
      <c r="AY39" s="413" t="s">
        <v>1</v>
      </c>
      <c r="AZ39" s="413">
        <v>-144.87299999999999</v>
      </c>
      <c r="BA39" s="413">
        <v>-153.65199999999999</v>
      </c>
      <c r="BB39" s="413">
        <v>-155.25899999999999</v>
      </c>
      <c r="BC39" s="413">
        <v>-161.40799999999999</v>
      </c>
      <c r="BD39" s="413" t="s">
        <v>1</v>
      </c>
      <c r="BE39" s="413">
        <v>0.38990000000000002</v>
      </c>
      <c r="BF39" s="413">
        <v>23.726379999999999</v>
      </c>
      <c r="BG39" s="413">
        <v>68.088999999999999</v>
      </c>
      <c r="BH39" s="371" t="s">
        <v>1</v>
      </c>
      <c r="BI39" s="371" t="s">
        <v>1</v>
      </c>
      <c r="BJ39" s="413">
        <v>4.6390000000000002</v>
      </c>
      <c r="BK39" s="371" t="s">
        <v>1</v>
      </c>
      <c r="BL39" s="371">
        <v>12.190906</v>
      </c>
      <c r="BM39" s="371">
        <v>0</v>
      </c>
      <c r="BN39" s="371">
        <v>0</v>
      </c>
      <c r="BO39" s="371" t="s">
        <v>1</v>
      </c>
      <c r="BP39" s="371" t="s">
        <v>1</v>
      </c>
      <c r="BQ39" s="371" t="s">
        <v>1</v>
      </c>
      <c r="BR39" s="371">
        <v>7.6628352490421452E-3</v>
      </c>
      <c r="BS39" s="375">
        <v>1.2800194974145538</v>
      </c>
      <c r="BT39" s="375">
        <v>1.0359651399937104</v>
      </c>
      <c r="BU39" s="375">
        <v>0.98986301930255416</v>
      </c>
      <c r="BV39" s="375">
        <v>1.0778242537289762</v>
      </c>
      <c r="BW39" s="375">
        <v>1.1176246792128453</v>
      </c>
      <c r="BX39" s="375">
        <v>1.2518996258855848</v>
      </c>
      <c r="BY39" s="375">
        <v>1.3847166058126055</v>
      </c>
      <c r="BZ39" s="375">
        <v>1.3964970037121729</v>
      </c>
      <c r="CB39" s="371">
        <v>2</v>
      </c>
      <c r="CC39" s="50" t="s">
        <v>150</v>
      </c>
      <c r="CD39" s="50" t="s">
        <v>149</v>
      </c>
      <c r="CE39" s="373">
        <v>42551</v>
      </c>
    </row>
    <row r="40" spans="1:83" s="371" customFormat="1" ht="12.75">
      <c r="A40" s="372" t="s">
        <v>1661</v>
      </c>
      <c r="B40" s="412" t="s">
        <v>1662</v>
      </c>
      <c r="C40" s="372" t="s">
        <v>1663</v>
      </c>
      <c r="D40" s="372" t="s">
        <v>1664</v>
      </c>
      <c r="E40" s="411">
        <v>43100</v>
      </c>
      <c r="F40" s="411">
        <v>43190</v>
      </c>
      <c r="G40" s="411">
        <v>42012</v>
      </c>
      <c r="H40" s="413">
        <v>204.76295999999999</v>
      </c>
      <c r="I40" s="413">
        <v>5</v>
      </c>
      <c r="J40" s="413">
        <v>199.81565000000001</v>
      </c>
      <c r="K40" s="413">
        <v>1.40126</v>
      </c>
      <c r="L40" s="413" t="s">
        <v>1</v>
      </c>
      <c r="M40" s="413" t="s">
        <v>1</v>
      </c>
      <c r="N40" s="413">
        <v>8.4566599999999994</v>
      </c>
      <c r="O40" s="413" t="s">
        <v>1</v>
      </c>
      <c r="P40" s="413" t="s">
        <v>1</v>
      </c>
      <c r="Q40" s="413" t="s">
        <v>1</v>
      </c>
      <c r="R40" s="413" t="s">
        <v>1</v>
      </c>
      <c r="S40" s="413" t="s">
        <v>1</v>
      </c>
      <c r="T40" s="413" t="s">
        <v>1</v>
      </c>
      <c r="U40" s="413" t="s">
        <v>1</v>
      </c>
      <c r="V40" s="413" t="s">
        <v>1</v>
      </c>
      <c r="W40" s="413" t="s">
        <v>1</v>
      </c>
      <c r="X40" s="413">
        <v>-4.2691400000000002</v>
      </c>
      <c r="Y40" s="413">
        <v>-7.0307199999999996</v>
      </c>
      <c r="Z40" s="413">
        <v>-11.161670000000001</v>
      </c>
      <c r="AA40" s="413">
        <v>-6.0186000000000002</v>
      </c>
      <c r="AB40" s="413">
        <v>-9.8017199999999995</v>
      </c>
      <c r="AC40" s="413" t="s">
        <v>1</v>
      </c>
      <c r="AD40" s="413" t="s">
        <v>1</v>
      </c>
      <c r="AE40" s="413" t="s">
        <v>1</v>
      </c>
      <c r="AF40" s="414" t="s">
        <v>1</v>
      </c>
      <c r="AG40" s="414" t="s">
        <v>1</v>
      </c>
      <c r="AH40" s="414" t="s">
        <v>1</v>
      </c>
      <c r="AI40" s="414" t="s">
        <v>1</v>
      </c>
      <c r="AJ40" s="413">
        <v>-0.38286999999999999</v>
      </c>
      <c r="AK40" s="413">
        <v>-0.55620999999999998</v>
      </c>
      <c r="AL40" s="413">
        <v>-0.82562000000000002</v>
      </c>
      <c r="AM40" s="413">
        <v>-0.22181999999999999</v>
      </c>
      <c r="AN40" s="413">
        <v>-8.0490000000000006E-2</v>
      </c>
      <c r="AO40" s="413">
        <v>-3.2499999999999999E-3</v>
      </c>
      <c r="AP40" s="415" t="s">
        <v>1665</v>
      </c>
      <c r="AQ40" s="416">
        <v>3.0872299999999999</v>
      </c>
      <c r="AR40" s="416">
        <v>2.1240199999999998</v>
      </c>
      <c r="AS40" s="416">
        <v>2.83392</v>
      </c>
      <c r="AT40" s="414">
        <v>0</v>
      </c>
      <c r="AU40" s="413">
        <v>-4.31325</v>
      </c>
      <c r="AV40" s="413">
        <v>-7.0908100000000003</v>
      </c>
      <c r="AW40" s="413">
        <v>-11.18763</v>
      </c>
      <c r="AX40" s="413">
        <v>-6.0750000000000002</v>
      </c>
      <c r="AY40" s="413">
        <v>-9.8331499999999998</v>
      </c>
      <c r="AZ40" s="413">
        <v>8.7286800000000007</v>
      </c>
      <c r="BA40" s="413">
        <v>8.7828700000000008</v>
      </c>
      <c r="BB40" s="413">
        <v>6.4572799999999999</v>
      </c>
      <c r="BC40" s="413">
        <v>8.6979699999999998</v>
      </c>
      <c r="BD40" s="413">
        <v>7.6189099999999996</v>
      </c>
      <c r="BE40" s="413">
        <v>5.35</v>
      </c>
      <c r="BF40" s="413">
        <v>213.23039</v>
      </c>
      <c r="BG40" s="413">
        <v>0</v>
      </c>
      <c r="BH40" s="371" t="s">
        <v>1</v>
      </c>
      <c r="BI40" s="371" t="s">
        <v>1</v>
      </c>
      <c r="BJ40" s="413">
        <v>10.34224</v>
      </c>
      <c r="BK40" s="371" t="s">
        <v>1</v>
      </c>
      <c r="BL40" s="371">
        <v>0</v>
      </c>
      <c r="BM40" s="371">
        <v>0</v>
      </c>
      <c r="BN40" s="371">
        <v>0</v>
      </c>
      <c r="BO40" s="371" t="s">
        <v>1</v>
      </c>
      <c r="BP40" s="371" t="s">
        <v>1</v>
      </c>
      <c r="BQ40" s="371">
        <v>0</v>
      </c>
      <c r="BR40" s="371" t="s">
        <v>504</v>
      </c>
      <c r="BS40" s="375">
        <v>1.1006050499094084</v>
      </c>
      <c r="BT40" s="375">
        <v>0.93438496407054028</v>
      </c>
      <c r="BU40" s="375">
        <v>0.90299942668231514</v>
      </c>
      <c r="BV40" s="375">
        <v>0.87361088311090229</v>
      </c>
      <c r="BW40" s="375" t="s">
        <v>1</v>
      </c>
      <c r="BX40" s="375" t="s">
        <v>1</v>
      </c>
      <c r="BY40" s="375" t="s">
        <v>1</v>
      </c>
      <c r="BZ40" s="375" t="s">
        <v>1</v>
      </c>
      <c r="CB40" s="371">
        <v>2</v>
      </c>
      <c r="CC40" s="50" t="s">
        <v>150</v>
      </c>
      <c r="CD40" s="50" t="s">
        <v>149</v>
      </c>
      <c r="CE40" s="373">
        <v>42551</v>
      </c>
    </row>
    <row r="41" spans="1:83" s="371" customFormat="1" ht="12.75">
      <c r="A41" s="372" t="s">
        <v>1666</v>
      </c>
      <c r="B41" s="412" t="s">
        <v>1667</v>
      </c>
      <c r="C41" s="372" t="s">
        <v>1668</v>
      </c>
      <c r="D41" s="372" t="s">
        <v>503</v>
      </c>
      <c r="E41" s="411">
        <v>43100</v>
      </c>
      <c r="F41" s="411">
        <v>43190</v>
      </c>
      <c r="G41" s="411">
        <v>42215</v>
      </c>
      <c r="H41" s="413">
        <v>148.21010999999999</v>
      </c>
      <c r="I41" s="413">
        <v>1.54</v>
      </c>
      <c r="J41" s="413">
        <v>16.74211</v>
      </c>
      <c r="K41" s="413">
        <v>19.861999999999998</v>
      </c>
      <c r="L41" s="413" t="s">
        <v>1</v>
      </c>
      <c r="M41" s="413">
        <v>120.39700000000001</v>
      </c>
      <c r="N41" s="413">
        <v>6.5350000000000001</v>
      </c>
      <c r="O41" s="413">
        <v>0.84499999999999997</v>
      </c>
      <c r="P41" s="413">
        <v>0.28799999999999998</v>
      </c>
      <c r="Q41" s="413">
        <v>2.3250000000000002</v>
      </c>
      <c r="R41" s="413">
        <v>0.63400000000000001</v>
      </c>
      <c r="S41" s="413">
        <v>0.29099999999999998</v>
      </c>
      <c r="T41" s="413">
        <v>5.4130000000000003</v>
      </c>
      <c r="U41" s="413">
        <v>3.4</v>
      </c>
      <c r="V41" s="413">
        <v>0.2</v>
      </c>
      <c r="W41" s="413">
        <v>35.291499999999999</v>
      </c>
      <c r="X41" s="413">
        <v>-41.514000000000003</v>
      </c>
      <c r="Y41" s="413">
        <v>-54.996000000000002</v>
      </c>
      <c r="Z41" s="413">
        <v>-45.875</v>
      </c>
      <c r="AA41" s="413">
        <v>-54.755000000000003</v>
      </c>
      <c r="AB41" s="413">
        <v>-50.484999999999999</v>
      </c>
      <c r="AC41" s="413" t="s">
        <v>1</v>
      </c>
      <c r="AD41" s="413" t="s">
        <v>1</v>
      </c>
      <c r="AE41" s="413" t="s">
        <v>1</v>
      </c>
      <c r="AF41" s="414" t="s">
        <v>1</v>
      </c>
      <c r="AG41" s="414" t="s">
        <v>1</v>
      </c>
      <c r="AH41" s="414" t="s">
        <v>1</v>
      </c>
      <c r="AI41" s="414" t="s">
        <v>1</v>
      </c>
      <c r="AJ41" s="413">
        <v>-7.1219999999999999</v>
      </c>
      <c r="AK41" s="413">
        <v>-10.327</v>
      </c>
      <c r="AL41" s="413">
        <v>-17.113</v>
      </c>
      <c r="AM41" s="413">
        <v>-0.1</v>
      </c>
      <c r="AN41" s="413">
        <v>-0.126</v>
      </c>
      <c r="AO41" s="413">
        <v>-1.7999999999999999E-2</v>
      </c>
      <c r="AP41" s="415" t="s">
        <v>2753</v>
      </c>
      <c r="AQ41" s="416">
        <v>1.9633</v>
      </c>
      <c r="AR41" s="416">
        <v>1.8547800000000001</v>
      </c>
      <c r="AS41" s="416">
        <v>1.8688199999999999</v>
      </c>
      <c r="AT41" s="414">
        <v>0</v>
      </c>
      <c r="AU41" s="413">
        <v>-44.814</v>
      </c>
      <c r="AV41" s="413">
        <v>-56.119</v>
      </c>
      <c r="AW41" s="413">
        <v>-50.320999999999998</v>
      </c>
      <c r="AX41" s="413">
        <v>-55.353000000000002</v>
      </c>
      <c r="AY41" s="413">
        <v>-54.646999999999998</v>
      </c>
      <c r="AZ41" s="413">
        <v>70.647999999999996</v>
      </c>
      <c r="BA41" s="413">
        <v>18.190000000000001</v>
      </c>
      <c r="BB41" s="413">
        <v>-28.390999999999998</v>
      </c>
      <c r="BC41" s="413">
        <v>31.57</v>
      </c>
      <c r="BD41" s="413">
        <v>-19.606999999999999</v>
      </c>
      <c r="BE41" s="413">
        <v>4.07</v>
      </c>
      <c r="BF41" s="413">
        <v>39.451540000000001</v>
      </c>
      <c r="BG41" s="413">
        <v>19.587</v>
      </c>
      <c r="BH41" s="371" t="s">
        <v>1</v>
      </c>
      <c r="BI41" s="371">
        <v>131.44</v>
      </c>
      <c r="BJ41" s="413">
        <v>11.757999999999999</v>
      </c>
      <c r="BK41" s="371" t="s">
        <v>504</v>
      </c>
      <c r="BL41" s="371">
        <v>0.65875799999999995</v>
      </c>
      <c r="BM41" s="371">
        <v>0.13622500000000001</v>
      </c>
      <c r="BN41" s="371">
        <v>0</v>
      </c>
      <c r="BO41" s="371" t="s">
        <v>1</v>
      </c>
      <c r="BP41" s="371" t="s">
        <v>1</v>
      </c>
      <c r="BQ41" s="371">
        <v>0</v>
      </c>
      <c r="BR41" s="371">
        <v>8.0430107526881719E-2</v>
      </c>
      <c r="BS41" s="375">
        <v>1.9000809249620541</v>
      </c>
      <c r="BT41" s="375">
        <v>1.3765146358946527</v>
      </c>
      <c r="BU41" s="375">
        <v>1.2031094808818099</v>
      </c>
      <c r="BV41" s="375" t="s">
        <v>1</v>
      </c>
      <c r="BW41" s="375" t="s">
        <v>1</v>
      </c>
      <c r="BX41" s="375" t="s">
        <v>1</v>
      </c>
      <c r="BY41" s="375" t="s">
        <v>1</v>
      </c>
      <c r="BZ41" s="375" t="s">
        <v>1</v>
      </c>
      <c r="CB41" s="371">
        <v>2</v>
      </c>
      <c r="CC41" s="50" t="s">
        <v>150</v>
      </c>
      <c r="CD41" s="50" t="s">
        <v>149</v>
      </c>
      <c r="CE41" s="373">
        <v>42551</v>
      </c>
    </row>
    <row r="42" spans="1:83" s="371" customFormat="1" ht="12.75">
      <c r="A42" s="372" t="s">
        <v>1677</v>
      </c>
      <c r="B42" s="412" t="s">
        <v>1678</v>
      </c>
      <c r="C42" s="372" t="s">
        <v>1679</v>
      </c>
      <c r="D42" s="372" t="s">
        <v>619</v>
      </c>
      <c r="E42" s="411">
        <v>42916</v>
      </c>
      <c r="F42" s="411">
        <v>43190</v>
      </c>
      <c r="G42" s="411">
        <v>41306</v>
      </c>
      <c r="H42" s="413">
        <v>28.82142</v>
      </c>
      <c r="I42" s="413">
        <v>0.45</v>
      </c>
      <c r="J42" s="413">
        <v>29.46659</v>
      </c>
      <c r="K42" s="413">
        <v>0.92469999999999997</v>
      </c>
      <c r="L42" s="413" t="s">
        <v>1</v>
      </c>
      <c r="M42" s="413" t="s">
        <v>1</v>
      </c>
      <c r="N42" s="413">
        <v>7.8119999999999995E-2</v>
      </c>
      <c r="O42" s="413" t="s">
        <v>1</v>
      </c>
      <c r="P42" s="413" t="s">
        <v>1</v>
      </c>
      <c r="Q42" s="413" t="s">
        <v>1</v>
      </c>
      <c r="R42" s="413" t="s">
        <v>1</v>
      </c>
      <c r="S42" s="413" t="s">
        <v>1</v>
      </c>
      <c r="T42" s="413" t="s">
        <v>1</v>
      </c>
      <c r="U42" s="413" t="s">
        <v>1</v>
      </c>
      <c r="V42" s="413" t="s">
        <v>1</v>
      </c>
      <c r="W42" s="413" t="s">
        <v>1</v>
      </c>
      <c r="X42" s="413">
        <v>-13.39531</v>
      </c>
      <c r="Y42" s="413">
        <v>-16.553650000000001</v>
      </c>
      <c r="Z42" s="413">
        <v>-22.230619999999998</v>
      </c>
      <c r="AA42" s="413">
        <v>-14.92037</v>
      </c>
      <c r="AB42" s="413">
        <v>-22.612480000000001</v>
      </c>
      <c r="AC42" s="413" t="s">
        <v>1</v>
      </c>
      <c r="AD42" s="413" t="s">
        <v>1</v>
      </c>
      <c r="AE42" s="413" t="s">
        <v>1</v>
      </c>
      <c r="AF42" s="414" t="s">
        <v>1</v>
      </c>
      <c r="AG42" s="414" t="s">
        <v>1</v>
      </c>
      <c r="AH42" s="414" t="s">
        <v>1</v>
      </c>
      <c r="AI42" s="414" t="s">
        <v>1</v>
      </c>
      <c r="AJ42" s="413">
        <v>-2.0179100000000001</v>
      </c>
      <c r="AK42" s="413">
        <v>-1.5971599999999999</v>
      </c>
      <c r="AL42" s="413">
        <v>-3.0784899999999999</v>
      </c>
      <c r="AM42" s="413">
        <v>-4.0074100000000001</v>
      </c>
      <c r="AN42" s="413">
        <v>-0.61768000000000001</v>
      </c>
      <c r="AO42" s="413">
        <v>-0.11344</v>
      </c>
      <c r="AP42" s="415" t="s">
        <v>1680</v>
      </c>
      <c r="AQ42" s="416">
        <v>0.26827000000000001</v>
      </c>
      <c r="AR42" s="416">
        <v>-0.10098</v>
      </c>
      <c r="AS42" s="416">
        <v>-3.2129999999999999E-2</v>
      </c>
      <c r="AT42" s="414">
        <v>0</v>
      </c>
      <c r="AU42" s="413">
        <v>-14.104150000000001</v>
      </c>
      <c r="AV42" s="413">
        <v>-17.95926</v>
      </c>
      <c r="AW42" s="413">
        <v>-23.55977</v>
      </c>
      <c r="AX42" s="413">
        <v>-16.285489999999999</v>
      </c>
      <c r="AY42" s="413">
        <v>-23.97654</v>
      </c>
      <c r="AZ42" s="413">
        <v>5.9403800000000002</v>
      </c>
      <c r="BA42" s="413">
        <v>8.4602400000000006</v>
      </c>
      <c r="BB42" s="413">
        <v>0.53293000000000001</v>
      </c>
      <c r="BC42" s="413">
        <v>7.9328399999999997</v>
      </c>
      <c r="BD42" s="413">
        <v>3.8018000000000001</v>
      </c>
      <c r="BE42" s="413">
        <v>0.45200000000000001</v>
      </c>
      <c r="BF42" s="413">
        <v>24.441140000000001</v>
      </c>
      <c r="BG42" s="413">
        <v>0.01</v>
      </c>
      <c r="BH42" s="371" t="s">
        <v>1</v>
      </c>
      <c r="BI42" s="371" t="s">
        <v>1</v>
      </c>
      <c r="BJ42" s="413">
        <v>0.86807000000000001</v>
      </c>
      <c r="BK42" s="371" t="s">
        <v>1</v>
      </c>
      <c r="BL42" s="371">
        <v>0</v>
      </c>
      <c r="BM42" s="371">
        <v>0</v>
      </c>
      <c r="BN42" s="371">
        <v>0</v>
      </c>
      <c r="BO42" s="371" t="s">
        <v>1</v>
      </c>
      <c r="BP42" s="371" t="s">
        <v>1</v>
      </c>
      <c r="BQ42" s="371">
        <v>0</v>
      </c>
      <c r="BR42" s="371" t="s">
        <v>504</v>
      </c>
      <c r="BS42" s="375">
        <v>1.2966007188205402</v>
      </c>
      <c r="BT42" s="375">
        <v>1.1830252022901278</v>
      </c>
      <c r="BU42" s="375">
        <v>1.213075184314828</v>
      </c>
      <c r="BV42" s="375">
        <v>1.3359051962693371</v>
      </c>
      <c r="BW42" s="375">
        <v>1.6273410245198674</v>
      </c>
      <c r="BX42" s="375">
        <v>1.6158800322673914</v>
      </c>
      <c r="BY42" s="375" t="s">
        <v>1</v>
      </c>
      <c r="BZ42" s="375" t="s">
        <v>1</v>
      </c>
      <c r="CB42" s="371">
        <v>2</v>
      </c>
      <c r="CC42" s="50" t="s">
        <v>150</v>
      </c>
      <c r="CD42" s="50" t="s">
        <v>149</v>
      </c>
      <c r="CE42" s="373">
        <v>42551</v>
      </c>
    </row>
    <row r="43" spans="1:83">
      <c r="A43" s="410" t="s">
        <v>507</v>
      </c>
      <c r="E43" s="411"/>
      <c r="F43" s="411"/>
      <c r="G43" s="411"/>
      <c r="H43" s="413"/>
      <c r="I43" s="413"/>
      <c r="K43" s="413"/>
      <c r="M43" s="413"/>
      <c r="N43" s="413"/>
      <c r="O43" s="413"/>
      <c r="P43" s="413"/>
      <c r="Q43" s="413"/>
      <c r="R43" s="413"/>
      <c r="S43" s="413"/>
      <c r="U43" s="413"/>
      <c r="V43" s="413"/>
      <c r="W43" s="413"/>
      <c r="X43" s="413"/>
      <c r="Y43" s="413"/>
      <c r="Z43" s="413"/>
      <c r="AA43" s="413"/>
      <c r="AB43" s="413"/>
      <c r="AC43" s="413"/>
      <c r="AE43" s="413"/>
      <c r="AF43" s="414"/>
      <c r="AG43" s="414"/>
      <c r="AH43" s="414"/>
      <c r="AI43" s="414"/>
      <c r="AJ43" s="413"/>
      <c r="AK43" s="413"/>
      <c r="AL43" s="413"/>
      <c r="AM43" s="413"/>
      <c r="AN43" s="413"/>
      <c r="AO43" s="413"/>
      <c r="AP43" s="415"/>
      <c r="AQ43" s="416"/>
      <c r="AR43" s="416"/>
      <c r="AS43" s="416"/>
      <c r="AU43" s="413"/>
      <c r="AV43" s="413"/>
      <c r="AW43" s="413"/>
      <c r="AX43" s="413"/>
      <c r="AY43" s="413"/>
      <c r="AZ43" s="413"/>
      <c r="BA43" s="413"/>
      <c r="BB43" s="413"/>
      <c r="BC43" s="413"/>
      <c r="BD43" s="413"/>
      <c r="BE43" s="413"/>
      <c r="BF43" s="413"/>
      <c r="BG43" s="413"/>
      <c r="BH43" s="368"/>
      <c r="BI43" s="368"/>
      <c r="BJ43" s="413"/>
      <c r="BK43" s="368"/>
      <c r="BL43" s="368"/>
      <c r="BM43" s="368"/>
      <c r="BN43" s="368"/>
      <c r="BO43" s="368"/>
      <c r="BP43" s="368"/>
      <c r="BQ43" s="368"/>
      <c r="BR43" s="368"/>
      <c r="BS43" s="368"/>
      <c r="BT43" s="368"/>
      <c r="BU43" s="368"/>
      <c r="BV43" s="368"/>
      <c r="BW43" s="368"/>
      <c r="BX43" s="368"/>
      <c r="BY43" s="368"/>
      <c r="BZ43" s="368"/>
    </row>
    <row r="44" spans="1:83">
      <c r="A44" s="372" t="s">
        <v>1685</v>
      </c>
      <c r="B44" s="412" t="s">
        <v>1686</v>
      </c>
      <c r="C44" s="372" t="s">
        <v>1687</v>
      </c>
      <c r="D44" s="372" t="s">
        <v>619</v>
      </c>
      <c r="E44" s="411">
        <v>43100</v>
      </c>
      <c r="F44" s="411">
        <v>43190</v>
      </c>
      <c r="G44" s="411">
        <v>40969</v>
      </c>
      <c r="H44" s="413">
        <v>9.8918400000000002</v>
      </c>
      <c r="I44" s="413">
        <v>7.4999999999999997E-2</v>
      </c>
      <c r="J44" s="1881">
        <v>8.1007300000000004</v>
      </c>
      <c r="K44" s="413">
        <v>1.99634</v>
      </c>
      <c r="L44" s="413">
        <v>8.0000000000000007E-5</v>
      </c>
      <c r="M44" s="413" t="s">
        <v>1</v>
      </c>
      <c r="N44" s="413">
        <v>0.20532</v>
      </c>
      <c r="O44" s="413">
        <v>5.9920000000000001E-2</v>
      </c>
      <c r="P44" s="413">
        <v>9.1050000000000006E-2</v>
      </c>
      <c r="Q44" s="413">
        <v>3.4110000000000001E-2</v>
      </c>
      <c r="R44" s="413">
        <v>9.8879999999999996E-2</v>
      </c>
      <c r="S44" s="413">
        <v>2.9360000000000001E-2</v>
      </c>
      <c r="T44" s="413" t="s">
        <v>1</v>
      </c>
      <c r="U44" s="413" t="s">
        <v>1</v>
      </c>
      <c r="V44" s="413" t="s">
        <v>1</v>
      </c>
      <c r="W44" s="413" t="s">
        <v>1</v>
      </c>
      <c r="X44" s="413">
        <v>-1.55345</v>
      </c>
      <c r="Y44" s="413">
        <v>-1.23149</v>
      </c>
      <c r="Z44" s="413">
        <v>-1.6022000000000001</v>
      </c>
      <c r="AA44" s="413">
        <v>-1.1935800000000001</v>
      </c>
      <c r="AB44" s="413">
        <v>-1.1986600000000001</v>
      </c>
      <c r="AC44" s="413" t="s">
        <v>1</v>
      </c>
      <c r="AD44" s="372" t="s">
        <v>1</v>
      </c>
      <c r="AE44" s="413" t="s">
        <v>1</v>
      </c>
      <c r="AF44" s="414">
        <v>-0.45557400000000003</v>
      </c>
      <c r="AG44" s="414" t="s">
        <v>1</v>
      </c>
      <c r="AH44" s="414" t="s">
        <v>1</v>
      </c>
      <c r="AI44" s="414" t="s">
        <v>1</v>
      </c>
      <c r="AJ44" s="413">
        <v>-0.70745999999999998</v>
      </c>
      <c r="AK44" s="413">
        <v>-0.66752999999999996</v>
      </c>
      <c r="AL44" s="413">
        <v>-1.11391</v>
      </c>
      <c r="AM44" s="413" t="s">
        <v>1</v>
      </c>
      <c r="AN44" s="413">
        <v>-3.31E-3</v>
      </c>
      <c r="AO44" s="413">
        <v>-1.39E-3</v>
      </c>
      <c r="AP44" s="415" t="s">
        <v>3153</v>
      </c>
      <c r="AQ44" s="416">
        <v>6.1513799999999996</v>
      </c>
      <c r="AR44" s="416">
        <v>5.41974</v>
      </c>
      <c r="AS44" s="416">
        <v>-1.1784399999999999</v>
      </c>
      <c r="AT44" s="372">
        <v>0</v>
      </c>
      <c r="AU44" s="413">
        <v>-2.2328700000000001</v>
      </c>
      <c r="AV44" s="413">
        <v>-4.0262799999999999</v>
      </c>
      <c r="AW44" s="413">
        <v>-3.61998</v>
      </c>
      <c r="AX44" s="413">
        <v>-3.73752</v>
      </c>
      <c r="AY44" s="413">
        <v>-1.58487</v>
      </c>
      <c r="AZ44" s="413">
        <v>-0.54788999999999999</v>
      </c>
      <c r="BA44" s="413">
        <v>-3.8145199999999999</v>
      </c>
      <c r="BB44" s="413">
        <v>-3.5768300000000002</v>
      </c>
      <c r="BC44" s="413">
        <v>-3.1188600000000002</v>
      </c>
      <c r="BD44" s="413">
        <v>-3.8835799999999998</v>
      </c>
      <c r="BE44" s="413">
        <v>7.8E-2</v>
      </c>
      <c r="BF44" s="413">
        <v>8.1694999999999993</v>
      </c>
      <c r="BG44" s="413">
        <v>2.5022500000000001</v>
      </c>
      <c r="BH44" s="371">
        <v>6.0000000000000002E-5</v>
      </c>
      <c r="BI44" s="371" t="s">
        <v>1</v>
      </c>
      <c r="BJ44" s="413">
        <v>0.13728000000000001</v>
      </c>
      <c r="BK44" s="371" t="s">
        <v>1</v>
      </c>
      <c r="BL44" s="371">
        <v>-0.24546800000000002</v>
      </c>
      <c r="BM44" s="371">
        <v>-0.45181899999999997</v>
      </c>
      <c r="BN44" s="371">
        <v>-6.1025999999999997E-2</v>
      </c>
      <c r="BO44" s="371" t="s">
        <v>1</v>
      </c>
      <c r="BP44" s="371" t="s">
        <v>1</v>
      </c>
      <c r="BQ44" s="371" t="s">
        <v>1</v>
      </c>
      <c r="BR44" s="371">
        <v>2.6467311638815594</v>
      </c>
      <c r="BS44" s="375">
        <v>2.8498088734811065</v>
      </c>
      <c r="BT44" s="375">
        <v>2.7024669468855378</v>
      </c>
      <c r="BU44" s="375">
        <v>2.7214228708739832</v>
      </c>
      <c r="BV44" s="375">
        <v>2.5863392161342413</v>
      </c>
      <c r="BW44" s="375">
        <v>2.4267743688954782</v>
      </c>
      <c r="BX44" s="375">
        <v>2.4659263790467829</v>
      </c>
      <c r="BY44" s="375">
        <v>2.4770015301595945</v>
      </c>
      <c r="BZ44" s="375" t="s">
        <v>1</v>
      </c>
    </row>
    <row r="45" spans="1:83">
      <c r="A45" s="372" t="s">
        <v>2801</v>
      </c>
      <c r="B45" s="412" t="s">
        <v>2802</v>
      </c>
      <c r="C45" s="372" t="s">
        <v>2803</v>
      </c>
      <c r="D45" s="372" t="s">
        <v>534</v>
      </c>
      <c r="E45" s="411">
        <v>43100</v>
      </c>
      <c r="F45" s="411">
        <v>43190</v>
      </c>
      <c r="G45" s="411">
        <v>39071</v>
      </c>
      <c r="H45" s="413">
        <v>7.1133699999999997</v>
      </c>
      <c r="I45" s="413">
        <v>1.1100000000000001</v>
      </c>
      <c r="J45" s="1881">
        <v>16.82762</v>
      </c>
      <c r="K45" s="413">
        <v>0</v>
      </c>
      <c r="L45" s="413">
        <v>0.01</v>
      </c>
      <c r="M45" s="413" t="s">
        <v>1</v>
      </c>
      <c r="N45" s="413">
        <v>9.7242499999999996</v>
      </c>
      <c r="O45" s="413">
        <v>0.01</v>
      </c>
      <c r="P45" s="413">
        <v>1.6250000000000001E-2</v>
      </c>
      <c r="Q45" s="413">
        <v>0.26</v>
      </c>
      <c r="R45" s="413">
        <v>1.6250000000000001E-2</v>
      </c>
      <c r="S45" s="413">
        <v>0.26</v>
      </c>
      <c r="T45" s="413" t="s">
        <v>1</v>
      </c>
      <c r="U45" s="413" t="s">
        <v>1</v>
      </c>
      <c r="V45" s="413" t="s">
        <v>1</v>
      </c>
      <c r="W45" s="413" t="s">
        <v>1</v>
      </c>
      <c r="X45" s="413">
        <v>-20.023009999999999</v>
      </c>
      <c r="Y45" s="413">
        <v>-18.677990000000001</v>
      </c>
      <c r="Z45" s="413">
        <v>-11.17972</v>
      </c>
      <c r="AA45" s="413">
        <v>-20.299340000000001</v>
      </c>
      <c r="AB45" s="413">
        <v>-13.017899999999999</v>
      </c>
      <c r="AC45" s="413" t="s">
        <v>1</v>
      </c>
      <c r="AD45" s="372" t="s">
        <v>1</v>
      </c>
      <c r="AE45" s="413" t="s">
        <v>1</v>
      </c>
      <c r="AF45" s="414">
        <v>1</v>
      </c>
      <c r="AG45" s="414" t="s">
        <v>1</v>
      </c>
      <c r="AH45" s="414" t="s">
        <v>1</v>
      </c>
      <c r="AI45" s="414" t="s">
        <v>1</v>
      </c>
      <c r="AJ45" s="413">
        <v>-2.0382600000000002</v>
      </c>
      <c r="AK45" s="413">
        <v>-2.0249199999999998</v>
      </c>
      <c r="AL45" s="413">
        <v>-0.79464000000000001</v>
      </c>
      <c r="AM45" s="413">
        <v>-0.17482</v>
      </c>
      <c r="AN45" s="413">
        <v>-8.3489999999999995E-2</v>
      </c>
      <c r="AO45" s="413">
        <v>-1.14E-2</v>
      </c>
      <c r="AP45" s="415" t="s">
        <v>3154</v>
      </c>
      <c r="AQ45" s="416">
        <v>2.3014000000000001</v>
      </c>
      <c r="AR45" s="416">
        <v>2.1361300000000001</v>
      </c>
      <c r="AS45" s="416">
        <v>1.4231799999999999</v>
      </c>
      <c r="AT45" s="372">
        <v>0</v>
      </c>
      <c r="AU45" s="413">
        <v>-22.45654</v>
      </c>
      <c r="AV45" s="413">
        <v>-22.036079999999998</v>
      </c>
      <c r="AW45" s="413">
        <v>-10.245699999999999</v>
      </c>
      <c r="AX45" s="413">
        <v>-21.07461</v>
      </c>
      <c r="AY45" s="413">
        <v>-15.665979999999999</v>
      </c>
      <c r="AZ45" s="413">
        <v>-0.16939000000000001</v>
      </c>
      <c r="BA45" s="413">
        <v>9.7797699999999992</v>
      </c>
      <c r="BB45" s="413">
        <v>6.6071099999999996</v>
      </c>
      <c r="BC45" s="413">
        <v>11.330780000000001</v>
      </c>
      <c r="BD45" s="413">
        <v>8.5151299999999992</v>
      </c>
      <c r="BE45" s="413">
        <v>1.65</v>
      </c>
      <c r="BF45" s="413">
        <v>24.990950000000002</v>
      </c>
      <c r="BG45" s="413">
        <v>0</v>
      </c>
      <c r="BH45" s="371">
        <v>0.01</v>
      </c>
      <c r="BI45" s="371" t="s">
        <v>1</v>
      </c>
      <c r="BJ45" s="413">
        <v>14.06371</v>
      </c>
      <c r="BK45" s="371" t="s">
        <v>1</v>
      </c>
      <c r="BL45" s="371">
        <v>4.0990199999999994</v>
      </c>
      <c r="BM45" s="371">
        <v>1.4544839999999999</v>
      </c>
      <c r="BN45" s="371">
        <v>-5.9834999999999999E-2</v>
      </c>
      <c r="BO45" s="371" t="s">
        <v>1</v>
      </c>
      <c r="BP45" s="371" t="s">
        <v>1</v>
      </c>
      <c r="BQ45" s="371" t="s">
        <v>1</v>
      </c>
      <c r="BR45" s="371">
        <v>0.93992307692307686</v>
      </c>
      <c r="BS45" s="375">
        <v>1.5297800637211287</v>
      </c>
      <c r="BT45" s="375">
        <v>1.3319970066823303</v>
      </c>
      <c r="BU45" s="375">
        <v>1.2240611071531136</v>
      </c>
      <c r="BV45" s="375">
        <v>1.1396843049974372</v>
      </c>
      <c r="BW45" s="375">
        <v>1.0659142790428022</v>
      </c>
      <c r="BX45" s="375">
        <v>1.0410359210146125</v>
      </c>
      <c r="BY45" s="375">
        <v>0.99146584962490869</v>
      </c>
      <c r="BZ45" s="375">
        <v>0.95279729471614993</v>
      </c>
    </row>
    <row r="46" spans="1:83">
      <c r="A46" s="372" t="s">
        <v>1681</v>
      </c>
      <c r="B46" s="412" t="s">
        <v>1682</v>
      </c>
      <c r="C46" s="372" t="s">
        <v>1683</v>
      </c>
      <c r="D46" s="372" t="s">
        <v>619</v>
      </c>
      <c r="E46" s="411">
        <v>42794</v>
      </c>
      <c r="F46" s="411">
        <v>42886</v>
      </c>
      <c r="G46" s="411">
        <v>42531</v>
      </c>
      <c r="H46" s="413">
        <v>4.2106599999999998</v>
      </c>
      <c r="I46" s="413">
        <v>5.9900000000000002E-2</v>
      </c>
      <c r="J46" s="1881">
        <v>3.8515700000000002</v>
      </c>
      <c r="K46" s="413">
        <v>0.36752000000000001</v>
      </c>
      <c r="L46" s="413" t="s">
        <v>1</v>
      </c>
      <c r="M46" s="413" t="s">
        <v>1</v>
      </c>
      <c r="N46" s="413">
        <v>8.43E-3</v>
      </c>
      <c r="O46" s="413" t="s">
        <v>1</v>
      </c>
      <c r="P46" s="413" t="s">
        <v>1</v>
      </c>
      <c r="Q46" s="413" t="s">
        <v>1</v>
      </c>
      <c r="R46" s="413" t="s">
        <v>1</v>
      </c>
      <c r="S46" s="413" t="s">
        <v>1</v>
      </c>
      <c r="T46" s="413" t="s">
        <v>1</v>
      </c>
      <c r="U46" s="413" t="s">
        <v>1</v>
      </c>
      <c r="V46" s="413" t="s">
        <v>1</v>
      </c>
      <c r="W46" s="413" t="s">
        <v>1</v>
      </c>
      <c r="X46" s="413" t="s">
        <v>1</v>
      </c>
      <c r="Y46" s="413" t="s">
        <v>1</v>
      </c>
      <c r="Z46" s="413">
        <v>-0.56271000000000004</v>
      </c>
      <c r="AA46" s="413" t="s">
        <v>1</v>
      </c>
      <c r="AB46" s="413" t="s">
        <v>1</v>
      </c>
      <c r="AC46" s="413" t="s">
        <v>1</v>
      </c>
      <c r="AD46" s="372" t="s">
        <v>1</v>
      </c>
      <c r="AE46" s="413" t="s">
        <v>1</v>
      </c>
      <c r="AF46" s="414" t="s">
        <v>1</v>
      </c>
      <c r="AG46" s="414" t="s">
        <v>1</v>
      </c>
      <c r="AH46" s="414" t="s">
        <v>1</v>
      </c>
      <c r="AI46" s="414" t="s">
        <v>1</v>
      </c>
      <c r="AJ46" s="413" t="s">
        <v>1</v>
      </c>
      <c r="AK46" s="413">
        <v>-0.73329</v>
      </c>
      <c r="AL46" s="413">
        <v>-1.4980800000000001</v>
      </c>
      <c r="AM46" s="413" t="s">
        <v>1</v>
      </c>
      <c r="AN46" s="413" t="s">
        <v>1</v>
      </c>
      <c r="AO46" s="413">
        <v>-1.6900000000000001E-3</v>
      </c>
      <c r="AP46" s="415" t="s">
        <v>1684</v>
      </c>
      <c r="AQ46" s="416">
        <v>3.8710399999999998</v>
      </c>
      <c r="AR46" s="416">
        <v>3.7693300000000001</v>
      </c>
      <c r="AS46" s="416">
        <v>4.5839299999999996</v>
      </c>
      <c r="AT46" s="372">
        <v>0</v>
      </c>
      <c r="AU46" s="413" t="s">
        <v>1</v>
      </c>
      <c r="AV46" s="413">
        <v>-1.26711</v>
      </c>
      <c r="AW46" s="413">
        <v>-0.81664000000000003</v>
      </c>
      <c r="AX46" s="413">
        <v>-0.65646000000000004</v>
      </c>
      <c r="AY46" s="413" t="s">
        <v>1</v>
      </c>
      <c r="AZ46" s="413" t="s">
        <v>1</v>
      </c>
      <c r="BA46" s="413">
        <v>-0.93464999999999998</v>
      </c>
      <c r="BB46" s="413">
        <v>-1.8492</v>
      </c>
      <c r="BC46" s="413">
        <v>-1.34463</v>
      </c>
      <c r="BD46" s="413" t="s">
        <v>1</v>
      </c>
      <c r="BE46" s="413">
        <v>6.6000000000000003E-2</v>
      </c>
      <c r="BF46" s="413">
        <v>4.2438000000000002</v>
      </c>
      <c r="BG46" s="413">
        <v>0.36752000000000001</v>
      </c>
      <c r="BH46" s="371" t="s">
        <v>1</v>
      </c>
      <c r="BI46" s="371" t="s">
        <v>1</v>
      </c>
      <c r="BJ46" s="413">
        <v>8.43E-3</v>
      </c>
      <c r="BK46" s="371" t="s">
        <v>1</v>
      </c>
      <c r="BL46" s="371">
        <v>0</v>
      </c>
      <c r="BM46" s="371">
        <v>0</v>
      </c>
      <c r="BN46" s="371">
        <v>0</v>
      </c>
      <c r="BO46" s="371">
        <v>0</v>
      </c>
      <c r="BP46" s="371">
        <v>0</v>
      </c>
      <c r="BQ46" s="371">
        <v>0</v>
      </c>
      <c r="BR46" s="371" t="s">
        <v>504</v>
      </c>
      <c r="BS46" s="375">
        <v>2.7642539241187154</v>
      </c>
      <c r="BT46" s="375">
        <v>2.3602791126601241</v>
      </c>
      <c r="BU46" s="375">
        <v>2.3373167702285089</v>
      </c>
      <c r="BV46" s="375" t="s">
        <v>1</v>
      </c>
      <c r="BW46" s="375" t="s">
        <v>1</v>
      </c>
      <c r="BX46" s="375" t="s">
        <v>1</v>
      </c>
      <c r="BY46" s="375" t="s">
        <v>1</v>
      </c>
      <c r="BZ46" s="375" t="s">
        <v>1</v>
      </c>
    </row>
    <row r="47" spans="1:83">
      <c r="A47" s="372" t="s">
        <v>1659</v>
      </c>
      <c r="B47" s="412" t="s">
        <v>1660</v>
      </c>
      <c r="C47" s="372" t="s">
        <v>3155</v>
      </c>
      <c r="D47" s="372" t="s">
        <v>606</v>
      </c>
      <c r="E47" s="411">
        <v>43100</v>
      </c>
      <c r="F47" s="411">
        <v>43100</v>
      </c>
      <c r="G47" s="411">
        <v>41394</v>
      </c>
      <c r="H47" s="413">
        <v>-11.39209</v>
      </c>
      <c r="I47" s="413">
        <v>11.24723</v>
      </c>
      <c r="J47" s="1881">
        <v>201.74755999999999</v>
      </c>
      <c r="K47" s="413">
        <v>3.4137900000000001</v>
      </c>
      <c r="L47" s="413" t="s">
        <v>1</v>
      </c>
      <c r="M47" s="413" t="s">
        <v>1</v>
      </c>
      <c r="N47" s="413">
        <v>222.77257</v>
      </c>
      <c r="O47" s="413">
        <v>3.1810999999999998</v>
      </c>
      <c r="P47" s="413">
        <v>4.3681999999999999</v>
      </c>
      <c r="Q47" s="413">
        <v>4.03939</v>
      </c>
      <c r="R47" s="413">
        <v>4.3681999999999999</v>
      </c>
      <c r="S47" s="413">
        <v>4.03939</v>
      </c>
      <c r="T47" s="413">
        <v>6.4904900000000003</v>
      </c>
      <c r="U47" s="413">
        <v>8.3173499999999994</v>
      </c>
      <c r="V47" s="413">
        <v>5.8713499999999996</v>
      </c>
      <c r="W47" s="413">
        <v>7.1193600000000004</v>
      </c>
      <c r="X47" s="413">
        <v>-16.611460000000001</v>
      </c>
      <c r="Y47" s="413">
        <v>-23.18695</v>
      </c>
      <c r="Z47" s="413">
        <v>-36.452930000000002</v>
      </c>
      <c r="AA47" s="413">
        <v>-23.18695</v>
      </c>
      <c r="AB47" s="413">
        <v>-36.452930000000002</v>
      </c>
      <c r="AC47" s="413">
        <v>-49.001399999999997</v>
      </c>
      <c r="AD47" s="372">
        <v>-59.84975</v>
      </c>
      <c r="AE47" s="413">
        <v>-50.553820000000002</v>
      </c>
      <c r="AF47" s="414">
        <v>1</v>
      </c>
      <c r="AG47" s="414" t="s">
        <v>1</v>
      </c>
      <c r="AH47" s="414" t="s">
        <v>1</v>
      </c>
      <c r="AI47" s="414" t="s">
        <v>1</v>
      </c>
      <c r="AJ47" s="413">
        <v>1.3369500000000001</v>
      </c>
      <c r="AK47" s="413">
        <v>-1.48844</v>
      </c>
      <c r="AL47" s="413">
        <v>-5.6904399999999997</v>
      </c>
      <c r="AM47" s="413">
        <v>-0.34537000000000001</v>
      </c>
      <c r="AN47" s="413">
        <v>-1.8684700000000001</v>
      </c>
      <c r="AO47" s="413">
        <v>-1.9980800000000001</v>
      </c>
      <c r="AP47" s="372" t="s">
        <v>3156</v>
      </c>
      <c r="AQ47" s="416">
        <v>1.6714800000000001</v>
      </c>
      <c r="AR47" s="416">
        <v>1.3452999999999999</v>
      </c>
      <c r="AS47" s="416">
        <v>0.56396999999999997</v>
      </c>
      <c r="AT47" s="372">
        <v>0</v>
      </c>
      <c r="AU47" s="413">
        <v>-16.30519</v>
      </c>
      <c r="AV47" s="413">
        <v>-23.132059999999999</v>
      </c>
      <c r="AW47" s="413">
        <v>-40.261769999999999</v>
      </c>
      <c r="AX47" s="413">
        <v>-23.132059999999999</v>
      </c>
      <c r="AY47" s="413">
        <v>-40.261769999999999</v>
      </c>
      <c r="AZ47" s="413">
        <v>51.18871</v>
      </c>
      <c r="BA47" s="413">
        <v>37.620609999999999</v>
      </c>
      <c r="BB47" s="413">
        <v>217.84222</v>
      </c>
      <c r="BC47" s="413">
        <v>37.620609999999999</v>
      </c>
      <c r="BD47" s="413">
        <v>217.84222</v>
      </c>
      <c r="BE47" s="413">
        <v>20.9437</v>
      </c>
      <c r="BF47" s="413">
        <v>375.67831999999999</v>
      </c>
      <c r="BG47" s="413">
        <v>3.6999399999999998</v>
      </c>
      <c r="BH47" s="371" t="s">
        <v>1</v>
      </c>
      <c r="BI47" s="371" t="s">
        <v>1</v>
      </c>
      <c r="BJ47" s="413">
        <v>101.02795</v>
      </c>
      <c r="BK47" s="371" t="s">
        <v>504</v>
      </c>
      <c r="BL47" s="371">
        <v>7.1687000000000001E-2</v>
      </c>
      <c r="BM47" s="371">
        <v>0.232907</v>
      </c>
      <c r="BN47" s="371">
        <v>-0.101268</v>
      </c>
      <c r="BO47" s="371" t="s">
        <v>1</v>
      </c>
      <c r="BP47" s="371" t="s">
        <v>1</v>
      </c>
      <c r="BQ47" s="371" t="s">
        <v>1</v>
      </c>
      <c r="BR47" s="371">
        <v>0.15814516548290708</v>
      </c>
      <c r="BS47" s="375">
        <v>0.62607883629659888</v>
      </c>
      <c r="BT47" s="375">
        <v>0.72482904578996976</v>
      </c>
      <c r="BU47" s="375">
        <v>0.64744564628689616</v>
      </c>
      <c r="BV47" s="375">
        <v>0.62021414662728203</v>
      </c>
      <c r="BW47" s="375">
        <v>0.58805296922469574</v>
      </c>
      <c r="BX47" s="375">
        <v>0.58258046057435386</v>
      </c>
      <c r="BY47" s="375" t="s">
        <v>1</v>
      </c>
      <c r="BZ47" s="375" t="s">
        <v>1</v>
      </c>
    </row>
    <row r="48" spans="1:83">
      <c r="A48" s="372" t="s">
        <v>506</v>
      </c>
      <c r="B48" s="412" t="s">
        <v>506</v>
      </c>
      <c r="C48" s="372" t="s">
        <v>506</v>
      </c>
      <c r="D48" s="372" t="s">
        <v>506</v>
      </c>
      <c r="E48" s="411" t="s">
        <v>506</v>
      </c>
      <c r="F48" s="411" t="s">
        <v>506</v>
      </c>
      <c r="G48" s="411" t="s">
        <v>506</v>
      </c>
      <c r="H48" s="413" t="s">
        <v>506</v>
      </c>
      <c r="I48" s="413" t="s">
        <v>506</v>
      </c>
      <c r="J48" s="411" t="s">
        <v>506</v>
      </c>
      <c r="K48" s="413" t="s">
        <v>506</v>
      </c>
      <c r="L48" s="413" t="s">
        <v>506</v>
      </c>
      <c r="M48" s="413" t="s">
        <v>506</v>
      </c>
      <c r="N48" s="413" t="s">
        <v>506</v>
      </c>
      <c r="O48" s="413" t="s">
        <v>506</v>
      </c>
      <c r="P48" s="413" t="s">
        <v>506</v>
      </c>
      <c r="Q48" s="413" t="s">
        <v>506</v>
      </c>
      <c r="R48" s="413" t="s">
        <v>506</v>
      </c>
      <c r="S48" s="413" t="s">
        <v>506</v>
      </c>
      <c r="T48" s="413" t="s">
        <v>506</v>
      </c>
      <c r="U48" s="413" t="s">
        <v>506</v>
      </c>
      <c r="V48" s="413" t="s">
        <v>506</v>
      </c>
      <c r="W48" s="413" t="s">
        <v>506</v>
      </c>
      <c r="X48" s="413" t="s">
        <v>506</v>
      </c>
      <c r="Y48" s="413" t="s">
        <v>506</v>
      </c>
      <c r="Z48" s="413" t="s">
        <v>506</v>
      </c>
      <c r="AA48" s="413" t="s">
        <v>506</v>
      </c>
      <c r="AB48" s="413" t="s">
        <v>506</v>
      </c>
      <c r="AC48" s="413" t="s">
        <v>506</v>
      </c>
      <c r="AD48" s="372" t="s">
        <v>506</v>
      </c>
      <c r="AE48" s="413" t="s">
        <v>506</v>
      </c>
      <c r="AF48" s="414" t="s">
        <v>1</v>
      </c>
      <c r="AG48" s="414" t="s">
        <v>1</v>
      </c>
      <c r="AH48" s="414" t="s">
        <v>1</v>
      </c>
      <c r="AI48" s="414" t="s">
        <v>1</v>
      </c>
      <c r="AJ48" s="413" t="s">
        <v>506</v>
      </c>
      <c r="AK48" s="413" t="s">
        <v>506</v>
      </c>
      <c r="AL48" s="413" t="s">
        <v>506</v>
      </c>
      <c r="AM48" s="413" t="s">
        <v>506</v>
      </c>
      <c r="AN48" s="413" t="s">
        <v>506</v>
      </c>
      <c r="AO48" s="413" t="s">
        <v>506</v>
      </c>
      <c r="AP48" s="372" t="s">
        <v>506</v>
      </c>
      <c r="AQ48" s="416" t="s">
        <v>506</v>
      </c>
      <c r="AR48" s="416" t="s">
        <v>506</v>
      </c>
      <c r="AS48" s="416" t="s">
        <v>506</v>
      </c>
      <c r="AT48" s="372" t="s">
        <v>1</v>
      </c>
      <c r="AU48" s="413" t="s">
        <v>506</v>
      </c>
      <c r="AV48" s="413" t="s">
        <v>506</v>
      </c>
      <c r="AW48" s="413" t="s">
        <v>506</v>
      </c>
      <c r="AX48" s="413" t="s">
        <v>506</v>
      </c>
      <c r="AY48" s="413" t="s">
        <v>506</v>
      </c>
      <c r="AZ48" s="413" t="s">
        <v>506</v>
      </c>
      <c r="BA48" s="413" t="s">
        <v>506</v>
      </c>
      <c r="BB48" s="413" t="s">
        <v>506</v>
      </c>
      <c r="BC48" s="413" t="s">
        <v>506</v>
      </c>
      <c r="BD48" s="413" t="s">
        <v>506</v>
      </c>
      <c r="BE48" s="413" t="s">
        <v>506</v>
      </c>
      <c r="BF48" s="413" t="s">
        <v>506</v>
      </c>
      <c r="BG48" s="413" t="s">
        <v>506</v>
      </c>
      <c r="BH48" s="371" t="s">
        <v>506</v>
      </c>
      <c r="BI48" s="371" t="s">
        <v>506</v>
      </c>
      <c r="BJ48" s="413" t="s">
        <v>506</v>
      </c>
      <c r="BK48" s="371" t="s">
        <v>506</v>
      </c>
      <c r="BL48" s="371" t="e">
        <v>#VALUE!</v>
      </c>
      <c r="BM48" s="371" t="e">
        <v>#VALUE!</v>
      </c>
      <c r="BN48" s="371" t="e">
        <v>#VALUE!</v>
      </c>
      <c r="BO48" s="371" t="e">
        <v>#VALUE!</v>
      </c>
      <c r="BP48" s="371" t="e">
        <v>#VALUE!</v>
      </c>
      <c r="BQ48" s="371" t="e">
        <v>#VALUE!</v>
      </c>
      <c r="BR48" s="371" t="s">
        <v>504</v>
      </c>
      <c r="BS48" s="375" t="e">
        <v>#VALUE!</v>
      </c>
      <c r="BT48" s="375" t="e">
        <v>#VALUE!</v>
      </c>
      <c r="BU48" s="375" t="e">
        <v>#VALUE!</v>
      </c>
      <c r="BV48" s="375" t="e">
        <v>#VALUE!</v>
      </c>
      <c r="BW48" s="375" t="e">
        <v>#VALUE!</v>
      </c>
      <c r="BX48" s="375" t="e">
        <v>#VALUE!</v>
      </c>
      <c r="BY48" s="375" t="e">
        <v>#VALUE!</v>
      </c>
      <c r="BZ48" s="375" t="e">
        <v>#VALUE!</v>
      </c>
    </row>
    <row r="49" spans="1:83">
      <c r="A49" s="372" t="s">
        <v>506</v>
      </c>
      <c r="B49" s="412" t="s">
        <v>506</v>
      </c>
      <c r="C49" s="372" t="s">
        <v>506</v>
      </c>
      <c r="D49" s="372" t="s">
        <v>506</v>
      </c>
      <c r="E49" s="411" t="s">
        <v>506</v>
      </c>
      <c r="F49" s="411" t="s">
        <v>506</v>
      </c>
      <c r="G49" s="411" t="s">
        <v>506</v>
      </c>
      <c r="H49" s="413" t="s">
        <v>506</v>
      </c>
      <c r="I49" s="413" t="s">
        <v>506</v>
      </c>
      <c r="J49" s="411" t="s">
        <v>506</v>
      </c>
      <c r="K49" s="413" t="s">
        <v>506</v>
      </c>
      <c r="L49" s="413" t="s">
        <v>506</v>
      </c>
      <c r="M49" s="413" t="s">
        <v>506</v>
      </c>
      <c r="N49" s="413" t="s">
        <v>506</v>
      </c>
      <c r="O49" s="413" t="s">
        <v>506</v>
      </c>
      <c r="P49" s="413" t="s">
        <v>506</v>
      </c>
      <c r="Q49" s="413" t="s">
        <v>506</v>
      </c>
      <c r="R49" s="413" t="s">
        <v>506</v>
      </c>
      <c r="S49" s="413" t="s">
        <v>506</v>
      </c>
      <c r="T49" s="413" t="s">
        <v>506</v>
      </c>
      <c r="U49" s="413" t="s">
        <v>506</v>
      </c>
      <c r="V49" s="413" t="s">
        <v>506</v>
      </c>
      <c r="W49" s="413" t="s">
        <v>506</v>
      </c>
      <c r="X49" s="413" t="s">
        <v>506</v>
      </c>
      <c r="Y49" s="413" t="s">
        <v>506</v>
      </c>
      <c r="Z49" s="413" t="s">
        <v>506</v>
      </c>
      <c r="AA49" s="413" t="s">
        <v>506</v>
      </c>
      <c r="AB49" s="413" t="s">
        <v>506</v>
      </c>
      <c r="AC49" s="413" t="s">
        <v>506</v>
      </c>
      <c r="AD49" s="372" t="s">
        <v>506</v>
      </c>
      <c r="AE49" s="413" t="s">
        <v>506</v>
      </c>
      <c r="AF49" s="414" t="s">
        <v>1</v>
      </c>
      <c r="AG49" s="414" t="s">
        <v>1</v>
      </c>
      <c r="AH49" s="414" t="s">
        <v>1</v>
      </c>
      <c r="AI49" s="414" t="s">
        <v>1</v>
      </c>
      <c r="AJ49" s="413" t="s">
        <v>506</v>
      </c>
      <c r="AK49" s="413" t="s">
        <v>506</v>
      </c>
      <c r="AL49" s="413" t="s">
        <v>506</v>
      </c>
      <c r="AM49" s="413" t="s">
        <v>506</v>
      </c>
      <c r="AN49" s="413" t="s">
        <v>506</v>
      </c>
      <c r="AO49" s="413" t="s">
        <v>506</v>
      </c>
      <c r="AP49" s="372" t="s">
        <v>506</v>
      </c>
      <c r="AQ49" s="416" t="s">
        <v>506</v>
      </c>
      <c r="AR49" s="416" t="s">
        <v>506</v>
      </c>
      <c r="AS49" s="416" t="s">
        <v>506</v>
      </c>
      <c r="AT49" s="372" t="s">
        <v>1</v>
      </c>
      <c r="AU49" s="413" t="s">
        <v>506</v>
      </c>
      <c r="AV49" s="413" t="s">
        <v>506</v>
      </c>
      <c r="AW49" s="413" t="s">
        <v>506</v>
      </c>
      <c r="AX49" s="413" t="s">
        <v>506</v>
      </c>
      <c r="AY49" s="413" t="s">
        <v>506</v>
      </c>
      <c r="AZ49" s="413" t="s">
        <v>506</v>
      </c>
      <c r="BA49" s="413" t="s">
        <v>506</v>
      </c>
      <c r="BB49" s="413" t="s">
        <v>506</v>
      </c>
      <c r="BC49" s="413" t="s">
        <v>506</v>
      </c>
      <c r="BD49" s="413" t="s">
        <v>506</v>
      </c>
      <c r="BE49" s="413" t="s">
        <v>506</v>
      </c>
      <c r="BF49" s="413" t="s">
        <v>506</v>
      </c>
      <c r="BG49" s="413" t="s">
        <v>506</v>
      </c>
      <c r="BH49" s="371" t="s">
        <v>506</v>
      </c>
      <c r="BI49" s="371" t="s">
        <v>506</v>
      </c>
      <c r="BJ49" s="413" t="s">
        <v>506</v>
      </c>
      <c r="BK49" s="371" t="s">
        <v>506</v>
      </c>
      <c r="BL49" s="371" t="e">
        <v>#VALUE!</v>
      </c>
      <c r="BM49" s="371" t="e">
        <v>#VALUE!</v>
      </c>
      <c r="BN49" s="371" t="e">
        <v>#VALUE!</v>
      </c>
      <c r="BO49" s="371" t="e">
        <v>#VALUE!</v>
      </c>
      <c r="BP49" s="371" t="e">
        <v>#VALUE!</v>
      </c>
      <c r="BQ49" s="371" t="e">
        <v>#VALUE!</v>
      </c>
      <c r="BR49" s="371" t="s">
        <v>504</v>
      </c>
      <c r="BS49" s="375" t="e">
        <v>#VALUE!</v>
      </c>
      <c r="BT49" s="375" t="e">
        <v>#VALUE!</v>
      </c>
      <c r="BU49" s="375" t="e">
        <v>#VALUE!</v>
      </c>
      <c r="BV49" s="375" t="e">
        <v>#VALUE!</v>
      </c>
      <c r="BW49" s="375" t="e">
        <v>#VALUE!</v>
      </c>
      <c r="BX49" s="375" t="e">
        <v>#VALUE!</v>
      </c>
      <c r="BY49" s="375" t="e">
        <v>#VALUE!</v>
      </c>
      <c r="BZ49" s="375" t="e">
        <v>#VALUE!</v>
      </c>
    </row>
    <row r="50" spans="1:83">
      <c r="A50" s="372" t="s">
        <v>506</v>
      </c>
      <c r="B50" s="412" t="s">
        <v>506</v>
      </c>
      <c r="C50" s="372" t="s">
        <v>506</v>
      </c>
      <c r="D50" s="372" t="s">
        <v>506</v>
      </c>
      <c r="E50" s="411" t="s">
        <v>506</v>
      </c>
      <c r="F50" s="411" t="s">
        <v>506</v>
      </c>
      <c r="G50" s="411" t="s">
        <v>506</v>
      </c>
      <c r="H50" s="413" t="s">
        <v>506</v>
      </c>
      <c r="I50" s="413" t="s">
        <v>506</v>
      </c>
      <c r="J50" s="411" t="s">
        <v>506</v>
      </c>
      <c r="K50" s="413" t="s">
        <v>506</v>
      </c>
      <c r="L50" s="413" t="s">
        <v>506</v>
      </c>
      <c r="M50" s="413" t="s">
        <v>506</v>
      </c>
      <c r="N50" s="413" t="s">
        <v>506</v>
      </c>
      <c r="O50" s="413" t="s">
        <v>506</v>
      </c>
      <c r="P50" s="413" t="s">
        <v>506</v>
      </c>
      <c r="Q50" s="413" t="s">
        <v>506</v>
      </c>
      <c r="R50" s="413" t="s">
        <v>506</v>
      </c>
      <c r="S50" s="413" t="s">
        <v>506</v>
      </c>
      <c r="T50" s="413" t="s">
        <v>506</v>
      </c>
      <c r="U50" s="413" t="s">
        <v>506</v>
      </c>
      <c r="V50" s="413" t="s">
        <v>506</v>
      </c>
      <c r="W50" s="413" t="s">
        <v>506</v>
      </c>
      <c r="X50" s="413" t="s">
        <v>506</v>
      </c>
      <c r="Y50" s="413" t="s">
        <v>506</v>
      </c>
      <c r="Z50" s="413" t="s">
        <v>506</v>
      </c>
      <c r="AA50" s="413" t="s">
        <v>506</v>
      </c>
      <c r="AB50" s="413" t="s">
        <v>506</v>
      </c>
      <c r="AC50" s="413" t="s">
        <v>506</v>
      </c>
      <c r="AD50" s="372" t="s">
        <v>506</v>
      </c>
      <c r="AE50" s="413" t="s">
        <v>506</v>
      </c>
      <c r="AF50" s="414" t="s">
        <v>1</v>
      </c>
      <c r="AG50" s="414" t="s">
        <v>1</v>
      </c>
      <c r="AH50" s="414" t="s">
        <v>1</v>
      </c>
      <c r="AI50" s="414" t="s">
        <v>1</v>
      </c>
      <c r="AJ50" s="413" t="s">
        <v>506</v>
      </c>
      <c r="AK50" s="413" t="s">
        <v>506</v>
      </c>
      <c r="AL50" s="413" t="s">
        <v>506</v>
      </c>
      <c r="AM50" s="413" t="s">
        <v>506</v>
      </c>
      <c r="AN50" s="413" t="s">
        <v>506</v>
      </c>
      <c r="AO50" s="413" t="s">
        <v>506</v>
      </c>
      <c r="AP50" s="372" t="s">
        <v>506</v>
      </c>
      <c r="AQ50" s="416" t="s">
        <v>506</v>
      </c>
      <c r="AR50" s="416" t="s">
        <v>506</v>
      </c>
      <c r="AS50" s="416" t="s">
        <v>506</v>
      </c>
      <c r="AT50" s="372" t="s">
        <v>1</v>
      </c>
      <c r="AU50" s="413" t="s">
        <v>506</v>
      </c>
      <c r="AV50" s="413" t="s">
        <v>506</v>
      </c>
      <c r="AW50" s="413" t="s">
        <v>506</v>
      </c>
      <c r="AX50" s="413" t="s">
        <v>506</v>
      </c>
      <c r="AY50" s="413" t="s">
        <v>506</v>
      </c>
      <c r="AZ50" s="413" t="s">
        <v>506</v>
      </c>
      <c r="BA50" s="413" t="s">
        <v>506</v>
      </c>
      <c r="BB50" s="413" t="s">
        <v>506</v>
      </c>
      <c r="BC50" s="413" t="s">
        <v>506</v>
      </c>
      <c r="BD50" s="413" t="s">
        <v>506</v>
      </c>
      <c r="BE50" s="413" t="s">
        <v>506</v>
      </c>
      <c r="BF50" s="413" t="s">
        <v>506</v>
      </c>
      <c r="BG50" s="413" t="s">
        <v>506</v>
      </c>
      <c r="BH50" s="371" t="s">
        <v>506</v>
      </c>
      <c r="BI50" s="371" t="s">
        <v>506</v>
      </c>
      <c r="BJ50" s="413" t="s">
        <v>506</v>
      </c>
      <c r="BK50" s="371" t="s">
        <v>506</v>
      </c>
      <c r="BL50" s="371" t="e">
        <v>#VALUE!</v>
      </c>
      <c r="BM50" s="371" t="e">
        <v>#VALUE!</v>
      </c>
      <c r="BN50" s="371" t="e">
        <v>#VALUE!</v>
      </c>
      <c r="BO50" s="371" t="e">
        <v>#VALUE!</v>
      </c>
      <c r="BP50" s="371" t="e">
        <v>#VALUE!</v>
      </c>
      <c r="BQ50" s="371" t="e">
        <v>#VALUE!</v>
      </c>
      <c r="BR50" s="371" t="s">
        <v>504</v>
      </c>
      <c r="BS50" s="375" t="e">
        <v>#VALUE!</v>
      </c>
      <c r="BT50" s="375" t="e">
        <v>#VALUE!</v>
      </c>
      <c r="BU50" s="375" t="e">
        <v>#VALUE!</v>
      </c>
      <c r="BV50" s="375" t="e">
        <v>#VALUE!</v>
      </c>
      <c r="BW50" s="375" t="e">
        <v>#VALUE!</v>
      </c>
      <c r="BX50" s="375" t="e">
        <v>#VALUE!</v>
      </c>
      <c r="BY50" s="375" t="e">
        <v>#VALUE!</v>
      </c>
      <c r="BZ50" s="375" t="e">
        <v>#VALUE!</v>
      </c>
    </row>
    <row r="51" spans="1:83">
      <c r="A51" s="372" t="s">
        <v>506</v>
      </c>
      <c r="B51" s="412" t="s">
        <v>506</v>
      </c>
      <c r="C51" s="372" t="s">
        <v>506</v>
      </c>
      <c r="D51" s="372" t="s">
        <v>506</v>
      </c>
      <c r="E51" s="411" t="s">
        <v>506</v>
      </c>
      <c r="F51" s="411" t="s">
        <v>506</v>
      </c>
      <c r="G51" s="411" t="s">
        <v>506</v>
      </c>
      <c r="H51" s="413" t="s">
        <v>506</v>
      </c>
      <c r="I51" s="413" t="s">
        <v>506</v>
      </c>
      <c r="J51" s="411" t="s">
        <v>506</v>
      </c>
      <c r="K51" s="413" t="s">
        <v>506</v>
      </c>
      <c r="L51" s="413" t="s">
        <v>506</v>
      </c>
      <c r="M51" s="413" t="s">
        <v>506</v>
      </c>
      <c r="N51" s="413" t="s">
        <v>506</v>
      </c>
      <c r="O51" s="413" t="s">
        <v>506</v>
      </c>
      <c r="P51" s="413" t="s">
        <v>506</v>
      </c>
      <c r="Q51" s="413" t="s">
        <v>506</v>
      </c>
      <c r="R51" s="413" t="s">
        <v>506</v>
      </c>
      <c r="S51" s="413" t="s">
        <v>506</v>
      </c>
      <c r="T51" s="413" t="s">
        <v>506</v>
      </c>
      <c r="U51" s="413" t="s">
        <v>506</v>
      </c>
      <c r="V51" s="413" t="s">
        <v>506</v>
      </c>
      <c r="W51" s="413" t="s">
        <v>506</v>
      </c>
      <c r="X51" s="413" t="s">
        <v>506</v>
      </c>
      <c r="Y51" s="413" t="s">
        <v>506</v>
      </c>
      <c r="Z51" s="413" t="s">
        <v>506</v>
      </c>
      <c r="AA51" s="413" t="s">
        <v>506</v>
      </c>
      <c r="AB51" s="413" t="s">
        <v>506</v>
      </c>
      <c r="AC51" s="413" t="s">
        <v>506</v>
      </c>
      <c r="AD51" s="372" t="s">
        <v>506</v>
      </c>
      <c r="AE51" s="413" t="s">
        <v>506</v>
      </c>
      <c r="AF51" s="414" t="s">
        <v>1</v>
      </c>
      <c r="AG51" s="414" t="s">
        <v>1</v>
      </c>
      <c r="AH51" s="414" t="s">
        <v>1</v>
      </c>
      <c r="AI51" s="414" t="s">
        <v>1</v>
      </c>
      <c r="AJ51" s="413" t="s">
        <v>506</v>
      </c>
      <c r="AK51" s="413" t="s">
        <v>506</v>
      </c>
      <c r="AL51" s="413" t="s">
        <v>506</v>
      </c>
      <c r="AM51" s="413" t="s">
        <v>506</v>
      </c>
      <c r="AN51" s="413" t="s">
        <v>506</v>
      </c>
      <c r="AO51" s="413" t="s">
        <v>506</v>
      </c>
      <c r="AP51" s="372" t="s">
        <v>506</v>
      </c>
      <c r="AQ51" s="416" t="s">
        <v>506</v>
      </c>
      <c r="AR51" s="416" t="s">
        <v>506</v>
      </c>
      <c r="AS51" s="416" t="s">
        <v>506</v>
      </c>
      <c r="AT51" s="372" t="s">
        <v>1</v>
      </c>
      <c r="AU51" s="413" t="s">
        <v>506</v>
      </c>
      <c r="AV51" s="413" t="s">
        <v>506</v>
      </c>
      <c r="AW51" s="413" t="s">
        <v>506</v>
      </c>
      <c r="AX51" s="413" t="s">
        <v>506</v>
      </c>
      <c r="AY51" s="413" t="s">
        <v>506</v>
      </c>
      <c r="AZ51" s="413" t="s">
        <v>506</v>
      </c>
      <c r="BA51" s="413" t="s">
        <v>506</v>
      </c>
      <c r="BB51" s="413" t="s">
        <v>506</v>
      </c>
      <c r="BC51" s="413" t="s">
        <v>506</v>
      </c>
      <c r="BD51" s="413" t="s">
        <v>506</v>
      </c>
      <c r="BE51" s="413" t="s">
        <v>506</v>
      </c>
      <c r="BF51" s="413" t="s">
        <v>506</v>
      </c>
      <c r="BG51" s="413" t="s">
        <v>506</v>
      </c>
      <c r="BH51" s="371" t="s">
        <v>506</v>
      </c>
      <c r="BI51" s="371" t="s">
        <v>506</v>
      </c>
      <c r="BJ51" s="413" t="s">
        <v>506</v>
      </c>
      <c r="BK51" s="371" t="s">
        <v>506</v>
      </c>
      <c r="BL51" s="371" t="e">
        <v>#VALUE!</v>
      </c>
      <c r="BM51" s="371" t="e">
        <v>#VALUE!</v>
      </c>
      <c r="BN51" s="371" t="e">
        <v>#VALUE!</v>
      </c>
      <c r="BO51" s="371" t="e">
        <v>#VALUE!</v>
      </c>
      <c r="BP51" s="371" t="e">
        <v>#VALUE!</v>
      </c>
      <c r="BQ51" s="371" t="e">
        <v>#VALUE!</v>
      </c>
      <c r="BR51" s="371" t="s">
        <v>504</v>
      </c>
      <c r="BS51" s="375" t="e">
        <v>#VALUE!</v>
      </c>
      <c r="BT51" s="375" t="e">
        <v>#VALUE!</v>
      </c>
      <c r="BU51" s="375" t="e">
        <v>#VALUE!</v>
      </c>
      <c r="BV51" s="375" t="e">
        <v>#VALUE!</v>
      </c>
      <c r="BW51" s="375" t="e">
        <v>#VALUE!</v>
      </c>
      <c r="BX51" s="375" t="e">
        <v>#VALUE!</v>
      </c>
      <c r="BY51" s="375" t="e">
        <v>#VALUE!</v>
      </c>
      <c r="BZ51" s="375" t="e">
        <v>#VALUE!</v>
      </c>
    </row>
    <row r="52" spans="1:83">
      <c r="A52" s="372" t="s">
        <v>506</v>
      </c>
      <c r="B52" s="412" t="s">
        <v>506</v>
      </c>
      <c r="C52" s="372" t="s">
        <v>506</v>
      </c>
      <c r="D52" s="372" t="s">
        <v>506</v>
      </c>
      <c r="E52" s="411" t="s">
        <v>506</v>
      </c>
      <c r="F52" s="411" t="s">
        <v>506</v>
      </c>
      <c r="G52" s="411" t="s">
        <v>506</v>
      </c>
      <c r="H52" s="413" t="s">
        <v>506</v>
      </c>
      <c r="I52" s="413" t="s">
        <v>506</v>
      </c>
      <c r="J52" s="411" t="s">
        <v>506</v>
      </c>
      <c r="K52" s="413" t="s">
        <v>506</v>
      </c>
      <c r="L52" s="413" t="s">
        <v>506</v>
      </c>
      <c r="M52" s="413" t="s">
        <v>506</v>
      </c>
      <c r="N52" s="413" t="s">
        <v>506</v>
      </c>
      <c r="O52" s="413" t="s">
        <v>506</v>
      </c>
      <c r="P52" s="413" t="s">
        <v>506</v>
      </c>
      <c r="Q52" s="413" t="s">
        <v>506</v>
      </c>
      <c r="R52" s="413" t="s">
        <v>506</v>
      </c>
      <c r="S52" s="413" t="s">
        <v>506</v>
      </c>
      <c r="T52" s="413" t="s">
        <v>506</v>
      </c>
      <c r="U52" s="413" t="s">
        <v>506</v>
      </c>
      <c r="V52" s="413" t="s">
        <v>506</v>
      </c>
      <c r="W52" s="413" t="s">
        <v>506</v>
      </c>
      <c r="X52" s="413" t="s">
        <v>506</v>
      </c>
      <c r="Y52" s="413" t="s">
        <v>506</v>
      </c>
      <c r="Z52" s="413" t="s">
        <v>506</v>
      </c>
      <c r="AA52" s="413" t="s">
        <v>506</v>
      </c>
      <c r="AB52" s="413" t="s">
        <v>506</v>
      </c>
      <c r="AC52" s="413" t="s">
        <v>506</v>
      </c>
      <c r="AD52" s="372" t="s">
        <v>506</v>
      </c>
      <c r="AE52" s="413" t="s">
        <v>506</v>
      </c>
      <c r="AF52" s="414" t="s">
        <v>1</v>
      </c>
      <c r="AG52" s="414" t="s">
        <v>1</v>
      </c>
      <c r="AH52" s="414" t="s">
        <v>1</v>
      </c>
      <c r="AI52" s="414" t="s">
        <v>1</v>
      </c>
      <c r="AJ52" s="413" t="s">
        <v>506</v>
      </c>
      <c r="AK52" s="413" t="s">
        <v>506</v>
      </c>
      <c r="AL52" s="413" t="s">
        <v>506</v>
      </c>
      <c r="AM52" s="413" t="s">
        <v>506</v>
      </c>
      <c r="AN52" s="413" t="s">
        <v>506</v>
      </c>
      <c r="AO52" s="413" t="s">
        <v>506</v>
      </c>
      <c r="AP52" s="372" t="s">
        <v>506</v>
      </c>
      <c r="AQ52" s="416" t="s">
        <v>506</v>
      </c>
      <c r="AR52" s="416" t="s">
        <v>506</v>
      </c>
      <c r="AS52" s="416" t="s">
        <v>506</v>
      </c>
      <c r="AT52" s="372" t="s">
        <v>1</v>
      </c>
      <c r="AU52" s="413" t="s">
        <v>506</v>
      </c>
      <c r="AV52" s="413" t="s">
        <v>506</v>
      </c>
      <c r="AW52" s="413" t="s">
        <v>506</v>
      </c>
      <c r="AX52" s="413" t="s">
        <v>506</v>
      </c>
      <c r="AY52" s="413" t="s">
        <v>506</v>
      </c>
      <c r="AZ52" s="413" t="s">
        <v>506</v>
      </c>
      <c r="BA52" s="413" t="s">
        <v>506</v>
      </c>
      <c r="BB52" s="413" t="s">
        <v>506</v>
      </c>
      <c r="BC52" s="413" t="s">
        <v>506</v>
      </c>
      <c r="BD52" s="413" t="s">
        <v>506</v>
      </c>
      <c r="BE52" s="413" t="s">
        <v>506</v>
      </c>
      <c r="BF52" s="413" t="s">
        <v>506</v>
      </c>
      <c r="BG52" s="413" t="s">
        <v>506</v>
      </c>
      <c r="BH52" s="371" t="s">
        <v>506</v>
      </c>
      <c r="BI52" s="371" t="s">
        <v>506</v>
      </c>
      <c r="BJ52" s="413" t="s">
        <v>506</v>
      </c>
      <c r="BK52" s="371" t="s">
        <v>506</v>
      </c>
      <c r="BL52" s="371" t="e">
        <v>#VALUE!</v>
      </c>
      <c r="BM52" s="371" t="e">
        <v>#VALUE!</v>
      </c>
      <c r="BN52" s="371" t="e">
        <v>#VALUE!</v>
      </c>
      <c r="BO52" s="371" t="e">
        <v>#VALUE!</v>
      </c>
      <c r="BP52" s="371" t="e">
        <v>#VALUE!</v>
      </c>
      <c r="BQ52" s="371" t="e">
        <v>#VALUE!</v>
      </c>
      <c r="BR52" s="371" t="s">
        <v>504</v>
      </c>
      <c r="BS52" s="375" t="e">
        <v>#VALUE!</v>
      </c>
      <c r="BT52" s="375" t="e">
        <v>#VALUE!</v>
      </c>
      <c r="BU52" s="375" t="e">
        <v>#VALUE!</v>
      </c>
      <c r="BV52" s="375" t="e">
        <v>#VALUE!</v>
      </c>
      <c r="BW52" s="375" t="e">
        <v>#VALUE!</v>
      </c>
      <c r="BX52" s="375" t="e">
        <v>#VALUE!</v>
      </c>
      <c r="BY52" s="375" t="e">
        <v>#VALUE!</v>
      </c>
      <c r="BZ52" s="375" t="e">
        <v>#VALUE!</v>
      </c>
    </row>
    <row r="53" spans="1:83">
      <c r="A53" s="372" t="s">
        <v>506</v>
      </c>
      <c r="B53" s="412" t="s">
        <v>506</v>
      </c>
      <c r="C53" s="372" t="s">
        <v>506</v>
      </c>
      <c r="D53" s="372" t="s">
        <v>506</v>
      </c>
      <c r="E53" s="411" t="s">
        <v>506</v>
      </c>
      <c r="F53" s="411" t="s">
        <v>506</v>
      </c>
      <c r="G53" s="411" t="s">
        <v>506</v>
      </c>
      <c r="H53" s="413" t="s">
        <v>506</v>
      </c>
      <c r="I53" s="413" t="s">
        <v>506</v>
      </c>
      <c r="J53" s="411" t="s">
        <v>506</v>
      </c>
      <c r="K53" s="413" t="s">
        <v>506</v>
      </c>
      <c r="L53" s="413" t="s">
        <v>506</v>
      </c>
      <c r="M53" s="413" t="s">
        <v>506</v>
      </c>
      <c r="N53" s="413" t="s">
        <v>506</v>
      </c>
      <c r="O53" s="413" t="s">
        <v>506</v>
      </c>
      <c r="P53" s="413" t="s">
        <v>506</v>
      </c>
      <c r="Q53" s="413" t="s">
        <v>506</v>
      </c>
      <c r="R53" s="413" t="s">
        <v>506</v>
      </c>
      <c r="S53" s="413" t="s">
        <v>506</v>
      </c>
      <c r="T53" s="413" t="s">
        <v>506</v>
      </c>
      <c r="U53" s="413" t="s">
        <v>506</v>
      </c>
      <c r="V53" s="413" t="s">
        <v>506</v>
      </c>
      <c r="W53" s="413" t="s">
        <v>506</v>
      </c>
      <c r="X53" s="413" t="s">
        <v>506</v>
      </c>
      <c r="Y53" s="413" t="s">
        <v>506</v>
      </c>
      <c r="Z53" s="413" t="s">
        <v>506</v>
      </c>
      <c r="AA53" s="413" t="s">
        <v>506</v>
      </c>
      <c r="AB53" s="413" t="s">
        <v>506</v>
      </c>
      <c r="AC53" s="413" t="s">
        <v>506</v>
      </c>
      <c r="AD53" s="372" t="s">
        <v>506</v>
      </c>
      <c r="AE53" s="413" t="s">
        <v>506</v>
      </c>
      <c r="AF53" s="414" t="s">
        <v>1</v>
      </c>
      <c r="AG53" s="414" t="s">
        <v>1</v>
      </c>
      <c r="AH53" s="414" t="s">
        <v>1</v>
      </c>
      <c r="AI53" s="414" t="s">
        <v>1</v>
      </c>
      <c r="AJ53" s="413" t="s">
        <v>506</v>
      </c>
      <c r="AK53" s="413" t="s">
        <v>506</v>
      </c>
      <c r="AL53" s="413" t="s">
        <v>506</v>
      </c>
      <c r="AM53" s="413" t="s">
        <v>506</v>
      </c>
      <c r="AN53" s="413" t="s">
        <v>506</v>
      </c>
      <c r="AO53" s="413" t="s">
        <v>506</v>
      </c>
      <c r="AP53" s="372" t="s">
        <v>506</v>
      </c>
      <c r="AQ53" s="416" t="s">
        <v>506</v>
      </c>
      <c r="AR53" s="416" t="s">
        <v>506</v>
      </c>
      <c r="AS53" s="416" t="s">
        <v>506</v>
      </c>
      <c r="AT53" s="372" t="s">
        <v>1</v>
      </c>
      <c r="AU53" s="413" t="s">
        <v>506</v>
      </c>
      <c r="AV53" s="413" t="s">
        <v>506</v>
      </c>
      <c r="AW53" s="413" t="s">
        <v>506</v>
      </c>
      <c r="AX53" s="413" t="s">
        <v>506</v>
      </c>
      <c r="AY53" s="413" t="s">
        <v>506</v>
      </c>
      <c r="AZ53" s="413" t="s">
        <v>506</v>
      </c>
      <c r="BA53" s="413" t="s">
        <v>506</v>
      </c>
      <c r="BB53" s="413" t="s">
        <v>506</v>
      </c>
      <c r="BC53" s="413" t="s">
        <v>506</v>
      </c>
      <c r="BD53" s="413" t="s">
        <v>506</v>
      </c>
      <c r="BE53" s="413" t="s">
        <v>506</v>
      </c>
      <c r="BF53" s="413" t="s">
        <v>506</v>
      </c>
      <c r="BG53" s="413" t="s">
        <v>506</v>
      </c>
      <c r="BH53" s="371" t="s">
        <v>506</v>
      </c>
      <c r="BI53" s="371" t="s">
        <v>506</v>
      </c>
      <c r="BJ53" s="413" t="s">
        <v>506</v>
      </c>
      <c r="BK53" s="371" t="s">
        <v>506</v>
      </c>
      <c r="BL53" s="371" t="e">
        <v>#VALUE!</v>
      </c>
      <c r="BM53" s="371" t="e">
        <v>#VALUE!</v>
      </c>
      <c r="BN53" s="371" t="e">
        <v>#VALUE!</v>
      </c>
      <c r="BO53" s="371" t="e">
        <v>#VALUE!</v>
      </c>
      <c r="BP53" s="371" t="e">
        <v>#VALUE!</v>
      </c>
      <c r="BQ53" s="371" t="e">
        <v>#VALUE!</v>
      </c>
      <c r="BR53" s="371" t="s">
        <v>504</v>
      </c>
      <c r="BS53" s="375" t="e">
        <v>#VALUE!</v>
      </c>
      <c r="BT53" s="375" t="e">
        <v>#VALUE!</v>
      </c>
      <c r="BU53" s="375" t="e">
        <v>#VALUE!</v>
      </c>
      <c r="BV53" s="375" t="e">
        <v>#VALUE!</v>
      </c>
      <c r="BW53" s="375" t="e">
        <v>#VALUE!</v>
      </c>
      <c r="BX53" s="375" t="e">
        <v>#VALUE!</v>
      </c>
      <c r="BY53" s="375" t="e">
        <v>#VALUE!</v>
      </c>
      <c r="BZ53" s="375" t="e">
        <v>#VALUE!</v>
      </c>
    </row>
    <row r="54" spans="1:83">
      <c r="A54" s="370"/>
      <c r="J54" s="411"/>
      <c r="M54" s="374"/>
      <c r="N54" s="374"/>
      <c r="O54" s="374"/>
      <c r="P54" s="374"/>
      <c r="Q54" s="374"/>
      <c r="R54" s="374"/>
      <c r="S54" s="374"/>
      <c r="T54" s="374"/>
      <c r="U54" s="374"/>
      <c r="V54" s="374"/>
      <c r="W54" s="374"/>
      <c r="X54" s="374"/>
      <c r="Y54" s="374"/>
      <c r="Z54" s="374"/>
      <c r="AA54" s="374"/>
      <c r="AB54" s="374"/>
      <c r="AC54" s="374"/>
      <c r="AD54" s="374"/>
      <c r="AE54" s="374"/>
      <c r="AF54" s="374"/>
      <c r="AG54" s="374"/>
      <c r="AH54" s="374"/>
      <c r="AI54" s="374"/>
      <c r="AJ54" s="374"/>
      <c r="AK54" s="374"/>
      <c r="AL54" s="374"/>
      <c r="AM54" s="374"/>
      <c r="AN54" s="374"/>
      <c r="AO54" s="374"/>
      <c r="AP54" s="374"/>
      <c r="AQ54" s="370"/>
      <c r="AR54" s="374"/>
      <c r="AS54" s="370"/>
      <c r="AT54" s="374"/>
      <c r="AU54" s="370"/>
      <c r="AV54" s="370"/>
      <c r="AW54" s="370"/>
      <c r="AX54" s="370"/>
      <c r="AY54" s="370"/>
      <c r="AZ54" s="370"/>
      <c r="BA54" s="370"/>
      <c r="BB54" s="370"/>
      <c r="BC54" s="374"/>
      <c r="BD54" s="370"/>
      <c r="BE54" s="370"/>
      <c r="BF54" s="370"/>
      <c r="BG54" s="370"/>
      <c r="BH54" s="370"/>
      <c r="BI54" s="370"/>
      <c r="BJ54" s="370"/>
      <c r="BK54" s="370"/>
      <c r="BL54" s="370"/>
      <c r="BM54" s="370"/>
      <c r="BN54" s="370"/>
      <c r="BO54" s="370"/>
      <c r="BP54" s="370"/>
      <c r="BQ54" s="370"/>
      <c r="BR54" s="370"/>
      <c r="BS54" s="370"/>
      <c r="BT54" s="370"/>
      <c r="BU54" s="370"/>
      <c r="BV54" s="370"/>
      <c r="BW54" s="370"/>
      <c r="BX54" s="370"/>
      <c r="BY54" s="370"/>
      <c r="BZ54" s="370"/>
      <c r="CE54" s="370"/>
    </row>
    <row r="55" spans="1:83">
      <c r="A55" s="370"/>
      <c r="J55" s="411"/>
      <c r="L55" s="408"/>
      <c r="M55" s="374"/>
      <c r="N55" s="374"/>
      <c r="O55" s="374"/>
      <c r="P55" s="374"/>
      <c r="Q55" s="374"/>
      <c r="R55" s="374"/>
      <c r="S55" s="374"/>
      <c r="T55" s="374"/>
      <c r="U55" s="374"/>
      <c r="V55" s="374"/>
      <c r="W55" s="374"/>
      <c r="X55" s="374"/>
      <c r="Y55" s="374"/>
      <c r="Z55" s="374"/>
      <c r="AA55" s="374"/>
      <c r="AB55" s="374"/>
      <c r="AC55" s="374"/>
      <c r="AD55" s="374"/>
      <c r="AE55" s="374"/>
      <c r="AF55" s="374"/>
      <c r="AG55" s="374"/>
      <c r="AH55" s="374"/>
      <c r="AI55" s="374"/>
      <c r="AJ55" s="374"/>
      <c r="AK55" s="374"/>
      <c r="AL55" s="374"/>
      <c r="AM55" s="374"/>
      <c r="AN55" s="374"/>
      <c r="AO55" s="374"/>
      <c r="AP55" s="374"/>
      <c r="AQ55" s="370"/>
      <c r="AR55" s="374"/>
      <c r="AS55" s="370"/>
      <c r="AT55" s="374"/>
      <c r="AU55" s="370"/>
      <c r="AV55" s="370"/>
      <c r="AW55" s="370"/>
      <c r="AX55" s="370"/>
      <c r="AY55" s="370"/>
      <c r="AZ55" s="370"/>
      <c r="BA55" s="370"/>
      <c r="BB55" s="370"/>
      <c r="BC55" s="374"/>
      <c r="BD55" s="370"/>
      <c r="BE55" s="370"/>
      <c r="BF55" s="370"/>
      <c r="BG55" s="370"/>
      <c r="BH55" s="370"/>
      <c r="BI55" s="370"/>
      <c r="BJ55" s="370"/>
      <c r="BK55" s="370"/>
      <c r="BL55" s="370"/>
      <c r="BM55" s="370"/>
      <c r="BN55" s="370"/>
      <c r="BO55" s="370"/>
      <c r="BP55" s="370"/>
      <c r="BQ55" s="370"/>
      <c r="BR55" s="370"/>
      <c r="BS55" s="370"/>
      <c r="BT55" s="370"/>
      <c r="BU55" s="370"/>
      <c r="BV55" s="370"/>
      <c r="BW55" s="370"/>
      <c r="BX55" s="370"/>
      <c r="BY55" s="370"/>
      <c r="BZ55" s="370"/>
      <c r="CE55" s="370"/>
    </row>
    <row r="56" spans="1:83" ht="12.75">
      <c r="A56" s="370"/>
      <c r="B56" s="419" t="s">
        <v>52</v>
      </c>
      <c r="C56" s="420" t="s">
        <v>488</v>
      </c>
      <c r="D56" s="421" t="s">
        <v>489</v>
      </c>
      <c r="E56" s="422" t="s">
        <v>51</v>
      </c>
      <c r="F56" s="423"/>
      <c r="G56" s="423"/>
      <c r="H56" s="423"/>
      <c r="I56" s="423"/>
      <c r="J56" s="424"/>
      <c r="K56" s="425"/>
      <c r="L56" s="408"/>
      <c r="M56" s="374"/>
      <c r="N56" s="374"/>
      <c r="O56" s="374"/>
      <c r="P56" s="374"/>
      <c r="Q56" s="374"/>
      <c r="R56" s="374"/>
      <c r="S56" s="374"/>
      <c r="T56" s="374"/>
      <c r="U56" s="374"/>
      <c r="V56" s="374"/>
      <c r="W56" s="374"/>
      <c r="X56" s="374"/>
      <c r="Y56" s="374"/>
      <c r="Z56" s="374"/>
      <c r="AA56" s="374"/>
      <c r="AB56" s="374"/>
      <c r="AC56" s="374"/>
      <c r="AD56" s="374"/>
      <c r="AE56" s="374"/>
      <c r="AF56" s="374"/>
      <c r="AG56" s="374"/>
      <c r="AH56" s="374"/>
      <c r="AI56" s="374"/>
      <c r="AJ56" s="374"/>
      <c r="AK56" s="374"/>
      <c r="AL56" s="374"/>
      <c r="AM56" s="374"/>
      <c r="AN56" s="374"/>
      <c r="AO56" s="374"/>
      <c r="AP56" s="374"/>
      <c r="AQ56" s="370"/>
      <c r="AR56" s="374"/>
      <c r="AS56" s="370"/>
      <c r="AT56" s="374"/>
      <c r="AU56" s="370"/>
      <c r="AV56" s="370"/>
      <c r="AW56" s="370"/>
      <c r="AX56" s="370"/>
      <c r="AY56" s="370"/>
      <c r="AZ56" s="370"/>
      <c r="BA56" s="370"/>
      <c r="BB56" s="370"/>
      <c r="BC56" s="374"/>
      <c r="BD56" s="370"/>
      <c r="BE56" s="370"/>
      <c r="BF56" s="370"/>
      <c r="BG56" s="370"/>
      <c r="BH56" s="370"/>
      <c r="BI56" s="370"/>
      <c r="BJ56" s="370"/>
      <c r="BK56" s="370"/>
      <c r="BL56" s="370"/>
      <c r="BM56" s="370"/>
      <c r="BN56" s="370"/>
      <c r="BO56" s="370"/>
      <c r="BP56" s="370"/>
      <c r="BQ56" s="370"/>
      <c r="BR56" s="370"/>
      <c r="BS56" s="370"/>
      <c r="BT56" s="370"/>
      <c r="BU56" s="370"/>
      <c r="BV56" s="370"/>
      <c r="BW56" s="370"/>
      <c r="BX56" s="370"/>
      <c r="BY56" s="370"/>
      <c r="BZ56" s="370"/>
      <c r="CE56" s="370"/>
    </row>
    <row r="57" spans="1:83" ht="12.75">
      <c r="A57" s="370"/>
      <c r="B57" s="426" t="s">
        <v>55</v>
      </c>
      <c r="C57" s="427">
        <v>8.3333333333333329E-2</v>
      </c>
      <c r="D57" s="428">
        <v>1.77E-2</v>
      </c>
      <c r="E57" s="429" t="s">
        <v>509</v>
      </c>
      <c r="F57" s="430"/>
      <c r="G57" s="430"/>
      <c r="H57" s="430"/>
      <c r="I57" s="430"/>
      <c r="J57" s="431"/>
      <c r="K57" s="432"/>
      <c r="M57" s="374"/>
      <c r="N57" s="374"/>
      <c r="O57" s="374"/>
      <c r="P57" s="374"/>
      <c r="Q57" s="374"/>
      <c r="R57" s="374"/>
      <c r="S57" s="374"/>
      <c r="T57" s="374"/>
      <c r="U57" s="374"/>
      <c r="V57" s="374"/>
      <c r="W57" s="374"/>
      <c r="X57" s="374"/>
      <c r="Y57" s="374"/>
      <c r="Z57" s="374"/>
      <c r="AA57" s="374"/>
      <c r="AB57" s="374"/>
      <c r="AC57" s="374"/>
      <c r="AD57" s="374"/>
      <c r="AE57" s="374"/>
      <c r="AF57" s="374"/>
      <c r="AG57" s="374"/>
      <c r="AH57" s="374"/>
      <c r="AI57" s="374"/>
      <c r="AJ57" s="374"/>
      <c r="AK57" s="374"/>
      <c r="AL57" s="374"/>
      <c r="AM57" s="374"/>
      <c r="AN57" s="374"/>
      <c r="AO57" s="374"/>
      <c r="AP57" s="374"/>
      <c r="AQ57" s="370"/>
      <c r="AR57" s="374"/>
      <c r="AS57" s="370"/>
      <c r="AT57" s="374"/>
      <c r="AU57" s="370"/>
      <c r="AV57" s="370"/>
      <c r="AW57" s="370"/>
      <c r="AX57" s="370"/>
      <c r="AY57" s="370"/>
      <c r="AZ57" s="370"/>
      <c r="BA57" s="370"/>
      <c r="BB57" s="370"/>
      <c r="BC57" s="374"/>
      <c r="BD57" s="370"/>
      <c r="BE57" s="370"/>
      <c r="BF57" s="370"/>
      <c r="BG57" s="370"/>
      <c r="BH57" s="370"/>
      <c r="BI57" s="370"/>
      <c r="BJ57" s="370"/>
      <c r="BK57" s="370"/>
      <c r="BL57" s="370"/>
      <c r="BM57" s="370"/>
      <c r="BN57" s="370"/>
      <c r="BO57" s="370"/>
      <c r="BP57" s="370"/>
      <c r="BQ57" s="370"/>
      <c r="BR57" s="370"/>
      <c r="BS57" s="370"/>
      <c r="BT57" s="370"/>
      <c r="BU57" s="370"/>
      <c r="BV57" s="370"/>
      <c r="BW57" s="370"/>
      <c r="BX57" s="370"/>
      <c r="BY57" s="370"/>
      <c r="BZ57" s="370"/>
      <c r="CE57" s="370"/>
    </row>
    <row r="58" spans="1:83" ht="12.75">
      <c r="A58" s="370"/>
      <c r="B58" s="433" t="s">
        <v>56</v>
      </c>
      <c r="C58" s="434">
        <v>0.25</v>
      </c>
      <c r="D58" s="398">
        <v>1.9299999999999998E-2</v>
      </c>
      <c r="E58" s="429" t="s">
        <v>510</v>
      </c>
      <c r="F58" s="430"/>
      <c r="G58" s="430"/>
      <c r="H58" s="430"/>
      <c r="I58" s="430"/>
      <c r="J58" s="431"/>
      <c r="K58" s="432"/>
      <c r="M58" s="374"/>
      <c r="N58" s="374"/>
      <c r="O58" s="374"/>
      <c r="P58" s="374"/>
      <c r="Q58" s="374"/>
      <c r="R58" s="374"/>
      <c r="S58" s="374"/>
      <c r="T58" s="374"/>
      <c r="U58" s="374"/>
      <c r="V58" s="374"/>
      <c r="W58" s="374"/>
      <c r="X58" s="374"/>
      <c r="Y58" s="374"/>
      <c r="Z58" s="374"/>
      <c r="AA58" s="374"/>
      <c r="AB58" s="374"/>
      <c r="AC58" s="374"/>
      <c r="AD58" s="374"/>
      <c r="AE58" s="374"/>
      <c r="AF58" s="374"/>
      <c r="AG58" s="374"/>
      <c r="AH58" s="374"/>
      <c r="AI58" s="374"/>
      <c r="AJ58" s="374"/>
      <c r="AK58" s="374"/>
      <c r="AL58" s="374"/>
      <c r="AM58" s="374"/>
      <c r="AN58" s="374"/>
      <c r="AO58" s="374"/>
      <c r="AP58" s="374"/>
      <c r="AQ58" s="370"/>
      <c r="AR58" s="374"/>
      <c r="AS58" s="370"/>
      <c r="AT58" s="374"/>
      <c r="AU58" s="370"/>
      <c r="AV58" s="370"/>
      <c r="AW58" s="370"/>
      <c r="AX58" s="370"/>
      <c r="AY58" s="370"/>
      <c r="AZ58" s="370"/>
      <c r="BA58" s="370"/>
      <c r="BB58" s="370"/>
      <c r="BC58" s="374"/>
      <c r="BD58" s="370"/>
      <c r="BE58" s="370"/>
      <c r="BF58" s="370"/>
      <c r="BG58" s="370"/>
      <c r="BH58" s="370"/>
      <c r="BI58" s="370"/>
      <c r="BJ58" s="370"/>
      <c r="BK58" s="370"/>
      <c r="BL58" s="370"/>
      <c r="BM58" s="370"/>
      <c r="BN58" s="370"/>
      <c r="BO58" s="370"/>
      <c r="BP58" s="370"/>
      <c r="BQ58" s="370"/>
      <c r="BR58" s="370"/>
      <c r="BS58" s="370"/>
      <c r="BT58" s="370"/>
      <c r="BU58" s="370"/>
      <c r="BV58" s="370"/>
      <c r="BW58" s="370"/>
      <c r="BX58" s="370"/>
      <c r="BY58" s="370"/>
      <c r="BZ58" s="370"/>
      <c r="CE58" s="370"/>
    </row>
    <row r="59" spans="1:83" ht="12.75">
      <c r="A59" s="370"/>
      <c r="B59" s="433" t="s">
        <v>57</v>
      </c>
      <c r="C59" s="434">
        <v>0.5</v>
      </c>
      <c r="D59" s="398">
        <v>2.1099999999999997E-2</v>
      </c>
      <c r="E59" s="429" t="s">
        <v>511</v>
      </c>
      <c r="F59" s="430"/>
      <c r="G59" s="430"/>
      <c r="H59" s="430"/>
      <c r="I59" s="430"/>
      <c r="J59" s="431"/>
      <c r="K59" s="432"/>
      <c r="M59" s="374"/>
      <c r="N59" s="374"/>
      <c r="O59" s="374"/>
      <c r="P59" s="374"/>
      <c r="Q59" s="374"/>
      <c r="R59" s="374"/>
      <c r="S59" s="374"/>
      <c r="T59" s="374"/>
      <c r="U59" s="374"/>
      <c r="V59" s="374"/>
      <c r="W59" s="374"/>
      <c r="X59" s="374"/>
      <c r="Y59" s="374"/>
      <c r="Z59" s="374"/>
      <c r="AA59" s="374"/>
      <c r="AB59" s="374"/>
      <c r="AC59" s="374"/>
      <c r="AD59" s="374"/>
      <c r="AE59" s="374"/>
      <c r="AF59" s="374"/>
      <c r="AG59" s="374"/>
      <c r="AH59" s="374"/>
      <c r="AI59" s="374"/>
      <c r="AJ59" s="374"/>
      <c r="AK59" s="374"/>
      <c r="AL59" s="374"/>
      <c r="AM59" s="374"/>
      <c r="AN59" s="374"/>
      <c r="AO59" s="374"/>
      <c r="AP59" s="374"/>
      <c r="AQ59" s="370"/>
      <c r="AR59" s="374"/>
      <c r="AS59" s="370"/>
      <c r="AT59" s="374"/>
      <c r="AU59" s="370"/>
      <c r="AV59" s="370"/>
      <c r="AW59" s="370"/>
      <c r="AX59" s="370"/>
      <c r="AY59" s="370"/>
      <c r="AZ59" s="370"/>
      <c r="BA59" s="370"/>
      <c r="BB59" s="370"/>
      <c r="BC59" s="374"/>
      <c r="BD59" s="370"/>
      <c r="BE59" s="370"/>
      <c r="BF59" s="370"/>
      <c r="BG59" s="370"/>
      <c r="BH59" s="370"/>
      <c r="BI59" s="370"/>
      <c r="BJ59" s="370"/>
      <c r="BK59" s="370"/>
      <c r="BL59" s="370"/>
      <c r="BM59" s="370"/>
      <c r="BN59" s="370"/>
      <c r="BO59" s="370"/>
      <c r="BP59" s="370"/>
      <c r="BQ59" s="370"/>
      <c r="BR59" s="370"/>
      <c r="BS59" s="370"/>
      <c r="BT59" s="370"/>
      <c r="BU59" s="370"/>
      <c r="BV59" s="370"/>
      <c r="BW59" s="370"/>
      <c r="BX59" s="370"/>
      <c r="BY59" s="370"/>
      <c r="BZ59" s="370"/>
      <c r="CE59" s="370"/>
    </row>
    <row r="60" spans="1:83" ht="12.75">
      <c r="A60" s="370"/>
      <c r="B60" s="433" t="s">
        <v>58</v>
      </c>
      <c r="C60" s="434">
        <v>1</v>
      </c>
      <c r="D60" s="398">
        <v>2.3300000000000001E-2</v>
      </c>
      <c r="E60" s="429" t="s">
        <v>512</v>
      </c>
      <c r="F60" s="430"/>
      <c r="G60" s="430"/>
      <c r="H60" s="430"/>
      <c r="I60" s="430"/>
      <c r="J60" s="431"/>
      <c r="K60" s="432"/>
      <c r="M60" s="374"/>
      <c r="N60" s="374"/>
      <c r="O60" s="374"/>
      <c r="P60" s="374"/>
      <c r="Q60" s="374"/>
      <c r="R60" s="374"/>
      <c r="S60" s="374"/>
      <c r="T60" s="374"/>
      <c r="U60" s="374"/>
      <c r="V60" s="374"/>
      <c r="W60" s="374"/>
      <c r="X60" s="374"/>
      <c r="Y60" s="374"/>
      <c r="Z60" s="374"/>
      <c r="AA60" s="374"/>
      <c r="AB60" s="374"/>
      <c r="AC60" s="374"/>
      <c r="AD60" s="374"/>
      <c r="AE60" s="374"/>
      <c r="AF60" s="374"/>
      <c r="AG60" s="374"/>
      <c r="AH60" s="374"/>
      <c r="AI60" s="374"/>
      <c r="AJ60" s="374"/>
      <c r="AK60" s="374"/>
      <c r="AL60" s="374"/>
      <c r="AM60" s="374"/>
      <c r="AN60" s="374"/>
      <c r="AO60" s="374"/>
      <c r="AP60" s="374"/>
      <c r="AQ60" s="370"/>
      <c r="AR60" s="374"/>
      <c r="AS60" s="370"/>
      <c r="AT60" s="374"/>
      <c r="AU60" s="370"/>
      <c r="AV60" s="370"/>
      <c r="AW60" s="370"/>
      <c r="AX60" s="370"/>
      <c r="AY60" s="370"/>
      <c r="AZ60" s="370"/>
      <c r="BA60" s="370"/>
      <c r="BB60" s="370"/>
      <c r="BC60" s="374"/>
      <c r="BD60" s="370"/>
      <c r="BE60" s="370"/>
      <c r="BF60" s="370"/>
      <c r="BG60" s="370"/>
      <c r="BH60" s="370"/>
      <c r="BI60" s="370"/>
      <c r="BJ60" s="370"/>
      <c r="BK60" s="370"/>
      <c r="BL60" s="370"/>
      <c r="BM60" s="370"/>
      <c r="BN60" s="370"/>
      <c r="BO60" s="370"/>
      <c r="BP60" s="370"/>
      <c r="BQ60" s="370"/>
      <c r="BR60" s="370"/>
      <c r="BS60" s="370"/>
      <c r="BT60" s="370"/>
      <c r="BU60" s="370"/>
      <c r="BV60" s="370"/>
      <c r="BW60" s="370"/>
      <c r="BX60" s="370"/>
      <c r="BY60" s="370"/>
      <c r="BZ60" s="370"/>
      <c r="CE60" s="370"/>
    </row>
    <row r="61" spans="1:83" ht="12.75">
      <c r="A61" s="370"/>
      <c r="B61" s="433" t="s">
        <v>59</v>
      </c>
      <c r="C61" s="434">
        <v>2</v>
      </c>
      <c r="D61" s="398">
        <v>2.52E-2</v>
      </c>
      <c r="E61" s="429" t="s">
        <v>513</v>
      </c>
      <c r="F61" s="430"/>
      <c r="G61" s="430"/>
      <c r="H61" s="430"/>
      <c r="I61" s="430"/>
      <c r="J61" s="431"/>
      <c r="K61" s="432"/>
      <c r="M61" s="374"/>
      <c r="N61" s="374"/>
      <c r="O61" s="374"/>
      <c r="P61" s="374"/>
      <c r="Q61" s="374"/>
      <c r="R61" s="374"/>
      <c r="S61" s="374"/>
      <c r="T61" s="374"/>
      <c r="U61" s="374"/>
      <c r="V61" s="374"/>
      <c r="W61" s="374"/>
      <c r="X61" s="374"/>
      <c r="Y61" s="374"/>
      <c r="Z61" s="374"/>
      <c r="AA61" s="374"/>
      <c r="AB61" s="374"/>
      <c r="AC61" s="374"/>
      <c r="AD61" s="374"/>
      <c r="AE61" s="374"/>
      <c r="AF61" s="374"/>
      <c r="AG61" s="374"/>
      <c r="AH61" s="374"/>
      <c r="AI61" s="374"/>
      <c r="AJ61" s="374"/>
      <c r="AK61" s="374"/>
      <c r="AL61" s="374"/>
      <c r="AM61" s="374"/>
      <c r="AN61" s="374"/>
      <c r="AO61" s="374"/>
      <c r="AP61" s="374"/>
      <c r="AQ61" s="370"/>
      <c r="AR61" s="374"/>
      <c r="AS61" s="370"/>
      <c r="AT61" s="374"/>
      <c r="AU61" s="370"/>
      <c r="AV61" s="370"/>
      <c r="AW61" s="370"/>
      <c r="AX61" s="370"/>
      <c r="AY61" s="370"/>
      <c r="AZ61" s="370"/>
      <c r="BA61" s="370"/>
      <c r="BB61" s="370"/>
      <c r="BC61" s="374"/>
      <c r="BD61" s="370"/>
      <c r="BE61" s="370"/>
      <c r="BF61" s="370"/>
      <c r="BG61" s="370"/>
      <c r="BH61" s="370"/>
      <c r="BI61" s="370"/>
      <c r="BJ61" s="370"/>
      <c r="BK61" s="370"/>
      <c r="BL61" s="370"/>
      <c r="BM61" s="370"/>
      <c r="BN61" s="370"/>
      <c r="BO61" s="370"/>
      <c r="BP61" s="370"/>
      <c r="BQ61" s="370"/>
      <c r="BR61" s="370"/>
      <c r="BS61" s="370"/>
      <c r="BT61" s="370"/>
      <c r="BU61" s="370"/>
      <c r="BV61" s="370"/>
      <c r="BW61" s="370"/>
      <c r="BX61" s="370"/>
      <c r="BY61" s="370"/>
      <c r="BZ61" s="370"/>
      <c r="CE61" s="370"/>
    </row>
    <row r="62" spans="1:83" ht="12.75">
      <c r="A62" s="370"/>
      <c r="B62" s="433" t="s">
        <v>60</v>
      </c>
      <c r="C62" s="434">
        <v>3</v>
      </c>
      <c r="D62" s="398">
        <v>2.63E-2</v>
      </c>
      <c r="E62" s="429" t="s">
        <v>514</v>
      </c>
      <c r="F62" s="430"/>
      <c r="G62" s="430"/>
      <c r="H62" s="430"/>
      <c r="I62" s="430"/>
      <c r="J62" s="431"/>
      <c r="K62" s="432"/>
      <c r="M62" s="374"/>
      <c r="N62" s="374"/>
      <c r="O62" s="374"/>
      <c r="P62" s="374"/>
      <c r="Q62" s="374"/>
      <c r="R62" s="374"/>
      <c r="S62" s="374"/>
      <c r="T62" s="374"/>
      <c r="U62" s="374"/>
      <c r="V62" s="374"/>
      <c r="W62" s="374"/>
      <c r="X62" s="374"/>
      <c r="Y62" s="374"/>
      <c r="Z62" s="374"/>
      <c r="AA62" s="374"/>
      <c r="AB62" s="374"/>
      <c r="AC62" s="374"/>
      <c r="AD62" s="374"/>
      <c r="AE62" s="374"/>
      <c r="AF62" s="374"/>
      <c r="AG62" s="374"/>
      <c r="AH62" s="374"/>
      <c r="AI62" s="374"/>
      <c r="AJ62" s="374"/>
      <c r="AK62" s="374"/>
      <c r="AL62" s="374"/>
      <c r="AM62" s="374"/>
      <c r="AN62" s="374"/>
      <c r="AO62" s="374"/>
      <c r="AP62" s="374"/>
      <c r="AQ62" s="370"/>
      <c r="AR62" s="374"/>
      <c r="AS62" s="370"/>
      <c r="AT62" s="374"/>
      <c r="AU62" s="370"/>
      <c r="AV62" s="370"/>
      <c r="AW62" s="370"/>
      <c r="AX62" s="370"/>
      <c r="AY62" s="370"/>
      <c r="AZ62" s="370"/>
      <c r="BA62" s="370"/>
      <c r="BB62" s="370"/>
      <c r="BC62" s="374"/>
      <c r="BD62" s="370"/>
      <c r="BE62" s="370"/>
      <c r="BF62" s="370"/>
      <c r="BG62" s="370"/>
      <c r="BH62" s="370"/>
      <c r="BI62" s="370"/>
      <c r="BJ62" s="370"/>
      <c r="BK62" s="370"/>
      <c r="BL62" s="370"/>
      <c r="BM62" s="370"/>
      <c r="BN62" s="370"/>
      <c r="BO62" s="370"/>
      <c r="BP62" s="370"/>
      <c r="BQ62" s="370"/>
      <c r="BR62" s="370"/>
      <c r="BS62" s="370"/>
      <c r="BT62" s="370"/>
      <c r="BU62" s="370"/>
      <c r="BV62" s="370"/>
      <c r="BW62" s="370"/>
      <c r="BX62" s="370"/>
      <c r="BY62" s="370"/>
      <c r="BZ62" s="370"/>
      <c r="CE62" s="370"/>
    </row>
    <row r="63" spans="1:83" ht="12.75">
      <c r="A63" s="370"/>
      <c r="B63" s="433" t="s">
        <v>61</v>
      </c>
      <c r="C63" s="434">
        <v>5</v>
      </c>
      <c r="D63" s="398">
        <v>2.7300000000000001E-2</v>
      </c>
      <c r="E63" s="429" t="s">
        <v>515</v>
      </c>
      <c r="F63" s="430"/>
      <c r="G63" s="430"/>
      <c r="H63" s="430"/>
      <c r="I63" s="430"/>
      <c r="J63" s="431"/>
      <c r="K63" s="432"/>
      <c r="M63" s="374"/>
      <c r="N63" s="374"/>
      <c r="O63" s="374"/>
      <c r="P63" s="374"/>
      <c r="Q63" s="374"/>
      <c r="R63" s="374"/>
      <c r="S63" s="374"/>
      <c r="T63" s="374"/>
      <c r="U63" s="374"/>
      <c r="V63" s="374"/>
      <c r="W63" s="374"/>
      <c r="X63" s="374"/>
      <c r="Y63" s="374"/>
      <c r="Z63" s="374"/>
      <c r="AA63" s="374"/>
      <c r="AB63" s="374"/>
      <c r="AC63" s="374"/>
      <c r="AD63" s="374"/>
      <c r="AE63" s="374"/>
      <c r="AF63" s="374"/>
      <c r="AG63" s="374"/>
      <c r="AH63" s="374"/>
      <c r="AI63" s="374"/>
      <c r="AJ63" s="374"/>
      <c r="AK63" s="374"/>
      <c r="AL63" s="374"/>
      <c r="AM63" s="374"/>
      <c r="AN63" s="374"/>
      <c r="AO63" s="374"/>
      <c r="AP63" s="374"/>
      <c r="AQ63" s="370"/>
      <c r="AR63" s="374"/>
      <c r="AS63" s="370"/>
      <c r="AT63" s="374"/>
      <c r="AU63" s="370"/>
      <c r="AV63" s="370"/>
      <c r="AW63" s="370"/>
      <c r="AX63" s="370"/>
      <c r="AY63" s="370"/>
      <c r="AZ63" s="370"/>
      <c r="BA63" s="370"/>
      <c r="BB63" s="370"/>
      <c r="BC63" s="374"/>
      <c r="BD63" s="370"/>
      <c r="BE63" s="370"/>
      <c r="BF63" s="370"/>
      <c r="BG63" s="370"/>
      <c r="BH63" s="370"/>
      <c r="BI63" s="370"/>
      <c r="BJ63" s="370"/>
      <c r="BK63" s="370"/>
      <c r="BL63" s="370"/>
      <c r="BM63" s="370"/>
      <c r="BN63" s="370"/>
      <c r="BO63" s="370"/>
      <c r="BP63" s="370"/>
      <c r="BQ63" s="370"/>
      <c r="BR63" s="370"/>
      <c r="BS63" s="370"/>
      <c r="BT63" s="370"/>
      <c r="BU63" s="370"/>
      <c r="BV63" s="370"/>
      <c r="BW63" s="370"/>
      <c r="BX63" s="370"/>
      <c r="BY63" s="370"/>
      <c r="BZ63" s="370"/>
      <c r="CE63" s="370"/>
    </row>
    <row r="64" spans="1:83" ht="12.75">
      <c r="A64" s="370"/>
      <c r="B64" s="433" t="s">
        <v>62</v>
      </c>
      <c r="C64" s="434">
        <v>7</v>
      </c>
      <c r="D64" s="398">
        <v>2.81E-2</v>
      </c>
      <c r="E64" s="429" t="s">
        <v>516</v>
      </c>
      <c r="F64" s="430"/>
      <c r="G64" s="430"/>
      <c r="H64" s="430"/>
      <c r="I64" s="430"/>
      <c r="J64" s="431"/>
      <c r="K64" s="432"/>
      <c r="M64" s="374"/>
      <c r="N64" s="374"/>
      <c r="O64" s="374"/>
      <c r="P64" s="374"/>
      <c r="Q64" s="374"/>
      <c r="R64" s="374"/>
      <c r="S64" s="374"/>
      <c r="T64" s="374"/>
      <c r="U64" s="374"/>
      <c r="V64" s="374"/>
      <c r="W64" s="374"/>
      <c r="X64" s="374"/>
      <c r="Y64" s="374"/>
      <c r="Z64" s="374"/>
      <c r="AA64" s="374"/>
      <c r="AB64" s="374"/>
      <c r="AC64" s="374"/>
      <c r="AD64" s="374"/>
      <c r="AE64" s="374"/>
      <c r="AF64" s="374"/>
      <c r="AG64" s="374"/>
      <c r="AH64" s="374"/>
      <c r="AI64" s="374"/>
      <c r="AJ64" s="374"/>
      <c r="AK64" s="374"/>
      <c r="AL64" s="374"/>
      <c r="AM64" s="374"/>
      <c r="AN64" s="374"/>
      <c r="AO64" s="374"/>
      <c r="AP64" s="374"/>
      <c r="AQ64" s="370"/>
      <c r="AR64" s="374"/>
      <c r="AS64" s="370"/>
      <c r="AT64" s="374"/>
      <c r="AU64" s="370"/>
      <c r="AV64" s="370"/>
      <c r="AW64" s="370"/>
      <c r="AX64" s="370"/>
      <c r="AY64" s="370"/>
      <c r="AZ64" s="370"/>
      <c r="BA64" s="370"/>
      <c r="BB64" s="370"/>
      <c r="BC64" s="374"/>
      <c r="BD64" s="370"/>
      <c r="BE64" s="370"/>
      <c r="BF64" s="370"/>
      <c r="BG64" s="370"/>
      <c r="BH64" s="370"/>
      <c r="BI64" s="370"/>
      <c r="BJ64" s="370"/>
      <c r="BK64" s="370"/>
      <c r="BL64" s="370"/>
      <c r="BM64" s="370"/>
      <c r="BN64" s="370"/>
      <c r="BO64" s="370"/>
      <c r="BP64" s="370"/>
      <c r="BQ64" s="370"/>
      <c r="BR64" s="370"/>
      <c r="BS64" s="370"/>
      <c r="BT64" s="370"/>
      <c r="BU64" s="370"/>
      <c r="BV64" s="370"/>
      <c r="BW64" s="370"/>
      <c r="BX64" s="370"/>
      <c r="BY64" s="370"/>
      <c r="BZ64" s="370"/>
      <c r="CE64" s="370"/>
    </row>
    <row r="65" spans="1:83" ht="12.75">
      <c r="A65" s="370"/>
      <c r="B65" s="433" t="s">
        <v>63</v>
      </c>
      <c r="C65" s="434">
        <v>10</v>
      </c>
      <c r="D65" s="398">
        <v>2.8500000000000001E-2</v>
      </c>
      <c r="E65" s="429" t="s">
        <v>517</v>
      </c>
      <c r="F65" s="430"/>
      <c r="G65" s="430"/>
      <c r="H65" s="430"/>
      <c r="I65" s="430"/>
      <c r="J65" s="431"/>
      <c r="K65" s="432"/>
      <c r="M65" s="374"/>
      <c r="N65" s="374"/>
      <c r="O65" s="374"/>
      <c r="P65" s="374"/>
      <c r="Q65" s="374"/>
      <c r="R65" s="374"/>
      <c r="S65" s="374"/>
      <c r="T65" s="374"/>
      <c r="U65" s="374"/>
      <c r="V65" s="374"/>
      <c r="W65" s="374"/>
      <c r="X65" s="374"/>
      <c r="Y65" s="374"/>
      <c r="Z65" s="374"/>
      <c r="AA65" s="374"/>
      <c r="AB65" s="374"/>
      <c r="AC65" s="374"/>
      <c r="AD65" s="374"/>
      <c r="AE65" s="374"/>
      <c r="AF65" s="374"/>
      <c r="AG65" s="374"/>
      <c r="AH65" s="374"/>
      <c r="AI65" s="374"/>
      <c r="AJ65" s="374"/>
      <c r="AK65" s="374"/>
      <c r="AL65" s="374"/>
      <c r="AM65" s="374"/>
      <c r="AN65" s="374"/>
      <c r="AO65" s="374"/>
      <c r="AP65" s="374"/>
      <c r="AQ65" s="370"/>
      <c r="AR65" s="374"/>
      <c r="AS65" s="370"/>
      <c r="AT65" s="374"/>
      <c r="AU65" s="370"/>
      <c r="AV65" s="370"/>
      <c r="AW65" s="370"/>
      <c r="AX65" s="370"/>
      <c r="AY65" s="370"/>
      <c r="AZ65" s="370"/>
      <c r="BA65" s="370"/>
      <c r="BB65" s="370"/>
      <c r="BC65" s="374"/>
      <c r="BD65" s="370"/>
      <c r="BE65" s="370"/>
      <c r="BF65" s="370"/>
      <c r="BG65" s="370"/>
      <c r="BH65" s="370"/>
      <c r="BI65" s="370"/>
      <c r="BJ65" s="370"/>
      <c r="BK65" s="370"/>
      <c r="BL65" s="370"/>
      <c r="BM65" s="370"/>
      <c r="BN65" s="370"/>
      <c r="BO65" s="370"/>
      <c r="BP65" s="370"/>
      <c r="BQ65" s="370"/>
      <c r="BR65" s="370"/>
      <c r="BS65" s="370"/>
      <c r="BT65" s="370"/>
      <c r="BU65" s="370"/>
      <c r="BV65" s="370"/>
      <c r="BW65" s="370"/>
      <c r="BX65" s="370"/>
      <c r="BY65" s="370"/>
      <c r="BZ65" s="370"/>
      <c r="CE65" s="370"/>
    </row>
    <row r="66" spans="1:83" ht="12.75">
      <c r="A66" s="370"/>
      <c r="B66" s="433" t="s">
        <v>64</v>
      </c>
      <c r="C66" s="434">
        <v>20</v>
      </c>
      <c r="D66" s="398">
        <v>2.9100000000000001E-2</v>
      </c>
      <c r="E66" s="429" t="s">
        <v>518</v>
      </c>
      <c r="F66" s="430"/>
      <c r="G66" s="430"/>
      <c r="H66" s="430"/>
      <c r="I66" s="430"/>
      <c r="J66" s="431"/>
      <c r="K66" s="432"/>
      <c r="M66" s="374"/>
      <c r="N66" s="374"/>
      <c r="O66" s="374"/>
      <c r="P66" s="374"/>
      <c r="Q66" s="374"/>
      <c r="R66" s="374"/>
      <c r="S66" s="374"/>
      <c r="T66" s="374"/>
      <c r="U66" s="374"/>
      <c r="V66" s="374"/>
      <c r="W66" s="374"/>
      <c r="X66" s="374"/>
      <c r="Y66" s="374"/>
      <c r="Z66" s="374"/>
      <c r="AA66" s="374"/>
      <c r="AB66" s="374"/>
      <c r="AC66" s="374"/>
      <c r="AD66" s="374"/>
      <c r="AE66" s="374"/>
      <c r="AF66" s="374"/>
      <c r="AG66" s="374"/>
      <c r="AH66" s="374"/>
      <c r="AI66" s="374"/>
      <c r="AJ66" s="374"/>
      <c r="AK66" s="374"/>
      <c r="AL66" s="374"/>
      <c r="AM66" s="374"/>
      <c r="AN66" s="374"/>
      <c r="AO66" s="374"/>
      <c r="AP66" s="374"/>
      <c r="AQ66" s="370"/>
      <c r="AR66" s="374"/>
      <c r="AS66" s="370"/>
      <c r="AT66" s="374"/>
      <c r="AU66" s="370"/>
      <c r="AV66" s="370"/>
      <c r="AW66" s="370"/>
      <c r="AX66" s="370"/>
      <c r="AY66" s="370"/>
      <c r="AZ66" s="370"/>
      <c r="BA66" s="370"/>
      <c r="BB66" s="370"/>
      <c r="BC66" s="374"/>
      <c r="BD66" s="370"/>
      <c r="BE66" s="370"/>
      <c r="BF66" s="370"/>
      <c r="BG66" s="370"/>
      <c r="BH66" s="370"/>
      <c r="BI66" s="370"/>
      <c r="BJ66" s="370"/>
      <c r="BK66" s="370"/>
      <c r="BL66" s="370"/>
      <c r="BM66" s="370"/>
      <c r="BN66" s="370"/>
      <c r="BO66" s="370"/>
      <c r="BP66" s="370"/>
      <c r="BQ66" s="370"/>
      <c r="BR66" s="370"/>
      <c r="BS66" s="370"/>
      <c r="BT66" s="370"/>
      <c r="BU66" s="370"/>
      <c r="BV66" s="370"/>
      <c r="BW66" s="370"/>
      <c r="BX66" s="370"/>
      <c r="BY66" s="370"/>
      <c r="BZ66" s="370"/>
      <c r="CE66" s="370"/>
    </row>
    <row r="67" spans="1:83" ht="12.75">
      <c r="A67" s="370"/>
      <c r="B67" s="435" t="s">
        <v>65</v>
      </c>
      <c r="C67" s="436">
        <v>30</v>
      </c>
      <c r="D67" s="377">
        <v>2.98E-2</v>
      </c>
      <c r="E67" s="437" t="s">
        <v>519</v>
      </c>
      <c r="F67" s="438"/>
      <c r="G67" s="438"/>
      <c r="H67" s="438"/>
      <c r="I67" s="438"/>
      <c r="J67" s="439"/>
      <c r="K67" s="440"/>
      <c r="M67" s="374"/>
      <c r="N67" s="374"/>
      <c r="O67" s="374"/>
      <c r="P67" s="374"/>
      <c r="Q67" s="374"/>
      <c r="R67" s="374"/>
      <c r="S67" s="374"/>
      <c r="T67" s="374"/>
      <c r="U67" s="374"/>
      <c r="V67" s="374"/>
      <c r="W67" s="374"/>
      <c r="X67" s="374"/>
      <c r="Y67" s="374"/>
      <c r="Z67" s="374"/>
      <c r="AA67" s="374"/>
      <c r="AB67" s="374"/>
      <c r="AC67" s="374"/>
      <c r="AD67" s="374"/>
      <c r="AE67" s="374"/>
      <c r="AF67" s="374"/>
      <c r="AG67" s="374"/>
      <c r="AH67" s="374"/>
      <c r="AI67" s="374"/>
      <c r="AJ67" s="374"/>
      <c r="AK67" s="374"/>
      <c r="AL67" s="374"/>
      <c r="AM67" s="374"/>
      <c r="AN67" s="374"/>
      <c r="AO67" s="374"/>
      <c r="AP67" s="374"/>
      <c r="AQ67" s="370"/>
      <c r="AR67" s="374"/>
      <c r="AS67" s="370"/>
      <c r="AT67" s="374"/>
      <c r="AU67" s="370"/>
      <c r="AV67" s="370"/>
      <c r="AW67" s="370"/>
      <c r="AX67" s="370"/>
      <c r="AY67" s="370"/>
      <c r="AZ67" s="370"/>
      <c r="BA67" s="370"/>
      <c r="BB67" s="370"/>
      <c r="BC67" s="374"/>
      <c r="BD67" s="370"/>
      <c r="BE67" s="370"/>
      <c r="BF67" s="370"/>
      <c r="BG67" s="370"/>
      <c r="BH67" s="370"/>
      <c r="BI67" s="370"/>
      <c r="BJ67" s="370"/>
      <c r="BK67" s="370"/>
      <c r="BL67" s="370"/>
      <c r="BM67" s="370"/>
      <c r="BN67" s="370"/>
      <c r="BO67" s="370"/>
      <c r="BP67" s="370"/>
      <c r="BQ67" s="370"/>
      <c r="BR67" s="370"/>
      <c r="BS67" s="370"/>
      <c r="BT67" s="370"/>
      <c r="BU67" s="370"/>
      <c r="BV67" s="370"/>
      <c r="BW67" s="370"/>
      <c r="BX67" s="370"/>
      <c r="BY67" s="370"/>
      <c r="BZ67" s="370"/>
      <c r="CE67" s="370"/>
    </row>
    <row r="70" spans="1:83">
      <c r="A70" s="370"/>
      <c r="B70" s="441" t="s">
        <v>490</v>
      </c>
      <c r="K70" s="374"/>
      <c r="L70" s="374"/>
      <c r="M70" s="374"/>
      <c r="N70" s="374"/>
      <c r="O70" s="374"/>
      <c r="P70" s="374"/>
      <c r="Q70" s="374"/>
      <c r="R70" s="374"/>
      <c r="S70" s="374"/>
      <c r="T70" s="374"/>
      <c r="U70" s="374"/>
      <c r="V70" s="374"/>
      <c r="W70" s="374"/>
      <c r="X70" s="374"/>
      <c r="Y70" s="374"/>
      <c r="Z70" s="374"/>
      <c r="AA70" s="374"/>
      <c r="AB70" s="374"/>
      <c r="AC70" s="374"/>
      <c r="AD70" s="374"/>
      <c r="AE70" s="374"/>
      <c r="AF70" s="374"/>
      <c r="AG70" s="374"/>
      <c r="AH70" s="374"/>
      <c r="AI70" s="374"/>
      <c r="AJ70" s="374"/>
      <c r="AK70" s="374"/>
      <c r="AL70" s="374"/>
      <c r="AM70" s="374"/>
      <c r="AN70" s="374"/>
      <c r="AO70" s="374"/>
      <c r="AP70" s="374"/>
      <c r="AQ70" s="370"/>
      <c r="AR70" s="374"/>
      <c r="AS70" s="370"/>
      <c r="AT70" s="374"/>
      <c r="AU70" s="370"/>
      <c r="AV70" s="370"/>
      <c r="AW70" s="370"/>
      <c r="AX70" s="370"/>
      <c r="AY70" s="370"/>
      <c r="AZ70" s="370"/>
      <c r="BA70" s="370"/>
      <c r="BB70" s="370"/>
      <c r="BC70" s="374"/>
      <c r="BD70" s="370"/>
      <c r="BE70" s="370"/>
      <c r="BF70" s="370"/>
      <c r="BG70" s="370"/>
      <c r="BH70" s="370"/>
      <c r="BI70" s="370"/>
      <c r="BJ70" s="370"/>
      <c r="BK70" s="370"/>
      <c r="BL70" s="370"/>
      <c r="BM70" s="370"/>
      <c r="BN70" s="370"/>
      <c r="BO70" s="370"/>
      <c r="BP70" s="370"/>
      <c r="BQ70" s="370"/>
      <c r="BR70" s="370"/>
      <c r="BS70" s="370"/>
      <c r="BT70" s="370"/>
      <c r="BU70" s="370"/>
      <c r="BV70" s="370"/>
      <c r="BW70" s="370"/>
      <c r="BX70" s="370"/>
      <c r="BY70" s="370"/>
      <c r="BZ70" s="370"/>
      <c r="CE70" s="370"/>
    </row>
    <row r="71" spans="1:83" ht="12.75">
      <c r="A71" s="370"/>
      <c r="B71" s="442" t="s">
        <v>491</v>
      </c>
      <c r="C71" s="443">
        <v>4.8399999999999999E-2</v>
      </c>
      <c r="D71" s="444" t="s">
        <v>564</v>
      </c>
      <c r="E71" s="445"/>
      <c r="F71" s="445"/>
      <c r="G71" s="445"/>
      <c r="H71" s="445"/>
      <c r="I71" s="445"/>
      <c r="J71" s="446"/>
      <c r="K71" s="374"/>
      <c r="L71" s="374"/>
      <c r="M71" s="374"/>
      <c r="N71" s="374"/>
      <c r="O71" s="374"/>
      <c r="P71" s="374"/>
      <c r="Q71" s="374"/>
      <c r="R71" s="374"/>
      <c r="S71" s="374"/>
      <c r="T71" s="374"/>
      <c r="U71" s="374"/>
      <c r="V71" s="374"/>
      <c r="W71" s="374"/>
      <c r="X71" s="374"/>
      <c r="Y71" s="374"/>
      <c r="Z71" s="374"/>
      <c r="AA71" s="374"/>
      <c r="AB71" s="374"/>
      <c r="AC71" s="374"/>
      <c r="AD71" s="374"/>
      <c r="AE71" s="374"/>
      <c r="AF71" s="374"/>
      <c r="AG71" s="374"/>
      <c r="AH71" s="374"/>
      <c r="AI71" s="374"/>
      <c r="AJ71" s="374"/>
      <c r="AK71" s="374"/>
      <c r="AL71" s="374"/>
      <c r="AM71" s="374"/>
      <c r="AN71" s="374"/>
      <c r="AO71" s="374"/>
      <c r="AP71" s="374"/>
      <c r="AQ71" s="370"/>
      <c r="AR71" s="374"/>
      <c r="AS71" s="370"/>
      <c r="AT71" s="374"/>
      <c r="AU71" s="370"/>
      <c r="AV71" s="370"/>
      <c r="AW71" s="370"/>
      <c r="AX71" s="370"/>
      <c r="AY71" s="370"/>
      <c r="AZ71" s="370"/>
      <c r="BA71" s="370"/>
      <c r="BB71" s="370"/>
      <c r="BC71" s="374"/>
      <c r="BD71" s="370"/>
      <c r="BE71" s="370"/>
      <c r="BF71" s="370"/>
      <c r="BG71" s="370"/>
      <c r="BH71" s="370"/>
      <c r="BI71" s="370"/>
      <c r="BJ71" s="370"/>
      <c r="BK71" s="370"/>
      <c r="BL71" s="370"/>
      <c r="BM71" s="370"/>
      <c r="BN71" s="370"/>
      <c r="BO71" s="370"/>
      <c r="BP71" s="370"/>
      <c r="BQ71" s="370"/>
      <c r="BR71" s="370"/>
      <c r="BS71" s="370"/>
      <c r="BT71" s="370"/>
      <c r="BU71" s="370"/>
      <c r="BV71" s="370"/>
      <c r="BW71" s="370"/>
      <c r="BX71" s="370"/>
      <c r="BY71" s="370"/>
      <c r="BZ71" s="370"/>
      <c r="CE71" s="370"/>
    </row>
    <row r="73" spans="1:83">
      <c r="A73" s="370"/>
      <c r="B73" s="441" t="s">
        <v>492</v>
      </c>
      <c r="K73" s="374"/>
      <c r="L73" s="374"/>
      <c r="M73" s="374"/>
      <c r="N73" s="374"/>
      <c r="O73" s="374"/>
      <c r="P73" s="374"/>
      <c r="Q73" s="374"/>
      <c r="R73" s="374"/>
      <c r="S73" s="374"/>
      <c r="T73" s="374"/>
      <c r="U73" s="374"/>
      <c r="V73" s="374"/>
      <c r="W73" s="374"/>
      <c r="X73" s="374"/>
      <c r="Y73" s="374"/>
      <c r="Z73" s="374"/>
      <c r="AA73" s="374"/>
      <c r="AB73" s="374"/>
      <c r="AC73" s="374"/>
      <c r="AD73" s="374"/>
      <c r="AE73" s="374"/>
      <c r="AF73" s="374"/>
      <c r="AG73" s="374"/>
      <c r="AH73" s="374"/>
      <c r="AI73" s="374"/>
      <c r="AJ73" s="374"/>
      <c r="AK73" s="374"/>
      <c r="AL73" s="374"/>
      <c r="AM73" s="374"/>
      <c r="AN73" s="374"/>
      <c r="AO73" s="374"/>
      <c r="AP73" s="374"/>
      <c r="AQ73" s="370"/>
      <c r="AR73" s="374"/>
      <c r="AS73" s="370"/>
      <c r="AT73" s="374"/>
      <c r="AU73" s="370"/>
      <c r="AV73" s="370"/>
      <c r="AW73" s="370"/>
      <c r="AX73" s="370"/>
      <c r="AY73" s="370"/>
      <c r="AZ73" s="370"/>
      <c r="BA73" s="370"/>
      <c r="BB73" s="370"/>
      <c r="BC73" s="374"/>
      <c r="BD73" s="370"/>
      <c r="BE73" s="370"/>
      <c r="BF73" s="370"/>
      <c r="BG73" s="370"/>
      <c r="BH73" s="370"/>
      <c r="BI73" s="370"/>
      <c r="BJ73" s="370"/>
      <c r="BK73" s="370"/>
      <c r="BL73" s="370"/>
      <c r="BM73" s="370"/>
      <c r="BN73" s="370"/>
      <c r="BO73" s="370"/>
      <c r="BP73" s="370"/>
      <c r="BQ73" s="370"/>
      <c r="BR73" s="370"/>
      <c r="BS73" s="370"/>
      <c r="BT73" s="370"/>
      <c r="BU73" s="370"/>
      <c r="BV73" s="370"/>
      <c r="BW73" s="370"/>
      <c r="BX73" s="370"/>
      <c r="BY73" s="370"/>
      <c r="BZ73" s="370"/>
      <c r="CE73" s="370"/>
    </row>
    <row r="74" spans="1:83" ht="12.75">
      <c r="A74" s="370"/>
      <c r="B74" s="442" t="s">
        <v>493</v>
      </c>
      <c r="C74" s="443">
        <v>0.05</v>
      </c>
      <c r="D74" s="444"/>
      <c r="E74" s="445"/>
      <c r="F74" s="445"/>
      <c r="G74" s="445"/>
      <c r="H74" s="445"/>
      <c r="I74" s="445"/>
      <c r="J74" s="446"/>
      <c r="K74" s="374"/>
      <c r="L74" s="374"/>
      <c r="M74" s="374"/>
      <c r="N74" s="374"/>
      <c r="O74" s="374"/>
      <c r="P74" s="374"/>
      <c r="Q74" s="374"/>
      <c r="R74" s="374"/>
      <c r="S74" s="374"/>
      <c r="T74" s="374"/>
      <c r="U74" s="374"/>
      <c r="V74" s="374"/>
      <c r="W74" s="374"/>
      <c r="X74" s="374"/>
      <c r="Y74" s="374"/>
      <c r="Z74" s="374"/>
      <c r="AA74" s="374"/>
      <c r="AB74" s="374"/>
      <c r="AC74" s="374"/>
      <c r="AD74" s="374"/>
      <c r="AE74" s="374"/>
      <c r="AF74" s="374"/>
      <c r="AG74" s="374"/>
      <c r="AH74" s="374"/>
      <c r="AI74" s="374"/>
      <c r="AJ74" s="374"/>
      <c r="AK74" s="374"/>
      <c r="AL74" s="374"/>
      <c r="AM74" s="374"/>
      <c r="AN74" s="374"/>
      <c r="AO74" s="374"/>
      <c r="AP74" s="374"/>
      <c r="AQ74" s="370"/>
      <c r="AR74" s="374"/>
      <c r="AS74" s="370"/>
      <c r="AT74" s="374"/>
      <c r="AU74" s="370"/>
      <c r="AV74" s="370"/>
      <c r="AW74" s="370"/>
      <c r="AX74" s="370"/>
      <c r="AY74" s="370"/>
      <c r="AZ74" s="370"/>
      <c r="BA74" s="370"/>
      <c r="BB74" s="370"/>
      <c r="BC74" s="374"/>
      <c r="BD74" s="370"/>
      <c r="BE74" s="370"/>
      <c r="BF74" s="370"/>
      <c r="BG74" s="370"/>
      <c r="BH74" s="370"/>
      <c r="BI74" s="370"/>
      <c r="BJ74" s="370"/>
      <c r="BK74" s="370"/>
      <c r="BL74" s="370"/>
      <c r="BM74" s="370"/>
      <c r="BN74" s="370"/>
      <c r="BO74" s="370"/>
      <c r="BP74" s="370"/>
      <c r="BQ74" s="370"/>
      <c r="BR74" s="370"/>
      <c r="BS74" s="370"/>
      <c r="BT74" s="370"/>
      <c r="BU74" s="370"/>
      <c r="BV74" s="370"/>
      <c r="BW74" s="370"/>
      <c r="BX74" s="370"/>
      <c r="BY74" s="370"/>
      <c r="BZ74" s="370"/>
      <c r="CE74" s="370"/>
    </row>
  </sheetData>
  <pageMargins left="0.7" right="0.7" top="0.75" bottom="0.75" header="0.3" footer="0.3"/>
  <pageSetup paperSize="9" orientation="portrait" horizontalDpi="90" verticalDpi="90" r:id="rId1"/>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B1:AM70"/>
  <sheetViews>
    <sheetView showGridLines="0" view="pageBreakPreview" topLeftCell="F1" zoomScale="60" zoomScaleNormal="100" workbookViewId="0">
      <selection activeCell="AK17" sqref="AK17"/>
    </sheetView>
  </sheetViews>
  <sheetFormatPr defaultColWidth="9.33203125" defaultRowHeight="12.75" outlineLevelCol="1"/>
  <cols>
    <col min="1" max="1" width="2.83203125" style="310" customWidth="1"/>
    <col min="2" max="2" width="11.83203125" style="310" customWidth="1"/>
    <col min="3" max="4" width="26.33203125" style="310" customWidth="1"/>
    <col min="5" max="5" width="26.33203125" style="310" customWidth="1" outlineLevel="1"/>
    <col min="6" max="6" width="13.83203125" style="310" bestFit="1" customWidth="1"/>
    <col min="7" max="7" width="10" style="310" customWidth="1" outlineLevel="1"/>
    <col min="8" max="8" width="2.83203125" style="310" customWidth="1"/>
    <col min="9" max="11" width="16.33203125" style="310" customWidth="1"/>
    <col min="12" max="12" width="15.6640625" style="310" customWidth="1"/>
    <col min="13" max="13" width="2.83203125" style="310" customWidth="1"/>
    <col min="14" max="16" width="19.1640625" style="310" customWidth="1"/>
    <col min="17" max="17" width="2.83203125" style="310" customWidth="1"/>
    <col min="18" max="20" width="11.33203125" style="310" customWidth="1"/>
    <col min="21" max="22" width="11.33203125" style="310" customWidth="1" outlineLevel="1"/>
    <col min="23" max="23" width="2.83203125" style="310" customWidth="1" outlineLevel="1"/>
    <col min="24" max="24" width="11.33203125" customWidth="1"/>
    <col min="25" max="25" width="2.83203125" style="310" customWidth="1"/>
    <col min="26" max="28" width="11.33203125" style="310" customWidth="1" outlineLevel="1"/>
    <col min="29" max="29" width="2.83203125" style="310" customWidth="1" outlineLevel="1"/>
    <col min="30" max="32" width="11.33203125" style="310" customWidth="1" outlineLevel="1"/>
    <col min="33" max="33" width="2.83203125" customWidth="1"/>
    <col min="34" max="34" width="12.1640625" style="310" customWidth="1"/>
    <col min="35" max="35" width="11.6640625" style="310" customWidth="1"/>
    <col min="36" max="36" width="2.83203125" style="310" customWidth="1"/>
    <col min="37" max="37" width="24.6640625" style="310" customWidth="1"/>
    <col min="38" max="38" width="10.33203125" style="310" customWidth="1"/>
    <col min="39" max="16384" width="9.33203125" style="310"/>
  </cols>
  <sheetData>
    <row r="1" spans="2:39" ht="10.7" customHeight="1" thickBot="1">
      <c r="X1" s="310"/>
      <c r="AG1" s="310"/>
    </row>
    <row r="2" spans="2:39" ht="16.5" customHeight="1" thickTop="1">
      <c r="B2" s="10" t="s">
        <v>416</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K2" s="234" t="s">
        <v>17</v>
      </c>
      <c r="AL2" s="235">
        <v>43281</v>
      </c>
    </row>
    <row r="3" spans="2:39" ht="15.75" customHeight="1">
      <c r="B3" s="11" t="s">
        <v>530</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K3" s="164" t="s">
        <v>273</v>
      </c>
      <c r="AL3" s="239" t="s">
        <v>275</v>
      </c>
    </row>
    <row r="4" spans="2:39" ht="16.5" customHeight="1" thickBot="1">
      <c r="B4" s="12" t="s">
        <v>458</v>
      </c>
      <c r="C4" s="12"/>
      <c r="D4" s="12"/>
      <c r="E4" s="12"/>
      <c r="F4" s="12"/>
      <c r="G4" s="12"/>
      <c r="H4" s="12"/>
      <c r="I4" s="12"/>
      <c r="J4" s="12"/>
      <c r="K4" s="12"/>
      <c r="L4" s="12"/>
      <c r="M4" s="12"/>
      <c r="N4" s="13"/>
      <c r="O4" s="13"/>
      <c r="P4" s="13"/>
      <c r="Q4" s="13" t="s">
        <v>18</v>
      </c>
      <c r="R4" s="13"/>
      <c r="S4" s="13"/>
      <c r="T4" s="13"/>
      <c r="U4" s="13"/>
      <c r="V4" s="13"/>
      <c r="W4" s="13"/>
      <c r="X4" s="13"/>
      <c r="Y4" s="13"/>
      <c r="Z4" s="13"/>
      <c r="AA4" s="13"/>
      <c r="AB4" s="13"/>
      <c r="AC4" s="13"/>
      <c r="AD4" s="13"/>
      <c r="AE4" s="13"/>
      <c r="AF4" s="13"/>
      <c r="AG4" s="13"/>
      <c r="AH4" s="13"/>
      <c r="AI4" s="13"/>
      <c r="AK4" s="164" t="s">
        <v>274</v>
      </c>
      <c r="AL4" s="239" t="s">
        <v>276</v>
      </c>
    </row>
    <row r="5" spans="2:39" s="16" customFormat="1" ht="12.75" customHeight="1" thickTop="1">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c r="AB5" s="310"/>
      <c r="AC5" s="310"/>
      <c r="AD5" s="310"/>
      <c r="AE5" s="310"/>
      <c r="AF5" s="310"/>
      <c r="AG5" s="310"/>
      <c r="AH5" s="310"/>
      <c r="AI5" s="310"/>
      <c r="AJ5" s="310"/>
      <c r="AK5" s="76" t="s">
        <v>19</v>
      </c>
      <c r="AL5" s="238" t="s">
        <v>20</v>
      </c>
    </row>
    <row r="6" spans="2:39" ht="12.75" customHeight="1">
      <c r="X6" s="310"/>
      <c r="AG6" s="310"/>
    </row>
    <row r="7" spans="2:39" ht="12.75" customHeight="1">
      <c r="I7" s="33" t="s">
        <v>286</v>
      </c>
      <c r="J7" s="778"/>
      <c r="K7" s="778"/>
      <c r="L7" s="35"/>
      <c r="N7" s="33" t="s">
        <v>176</v>
      </c>
      <c r="O7" s="34"/>
      <c r="P7" s="35"/>
      <c r="R7" s="273" t="s">
        <v>175</v>
      </c>
      <c r="S7" s="276"/>
      <c r="T7" s="319"/>
      <c r="U7" s="276"/>
      <c r="V7" s="277"/>
      <c r="X7" s="2685" t="s">
        <v>379</v>
      </c>
      <c r="Z7" s="33" t="s">
        <v>177</v>
      </c>
      <c r="AA7" s="34"/>
      <c r="AB7" s="35"/>
      <c r="AD7" s="33" t="s">
        <v>178</v>
      </c>
      <c r="AE7" s="34"/>
      <c r="AF7" s="35"/>
      <c r="AG7" s="310"/>
      <c r="AH7" s="33" t="s">
        <v>181</v>
      </c>
      <c r="AI7" s="313"/>
    </row>
    <row r="8" spans="2:39" s="6" customFormat="1" ht="30.75" customHeight="1">
      <c r="B8" s="106" t="s">
        <v>170</v>
      </c>
      <c r="C8" s="104" t="s">
        <v>558</v>
      </c>
      <c r="D8" s="104" t="s">
        <v>171</v>
      </c>
      <c r="E8" s="104" t="s">
        <v>290</v>
      </c>
      <c r="F8" s="320" t="s">
        <v>172</v>
      </c>
      <c r="G8" s="105" t="s">
        <v>174</v>
      </c>
      <c r="I8" s="106" t="s">
        <v>71</v>
      </c>
      <c r="J8" s="802" t="s">
        <v>1099</v>
      </c>
      <c r="K8" s="802" t="s">
        <v>1100</v>
      </c>
      <c r="L8" s="105" t="s">
        <v>287</v>
      </c>
      <c r="M8" s="102"/>
      <c r="N8" s="106" t="s">
        <v>80</v>
      </c>
      <c r="O8" s="104" t="s">
        <v>85</v>
      </c>
      <c r="P8" s="105" t="s">
        <v>86</v>
      </c>
      <c r="R8" s="106" t="s">
        <v>80</v>
      </c>
      <c r="S8" s="104" t="s">
        <v>85</v>
      </c>
      <c r="T8" s="320" t="s">
        <v>86</v>
      </c>
      <c r="U8" s="104" t="s">
        <v>288</v>
      </c>
      <c r="V8" s="105" t="s">
        <v>289</v>
      </c>
      <c r="X8" s="2686"/>
      <c r="Z8" s="106" t="s">
        <v>80</v>
      </c>
      <c r="AA8" s="104" t="s">
        <v>85</v>
      </c>
      <c r="AB8" s="105" t="s">
        <v>86</v>
      </c>
      <c r="AD8" s="106" t="s">
        <v>80</v>
      </c>
      <c r="AE8" s="104" t="s">
        <v>85</v>
      </c>
      <c r="AF8" s="105" t="s">
        <v>86</v>
      </c>
      <c r="AH8" s="95" t="s">
        <v>179</v>
      </c>
      <c r="AI8" s="97" t="s">
        <v>180</v>
      </c>
      <c r="AK8" s="399" t="s">
        <v>173</v>
      </c>
    </row>
    <row r="9" spans="2:39" ht="12.75" customHeight="1">
      <c r="X9" s="310"/>
      <c r="AG9" s="310"/>
    </row>
    <row r="10" spans="2:39" s="122" customFormat="1" ht="12.75" customHeight="1">
      <c r="B10" s="388">
        <v>43143</v>
      </c>
      <c r="C10" s="384" t="s">
        <v>1687</v>
      </c>
      <c r="D10" s="384" t="s">
        <v>2864</v>
      </c>
      <c r="E10" s="384" t="s">
        <v>535</v>
      </c>
      <c r="F10" s="387">
        <v>1</v>
      </c>
      <c r="G10" s="386" t="s">
        <v>531</v>
      </c>
      <c r="I10" s="385">
        <v>1.9538</v>
      </c>
      <c r="J10" s="385">
        <v>1.0249999999999999</v>
      </c>
      <c r="K10" s="385">
        <v>0.93239000000000005</v>
      </c>
      <c r="L10" s="385">
        <v>1.95739</v>
      </c>
      <c r="M10" s="126"/>
      <c r="N10" s="385">
        <v>1.91E-3</v>
      </c>
      <c r="O10" s="385">
        <v>-0.37941999999999998</v>
      </c>
      <c r="P10" s="385">
        <v>-0.49764000000000003</v>
      </c>
      <c r="Q10" s="126"/>
      <c r="R10" s="127">
        <v>1022.9319371727748</v>
      </c>
      <c r="S10" s="127">
        <v>-5.1494386168362238</v>
      </c>
      <c r="T10" s="127">
        <v>-3.9261313399244431</v>
      </c>
      <c r="U10" s="383">
        <v>13.89265</v>
      </c>
      <c r="V10" s="383" t="s">
        <v>504</v>
      </c>
      <c r="W10" s="384"/>
      <c r="X10" s="127"/>
      <c r="Y10" s="126"/>
      <c r="Z10" s="385" t="s">
        <v>1</v>
      </c>
      <c r="AA10" s="385" t="s">
        <v>1</v>
      </c>
      <c r="AB10" s="125" t="s">
        <v>1</v>
      </c>
      <c r="AC10" s="126"/>
      <c r="AD10" s="127" t="s">
        <v>1</v>
      </c>
      <c r="AE10" s="127" t="s">
        <v>1</v>
      </c>
      <c r="AF10" s="383" t="s">
        <v>1</v>
      </c>
      <c r="AG10" s="126"/>
      <c r="AH10" s="2028" t="s">
        <v>504</v>
      </c>
      <c r="AI10" s="2028" t="s">
        <v>504</v>
      </c>
      <c r="AK10" s="255" t="s">
        <v>2866</v>
      </c>
      <c r="AL10" s="122" t="s">
        <v>2867</v>
      </c>
      <c r="AM10" s="122" t="s">
        <v>2868</v>
      </c>
    </row>
    <row r="11" spans="2:39" s="122" customFormat="1" ht="12.75" customHeight="1">
      <c r="B11" s="121">
        <v>42667</v>
      </c>
      <c r="C11" s="122" t="s">
        <v>1845</v>
      </c>
      <c r="D11" s="122" t="s">
        <v>1846</v>
      </c>
      <c r="E11" s="122" t="s">
        <v>535</v>
      </c>
      <c r="F11" s="123">
        <v>0.90961969999999992</v>
      </c>
      <c r="G11" s="124" t="s">
        <v>531</v>
      </c>
      <c r="I11" s="125">
        <v>528.23937000000001</v>
      </c>
      <c r="J11" s="125">
        <v>550.93940999999995</v>
      </c>
      <c r="K11" s="125" t="s">
        <v>1</v>
      </c>
      <c r="L11" s="125">
        <v>550.93940999999995</v>
      </c>
      <c r="M11" s="126"/>
      <c r="N11" s="125">
        <v>0.32246999999999998</v>
      </c>
      <c r="O11" s="125">
        <v>-45.344230000000003</v>
      </c>
      <c r="P11" s="125">
        <v>-45.57047</v>
      </c>
      <c r="Q11" s="126"/>
      <c r="R11" s="127">
        <v>1638.1039166434089</v>
      </c>
      <c r="S11" s="127">
        <v>-11.649538871869694</v>
      </c>
      <c r="T11" s="127">
        <v>-11.591703355264933</v>
      </c>
      <c r="U11" s="127">
        <v>8.2933599999999998</v>
      </c>
      <c r="V11" s="127" t="s">
        <v>504</v>
      </c>
      <c r="X11" s="127"/>
      <c r="Y11" s="126"/>
      <c r="Z11" s="125">
        <v>0.13450000000000001</v>
      </c>
      <c r="AA11" s="125" t="s">
        <v>1</v>
      </c>
      <c r="AB11" s="125" t="s">
        <v>504</v>
      </c>
      <c r="AC11" s="126"/>
      <c r="AD11" s="127">
        <v>3927.4302602230482</v>
      </c>
      <c r="AE11" s="127" t="s">
        <v>1</v>
      </c>
      <c r="AF11" s="127" t="s">
        <v>1</v>
      </c>
      <c r="AG11" s="126"/>
      <c r="AH11" s="2029">
        <v>1.634881</v>
      </c>
      <c r="AI11" s="2029">
        <v>1.3918000000000001</v>
      </c>
      <c r="AK11" s="255" t="s">
        <v>1847</v>
      </c>
      <c r="AL11" s="122" t="s">
        <v>1848</v>
      </c>
      <c r="AM11" s="122" t="s">
        <v>2869</v>
      </c>
    </row>
    <row r="12" spans="2:39" s="122" customFormat="1" ht="12.75" customHeight="1">
      <c r="B12" s="121">
        <v>42613</v>
      </c>
      <c r="C12" s="122" t="s">
        <v>2865</v>
      </c>
      <c r="D12" s="122" t="s">
        <v>1896</v>
      </c>
      <c r="E12" s="122" t="s">
        <v>535</v>
      </c>
      <c r="F12" s="123">
        <v>1</v>
      </c>
      <c r="G12" s="124" t="s">
        <v>531</v>
      </c>
      <c r="I12" s="125">
        <v>41.130989999999997</v>
      </c>
      <c r="J12" s="125">
        <v>59.806919999999998</v>
      </c>
      <c r="K12" s="125" t="s">
        <v>1</v>
      </c>
      <c r="L12" s="125">
        <v>59.806919999999998</v>
      </c>
      <c r="M12" s="126"/>
      <c r="N12" s="125" t="s">
        <v>1</v>
      </c>
      <c r="O12" s="125">
        <v>-19.4024</v>
      </c>
      <c r="P12" s="125">
        <v>-19.957249999999998</v>
      </c>
      <c r="Q12" s="126"/>
      <c r="R12" s="127" t="s">
        <v>1</v>
      </c>
      <c r="S12" s="127">
        <v>-2.119891869047128</v>
      </c>
      <c r="T12" s="127">
        <v>-2.0609547908654751</v>
      </c>
      <c r="U12" s="127">
        <v>2.87737</v>
      </c>
      <c r="V12" s="127" t="s">
        <v>504</v>
      </c>
      <c r="X12" s="127"/>
      <c r="Y12" s="126"/>
      <c r="Z12" s="125" t="s">
        <v>1</v>
      </c>
      <c r="AA12" s="125">
        <v>-11.43661</v>
      </c>
      <c r="AB12" s="125" t="s">
        <v>504</v>
      </c>
      <c r="AC12" s="126"/>
      <c r="AD12" s="127" t="s">
        <v>1</v>
      </c>
      <c r="AE12" s="127">
        <v>-3.5964319846527948</v>
      </c>
      <c r="AF12" s="127" t="s">
        <v>1</v>
      </c>
      <c r="AG12" s="126"/>
      <c r="AH12" s="2029">
        <v>1.041612</v>
      </c>
      <c r="AI12" s="2029">
        <v>0.92382599999999993</v>
      </c>
      <c r="AK12" s="255" t="s">
        <v>1904</v>
      </c>
      <c r="AL12" s="122" t="s">
        <v>1905</v>
      </c>
      <c r="AM12" s="122" t="s">
        <v>1906</v>
      </c>
    </row>
    <row r="13" spans="2:39" s="122" customFormat="1" ht="12.75" customHeight="1">
      <c r="B13" s="121">
        <v>42530</v>
      </c>
      <c r="C13" s="122" t="s">
        <v>1849</v>
      </c>
      <c r="D13" s="122" t="s">
        <v>1850</v>
      </c>
      <c r="E13" s="122" t="s">
        <v>1844</v>
      </c>
      <c r="F13" s="123">
        <v>1</v>
      </c>
      <c r="G13" s="124" t="s">
        <v>531</v>
      </c>
      <c r="I13" s="125" t="s">
        <v>1</v>
      </c>
      <c r="J13" s="125">
        <v>0</v>
      </c>
      <c r="K13" s="125" t="s">
        <v>1</v>
      </c>
      <c r="L13" s="125" t="s">
        <v>1</v>
      </c>
      <c r="M13" s="126"/>
      <c r="N13" s="125" t="s">
        <v>1</v>
      </c>
      <c r="O13" s="125" t="s">
        <v>1</v>
      </c>
      <c r="P13" s="125">
        <v>-2.8979999999999999E-2</v>
      </c>
      <c r="Q13" s="126"/>
      <c r="R13" s="127" t="s">
        <v>1</v>
      </c>
      <c r="S13" s="127" t="s">
        <v>1</v>
      </c>
      <c r="T13" s="127" t="s">
        <v>1</v>
      </c>
      <c r="U13" s="127" t="s">
        <v>1</v>
      </c>
      <c r="V13" s="127" t="s">
        <v>1</v>
      </c>
      <c r="X13" s="127"/>
      <c r="Y13" s="126"/>
      <c r="Z13" s="125" t="s">
        <v>1</v>
      </c>
      <c r="AA13" s="125" t="s">
        <v>1</v>
      </c>
      <c r="AB13" s="125" t="s">
        <v>1</v>
      </c>
      <c r="AC13" s="126"/>
      <c r="AD13" s="127" t="s">
        <v>1</v>
      </c>
      <c r="AE13" s="127" t="s">
        <v>1</v>
      </c>
      <c r="AF13" s="127" t="s">
        <v>1</v>
      </c>
      <c r="AG13" s="126"/>
      <c r="AH13" s="2029" t="s">
        <v>504</v>
      </c>
      <c r="AI13" s="2029" t="s">
        <v>504</v>
      </c>
      <c r="AK13" s="362" t="s">
        <v>1851</v>
      </c>
      <c r="AL13" s="122" t="s">
        <v>1852</v>
      </c>
      <c r="AM13" s="122" t="s">
        <v>1853</v>
      </c>
    </row>
    <row r="14" spans="2:39" s="122" customFormat="1" ht="12.75" customHeight="1">
      <c r="B14" s="121">
        <v>42493</v>
      </c>
      <c r="C14" s="122" t="s">
        <v>1854</v>
      </c>
      <c r="D14" s="122" t="s">
        <v>1855</v>
      </c>
      <c r="E14" s="122" t="s">
        <v>1844</v>
      </c>
      <c r="F14" s="123">
        <v>1</v>
      </c>
      <c r="G14" s="124" t="s">
        <v>531</v>
      </c>
      <c r="I14" s="125" t="s">
        <v>1</v>
      </c>
      <c r="J14" s="125">
        <v>0</v>
      </c>
      <c r="K14" s="125" t="s">
        <v>1</v>
      </c>
      <c r="L14" s="125" t="s">
        <v>1</v>
      </c>
      <c r="M14" s="126"/>
      <c r="N14" s="125">
        <v>1.99E-3</v>
      </c>
      <c r="O14" s="125" t="s">
        <v>1</v>
      </c>
      <c r="P14" s="125">
        <v>-9.6860000000000002E-2</v>
      </c>
      <c r="Q14" s="126"/>
      <c r="R14" s="127" t="s">
        <v>1</v>
      </c>
      <c r="S14" s="127" t="s">
        <v>1</v>
      </c>
      <c r="T14" s="127" t="s">
        <v>1</v>
      </c>
      <c r="U14" s="127" t="s">
        <v>1</v>
      </c>
      <c r="V14" s="127" t="s">
        <v>1</v>
      </c>
      <c r="X14" s="127"/>
      <c r="Y14" s="126"/>
      <c r="Z14" s="125" t="s">
        <v>1</v>
      </c>
      <c r="AA14" s="125" t="s">
        <v>1</v>
      </c>
      <c r="AB14" s="125" t="s">
        <v>1</v>
      </c>
      <c r="AC14" s="126"/>
      <c r="AD14" s="127" t="s">
        <v>1</v>
      </c>
      <c r="AE14" s="127" t="s">
        <v>1</v>
      </c>
      <c r="AF14" s="127" t="s">
        <v>1</v>
      </c>
      <c r="AG14" s="126"/>
      <c r="AH14" s="2029" t="s">
        <v>504</v>
      </c>
      <c r="AI14" s="2029" t="s">
        <v>504</v>
      </c>
      <c r="AK14" s="362" t="s">
        <v>1856</v>
      </c>
      <c r="AL14" s="122" t="s">
        <v>1857</v>
      </c>
      <c r="AM14" s="122" t="s">
        <v>1858</v>
      </c>
    </row>
    <row r="15" spans="2:39" s="122" customFormat="1" ht="12.75" customHeight="1">
      <c r="B15" s="121">
        <v>42307</v>
      </c>
      <c r="C15" s="122" t="s">
        <v>1614</v>
      </c>
      <c r="D15" s="122" t="s">
        <v>1859</v>
      </c>
      <c r="E15" s="122" t="s">
        <v>535</v>
      </c>
      <c r="F15" s="123">
        <v>1</v>
      </c>
      <c r="G15" s="124" t="s">
        <v>531</v>
      </c>
      <c r="I15" s="125" t="s">
        <v>1</v>
      </c>
      <c r="J15" s="125">
        <v>0</v>
      </c>
      <c r="K15" s="125" t="s">
        <v>1</v>
      </c>
      <c r="L15" s="125" t="s">
        <v>1</v>
      </c>
      <c r="M15" s="126"/>
      <c r="N15" s="125" t="s">
        <v>1</v>
      </c>
      <c r="O15" s="125" t="s">
        <v>1</v>
      </c>
      <c r="P15" s="125" t="s">
        <v>1</v>
      </c>
      <c r="Q15" s="126"/>
      <c r="R15" s="127" t="s">
        <v>1</v>
      </c>
      <c r="S15" s="127" t="s">
        <v>1</v>
      </c>
      <c r="T15" s="127" t="s">
        <v>1</v>
      </c>
      <c r="U15" s="127" t="s">
        <v>1</v>
      </c>
      <c r="V15" s="127" t="s">
        <v>1</v>
      </c>
      <c r="X15" s="127"/>
      <c r="Y15" s="126"/>
      <c r="Z15" s="125" t="s">
        <v>1</v>
      </c>
      <c r="AA15" s="125" t="s">
        <v>1</v>
      </c>
      <c r="AB15" s="125" t="s">
        <v>1</v>
      </c>
      <c r="AC15" s="126"/>
      <c r="AD15" s="127" t="s">
        <v>1</v>
      </c>
      <c r="AE15" s="127" t="s">
        <v>1</v>
      </c>
      <c r="AF15" s="127" t="s">
        <v>1</v>
      </c>
      <c r="AG15" s="126"/>
      <c r="AH15" s="2029" t="s">
        <v>504</v>
      </c>
      <c r="AI15" s="2029" t="s">
        <v>504</v>
      </c>
      <c r="AK15" s="362" t="s">
        <v>1860</v>
      </c>
      <c r="AL15" s="122" t="s">
        <v>1861</v>
      </c>
      <c r="AM15" s="122" t="s">
        <v>1862</v>
      </c>
    </row>
    <row r="16" spans="2:39" s="122" customFormat="1" ht="12.75" customHeight="1">
      <c r="B16" s="121">
        <v>42243</v>
      </c>
      <c r="C16" s="122" t="s">
        <v>1863</v>
      </c>
      <c r="D16" s="122" t="s">
        <v>1864</v>
      </c>
      <c r="E16" s="122" t="s">
        <v>535</v>
      </c>
      <c r="F16" s="123">
        <v>1</v>
      </c>
      <c r="G16" s="124" t="s">
        <v>531</v>
      </c>
      <c r="I16" s="125">
        <v>7151.8984899999996</v>
      </c>
      <c r="J16" s="125">
        <v>7332.6776099999997</v>
      </c>
      <c r="K16" s="125" t="s">
        <v>1</v>
      </c>
      <c r="L16" s="125">
        <v>7731.01649</v>
      </c>
      <c r="M16" s="126"/>
      <c r="N16" s="125">
        <v>3.45</v>
      </c>
      <c r="O16" s="125">
        <v>-175.62700000000001</v>
      </c>
      <c r="P16" s="125">
        <v>-175.84299999999999</v>
      </c>
      <c r="Q16" s="126"/>
      <c r="R16" s="127">
        <v>2073.0140550724636</v>
      </c>
      <c r="S16" s="127">
        <v>-40.722089940612769</v>
      </c>
      <c r="T16" s="127">
        <v>-40.672068208572419</v>
      </c>
      <c r="U16" s="127">
        <v>13.13902</v>
      </c>
      <c r="V16" s="127" t="s">
        <v>504</v>
      </c>
      <c r="X16" s="127"/>
      <c r="Y16" s="126"/>
      <c r="Z16" s="125">
        <v>2.7776999999999998</v>
      </c>
      <c r="AA16" s="125">
        <v>-145.20189999999999</v>
      </c>
      <c r="AB16" s="125" t="s">
        <v>504</v>
      </c>
      <c r="AC16" s="126"/>
      <c r="AD16" s="127">
        <v>2574.7555495553875</v>
      </c>
      <c r="AE16" s="127">
        <v>-49.254854722975388</v>
      </c>
      <c r="AF16" s="127" t="s">
        <v>1</v>
      </c>
      <c r="AG16" s="126"/>
      <c r="AH16" s="2029">
        <v>0.17331700000000003</v>
      </c>
      <c r="AI16" s="2029">
        <v>0.30110499999999996</v>
      </c>
      <c r="AK16" s="362" t="s">
        <v>1865</v>
      </c>
      <c r="AL16" s="122" t="s">
        <v>1866</v>
      </c>
      <c r="AM16" s="122" t="s">
        <v>1867</v>
      </c>
    </row>
    <row r="17" spans="2:39" s="122" customFormat="1" ht="12.75" customHeight="1">
      <c r="B17" s="121">
        <v>41905</v>
      </c>
      <c r="C17" s="122" t="s">
        <v>1868</v>
      </c>
      <c r="D17" s="122" t="s">
        <v>1869</v>
      </c>
      <c r="E17" s="122" t="s">
        <v>1844</v>
      </c>
      <c r="F17" s="123">
        <v>1</v>
      </c>
      <c r="G17" s="124" t="s">
        <v>531</v>
      </c>
      <c r="I17" s="125">
        <v>925</v>
      </c>
      <c r="J17" s="125">
        <v>150</v>
      </c>
      <c r="K17" s="125">
        <v>775</v>
      </c>
      <c r="L17" s="125">
        <v>925</v>
      </c>
      <c r="M17" s="126"/>
      <c r="N17" s="125" t="s">
        <v>1</v>
      </c>
      <c r="O17" s="125" t="s">
        <v>1</v>
      </c>
      <c r="P17" s="125" t="s">
        <v>1</v>
      </c>
      <c r="Q17" s="126"/>
      <c r="R17" s="127" t="s">
        <v>1</v>
      </c>
      <c r="S17" s="127" t="s">
        <v>1</v>
      </c>
      <c r="T17" s="127" t="s">
        <v>1</v>
      </c>
      <c r="U17" s="127" t="s">
        <v>1</v>
      </c>
      <c r="V17" s="127" t="s">
        <v>1</v>
      </c>
      <c r="X17" s="127"/>
      <c r="Y17" s="126"/>
      <c r="Z17" s="125" t="s">
        <v>1</v>
      </c>
      <c r="AA17" s="125" t="s">
        <v>1</v>
      </c>
      <c r="AB17" s="125" t="s">
        <v>1</v>
      </c>
      <c r="AC17" s="126"/>
      <c r="AD17" s="127" t="s">
        <v>1</v>
      </c>
      <c r="AE17" s="127" t="s">
        <v>1</v>
      </c>
      <c r="AF17" s="127" t="s">
        <v>1</v>
      </c>
      <c r="AG17" s="126"/>
      <c r="AH17" s="2029" t="s">
        <v>504</v>
      </c>
      <c r="AI17" s="2029" t="s">
        <v>504</v>
      </c>
      <c r="AK17" s="362" t="s">
        <v>1870</v>
      </c>
      <c r="AL17" s="122" t="s">
        <v>1871</v>
      </c>
      <c r="AM17" s="122" t="s">
        <v>1872</v>
      </c>
    </row>
    <row r="18" spans="2:39" s="122" customFormat="1" ht="12.75" customHeight="1">
      <c r="B18" s="121">
        <v>41639</v>
      </c>
      <c r="C18" s="122" t="s">
        <v>1873</v>
      </c>
      <c r="D18" s="122" t="s">
        <v>1874</v>
      </c>
      <c r="E18" s="122" t="s">
        <v>1844</v>
      </c>
      <c r="F18" s="123">
        <v>1</v>
      </c>
      <c r="G18" s="124" t="s">
        <v>531</v>
      </c>
      <c r="I18" s="125">
        <v>1946.42967</v>
      </c>
      <c r="J18" s="125">
        <v>2154.4326700000001</v>
      </c>
      <c r="K18" s="125" t="s">
        <v>1</v>
      </c>
      <c r="L18" s="125">
        <v>2154.4326700000001</v>
      </c>
      <c r="M18" s="126"/>
      <c r="N18" s="125">
        <v>337.80900000000003</v>
      </c>
      <c r="O18" s="125">
        <v>81.528000000000006</v>
      </c>
      <c r="P18" s="125">
        <v>74.905000000000001</v>
      </c>
      <c r="Q18" s="126"/>
      <c r="R18" s="127">
        <v>5.7619236610037028</v>
      </c>
      <c r="S18" s="127">
        <v>23.87437040035325</v>
      </c>
      <c r="T18" s="127">
        <v>25.985310326413458</v>
      </c>
      <c r="U18" s="127">
        <v>9.4087399999999999</v>
      </c>
      <c r="V18" s="127">
        <v>16.823090000000001</v>
      </c>
      <c r="X18" s="127"/>
      <c r="Y18" s="126"/>
      <c r="Z18" s="125">
        <v>440.74299999999999</v>
      </c>
      <c r="AA18" s="125">
        <v>120.5</v>
      </c>
      <c r="AB18" s="125">
        <v>14.202999999999999</v>
      </c>
      <c r="AC18" s="126"/>
      <c r="AD18" s="127">
        <v>4.416246361258148</v>
      </c>
      <c r="AE18" s="127">
        <v>16.152943319502075</v>
      </c>
      <c r="AF18" s="127">
        <v>137.04355910723086</v>
      </c>
      <c r="AG18" s="126"/>
      <c r="AH18" s="2029">
        <v>0.37162500000000004</v>
      </c>
      <c r="AI18" s="2029">
        <v>0.52018999999999993</v>
      </c>
      <c r="AK18" s="362" t="s">
        <v>1875</v>
      </c>
      <c r="AL18" s="122" t="s">
        <v>1876</v>
      </c>
      <c r="AM18" s="122" t="s">
        <v>1877</v>
      </c>
    </row>
    <row r="19" spans="2:39" s="122" customFormat="1" ht="12.75" customHeight="1">
      <c r="B19" s="121">
        <v>41128</v>
      </c>
      <c r="C19" s="122" t="s">
        <v>1878</v>
      </c>
      <c r="D19" s="122" t="s">
        <v>1879</v>
      </c>
      <c r="E19" s="122" t="s">
        <v>535</v>
      </c>
      <c r="F19" s="123">
        <v>1</v>
      </c>
      <c r="G19" s="124" t="s">
        <v>531</v>
      </c>
      <c r="I19" s="125">
        <v>6657.0938200000001</v>
      </c>
      <c r="J19" s="125">
        <v>5124.9534199999998</v>
      </c>
      <c r="K19" s="125" t="s">
        <v>1</v>
      </c>
      <c r="L19" s="125">
        <v>6942.3518199999999</v>
      </c>
      <c r="M19" s="126"/>
      <c r="N19" s="125">
        <v>651.65</v>
      </c>
      <c r="O19" s="125">
        <v>-449.55599999999998</v>
      </c>
      <c r="P19" s="125">
        <v>-508.28300000000002</v>
      </c>
      <c r="Q19" s="126"/>
      <c r="R19" s="127">
        <v>10.215750510243229</v>
      </c>
      <c r="S19" s="127">
        <v>-14.808152532721174</v>
      </c>
      <c r="T19" s="127">
        <v>-13.097219108252686</v>
      </c>
      <c r="U19" s="127" t="s">
        <v>504</v>
      </c>
      <c r="V19" s="127" t="s">
        <v>504</v>
      </c>
      <c r="X19" s="127"/>
      <c r="Y19" s="126"/>
      <c r="Z19" s="125">
        <v>718.67830000000004</v>
      </c>
      <c r="AA19" s="125">
        <v>-21</v>
      </c>
      <c r="AB19" s="125" t="s">
        <v>504</v>
      </c>
      <c r="AC19" s="126"/>
      <c r="AD19" s="127">
        <v>9.2629676170826354</v>
      </c>
      <c r="AE19" s="127">
        <v>-317.0044676190476</v>
      </c>
      <c r="AF19" s="127" t="s">
        <v>1</v>
      </c>
      <c r="AG19" s="126"/>
      <c r="AH19" s="2029">
        <v>0.110315</v>
      </c>
      <c r="AI19" s="2029">
        <v>0.12973800000000002</v>
      </c>
      <c r="AK19" s="362" t="s">
        <v>1880</v>
      </c>
      <c r="AL19" s="122" t="s">
        <v>1881</v>
      </c>
      <c r="AM19" s="122" t="s">
        <v>1882</v>
      </c>
    </row>
    <row r="20" spans="2:39" s="122" customFormat="1" ht="12.75" customHeight="1">
      <c r="B20" s="121">
        <v>40982</v>
      </c>
      <c r="C20" s="122" t="s">
        <v>1883</v>
      </c>
      <c r="D20" s="122" t="s">
        <v>1884</v>
      </c>
      <c r="E20" s="122" t="s">
        <v>1844</v>
      </c>
      <c r="F20" s="123">
        <v>1</v>
      </c>
      <c r="G20" s="124" t="s">
        <v>531</v>
      </c>
      <c r="I20" s="125" t="s">
        <v>1</v>
      </c>
      <c r="J20" s="125">
        <v>0</v>
      </c>
      <c r="K20" s="125" t="s">
        <v>1</v>
      </c>
      <c r="L20" s="125" t="s">
        <v>1</v>
      </c>
      <c r="M20" s="126"/>
      <c r="N20" s="125" t="s">
        <v>1</v>
      </c>
      <c r="O20" s="125" t="s">
        <v>1</v>
      </c>
      <c r="P20" s="125" t="s">
        <v>1</v>
      </c>
      <c r="Q20" s="126"/>
      <c r="R20" s="127" t="s">
        <v>1</v>
      </c>
      <c r="S20" s="127" t="s">
        <v>1</v>
      </c>
      <c r="T20" s="127" t="s">
        <v>1</v>
      </c>
      <c r="U20" s="127" t="s">
        <v>1</v>
      </c>
      <c r="V20" s="127" t="s">
        <v>1</v>
      </c>
      <c r="X20" s="127"/>
      <c r="Y20" s="126"/>
      <c r="Z20" s="125" t="s">
        <v>1</v>
      </c>
      <c r="AA20" s="125" t="s">
        <v>1</v>
      </c>
      <c r="AB20" s="125" t="s">
        <v>1</v>
      </c>
      <c r="AC20" s="126"/>
      <c r="AD20" s="127" t="s">
        <v>1</v>
      </c>
      <c r="AE20" s="127" t="s">
        <v>1</v>
      </c>
      <c r="AF20" s="127" t="s">
        <v>1</v>
      </c>
      <c r="AG20" s="126"/>
      <c r="AH20" s="2029" t="s">
        <v>504</v>
      </c>
      <c r="AI20" s="2029" t="s">
        <v>504</v>
      </c>
      <c r="AK20" s="362" t="s">
        <v>1885</v>
      </c>
      <c r="AL20" s="122" t="s">
        <v>1886</v>
      </c>
      <c r="AM20" s="122" t="s">
        <v>1887</v>
      </c>
    </row>
    <row r="21" spans="2:39" s="122" customFormat="1" ht="12.75" customHeight="1">
      <c r="B21" s="121">
        <v>40967</v>
      </c>
      <c r="C21" s="122" t="s">
        <v>1888</v>
      </c>
      <c r="D21" s="122" t="s">
        <v>1622</v>
      </c>
      <c r="E21" s="122" t="s">
        <v>1844</v>
      </c>
      <c r="F21" s="123">
        <v>0.77410000000000001</v>
      </c>
      <c r="G21" s="124" t="s">
        <v>531</v>
      </c>
      <c r="I21" s="125" t="s">
        <v>1</v>
      </c>
      <c r="J21" s="125">
        <v>0</v>
      </c>
      <c r="K21" s="125" t="s">
        <v>1</v>
      </c>
      <c r="L21" s="125" t="s">
        <v>1</v>
      </c>
      <c r="M21" s="126"/>
      <c r="N21" s="125">
        <v>281.77444000000003</v>
      </c>
      <c r="O21" s="125">
        <v>46.608649999999997</v>
      </c>
      <c r="P21" s="125">
        <v>34.834530000000001</v>
      </c>
      <c r="Q21" s="126"/>
      <c r="R21" s="127" t="s">
        <v>1</v>
      </c>
      <c r="S21" s="127" t="s">
        <v>1</v>
      </c>
      <c r="T21" s="127" t="s">
        <v>1</v>
      </c>
      <c r="U21" s="127" t="s">
        <v>1</v>
      </c>
      <c r="V21" s="127" t="s">
        <v>1</v>
      </c>
      <c r="X21" s="127"/>
      <c r="Y21" s="126"/>
      <c r="Z21" s="125" t="s">
        <v>1</v>
      </c>
      <c r="AA21" s="125" t="s">
        <v>1</v>
      </c>
      <c r="AB21" s="125" t="s">
        <v>1</v>
      </c>
      <c r="AC21" s="126"/>
      <c r="AD21" s="127" t="s">
        <v>1</v>
      </c>
      <c r="AE21" s="127" t="s">
        <v>1</v>
      </c>
      <c r="AF21" s="127" t="s">
        <v>1</v>
      </c>
      <c r="AG21" s="126"/>
      <c r="AH21" s="2029" t="s">
        <v>504</v>
      </c>
      <c r="AI21" s="2029" t="s">
        <v>504</v>
      </c>
      <c r="AK21" s="362" t="s">
        <v>1889</v>
      </c>
      <c r="AL21" s="122" t="s">
        <v>3139</v>
      </c>
      <c r="AM21" s="122" t="s">
        <v>1890</v>
      </c>
    </row>
    <row r="22" spans="2:39" s="122" customFormat="1" ht="12.75" customHeight="1">
      <c r="B22" s="121">
        <v>40542</v>
      </c>
      <c r="C22" s="122" t="s">
        <v>1891</v>
      </c>
      <c r="D22" s="122" t="s">
        <v>1892</v>
      </c>
      <c r="E22" s="122" t="s">
        <v>535</v>
      </c>
      <c r="F22" s="123">
        <v>1</v>
      </c>
      <c r="G22" s="124" t="s">
        <v>531</v>
      </c>
      <c r="I22" s="125">
        <v>500</v>
      </c>
      <c r="J22" s="125">
        <v>500</v>
      </c>
      <c r="K22" s="125" t="s">
        <v>1</v>
      </c>
      <c r="L22" s="125">
        <v>500</v>
      </c>
      <c r="M22" s="126"/>
      <c r="N22" s="125" t="s">
        <v>1</v>
      </c>
      <c r="O22" s="125" t="s">
        <v>1</v>
      </c>
      <c r="P22" s="125" t="s">
        <v>1</v>
      </c>
      <c r="Q22" s="126"/>
      <c r="R22" s="127" t="s">
        <v>1</v>
      </c>
      <c r="S22" s="127" t="s">
        <v>1</v>
      </c>
      <c r="T22" s="127" t="s">
        <v>1</v>
      </c>
      <c r="U22" s="127" t="s">
        <v>1</v>
      </c>
      <c r="V22" s="127" t="s">
        <v>1</v>
      </c>
      <c r="X22" s="127"/>
      <c r="Y22" s="126"/>
      <c r="Z22" s="125" t="s">
        <v>1</v>
      </c>
      <c r="AA22" s="125" t="s">
        <v>1</v>
      </c>
      <c r="AB22" s="125" t="s">
        <v>1</v>
      </c>
      <c r="AC22" s="126"/>
      <c r="AD22" s="127" t="s">
        <v>1</v>
      </c>
      <c r="AE22" s="127" t="s">
        <v>1</v>
      </c>
      <c r="AF22" s="127" t="s">
        <v>1</v>
      </c>
      <c r="AG22" s="126"/>
      <c r="AH22" s="2029" t="s">
        <v>504</v>
      </c>
      <c r="AI22" s="2029" t="s">
        <v>504</v>
      </c>
      <c r="AK22" s="362" t="s">
        <v>1893</v>
      </c>
      <c r="AL22" s="122" t="s">
        <v>1894</v>
      </c>
      <c r="AM22" s="122" t="s">
        <v>1895</v>
      </c>
    </row>
    <row r="23" spans="2:39" s="122" customFormat="1" ht="12.75" customHeight="1">
      <c r="B23" s="121" t="s">
        <v>1</v>
      </c>
      <c r="C23" s="122" t="s">
        <v>1897</v>
      </c>
      <c r="D23" s="122" t="s">
        <v>1898</v>
      </c>
      <c r="E23" s="122" t="s">
        <v>1844</v>
      </c>
      <c r="F23" s="123">
        <v>1</v>
      </c>
      <c r="G23" s="124" t="s">
        <v>531</v>
      </c>
      <c r="I23" s="125" t="s">
        <v>1</v>
      </c>
      <c r="J23" s="125">
        <v>0</v>
      </c>
      <c r="K23" s="125" t="s">
        <v>1</v>
      </c>
      <c r="L23" s="125">
        <v>375</v>
      </c>
      <c r="M23" s="126"/>
      <c r="N23" s="125" t="s">
        <v>1</v>
      </c>
      <c r="O23" s="125" t="s">
        <v>1</v>
      </c>
      <c r="P23" s="125" t="s">
        <v>1</v>
      </c>
      <c r="Q23" s="126"/>
      <c r="R23" s="127" t="s">
        <v>1</v>
      </c>
      <c r="S23" s="127" t="s">
        <v>1</v>
      </c>
      <c r="T23" s="127" t="s">
        <v>1</v>
      </c>
      <c r="U23" s="127" t="s">
        <v>1</v>
      </c>
      <c r="V23" s="127" t="s">
        <v>1</v>
      </c>
      <c r="X23" s="127"/>
      <c r="Y23" s="126"/>
      <c r="Z23" s="125" t="s">
        <v>1</v>
      </c>
      <c r="AA23" s="125" t="s">
        <v>1</v>
      </c>
      <c r="AB23" s="125" t="s">
        <v>1</v>
      </c>
      <c r="AC23" s="126"/>
      <c r="AD23" s="127" t="s">
        <v>1</v>
      </c>
      <c r="AE23" s="127" t="s">
        <v>1</v>
      </c>
      <c r="AF23" s="127" t="s">
        <v>1</v>
      </c>
      <c r="AG23" s="126"/>
      <c r="AH23" s="2029" t="s">
        <v>504</v>
      </c>
      <c r="AI23" s="2029" t="s">
        <v>504</v>
      </c>
      <c r="AK23" s="362" t="s">
        <v>1899</v>
      </c>
      <c r="AL23" s="122" t="s">
        <v>1900</v>
      </c>
      <c r="AM23" s="122" t="s">
        <v>1901</v>
      </c>
    </row>
    <row r="24" spans="2:39" s="122" customFormat="1" ht="12.75" customHeight="1">
      <c r="B24" s="121" t="s">
        <v>508</v>
      </c>
      <c r="C24" s="122" t="s">
        <v>508</v>
      </c>
      <c r="D24" s="122" t="s">
        <v>508</v>
      </c>
      <c r="E24" s="122" t="s">
        <v>1</v>
      </c>
      <c r="F24" s="123" t="e">
        <v>#VALUE!</v>
      </c>
      <c r="G24" s="124" t="s">
        <v>508</v>
      </c>
      <c r="I24" s="125" t="s">
        <v>508</v>
      </c>
      <c r="J24" s="125" t="e">
        <v>#VALUE!</v>
      </c>
      <c r="K24" s="125" t="s">
        <v>508</v>
      </c>
      <c r="L24" s="125" t="s">
        <v>508</v>
      </c>
      <c r="M24" s="126"/>
      <c r="N24" s="125" t="s">
        <v>508</v>
      </c>
      <c r="O24" s="125" t="s">
        <v>508</v>
      </c>
      <c r="P24" s="125" t="s">
        <v>508</v>
      </c>
      <c r="Q24" s="126"/>
      <c r="R24" s="127" t="s">
        <v>1</v>
      </c>
      <c r="S24" s="127" t="s">
        <v>1</v>
      </c>
      <c r="T24" s="127" t="s">
        <v>1</v>
      </c>
      <c r="U24" s="127" t="s">
        <v>508</v>
      </c>
      <c r="V24" s="127" t="s">
        <v>508</v>
      </c>
      <c r="X24" s="127"/>
      <c r="Y24" s="126"/>
      <c r="Z24" s="125" t="s">
        <v>508</v>
      </c>
      <c r="AA24" s="125" t="s">
        <v>508</v>
      </c>
      <c r="AB24" s="125" t="s">
        <v>508</v>
      </c>
      <c r="AC24" s="126"/>
      <c r="AD24" s="127" t="s">
        <v>1</v>
      </c>
      <c r="AE24" s="127" t="s">
        <v>1</v>
      </c>
      <c r="AF24" s="127" t="s">
        <v>1</v>
      </c>
      <c r="AG24" s="126"/>
      <c r="AH24" s="128" t="e">
        <v>#VALUE!</v>
      </c>
      <c r="AI24" s="128" t="e">
        <v>#VALUE!</v>
      </c>
      <c r="AK24" s="362">
        <v>0</v>
      </c>
      <c r="AL24" s="122" t="s">
        <v>1</v>
      </c>
    </row>
    <row r="25" spans="2:39" s="122" customFormat="1" ht="12.75" customHeight="1">
      <c r="B25" s="121" t="s">
        <v>508</v>
      </c>
      <c r="C25" s="122" t="s">
        <v>508</v>
      </c>
      <c r="D25" s="122" t="s">
        <v>508</v>
      </c>
      <c r="E25" s="122" t="s">
        <v>1</v>
      </c>
      <c r="F25" s="123" t="e">
        <v>#VALUE!</v>
      </c>
      <c r="G25" s="124" t="s">
        <v>508</v>
      </c>
      <c r="I25" s="125" t="s">
        <v>508</v>
      </c>
      <c r="J25" s="125" t="e">
        <v>#VALUE!</v>
      </c>
      <c r="K25" s="125" t="s">
        <v>508</v>
      </c>
      <c r="L25" s="125" t="s">
        <v>508</v>
      </c>
      <c r="M25" s="126"/>
      <c r="N25" s="125" t="s">
        <v>508</v>
      </c>
      <c r="O25" s="125" t="s">
        <v>508</v>
      </c>
      <c r="P25" s="125" t="s">
        <v>508</v>
      </c>
      <c r="Q25" s="126"/>
      <c r="R25" s="127" t="s">
        <v>1</v>
      </c>
      <c r="S25" s="127" t="s">
        <v>1</v>
      </c>
      <c r="T25" s="127" t="s">
        <v>1</v>
      </c>
      <c r="U25" s="127" t="s">
        <v>508</v>
      </c>
      <c r="V25" s="127" t="s">
        <v>508</v>
      </c>
      <c r="X25" s="127"/>
      <c r="Y25" s="126"/>
      <c r="Z25" s="125" t="s">
        <v>508</v>
      </c>
      <c r="AA25" s="125" t="s">
        <v>508</v>
      </c>
      <c r="AB25" s="125" t="s">
        <v>508</v>
      </c>
      <c r="AC25" s="126"/>
      <c r="AD25" s="127" t="s">
        <v>1</v>
      </c>
      <c r="AE25" s="127" t="s">
        <v>1</v>
      </c>
      <c r="AF25" s="127" t="s">
        <v>1</v>
      </c>
      <c r="AG25" s="126"/>
      <c r="AH25" s="128" t="e">
        <v>#VALUE!</v>
      </c>
      <c r="AI25" s="128" t="e">
        <v>#VALUE!</v>
      </c>
      <c r="AK25" s="362">
        <v>0</v>
      </c>
      <c r="AL25" s="122" t="s">
        <v>1</v>
      </c>
    </row>
    <row r="26" spans="2:39" s="122" customFormat="1" ht="12.75" customHeight="1">
      <c r="B26" s="121" t="s">
        <v>508</v>
      </c>
      <c r="C26" s="122" t="s">
        <v>508</v>
      </c>
      <c r="D26" s="122" t="s">
        <v>508</v>
      </c>
      <c r="E26" s="122" t="s">
        <v>1</v>
      </c>
      <c r="F26" s="123" t="e">
        <v>#VALUE!</v>
      </c>
      <c r="G26" s="124" t="s">
        <v>508</v>
      </c>
      <c r="I26" s="125" t="s">
        <v>508</v>
      </c>
      <c r="J26" s="125" t="e">
        <v>#VALUE!</v>
      </c>
      <c r="K26" s="125" t="s">
        <v>508</v>
      </c>
      <c r="L26" s="125" t="s">
        <v>508</v>
      </c>
      <c r="M26" s="126"/>
      <c r="N26" s="125" t="s">
        <v>508</v>
      </c>
      <c r="O26" s="125" t="s">
        <v>508</v>
      </c>
      <c r="P26" s="125" t="s">
        <v>508</v>
      </c>
      <c r="Q26" s="126"/>
      <c r="R26" s="127" t="s">
        <v>1</v>
      </c>
      <c r="S26" s="127" t="s">
        <v>1</v>
      </c>
      <c r="T26" s="127" t="s">
        <v>1</v>
      </c>
      <c r="U26" s="127" t="s">
        <v>508</v>
      </c>
      <c r="V26" s="127" t="s">
        <v>508</v>
      </c>
      <c r="X26" s="127"/>
      <c r="Y26" s="126"/>
      <c r="Z26" s="125" t="s">
        <v>508</v>
      </c>
      <c r="AA26" s="125" t="s">
        <v>508</v>
      </c>
      <c r="AB26" s="125" t="s">
        <v>508</v>
      </c>
      <c r="AC26" s="126"/>
      <c r="AD26" s="127" t="s">
        <v>1</v>
      </c>
      <c r="AE26" s="127" t="s">
        <v>1</v>
      </c>
      <c r="AF26" s="127" t="s">
        <v>1</v>
      </c>
      <c r="AG26" s="126"/>
      <c r="AH26" s="128" t="e">
        <v>#VALUE!</v>
      </c>
      <c r="AI26" s="128" t="e">
        <v>#VALUE!</v>
      </c>
      <c r="AK26" s="362">
        <v>0</v>
      </c>
      <c r="AL26" s="122" t="s">
        <v>1</v>
      </c>
    </row>
    <row r="27" spans="2:39" s="122" customFormat="1" ht="12.75" customHeight="1">
      <c r="B27" s="121" t="s">
        <v>508</v>
      </c>
      <c r="C27" s="122" t="s">
        <v>508</v>
      </c>
      <c r="D27" s="122" t="s">
        <v>508</v>
      </c>
      <c r="E27" s="122" t="s">
        <v>1</v>
      </c>
      <c r="F27" s="123" t="e">
        <v>#VALUE!</v>
      </c>
      <c r="G27" s="124" t="s">
        <v>508</v>
      </c>
      <c r="I27" s="125" t="s">
        <v>508</v>
      </c>
      <c r="J27" s="125" t="e">
        <v>#VALUE!</v>
      </c>
      <c r="K27" s="125" t="s">
        <v>508</v>
      </c>
      <c r="L27" s="125" t="s">
        <v>508</v>
      </c>
      <c r="M27" s="126"/>
      <c r="N27" s="125" t="s">
        <v>508</v>
      </c>
      <c r="O27" s="125" t="s">
        <v>508</v>
      </c>
      <c r="P27" s="125" t="s">
        <v>508</v>
      </c>
      <c r="Q27" s="126"/>
      <c r="R27" s="127" t="s">
        <v>1</v>
      </c>
      <c r="S27" s="127" t="s">
        <v>1</v>
      </c>
      <c r="T27" s="127" t="s">
        <v>1</v>
      </c>
      <c r="U27" s="127" t="s">
        <v>508</v>
      </c>
      <c r="V27" s="127" t="s">
        <v>508</v>
      </c>
      <c r="X27" s="127"/>
      <c r="Y27" s="126"/>
      <c r="Z27" s="125" t="s">
        <v>508</v>
      </c>
      <c r="AA27" s="125" t="s">
        <v>508</v>
      </c>
      <c r="AB27" s="125" t="s">
        <v>508</v>
      </c>
      <c r="AC27" s="126"/>
      <c r="AD27" s="127" t="s">
        <v>1</v>
      </c>
      <c r="AE27" s="127" t="s">
        <v>1</v>
      </c>
      <c r="AF27" s="127" t="s">
        <v>1</v>
      </c>
      <c r="AG27" s="126"/>
      <c r="AH27" s="128" t="e">
        <v>#VALUE!</v>
      </c>
      <c r="AI27" s="128" t="e">
        <v>#VALUE!</v>
      </c>
      <c r="AK27" s="362">
        <v>0</v>
      </c>
      <c r="AL27" s="122" t="s">
        <v>1</v>
      </c>
    </row>
    <row r="28" spans="2:39" s="122" customFormat="1" ht="12.75" customHeight="1">
      <c r="B28" s="121" t="s">
        <v>508</v>
      </c>
      <c r="C28" s="122" t="s">
        <v>508</v>
      </c>
      <c r="D28" s="122" t="s">
        <v>508</v>
      </c>
      <c r="E28" s="122" t="s">
        <v>1</v>
      </c>
      <c r="F28" s="123" t="e">
        <v>#VALUE!</v>
      </c>
      <c r="G28" s="124" t="s">
        <v>508</v>
      </c>
      <c r="I28" s="125" t="s">
        <v>508</v>
      </c>
      <c r="J28" s="125" t="e">
        <v>#VALUE!</v>
      </c>
      <c r="K28" s="125" t="s">
        <v>508</v>
      </c>
      <c r="L28" s="125" t="s">
        <v>508</v>
      </c>
      <c r="M28" s="126"/>
      <c r="N28" s="125" t="s">
        <v>508</v>
      </c>
      <c r="O28" s="125" t="s">
        <v>508</v>
      </c>
      <c r="P28" s="125" t="s">
        <v>508</v>
      </c>
      <c r="Q28" s="126"/>
      <c r="R28" s="127" t="s">
        <v>1</v>
      </c>
      <c r="S28" s="127" t="s">
        <v>1</v>
      </c>
      <c r="T28" s="127" t="s">
        <v>1</v>
      </c>
      <c r="U28" s="127" t="s">
        <v>508</v>
      </c>
      <c r="V28" s="127" t="s">
        <v>508</v>
      </c>
      <c r="X28" s="127"/>
      <c r="Y28" s="126"/>
      <c r="Z28" s="125" t="s">
        <v>508</v>
      </c>
      <c r="AA28" s="125" t="s">
        <v>508</v>
      </c>
      <c r="AB28" s="125" t="s">
        <v>508</v>
      </c>
      <c r="AC28" s="126"/>
      <c r="AD28" s="127" t="s">
        <v>1</v>
      </c>
      <c r="AE28" s="127" t="s">
        <v>1</v>
      </c>
      <c r="AF28" s="127" t="s">
        <v>1</v>
      </c>
      <c r="AG28" s="126"/>
      <c r="AH28" s="128" t="e">
        <v>#VALUE!</v>
      </c>
      <c r="AI28" s="128" t="e">
        <v>#VALUE!</v>
      </c>
      <c r="AK28" s="362">
        <v>0</v>
      </c>
      <c r="AL28" s="122" t="s">
        <v>1</v>
      </c>
    </row>
    <row r="29" spans="2:39" s="122" customFormat="1" ht="12.75" customHeight="1">
      <c r="B29" s="121" t="s">
        <v>508</v>
      </c>
      <c r="C29" s="122" t="s">
        <v>508</v>
      </c>
      <c r="D29" s="122" t="s">
        <v>508</v>
      </c>
      <c r="E29" s="122" t="s">
        <v>1</v>
      </c>
      <c r="F29" s="123" t="e">
        <v>#VALUE!</v>
      </c>
      <c r="G29" s="124" t="s">
        <v>508</v>
      </c>
      <c r="I29" s="125" t="s">
        <v>508</v>
      </c>
      <c r="J29" s="125" t="e">
        <v>#VALUE!</v>
      </c>
      <c r="K29" s="125" t="s">
        <v>508</v>
      </c>
      <c r="L29" s="125" t="s">
        <v>508</v>
      </c>
      <c r="M29" s="126"/>
      <c r="N29" s="125" t="s">
        <v>508</v>
      </c>
      <c r="O29" s="125" t="s">
        <v>508</v>
      </c>
      <c r="P29" s="125" t="s">
        <v>508</v>
      </c>
      <c r="Q29" s="126"/>
      <c r="R29" s="127" t="s">
        <v>1</v>
      </c>
      <c r="S29" s="127" t="s">
        <v>1</v>
      </c>
      <c r="T29" s="127" t="s">
        <v>1</v>
      </c>
      <c r="U29" s="127" t="s">
        <v>508</v>
      </c>
      <c r="V29" s="127" t="s">
        <v>508</v>
      </c>
      <c r="X29" s="127"/>
      <c r="Y29" s="126"/>
      <c r="Z29" s="125" t="s">
        <v>508</v>
      </c>
      <c r="AA29" s="125" t="s">
        <v>508</v>
      </c>
      <c r="AB29" s="125" t="s">
        <v>508</v>
      </c>
      <c r="AC29" s="126"/>
      <c r="AD29" s="127" t="s">
        <v>1</v>
      </c>
      <c r="AE29" s="127" t="s">
        <v>1</v>
      </c>
      <c r="AF29" s="127" t="s">
        <v>1</v>
      </c>
      <c r="AG29" s="126"/>
      <c r="AH29" s="128" t="e">
        <v>#VALUE!</v>
      </c>
      <c r="AI29" s="128" t="e">
        <v>#VALUE!</v>
      </c>
      <c r="AK29" s="362">
        <v>0</v>
      </c>
      <c r="AL29" s="122" t="s">
        <v>1</v>
      </c>
    </row>
    <row r="30" spans="2:39" s="122" customFormat="1" ht="12.75" customHeight="1">
      <c r="B30" s="121" t="s">
        <v>508</v>
      </c>
      <c r="C30" s="122" t="s">
        <v>508</v>
      </c>
      <c r="D30" s="122" t="s">
        <v>508</v>
      </c>
      <c r="E30" s="122" t="s">
        <v>1</v>
      </c>
      <c r="F30" s="123" t="e">
        <v>#VALUE!</v>
      </c>
      <c r="G30" s="124" t="s">
        <v>508</v>
      </c>
      <c r="I30" s="125" t="s">
        <v>508</v>
      </c>
      <c r="J30" s="125" t="e">
        <v>#VALUE!</v>
      </c>
      <c r="K30" s="125" t="s">
        <v>508</v>
      </c>
      <c r="L30" s="125" t="s">
        <v>508</v>
      </c>
      <c r="M30" s="126"/>
      <c r="N30" s="125" t="s">
        <v>508</v>
      </c>
      <c r="O30" s="125" t="s">
        <v>508</v>
      </c>
      <c r="P30" s="125" t="s">
        <v>508</v>
      </c>
      <c r="Q30" s="126"/>
      <c r="R30" s="127" t="s">
        <v>1</v>
      </c>
      <c r="S30" s="127" t="s">
        <v>1</v>
      </c>
      <c r="T30" s="127" t="s">
        <v>1</v>
      </c>
      <c r="U30" s="127" t="s">
        <v>508</v>
      </c>
      <c r="V30" s="127" t="s">
        <v>508</v>
      </c>
      <c r="X30" s="127"/>
      <c r="Y30" s="126"/>
      <c r="Z30" s="125" t="s">
        <v>508</v>
      </c>
      <c r="AA30" s="125" t="s">
        <v>508</v>
      </c>
      <c r="AB30" s="125" t="s">
        <v>508</v>
      </c>
      <c r="AC30" s="126"/>
      <c r="AD30" s="127" t="s">
        <v>1</v>
      </c>
      <c r="AE30" s="127" t="s">
        <v>1</v>
      </c>
      <c r="AF30" s="127" t="s">
        <v>1</v>
      </c>
      <c r="AG30" s="126"/>
      <c r="AH30" s="128" t="e">
        <v>#VALUE!</v>
      </c>
      <c r="AI30" s="128" t="e">
        <v>#VALUE!</v>
      </c>
      <c r="AK30" s="362">
        <v>0</v>
      </c>
      <c r="AL30" s="122" t="s">
        <v>1</v>
      </c>
    </row>
    <row r="31" spans="2:39" s="122" customFormat="1" ht="12.75" customHeight="1">
      <c r="B31" s="121" t="s">
        <v>508</v>
      </c>
      <c r="C31" s="122" t="s">
        <v>508</v>
      </c>
      <c r="D31" s="122" t="s">
        <v>508</v>
      </c>
      <c r="E31" s="122" t="s">
        <v>1</v>
      </c>
      <c r="F31" s="123" t="e">
        <v>#VALUE!</v>
      </c>
      <c r="G31" s="124" t="s">
        <v>508</v>
      </c>
      <c r="I31" s="125" t="s">
        <v>508</v>
      </c>
      <c r="J31" s="125" t="e">
        <v>#VALUE!</v>
      </c>
      <c r="K31" s="125" t="s">
        <v>508</v>
      </c>
      <c r="L31" s="125" t="s">
        <v>508</v>
      </c>
      <c r="M31" s="126"/>
      <c r="N31" s="125" t="s">
        <v>508</v>
      </c>
      <c r="O31" s="125" t="s">
        <v>508</v>
      </c>
      <c r="P31" s="125" t="s">
        <v>508</v>
      </c>
      <c r="Q31" s="126"/>
      <c r="R31" s="127" t="s">
        <v>1</v>
      </c>
      <c r="S31" s="127" t="s">
        <v>1</v>
      </c>
      <c r="T31" s="127" t="s">
        <v>1</v>
      </c>
      <c r="U31" s="127" t="s">
        <v>508</v>
      </c>
      <c r="V31" s="127" t="s">
        <v>508</v>
      </c>
      <c r="X31" s="127"/>
      <c r="Y31" s="126"/>
      <c r="Z31" s="125" t="s">
        <v>508</v>
      </c>
      <c r="AA31" s="125" t="s">
        <v>508</v>
      </c>
      <c r="AB31" s="125" t="s">
        <v>508</v>
      </c>
      <c r="AC31" s="126"/>
      <c r="AD31" s="127" t="s">
        <v>1</v>
      </c>
      <c r="AE31" s="127" t="s">
        <v>1</v>
      </c>
      <c r="AF31" s="127" t="s">
        <v>1</v>
      </c>
      <c r="AG31" s="126"/>
      <c r="AH31" s="128" t="e">
        <v>#VALUE!</v>
      </c>
      <c r="AI31" s="128" t="e">
        <v>#VALUE!</v>
      </c>
      <c r="AK31" s="362">
        <v>0</v>
      </c>
      <c r="AL31" s="122" t="s">
        <v>1</v>
      </c>
    </row>
    <row r="32" spans="2:39" s="122" customFormat="1" ht="12.75" customHeight="1">
      <c r="B32" s="121" t="s">
        <v>508</v>
      </c>
      <c r="C32" s="122" t="s">
        <v>508</v>
      </c>
      <c r="D32" s="122" t="s">
        <v>508</v>
      </c>
      <c r="E32" s="122" t="s">
        <v>1</v>
      </c>
      <c r="F32" s="123" t="e">
        <v>#VALUE!</v>
      </c>
      <c r="G32" s="124" t="s">
        <v>508</v>
      </c>
      <c r="I32" s="125" t="s">
        <v>508</v>
      </c>
      <c r="J32" s="125" t="e">
        <v>#VALUE!</v>
      </c>
      <c r="K32" s="125" t="s">
        <v>508</v>
      </c>
      <c r="L32" s="125" t="s">
        <v>508</v>
      </c>
      <c r="M32" s="126"/>
      <c r="N32" s="125" t="s">
        <v>508</v>
      </c>
      <c r="O32" s="125" t="s">
        <v>508</v>
      </c>
      <c r="P32" s="125" t="s">
        <v>508</v>
      </c>
      <c r="Q32" s="126"/>
      <c r="R32" s="127" t="s">
        <v>1</v>
      </c>
      <c r="S32" s="127" t="s">
        <v>1</v>
      </c>
      <c r="T32" s="127" t="s">
        <v>1</v>
      </c>
      <c r="U32" s="127" t="s">
        <v>508</v>
      </c>
      <c r="V32" s="127" t="s">
        <v>508</v>
      </c>
      <c r="X32" s="127"/>
      <c r="Y32" s="126"/>
      <c r="Z32" s="125" t="s">
        <v>508</v>
      </c>
      <c r="AA32" s="125" t="s">
        <v>508</v>
      </c>
      <c r="AB32" s="125" t="s">
        <v>508</v>
      </c>
      <c r="AC32" s="126"/>
      <c r="AD32" s="127" t="s">
        <v>1</v>
      </c>
      <c r="AE32" s="127" t="s">
        <v>1</v>
      </c>
      <c r="AF32" s="127" t="s">
        <v>1</v>
      </c>
      <c r="AG32" s="126"/>
      <c r="AH32" s="128" t="e">
        <v>#VALUE!</v>
      </c>
      <c r="AI32" s="128" t="e">
        <v>#VALUE!</v>
      </c>
      <c r="AK32" s="362">
        <v>0</v>
      </c>
      <c r="AL32" s="122" t="s">
        <v>1</v>
      </c>
    </row>
    <row r="33" spans="2:38" s="122" customFormat="1" ht="12.75" customHeight="1">
      <c r="B33" s="121" t="s">
        <v>508</v>
      </c>
      <c r="C33" s="122" t="s">
        <v>508</v>
      </c>
      <c r="D33" s="122" t="s">
        <v>508</v>
      </c>
      <c r="E33" s="122" t="s">
        <v>1</v>
      </c>
      <c r="F33" s="123" t="e">
        <v>#VALUE!</v>
      </c>
      <c r="G33" s="124" t="s">
        <v>508</v>
      </c>
      <c r="I33" s="125" t="s">
        <v>508</v>
      </c>
      <c r="J33" s="125" t="e">
        <v>#VALUE!</v>
      </c>
      <c r="K33" s="125" t="s">
        <v>508</v>
      </c>
      <c r="L33" s="125" t="s">
        <v>508</v>
      </c>
      <c r="M33" s="126"/>
      <c r="N33" s="125" t="s">
        <v>508</v>
      </c>
      <c r="O33" s="125" t="s">
        <v>508</v>
      </c>
      <c r="P33" s="125" t="s">
        <v>508</v>
      </c>
      <c r="Q33" s="126"/>
      <c r="R33" s="127" t="s">
        <v>1</v>
      </c>
      <c r="S33" s="127" t="s">
        <v>1</v>
      </c>
      <c r="T33" s="127" t="s">
        <v>1</v>
      </c>
      <c r="U33" s="127" t="s">
        <v>508</v>
      </c>
      <c r="V33" s="127" t="s">
        <v>508</v>
      </c>
      <c r="X33" s="127"/>
      <c r="Y33" s="126"/>
      <c r="Z33" s="125" t="s">
        <v>508</v>
      </c>
      <c r="AA33" s="125" t="s">
        <v>508</v>
      </c>
      <c r="AB33" s="125" t="s">
        <v>508</v>
      </c>
      <c r="AC33" s="126"/>
      <c r="AD33" s="127" t="s">
        <v>1</v>
      </c>
      <c r="AE33" s="127" t="s">
        <v>1</v>
      </c>
      <c r="AF33" s="127" t="s">
        <v>1</v>
      </c>
      <c r="AG33" s="126"/>
      <c r="AH33" s="128" t="e">
        <v>#VALUE!</v>
      </c>
      <c r="AI33" s="128" t="e">
        <v>#VALUE!</v>
      </c>
      <c r="AK33" s="362">
        <v>0</v>
      </c>
      <c r="AL33" s="122" t="s">
        <v>1</v>
      </c>
    </row>
    <row r="34" spans="2:38" s="122" customFormat="1" ht="12.75" customHeight="1">
      <c r="B34" s="121" t="s">
        <v>508</v>
      </c>
      <c r="C34" s="122" t="s">
        <v>508</v>
      </c>
      <c r="D34" s="122" t="s">
        <v>508</v>
      </c>
      <c r="E34" s="122" t="s">
        <v>1</v>
      </c>
      <c r="F34" s="123" t="e">
        <v>#VALUE!</v>
      </c>
      <c r="G34" s="124" t="s">
        <v>508</v>
      </c>
      <c r="I34" s="125" t="s">
        <v>508</v>
      </c>
      <c r="J34" s="125" t="e">
        <v>#VALUE!</v>
      </c>
      <c r="K34" s="125" t="s">
        <v>508</v>
      </c>
      <c r="L34" s="125" t="s">
        <v>508</v>
      </c>
      <c r="M34" s="126"/>
      <c r="N34" s="125" t="s">
        <v>508</v>
      </c>
      <c r="O34" s="125" t="s">
        <v>508</v>
      </c>
      <c r="P34" s="125" t="s">
        <v>508</v>
      </c>
      <c r="Q34" s="126"/>
      <c r="R34" s="127" t="s">
        <v>1</v>
      </c>
      <c r="S34" s="127" t="s">
        <v>1</v>
      </c>
      <c r="T34" s="127" t="s">
        <v>1</v>
      </c>
      <c r="U34" s="127" t="s">
        <v>508</v>
      </c>
      <c r="V34" s="127" t="s">
        <v>508</v>
      </c>
      <c r="X34" s="127"/>
      <c r="Y34" s="126"/>
      <c r="Z34" s="125" t="s">
        <v>508</v>
      </c>
      <c r="AA34" s="125" t="s">
        <v>508</v>
      </c>
      <c r="AB34" s="125" t="s">
        <v>508</v>
      </c>
      <c r="AC34" s="126"/>
      <c r="AD34" s="127" t="s">
        <v>1</v>
      </c>
      <c r="AE34" s="127" t="s">
        <v>1</v>
      </c>
      <c r="AF34" s="127" t="s">
        <v>1</v>
      </c>
      <c r="AG34" s="126"/>
      <c r="AH34" s="128" t="e">
        <v>#VALUE!</v>
      </c>
      <c r="AI34" s="128" t="e">
        <v>#VALUE!</v>
      </c>
      <c r="AK34" s="362">
        <v>0</v>
      </c>
      <c r="AL34" s="122" t="s">
        <v>1</v>
      </c>
    </row>
    <row r="35" spans="2:38" s="122" customFormat="1" ht="12.75" customHeight="1">
      <c r="B35" s="121" t="s">
        <v>508</v>
      </c>
      <c r="C35" s="122" t="s">
        <v>508</v>
      </c>
      <c r="D35" s="122" t="s">
        <v>508</v>
      </c>
      <c r="E35" s="122" t="s">
        <v>1</v>
      </c>
      <c r="F35" s="123" t="e">
        <v>#VALUE!</v>
      </c>
      <c r="G35" s="124" t="s">
        <v>508</v>
      </c>
      <c r="I35" s="125" t="s">
        <v>508</v>
      </c>
      <c r="J35" s="125" t="e">
        <v>#VALUE!</v>
      </c>
      <c r="K35" s="125" t="s">
        <v>508</v>
      </c>
      <c r="L35" s="125" t="s">
        <v>508</v>
      </c>
      <c r="M35" s="126"/>
      <c r="N35" s="125" t="s">
        <v>508</v>
      </c>
      <c r="O35" s="125" t="s">
        <v>508</v>
      </c>
      <c r="P35" s="125" t="s">
        <v>508</v>
      </c>
      <c r="Q35" s="126"/>
      <c r="R35" s="127" t="s">
        <v>1</v>
      </c>
      <c r="S35" s="127" t="s">
        <v>1</v>
      </c>
      <c r="T35" s="127" t="s">
        <v>1</v>
      </c>
      <c r="U35" s="127" t="s">
        <v>508</v>
      </c>
      <c r="V35" s="127" t="s">
        <v>508</v>
      </c>
      <c r="X35" s="127"/>
      <c r="Y35" s="126"/>
      <c r="Z35" s="125" t="s">
        <v>508</v>
      </c>
      <c r="AA35" s="125" t="s">
        <v>508</v>
      </c>
      <c r="AB35" s="125" t="s">
        <v>508</v>
      </c>
      <c r="AC35" s="126"/>
      <c r="AD35" s="127" t="s">
        <v>1</v>
      </c>
      <c r="AE35" s="127" t="s">
        <v>1</v>
      </c>
      <c r="AF35" s="127" t="s">
        <v>1</v>
      </c>
      <c r="AG35" s="126"/>
      <c r="AH35" s="128" t="e">
        <v>#VALUE!</v>
      </c>
      <c r="AI35" s="128" t="e">
        <v>#VALUE!</v>
      </c>
      <c r="AK35" s="362">
        <v>0</v>
      </c>
      <c r="AL35" s="122" t="s">
        <v>1</v>
      </c>
    </row>
    <row r="36" spans="2:38" s="122" customFormat="1" ht="12.75" customHeight="1">
      <c r="B36" s="121" t="s">
        <v>508</v>
      </c>
      <c r="C36" s="122" t="s">
        <v>508</v>
      </c>
      <c r="D36" s="122" t="s">
        <v>508</v>
      </c>
      <c r="E36" s="122" t="s">
        <v>1</v>
      </c>
      <c r="F36" s="123" t="e">
        <v>#VALUE!</v>
      </c>
      <c r="G36" s="124" t="s">
        <v>508</v>
      </c>
      <c r="I36" s="125" t="s">
        <v>508</v>
      </c>
      <c r="J36" s="125" t="e">
        <v>#VALUE!</v>
      </c>
      <c r="K36" s="125" t="s">
        <v>508</v>
      </c>
      <c r="L36" s="125" t="s">
        <v>508</v>
      </c>
      <c r="M36" s="126"/>
      <c r="N36" s="125" t="s">
        <v>508</v>
      </c>
      <c r="O36" s="125" t="s">
        <v>508</v>
      </c>
      <c r="P36" s="125" t="s">
        <v>508</v>
      </c>
      <c r="Q36" s="126"/>
      <c r="R36" s="127" t="s">
        <v>1</v>
      </c>
      <c r="S36" s="127" t="s">
        <v>1</v>
      </c>
      <c r="T36" s="127" t="s">
        <v>1</v>
      </c>
      <c r="U36" s="127" t="s">
        <v>508</v>
      </c>
      <c r="V36" s="127" t="s">
        <v>508</v>
      </c>
      <c r="X36" s="127"/>
      <c r="Y36" s="126"/>
      <c r="Z36" s="125" t="s">
        <v>508</v>
      </c>
      <c r="AA36" s="125" t="s">
        <v>508</v>
      </c>
      <c r="AB36" s="125" t="s">
        <v>508</v>
      </c>
      <c r="AC36" s="126"/>
      <c r="AD36" s="127" t="s">
        <v>1</v>
      </c>
      <c r="AE36" s="127" t="s">
        <v>1</v>
      </c>
      <c r="AF36" s="127" t="s">
        <v>1</v>
      </c>
      <c r="AG36" s="126"/>
      <c r="AH36" s="128" t="e">
        <v>#VALUE!</v>
      </c>
      <c r="AI36" s="128" t="e">
        <v>#VALUE!</v>
      </c>
      <c r="AK36" s="362">
        <v>0</v>
      </c>
      <c r="AL36" s="122" t="s">
        <v>1</v>
      </c>
    </row>
    <row r="37" spans="2:38" s="122" customFormat="1" ht="12.75" customHeight="1">
      <c r="B37" s="121" t="s">
        <v>508</v>
      </c>
      <c r="C37" s="122" t="s">
        <v>508</v>
      </c>
      <c r="D37" s="122" t="s">
        <v>508</v>
      </c>
      <c r="E37" s="122" t="s">
        <v>1</v>
      </c>
      <c r="F37" s="123" t="e">
        <v>#VALUE!</v>
      </c>
      <c r="G37" s="124" t="s">
        <v>508</v>
      </c>
      <c r="I37" s="125" t="s">
        <v>508</v>
      </c>
      <c r="J37" s="125" t="e">
        <v>#VALUE!</v>
      </c>
      <c r="K37" s="125" t="s">
        <v>508</v>
      </c>
      <c r="L37" s="125" t="s">
        <v>508</v>
      </c>
      <c r="M37" s="126"/>
      <c r="N37" s="125" t="s">
        <v>508</v>
      </c>
      <c r="O37" s="125" t="s">
        <v>508</v>
      </c>
      <c r="P37" s="125" t="s">
        <v>508</v>
      </c>
      <c r="Q37" s="126"/>
      <c r="R37" s="127" t="s">
        <v>1</v>
      </c>
      <c r="S37" s="127" t="s">
        <v>1</v>
      </c>
      <c r="T37" s="127" t="s">
        <v>1</v>
      </c>
      <c r="U37" s="127" t="s">
        <v>508</v>
      </c>
      <c r="V37" s="127" t="s">
        <v>508</v>
      </c>
      <c r="X37" s="127"/>
      <c r="Y37" s="126"/>
      <c r="Z37" s="125" t="s">
        <v>508</v>
      </c>
      <c r="AA37" s="125" t="s">
        <v>508</v>
      </c>
      <c r="AB37" s="125" t="s">
        <v>508</v>
      </c>
      <c r="AC37" s="126"/>
      <c r="AD37" s="127" t="s">
        <v>1</v>
      </c>
      <c r="AE37" s="127" t="s">
        <v>1</v>
      </c>
      <c r="AF37" s="127" t="s">
        <v>1</v>
      </c>
      <c r="AG37" s="126"/>
      <c r="AH37" s="128" t="e">
        <v>#VALUE!</v>
      </c>
      <c r="AI37" s="128" t="e">
        <v>#VALUE!</v>
      </c>
      <c r="AK37" s="362">
        <v>0</v>
      </c>
      <c r="AL37" s="122" t="s">
        <v>1</v>
      </c>
    </row>
    <row r="38" spans="2:38" s="122" customFormat="1" ht="12.75" customHeight="1">
      <c r="B38" s="121" t="s">
        <v>508</v>
      </c>
      <c r="C38" s="122" t="s">
        <v>508</v>
      </c>
      <c r="D38" s="122" t="s">
        <v>508</v>
      </c>
      <c r="E38" s="122" t="s">
        <v>1</v>
      </c>
      <c r="F38" s="123" t="e">
        <v>#VALUE!</v>
      </c>
      <c r="G38" s="124" t="s">
        <v>508</v>
      </c>
      <c r="I38" s="125" t="s">
        <v>508</v>
      </c>
      <c r="J38" s="125" t="e">
        <v>#VALUE!</v>
      </c>
      <c r="K38" s="125" t="s">
        <v>508</v>
      </c>
      <c r="L38" s="125" t="s">
        <v>508</v>
      </c>
      <c r="M38" s="126"/>
      <c r="N38" s="125" t="s">
        <v>508</v>
      </c>
      <c r="O38" s="125" t="s">
        <v>508</v>
      </c>
      <c r="P38" s="125" t="s">
        <v>508</v>
      </c>
      <c r="Q38" s="126"/>
      <c r="R38" s="127" t="s">
        <v>1</v>
      </c>
      <c r="S38" s="127" t="s">
        <v>1</v>
      </c>
      <c r="T38" s="127" t="s">
        <v>1</v>
      </c>
      <c r="U38" s="127" t="s">
        <v>508</v>
      </c>
      <c r="V38" s="127" t="s">
        <v>508</v>
      </c>
      <c r="X38" s="127"/>
      <c r="Y38" s="126"/>
      <c r="Z38" s="125" t="s">
        <v>508</v>
      </c>
      <c r="AA38" s="125" t="s">
        <v>508</v>
      </c>
      <c r="AB38" s="125" t="s">
        <v>508</v>
      </c>
      <c r="AC38" s="126"/>
      <c r="AD38" s="127" t="s">
        <v>1</v>
      </c>
      <c r="AE38" s="127" t="s">
        <v>1</v>
      </c>
      <c r="AF38" s="127" t="s">
        <v>1</v>
      </c>
      <c r="AG38" s="126"/>
      <c r="AH38" s="128" t="e">
        <v>#VALUE!</v>
      </c>
      <c r="AI38" s="128" t="e">
        <v>#VALUE!</v>
      </c>
      <c r="AK38" s="362">
        <v>0</v>
      </c>
      <c r="AL38" s="122" t="s">
        <v>1</v>
      </c>
    </row>
    <row r="39" spans="2:38" s="122" customFormat="1" ht="12.75" customHeight="1">
      <c r="B39" s="121" t="s">
        <v>508</v>
      </c>
      <c r="C39" s="122" t="s">
        <v>508</v>
      </c>
      <c r="D39" s="122" t="s">
        <v>508</v>
      </c>
      <c r="E39" s="122" t="s">
        <v>1</v>
      </c>
      <c r="F39" s="123" t="e">
        <v>#VALUE!</v>
      </c>
      <c r="G39" s="124" t="s">
        <v>508</v>
      </c>
      <c r="I39" s="125" t="s">
        <v>508</v>
      </c>
      <c r="J39" s="125"/>
      <c r="K39" s="125"/>
      <c r="L39" s="125" t="s">
        <v>508</v>
      </c>
      <c r="M39" s="126"/>
      <c r="N39" s="125" t="s">
        <v>508</v>
      </c>
      <c r="O39" s="125" t="s">
        <v>508</v>
      </c>
      <c r="P39" s="125" t="s">
        <v>508</v>
      </c>
      <c r="Q39" s="126"/>
      <c r="R39" s="127" t="s">
        <v>1</v>
      </c>
      <c r="S39" s="127" t="s">
        <v>1</v>
      </c>
      <c r="T39" s="127" t="s">
        <v>1</v>
      </c>
      <c r="U39" s="127" t="s">
        <v>508</v>
      </c>
      <c r="V39" s="127" t="s">
        <v>508</v>
      </c>
      <c r="X39" s="127"/>
      <c r="Y39" s="126"/>
      <c r="Z39" s="125" t="s">
        <v>508</v>
      </c>
      <c r="AA39" s="125" t="s">
        <v>508</v>
      </c>
      <c r="AB39" s="125" t="s">
        <v>508</v>
      </c>
      <c r="AC39" s="126"/>
      <c r="AD39" s="127" t="s">
        <v>1</v>
      </c>
      <c r="AE39" s="127" t="s">
        <v>1</v>
      </c>
      <c r="AF39" s="127" t="s">
        <v>1</v>
      </c>
      <c r="AG39" s="126"/>
      <c r="AH39" s="128" t="e">
        <v>#VALUE!</v>
      </c>
      <c r="AI39" s="128" t="e">
        <v>#VALUE!</v>
      </c>
      <c r="AK39" s="362">
        <v>0</v>
      </c>
      <c r="AL39" s="122" t="s">
        <v>1</v>
      </c>
    </row>
    <row r="40" spans="2:38" s="122" customFormat="1" ht="12.75" customHeight="1">
      <c r="B40" s="121"/>
      <c r="F40" s="123"/>
      <c r="G40" s="124"/>
      <c r="I40" s="125"/>
      <c r="J40" s="125"/>
      <c r="K40" s="125"/>
      <c r="L40" s="125"/>
      <c r="M40" s="126"/>
      <c r="N40" s="125"/>
      <c r="O40" s="125"/>
      <c r="P40" s="125"/>
      <c r="Q40" s="126"/>
      <c r="R40" s="127"/>
      <c r="S40" s="127"/>
      <c r="T40" s="127"/>
      <c r="U40" s="127"/>
      <c r="V40" s="127"/>
      <c r="X40" s="127"/>
      <c r="Y40" s="126"/>
      <c r="Z40" s="125"/>
      <c r="AA40" s="125"/>
      <c r="AB40" s="125"/>
      <c r="AC40" s="126"/>
      <c r="AD40" s="127"/>
      <c r="AE40" s="127"/>
      <c r="AF40" s="127"/>
      <c r="AG40" s="126"/>
      <c r="AH40" s="128"/>
      <c r="AI40" s="128"/>
      <c r="AK40" s="362"/>
    </row>
    <row r="41" spans="2:38" s="122" customFormat="1" ht="12.75" customHeight="1">
      <c r="B41" s="121"/>
      <c r="F41" s="123"/>
      <c r="G41" s="124"/>
      <c r="I41" s="125"/>
      <c r="J41" s="125"/>
      <c r="K41" s="125"/>
      <c r="L41" s="125"/>
      <c r="M41" s="126"/>
      <c r="N41" s="125"/>
      <c r="O41" s="125"/>
      <c r="P41" s="125"/>
      <c r="Q41" s="126"/>
      <c r="R41" s="127"/>
      <c r="S41" s="127"/>
      <c r="T41" s="127"/>
      <c r="U41" s="127"/>
      <c r="V41" s="127"/>
      <c r="X41" s="127"/>
      <c r="Y41" s="126"/>
      <c r="Z41" s="125"/>
      <c r="AA41" s="125"/>
      <c r="AB41" s="125"/>
      <c r="AC41" s="126"/>
      <c r="AD41" s="127"/>
      <c r="AE41" s="127"/>
      <c r="AF41" s="127"/>
      <c r="AG41" s="126"/>
      <c r="AH41" s="128"/>
      <c r="AI41" s="128"/>
      <c r="AK41" s="362"/>
    </row>
    <row r="42" spans="2:38" s="122" customFormat="1" ht="12.75" customHeight="1">
      <c r="B42" s="121"/>
      <c r="F42" s="123"/>
      <c r="G42" s="124"/>
      <c r="I42" s="125"/>
      <c r="J42" s="125"/>
      <c r="K42" s="125"/>
      <c r="L42" s="125"/>
      <c r="M42" s="126"/>
      <c r="N42" s="125"/>
      <c r="O42" s="125"/>
      <c r="P42" s="125"/>
      <c r="Q42" s="126"/>
      <c r="R42" s="127"/>
      <c r="S42" s="127"/>
      <c r="T42" s="127"/>
      <c r="U42" s="127"/>
      <c r="V42" s="127"/>
      <c r="X42" s="127"/>
      <c r="Y42" s="126"/>
      <c r="Z42" s="125"/>
      <c r="AA42" s="125"/>
      <c r="AB42" s="125"/>
      <c r="AC42" s="126"/>
      <c r="AD42" s="127"/>
      <c r="AE42" s="127"/>
      <c r="AF42" s="127"/>
      <c r="AG42" s="126"/>
      <c r="AH42" s="128"/>
      <c r="AI42" s="128"/>
      <c r="AK42" s="362"/>
    </row>
    <row r="43" spans="2:38" s="122" customFormat="1" ht="12.75" customHeight="1">
      <c r="B43" s="121"/>
      <c r="F43" s="123"/>
      <c r="G43" s="124"/>
      <c r="I43" s="125"/>
      <c r="J43" s="125"/>
      <c r="K43" s="125"/>
      <c r="L43" s="125"/>
      <c r="M43" s="126"/>
      <c r="N43" s="125"/>
      <c r="O43" s="125"/>
      <c r="P43" s="125"/>
      <c r="Q43" s="126"/>
      <c r="R43" s="127"/>
      <c r="S43" s="127"/>
      <c r="T43" s="127"/>
      <c r="U43" s="127"/>
      <c r="V43" s="127"/>
      <c r="X43" s="127"/>
      <c r="Y43" s="126"/>
      <c r="Z43" s="125"/>
      <c r="AA43" s="125"/>
      <c r="AB43" s="125"/>
      <c r="AC43" s="126"/>
      <c r="AD43" s="127"/>
      <c r="AE43" s="127"/>
      <c r="AF43" s="127"/>
      <c r="AG43" s="126"/>
      <c r="AH43" s="128"/>
      <c r="AI43" s="128"/>
      <c r="AK43" s="362"/>
    </row>
    <row r="44" spans="2:38" s="122" customFormat="1" ht="12.75" customHeight="1">
      <c r="B44" s="121"/>
      <c r="F44" s="123"/>
      <c r="G44" s="124"/>
      <c r="I44" s="125"/>
      <c r="J44" s="125"/>
      <c r="K44" s="125"/>
      <c r="L44" s="125"/>
      <c r="M44" s="126"/>
      <c r="N44" s="125"/>
      <c r="O44" s="125"/>
      <c r="P44" s="125"/>
      <c r="Q44" s="126"/>
      <c r="R44" s="127"/>
      <c r="S44" s="127"/>
      <c r="T44" s="127"/>
      <c r="U44" s="127"/>
      <c r="V44" s="127"/>
      <c r="X44" s="310"/>
      <c r="Y44" s="126"/>
      <c r="Z44" s="125"/>
      <c r="AA44" s="125"/>
      <c r="AB44" s="125"/>
      <c r="AC44" s="126"/>
      <c r="AD44" s="127"/>
      <c r="AE44" s="127"/>
      <c r="AF44" s="127"/>
      <c r="AG44" s="310"/>
      <c r="AH44" s="128"/>
      <c r="AI44" s="128"/>
      <c r="AK44" s="362"/>
    </row>
    <row r="45" spans="2:38" s="122" customFormat="1" ht="12.75" customHeight="1">
      <c r="B45" s="121"/>
      <c r="F45" s="123"/>
      <c r="G45" s="124"/>
      <c r="I45" s="125"/>
      <c r="J45" s="125"/>
      <c r="K45" s="125"/>
      <c r="L45" s="125"/>
      <c r="M45" s="126"/>
      <c r="N45" s="125"/>
      <c r="O45" s="125"/>
      <c r="P45" s="125"/>
      <c r="Q45" s="126"/>
      <c r="R45" s="127"/>
      <c r="S45" s="127"/>
      <c r="T45" s="127"/>
      <c r="U45" s="127"/>
      <c r="V45" s="127"/>
      <c r="X45" s="310"/>
      <c r="Y45" s="126"/>
      <c r="Z45" s="125"/>
      <c r="AA45" s="125"/>
      <c r="AB45" s="125"/>
      <c r="AC45" s="126"/>
      <c r="AD45" s="127"/>
      <c r="AE45" s="127"/>
      <c r="AF45" s="127"/>
      <c r="AG45" s="310"/>
      <c r="AH45" s="128"/>
      <c r="AI45" s="128"/>
      <c r="AK45" s="362"/>
    </row>
    <row r="46" spans="2:38" s="122" customFormat="1" ht="12.75" customHeight="1">
      <c r="B46" s="121"/>
      <c r="F46" s="123"/>
      <c r="G46" s="124"/>
      <c r="I46" s="125"/>
      <c r="J46" s="125"/>
      <c r="K46" s="125"/>
      <c r="L46" s="125"/>
      <c r="M46" s="126"/>
      <c r="N46" s="125"/>
      <c r="O46" s="125"/>
      <c r="P46" s="125"/>
      <c r="Q46" s="126"/>
      <c r="R46" s="127"/>
      <c r="S46" s="127"/>
      <c r="T46" s="127"/>
      <c r="U46" s="127"/>
      <c r="V46" s="127"/>
      <c r="X46" s="805"/>
      <c r="Y46" s="126"/>
      <c r="Z46" s="125"/>
      <c r="AA46" s="125"/>
      <c r="AB46" s="125"/>
      <c r="AC46" s="126"/>
      <c r="AD46" s="127"/>
      <c r="AE46" s="127"/>
      <c r="AF46" s="127"/>
      <c r="AG46" s="804"/>
      <c r="AH46" s="128"/>
      <c r="AI46" s="128"/>
      <c r="AK46" s="362"/>
    </row>
    <row r="47" spans="2:38" s="122" customFormat="1" ht="12.75" customHeight="1">
      <c r="B47" s="121" t="s">
        <v>41</v>
      </c>
      <c r="F47" s="123"/>
      <c r="G47" s="124"/>
      <c r="I47" s="125">
        <v>7151.8984899999996</v>
      </c>
      <c r="J47" s="125"/>
      <c r="K47" s="125"/>
      <c r="L47" s="125"/>
      <c r="M47" s="126"/>
      <c r="N47" s="125">
        <v>651.65</v>
      </c>
      <c r="O47" s="125">
        <v>81.528000000000006</v>
      </c>
      <c r="P47" s="125">
        <v>74.905000000000001</v>
      </c>
      <c r="Q47" s="126"/>
      <c r="R47" s="127">
        <v>2073.0140550724636</v>
      </c>
      <c r="S47" s="127">
        <v>23.87437040035325</v>
      </c>
      <c r="T47" s="127">
        <v>25.985310326413458</v>
      </c>
      <c r="U47" s="127">
        <v>13.89265</v>
      </c>
      <c r="V47" s="127">
        <v>16.823090000000001</v>
      </c>
      <c r="X47" s="88"/>
      <c r="Y47" s="126"/>
      <c r="Z47" s="125">
        <v>718.67830000000004</v>
      </c>
      <c r="AA47" s="125">
        <v>120.5</v>
      </c>
      <c r="AB47" s="125">
        <v>14.202999999999999</v>
      </c>
      <c r="AC47" s="126"/>
      <c r="AD47" s="127">
        <v>3927.4302602230482</v>
      </c>
      <c r="AE47" s="127">
        <v>16.152943319502075</v>
      </c>
      <c r="AF47" s="127">
        <v>137.04355910723086</v>
      </c>
      <c r="AG47" s="61"/>
      <c r="AH47" s="128" t="e">
        <v>#VALUE!</v>
      </c>
      <c r="AI47" s="128" t="e">
        <v>#VALUE!</v>
      </c>
      <c r="AK47" s="362"/>
    </row>
    <row r="48" spans="2:38" s="122" customFormat="1" ht="12.75" customHeight="1">
      <c r="B48" s="121" t="s">
        <v>45</v>
      </c>
      <c r="F48" s="123"/>
      <c r="G48" s="124"/>
      <c r="I48" s="125">
        <v>3124.0957075000001</v>
      </c>
      <c r="J48" s="125"/>
      <c r="K48" s="125"/>
      <c r="L48" s="125"/>
      <c r="M48" s="126"/>
      <c r="N48" s="125">
        <v>309.79172000000005</v>
      </c>
      <c r="O48" s="125">
        <v>23.114615000000001</v>
      </c>
      <c r="P48" s="125">
        <v>-2.8979999999999999E-2</v>
      </c>
      <c r="Q48" s="126"/>
      <c r="R48" s="127">
        <v>1638.1039166434089</v>
      </c>
      <c r="S48" s="127">
        <v>-2.8772785559944021</v>
      </c>
      <c r="T48" s="127">
        <v>-2.5272489281302173</v>
      </c>
      <c r="U48" s="127">
        <v>13.13902</v>
      </c>
      <c r="V48" s="127">
        <v>16.823090000000001</v>
      </c>
      <c r="X48" s="88"/>
      <c r="Y48" s="126"/>
      <c r="Z48" s="125">
        <v>510.22682500000002</v>
      </c>
      <c r="AA48" s="125">
        <v>21.547542499999999</v>
      </c>
      <c r="AB48" s="125">
        <v>14.202999999999999</v>
      </c>
      <c r="AC48" s="126"/>
      <c r="AD48" s="127">
        <v>2912.9242272223028</v>
      </c>
      <c r="AE48" s="127">
        <v>1.3409118413859229</v>
      </c>
      <c r="AF48" s="127">
        <v>137.04355910723086</v>
      </c>
      <c r="AG48" s="61"/>
      <c r="AH48" s="128" t="e">
        <v>#VALUE!</v>
      </c>
      <c r="AI48" s="128" t="e">
        <v>#VALUE!</v>
      </c>
      <c r="AK48" s="362"/>
    </row>
    <row r="49" spans="2:37" s="122" customFormat="1" ht="12.75" customHeight="1">
      <c r="B49" s="121" t="s">
        <v>43</v>
      </c>
      <c r="F49" s="123"/>
      <c r="G49" s="124"/>
      <c r="I49" s="125">
        <v>2218.9682674999999</v>
      </c>
      <c r="J49" s="125"/>
      <c r="K49" s="125"/>
      <c r="L49" s="125"/>
      <c r="M49" s="126"/>
      <c r="N49" s="125">
        <v>182.14425857142857</v>
      </c>
      <c r="O49" s="125">
        <v>-80.310342857142857</v>
      </c>
      <c r="P49" s="125">
        <v>-71.170852222222223</v>
      </c>
      <c r="Q49" s="126"/>
      <c r="R49" s="127">
        <v>950.00551661197881</v>
      </c>
      <c r="S49" s="127">
        <v>-8.4291235717889563</v>
      </c>
      <c r="T49" s="127">
        <v>-7.560461079411084</v>
      </c>
      <c r="U49" s="127">
        <v>9.5222280000000001</v>
      </c>
      <c r="V49" s="127">
        <v>16.823090000000001</v>
      </c>
      <c r="X49" s="88"/>
      <c r="Y49" s="126"/>
      <c r="Z49" s="125">
        <v>290.58337499999999</v>
      </c>
      <c r="AA49" s="125">
        <v>-14.284627499999999</v>
      </c>
      <c r="AB49" s="125">
        <v>14.202999999999999</v>
      </c>
      <c r="AC49" s="126"/>
      <c r="AD49" s="127">
        <v>1628.9662559391941</v>
      </c>
      <c r="AE49" s="127">
        <v>-88.425702751793423</v>
      </c>
      <c r="AF49" s="127">
        <v>137.04355910723086</v>
      </c>
      <c r="AG49" s="61"/>
      <c r="AH49" s="128" t="e">
        <v>#VALUE!</v>
      </c>
      <c r="AI49" s="128" t="e">
        <v>#VALUE!</v>
      </c>
      <c r="AK49" s="362"/>
    </row>
    <row r="50" spans="2:37" s="122" customFormat="1" ht="12.75" customHeight="1">
      <c r="B50" s="121" t="s">
        <v>3</v>
      </c>
      <c r="F50" s="123"/>
      <c r="G50" s="124"/>
      <c r="I50" s="125">
        <v>726.619685</v>
      </c>
      <c r="J50" s="125"/>
      <c r="K50" s="125"/>
      <c r="L50" s="125"/>
      <c r="M50" s="126"/>
      <c r="N50" s="125">
        <v>3.45</v>
      </c>
      <c r="O50" s="125">
        <v>-19.4024</v>
      </c>
      <c r="P50" s="125">
        <v>-0.49764000000000003</v>
      </c>
      <c r="Q50" s="126"/>
      <c r="R50" s="127">
        <v>1022.9319371727748</v>
      </c>
      <c r="S50" s="127">
        <v>-8.3994887443529596</v>
      </c>
      <c r="T50" s="127">
        <v>-7.7589173475946875</v>
      </c>
      <c r="U50" s="127">
        <v>9.4087399999999999</v>
      </c>
      <c r="V50" s="127">
        <v>16.823090000000001</v>
      </c>
      <c r="X50" s="88"/>
      <c r="Y50" s="126"/>
      <c r="Z50" s="125">
        <v>221.76035000000002</v>
      </c>
      <c r="AA50" s="125">
        <v>-16.218305000000001</v>
      </c>
      <c r="AB50" s="125">
        <v>14.202999999999999</v>
      </c>
      <c r="AC50" s="126"/>
      <c r="AD50" s="127">
        <v>1292.0092585862351</v>
      </c>
      <c r="AE50" s="127">
        <v>-26.425643353814092</v>
      </c>
      <c r="AF50" s="127">
        <v>137.04355910723086</v>
      </c>
      <c r="AG50" s="61"/>
      <c r="AH50" s="128" t="e">
        <v>#VALUE!</v>
      </c>
      <c r="AI50" s="128" t="e">
        <v>#VALUE!</v>
      </c>
      <c r="AK50" s="362"/>
    </row>
    <row r="51" spans="2:37" s="122" customFormat="1" ht="12.75" customHeight="1">
      <c r="B51" s="121" t="s">
        <v>44</v>
      </c>
      <c r="F51" s="123"/>
      <c r="G51" s="124"/>
      <c r="I51" s="125">
        <v>385.28274750000003</v>
      </c>
      <c r="J51" s="125"/>
      <c r="K51" s="125"/>
      <c r="L51" s="125"/>
      <c r="M51" s="126"/>
      <c r="N51" s="125">
        <v>0.16222999999999999</v>
      </c>
      <c r="O51" s="125">
        <v>-110.48561500000001</v>
      </c>
      <c r="P51" s="125">
        <v>-45.57047</v>
      </c>
      <c r="Q51" s="126"/>
      <c r="R51" s="127">
        <v>10.215750510243229</v>
      </c>
      <c r="S51" s="127">
        <v>-14.018499117508304</v>
      </c>
      <c r="T51" s="127">
        <v>-12.720840170005747</v>
      </c>
      <c r="U51" s="127">
        <v>8.2933599999999998</v>
      </c>
      <c r="V51" s="127">
        <v>16.823090000000001</v>
      </c>
      <c r="X51" s="92"/>
      <c r="Y51" s="126"/>
      <c r="Z51" s="125">
        <v>2.1168999999999998</v>
      </c>
      <c r="AA51" s="125">
        <v>-52.050475000000006</v>
      </c>
      <c r="AB51" s="125">
        <v>14.202999999999999</v>
      </c>
      <c r="AC51" s="126"/>
      <c r="AD51" s="127">
        <v>8.0512873031265144</v>
      </c>
      <c r="AE51" s="127">
        <v>-116.19225794699344</v>
      </c>
      <c r="AF51" s="127">
        <v>137.04355910723086</v>
      </c>
      <c r="AG51" s="130"/>
      <c r="AH51" s="128" t="e">
        <v>#VALUE!</v>
      </c>
      <c r="AI51" s="128" t="e">
        <v>#VALUE!</v>
      </c>
      <c r="AK51" s="362"/>
    </row>
    <row r="52" spans="2:37" s="122" customFormat="1" ht="12.75" customHeight="1">
      <c r="B52" s="121" t="s">
        <v>42</v>
      </c>
      <c r="F52" s="123"/>
      <c r="G52" s="124"/>
      <c r="I52" s="125">
        <v>1.9538</v>
      </c>
      <c r="J52" s="125"/>
      <c r="K52" s="125"/>
      <c r="L52" s="125"/>
      <c r="M52" s="126"/>
      <c r="N52" s="125">
        <v>1.91E-3</v>
      </c>
      <c r="O52" s="125">
        <v>-449.55599999999998</v>
      </c>
      <c r="P52" s="125">
        <v>-508.28300000000002</v>
      </c>
      <c r="Q52" s="126"/>
      <c r="R52" s="127">
        <v>5.7619236610037028</v>
      </c>
      <c r="S52" s="127">
        <v>-40.722089940612769</v>
      </c>
      <c r="T52" s="127">
        <v>-40.672068208572419</v>
      </c>
      <c r="U52" s="127">
        <v>2.87737</v>
      </c>
      <c r="V52" s="127">
        <v>16.823090000000001</v>
      </c>
      <c r="X52" s="310"/>
      <c r="Y52" s="126"/>
      <c r="Z52" s="125">
        <v>0.13450000000000001</v>
      </c>
      <c r="AA52" s="125">
        <v>-145.20189999999999</v>
      </c>
      <c r="AB52" s="125">
        <v>14.202999999999999</v>
      </c>
      <c r="AC52" s="126"/>
      <c r="AD52" s="127">
        <v>4.416246361258148</v>
      </c>
      <c r="AE52" s="127">
        <v>-317.0044676190476</v>
      </c>
      <c r="AF52" s="127">
        <v>137.04355910723086</v>
      </c>
      <c r="AG52" s="310"/>
      <c r="AH52" s="128" t="e">
        <v>#VALUE!</v>
      </c>
      <c r="AI52" s="128" t="e">
        <v>#VALUE!</v>
      </c>
      <c r="AK52" s="362"/>
    </row>
    <row r="53" spans="2:37" s="122" customFormat="1" ht="12.75" customHeight="1">
      <c r="B53" s="121"/>
      <c r="F53" s="123"/>
      <c r="G53" s="124"/>
      <c r="I53" s="125"/>
      <c r="J53" s="125"/>
      <c r="K53" s="125"/>
      <c r="L53" s="125"/>
      <c r="M53" s="126"/>
      <c r="N53" s="125"/>
      <c r="O53" s="125"/>
      <c r="P53" s="125"/>
      <c r="Q53" s="126"/>
      <c r="R53" s="127"/>
      <c r="S53" s="127"/>
      <c r="T53" s="127"/>
      <c r="U53" s="127"/>
      <c r="V53" s="127"/>
      <c r="X53" s="310"/>
      <c r="Y53" s="126"/>
      <c r="Z53" s="125"/>
      <c r="AA53" s="125"/>
      <c r="AB53" s="125"/>
      <c r="AC53" s="126"/>
      <c r="AD53" s="127"/>
      <c r="AE53" s="127"/>
      <c r="AF53" s="127"/>
      <c r="AG53" s="310"/>
      <c r="AH53" s="128"/>
      <c r="AI53" s="128"/>
      <c r="AK53" s="362"/>
    </row>
    <row r="54" spans="2:37" s="122" customFormat="1" ht="12.75" customHeight="1">
      <c r="B54" s="121"/>
      <c r="F54" s="123"/>
      <c r="G54" s="124"/>
      <c r="I54" s="125"/>
      <c r="J54" s="125"/>
      <c r="K54" s="125"/>
      <c r="L54" s="125"/>
      <c r="M54" s="126"/>
      <c r="N54" s="125"/>
      <c r="O54" s="125"/>
      <c r="P54" s="125"/>
      <c r="Q54" s="126"/>
      <c r="R54" s="127"/>
      <c r="S54" s="127"/>
      <c r="T54" s="127"/>
      <c r="U54" s="127"/>
      <c r="V54" s="127"/>
      <c r="X54" s="310"/>
      <c r="Y54" s="126"/>
      <c r="Z54" s="125"/>
      <c r="AA54" s="125"/>
      <c r="AB54" s="125"/>
      <c r="AC54" s="126"/>
      <c r="AD54" s="127"/>
      <c r="AE54" s="127"/>
      <c r="AF54" s="127"/>
      <c r="AG54" s="310"/>
      <c r="AH54" s="128"/>
      <c r="AI54" s="128"/>
      <c r="AK54" s="362"/>
    </row>
    <row r="55" spans="2:37" s="122" customFormat="1" ht="12.75" customHeight="1">
      <c r="B55" s="121" t="s">
        <v>46</v>
      </c>
      <c r="F55" s="123"/>
      <c r="G55" s="124"/>
      <c r="I55" s="125"/>
      <c r="J55" s="125"/>
      <c r="K55" s="125"/>
      <c r="L55" s="125"/>
      <c r="M55" s="126"/>
      <c r="N55" s="125"/>
      <c r="O55" s="125"/>
      <c r="P55" s="125"/>
      <c r="Q55" s="126"/>
      <c r="R55" s="127"/>
      <c r="S55" s="127"/>
      <c r="T55" s="127"/>
      <c r="U55" s="127"/>
      <c r="V55" s="127"/>
      <c r="X55" s="310"/>
      <c r="Y55" s="126"/>
      <c r="Z55" s="125"/>
      <c r="AA55" s="125"/>
      <c r="AB55" s="125"/>
      <c r="AC55" s="126"/>
      <c r="AD55" s="127"/>
      <c r="AE55" s="127"/>
      <c r="AF55" s="127"/>
      <c r="AG55" s="310"/>
      <c r="AH55" s="128"/>
      <c r="AI55" s="128"/>
      <c r="AK55" s="362"/>
    </row>
    <row r="56" spans="2:37" s="122" customFormat="1" ht="12.75" customHeight="1">
      <c r="B56" s="121"/>
      <c r="F56" s="123"/>
      <c r="G56" s="124"/>
      <c r="I56" s="125"/>
      <c r="J56" s="125"/>
      <c r="K56" s="125"/>
      <c r="L56" s="125"/>
      <c r="M56" s="126"/>
      <c r="N56" s="125"/>
      <c r="O56" s="125"/>
      <c r="P56" s="125"/>
      <c r="Q56" s="126"/>
      <c r="R56" s="127"/>
      <c r="S56" s="127"/>
      <c r="T56" s="127"/>
      <c r="U56" s="127"/>
      <c r="V56" s="127"/>
      <c r="X56" s="310"/>
      <c r="Y56" s="126"/>
      <c r="Z56" s="125"/>
      <c r="AA56" s="125"/>
      <c r="AB56" s="125"/>
      <c r="AC56" s="126"/>
      <c r="AD56" s="127"/>
      <c r="AE56" s="127"/>
      <c r="AF56" s="127"/>
      <c r="AG56" s="310"/>
      <c r="AH56" s="128"/>
      <c r="AI56" s="128"/>
      <c r="AK56" s="362"/>
    </row>
    <row r="57" spans="2:37" s="122" customFormat="1" ht="12.75" customHeight="1">
      <c r="B57" s="121"/>
      <c r="F57" s="123"/>
      <c r="G57" s="124"/>
      <c r="I57" s="125"/>
      <c r="J57" s="125"/>
      <c r="K57" s="125"/>
      <c r="L57" s="125"/>
      <c r="M57" s="126"/>
      <c r="N57" s="125"/>
      <c r="O57" s="125"/>
      <c r="P57" s="125"/>
      <c r="Q57" s="126"/>
      <c r="R57" s="127"/>
      <c r="S57" s="127"/>
      <c r="T57" s="127"/>
      <c r="U57" s="127"/>
      <c r="V57" s="127"/>
      <c r="X57"/>
      <c r="Y57" s="126"/>
      <c r="Z57" s="125"/>
      <c r="AA57" s="125"/>
      <c r="AB57" s="125"/>
      <c r="AC57" s="126"/>
      <c r="AD57" s="127"/>
      <c r="AE57" s="127"/>
      <c r="AF57" s="127"/>
      <c r="AG57"/>
      <c r="AH57" s="128"/>
      <c r="AI57" s="128"/>
      <c r="AK57" s="362"/>
    </row>
    <row r="58" spans="2:37" ht="12.75" customHeight="1"/>
    <row r="59" spans="2:37" ht="12.75" customHeight="1"/>
    <row r="60" spans="2:37" ht="12.75" customHeight="1">
      <c r="B60" s="68"/>
      <c r="C60" s="129"/>
      <c r="D60" s="129"/>
      <c r="E60" s="63"/>
      <c r="F60" s="129"/>
      <c r="G60" s="129"/>
      <c r="H60" s="129"/>
      <c r="I60" s="107"/>
      <c r="J60" s="803"/>
      <c r="K60" s="803"/>
      <c r="L60" s="241"/>
      <c r="M60" s="129"/>
      <c r="N60" s="107"/>
      <c r="O60" s="107"/>
      <c r="P60" s="107"/>
      <c r="Q60" s="322"/>
      <c r="R60" s="86"/>
      <c r="S60" s="86"/>
      <c r="T60" s="86"/>
      <c r="U60" s="86"/>
      <c r="V60" s="86"/>
      <c r="W60" s="129"/>
      <c r="Y60" s="129"/>
      <c r="Z60" s="107"/>
      <c r="AA60" s="107"/>
      <c r="AB60" s="107"/>
      <c r="AC60" s="129"/>
      <c r="AD60" s="86"/>
      <c r="AE60" s="86"/>
      <c r="AF60" s="86"/>
      <c r="AH60" s="114"/>
      <c r="AI60" s="115"/>
    </row>
    <row r="61" spans="2:37" ht="12.75" customHeight="1">
      <c r="B61" s="87"/>
      <c r="C61" s="61"/>
      <c r="D61" s="61"/>
      <c r="E61" s="61"/>
      <c r="F61" s="61"/>
      <c r="G61" s="61"/>
      <c r="H61" s="61"/>
      <c r="I61" s="89"/>
      <c r="J61" s="89"/>
      <c r="K61" s="89"/>
      <c r="L61" s="89"/>
      <c r="M61" s="61"/>
      <c r="N61" s="89"/>
      <c r="O61" s="89"/>
      <c r="P61" s="89"/>
      <c r="Q61" s="66"/>
      <c r="R61" s="88"/>
      <c r="S61" s="88"/>
      <c r="T61" s="88"/>
      <c r="U61" s="88"/>
      <c r="V61" s="88"/>
      <c r="W61" s="61"/>
      <c r="Y61" s="61"/>
      <c r="Z61" s="89"/>
      <c r="AA61" s="89"/>
      <c r="AB61" s="89"/>
      <c r="AC61" s="61"/>
      <c r="AD61" s="88"/>
      <c r="AE61" s="88"/>
      <c r="AF61" s="88"/>
      <c r="AH61" s="116"/>
      <c r="AI61" s="117"/>
    </row>
    <row r="62" spans="2:37" ht="12.75" customHeight="1">
      <c r="B62" s="87"/>
      <c r="C62" s="61"/>
      <c r="D62" s="61"/>
      <c r="E62" s="61"/>
      <c r="F62" s="61"/>
      <c r="G62" s="61"/>
      <c r="H62" s="61"/>
      <c r="I62" s="89"/>
      <c r="J62" s="89"/>
      <c r="K62" s="89"/>
      <c r="L62" s="89"/>
      <c r="M62" s="61"/>
      <c r="N62" s="89"/>
      <c r="O62" s="89"/>
      <c r="P62" s="89"/>
      <c r="Q62" s="66"/>
      <c r="R62" s="88"/>
      <c r="S62" s="88"/>
      <c r="T62" s="88"/>
      <c r="U62" s="88"/>
      <c r="V62" s="88"/>
      <c r="W62" s="61"/>
      <c r="Y62" s="61"/>
      <c r="Z62" s="89"/>
      <c r="AA62" s="89"/>
      <c r="AB62" s="89"/>
      <c r="AC62" s="61"/>
      <c r="AD62" s="88"/>
      <c r="AE62" s="88"/>
      <c r="AF62" s="88"/>
      <c r="AH62" s="116"/>
      <c r="AI62" s="117"/>
    </row>
    <row r="63" spans="2:37" ht="12.75" customHeight="1">
      <c r="B63" s="87"/>
      <c r="C63" s="61"/>
      <c r="D63" s="61"/>
      <c r="E63" s="61"/>
      <c r="F63" s="61"/>
      <c r="G63" s="61"/>
      <c r="H63" s="61"/>
      <c r="I63" s="89"/>
      <c r="J63" s="89"/>
      <c r="K63" s="89"/>
      <c r="L63" s="89"/>
      <c r="M63" s="61"/>
      <c r="N63" s="89"/>
      <c r="O63" s="89"/>
      <c r="P63" s="89"/>
      <c r="Q63" s="66"/>
      <c r="R63" s="88"/>
      <c r="S63" s="88"/>
      <c r="T63" s="88"/>
      <c r="U63" s="88"/>
      <c r="V63" s="88"/>
      <c r="W63" s="61"/>
      <c r="Y63" s="61"/>
      <c r="Z63" s="89"/>
      <c r="AA63" s="89"/>
      <c r="AB63" s="89"/>
      <c r="AC63" s="61"/>
      <c r="AD63" s="88"/>
      <c r="AE63" s="88"/>
      <c r="AF63" s="88"/>
      <c r="AH63" s="116"/>
      <c r="AI63" s="117"/>
    </row>
    <row r="64" spans="2:37" ht="12.75" customHeight="1">
      <c r="B64" s="87"/>
      <c r="C64" s="61"/>
      <c r="D64" s="61"/>
      <c r="E64" s="61"/>
      <c r="F64" s="61"/>
      <c r="G64" s="61"/>
      <c r="H64" s="61"/>
      <c r="I64" s="89"/>
      <c r="J64" s="89"/>
      <c r="K64" s="89"/>
      <c r="L64" s="89"/>
      <c r="M64" s="61"/>
      <c r="N64" s="89"/>
      <c r="O64" s="89"/>
      <c r="P64" s="89"/>
      <c r="Q64" s="66"/>
      <c r="R64" s="88"/>
      <c r="S64" s="88"/>
      <c r="T64" s="88"/>
      <c r="U64" s="88"/>
      <c r="V64" s="88"/>
      <c r="W64" s="61"/>
      <c r="Y64" s="61"/>
      <c r="Z64" s="89"/>
      <c r="AA64" s="89"/>
      <c r="AB64" s="89"/>
      <c r="AC64" s="61"/>
      <c r="AD64" s="88"/>
      <c r="AE64" s="88"/>
      <c r="AF64" s="88"/>
      <c r="AH64" s="116"/>
      <c r="AI64" s="117"/>
    </row>
    <row r="65" spans="2:35" ht="12.75" customHeight="1">
      <c r="B65" s="90"/>
      <c r="C65" s="130"/>
      <c r="D65" s="130"/>
      <c r="E65" s="130"/>
      <c r="F65" s="130"/>
      <c r="G65" s="130"/>
      <c r="H65" s="130"/>
      <c r="I65" s="70"/>
      <c r="J65" s="70"/>
      <c r="K65" s="70"/>
      <c r="L65" s="70"/>
      <c r="M65" s="130"/>
      <c r="N65" s="70"/>
      <c r="O65" s="70"/>
      <c r="P65" s="70"/>
      <c r="Q65" s="323"/>
      <c r="R65" s="92"/>
      <c r="S65" s="92"/>
      <c r="T65" s="92"/>
      <c r="U65" s="92"/>
      <c r="V65" s="92"/>
      <c r="W65" s="130"/>
      <c r="Y65" s="130"/>
      <c r="Z65" s="70"/>
      <c r="AA65" s="70"/>
      <c r="AB65" s="70"/>
      <c r="AC65" s="130"/>
      <c r="AD65" s="92"/>
      <c r="AE65" s="92"/>
      <c r="AF65" s="92"/>
      <c r="AH65" s="118"/>
      <c r="AI65" s="119"/>
    </row>
    <row r="66" spans="2:35" ht="12.75" customHeight="1"/>
    <row r="67" spans="2:35" ht="12.75" customHeight="1"/>
    <row r="68" spans="2:35" ht="12.75" customHeight="1">
      <c r="B68" s="8"/>
    </row>
    <row r="69" spans="2:35" ht="12.75" customHeight="1"/>
    <row r="70" spans="2:35" ht="12.75" customHeight="1"/>
  </sheetData>
  <mergeCells count="1">
    <mergeCell ref="X7:X8"/>
  </mergeCells>
  <conditionalFormatting sqref="AI4 W4:AG4">
    <cfRule type="cellIs" dxfId="21" priority="3" stopIfTrue="1" operator="equal">
      <formula>"input"</formula>
    </cfRule>
  </conditionalFormatting>
  <conditionalFormatting sqref="R4">
    <cfRule type="cellIs" dxfId="20" priority="7" stopIfTrue="1" operator="equal">
      <formula>"input"</formula>
    </cfRule>
  </conditionalFormatting>
  <conditionalFormatting sqref="B4:M4">
    <cfRule type="cellIs" dxfId="19" priority="13" stopIfTrue="1" operator="equal">
      <formula>"input"</formula>
    </cfRule>
  </conditionalFormatting>
  <conditionalFormatting sqref="N4">
    <cfRule type="cellIs" dxfId="18" priority="11" stopIfTrue="1" operator="equal">
      <formula>"input"</formula>
    </cfRule>
  </conditionalFormatting>
  <conditionalFormatting sqref="N4">
    <cfRule type="cellIs" dxfId="17" priority="12" stopIfTrue="1" operator="equal">
      <formula>"input"</formula>
    </cfRule>
  </conditionalFormatting>
  <conditionalFormatting sqref="O4:Q4">
    <cfRule type="cellIs" dxfId="16" priority="9" stopIfTrue="1" operator="equal">
      <formula>"input"</formula>
    </cfRule>
  </conditionalFormatting>
  <conditionalFormatting sqref="O4:Q4">
    <cfRule type="cellIs" dxfId="15" priority="10" stopIfTrue="1" operator="equal">
      <formula>"input"</formula>
    </cfRule>
  </conditionalFormatting>
  <conditionalFormatting sqref="R4">
    <cfRule type="cellIs" dxfId="14" priority="8" stopIfTrue="1" operator="equal">
      <formula>"input"</formula>
    </cfRule>
  </conditionalFormatting>
  <conditionalFormatting sqref="S4:V4 AH4">
    <cfRule type="cellIs" dxfId="13" priority="5" stopIfTrue="1" operator="equal">
      <formula>"input"</formula>
    </cfRule>
  </conditionalFormatting>
  <conditionalFormatting sqref="S4:V4 AH4">
    <cfRule type="cellIs" dxfId="12" priority="6" stopIfTrue="1" operator="equal">
      <formula>"input"</formula>
    </cfRule>
  </conditionalFormatting>
  <conditionalFormatting sqref="AI4">
    <cfRule type="cellIs" dxfId="11" priority="4" stopIfTrue="1" operator="equal">
      <formula>"input"</formula>
    </cfRule>
  </conditionalFormatting>
  <pageMargins left="0.7" right="0.7" top="0.75" bottom="0.75" header="0.3" footer="0.3"/>
  <pageSetup scale="68" orientation="portrait" r:id="rId1"/>
  <colBreaks count="1" manualBreakCount="1">
    <brk id="17" max="39" man="1"/>
  </colBreaks>
  <legacy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B1:AJ57"/>
  <sheetViews>
    <sheetView showGridLines="0" view="pageBreakPreview" zoomScale="90" zoomScaleNormal="100" zoomScaleSheetLayoutView="90" workbookViewId="0">
      <selection activeCell="D18" sqref="D18"/>
    </sheetView>
  </sheetViews>
  <sheetFormatPr defaultColWidth="9.33203125" defaultRowHeight="12.75" outlineLevelCol="1"/>
  <cols>
    <col min="1" max="1" width="2.83203125" style="491" customWidth="1"/>
    <col min="2" max="2" width="11.83203125" style="491" customWidth="1"/>
    <col min="3" max="3" width="28.83203125" style="491" customWidth="1"/>
    <col min="4" max="4" width="26.33203125" style="491" customWidth="1"/>
    <col min="5" max="5" width="26.33203125" style="491" hidden="1" customWidth="1" outlineLevel="1"/>
    <col min="6" max="6" width="10.1640625" style="491" bestFit="1" customWidth="1" collapsed="1"/>
    <col min="7" max="7" width="10" style="491" hidden="1" customWidth="1" outlineLevel="1"/>
    <col min="8" max="8" width="2.83203125" style="491" customWidth="1" collapsed="1"/>
    <col min="9" max="11" width="16.33203125" style="491" customWidth="1"/>
    <col min="12" max="12" width="15.6640625" style="491" customWidth="1"/>
    <col min="13" max="13" width="2.83203125" style="491" customWidth="1"/>
    <col min="14" max="16" width="19.1640625" style="491" customWidth="1"/>
    <col min="17" max="17" width="2.83203125" style="491" customWidth="1"/>
    <col min="18" max="20" width="11.33203125" style="491" customWidth="1"/>
    <col min="21" max="22" width="11.33203125" style="491" hidden="1" customWidth="1" outlineLevel="1"/>
    <col min="23" max="23" width="2.83203125" style="491" customWidth="1" collapsed="1"/>
    <col min="24" max="26" width="11.33203125" style="491" hidden="1" customWidth="1" outlineLevel="1"/>
    <col min="27" max="27" width="2.83203125" style="491" hidden="1" customWidth="1" outlineLevel="1"/>
    <col min="28" max="30" width="11.33203125" style="491" hidden="1" customWidth="1" outlineLevel="1"/>
    <col min="31" max="31" width="2.83203125" style="491" hidden="1" customWidth="1" outlineLevel="1"/>
    <col min="32" max="32" width="12.1640625" style="491" customWidth="1" collapsed="1"/>
    <col min="33" max="33" width="11.6640625" style="491" customWidth="1"/>
    <col min="34" max="34" width="2.83203125" style="491" customWidth="1"/>
    <col min="35" max="35" width="24.6640625" style="491" customWidth="1"/>
    <col min="36" max="36" width="51.1640625" style="491" customWidth="1"/>
    <col min="37" max="16384" width="9.33203125" style="491"/>
  </cols>
  <sheetData>
    <row r="1" spans="2:36" s="310" customFormat="1" ht="10.7" customHeight="1" thickBot="1"/>
    <row r="2" spans="2:36" s="310" customFormat="1" ht="16.5" customHeight="1" thickTop="1">
      <c r="B2" s="10" t="s">
        <v>416</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I2" s="448" t="s">
        <v>17</v>
      </c>
      <c r="AJ2" s="521">
        <f>+'Capital IQ Sheet-STM'!AL2</f>
        <v>43281</v>
      </c>
    </row>
    <row r="3" spans="2:36" s="310" customFormat="1" ht="15.75" customHeight="1">
      <c r="B3" s="11" t="s">
        <v>530</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I3" s="275" t="s">
        <v>273</v>
      </c>
      <c r="AJ3" s="239" t="s">
        <v>275</v>
      </c>
    </row>
    <row r="4" spans="2:36" s="310" customFormat="1" ht="16.5" customHeight="1" thickBot="1">
      <c r="B4" s="12" t="s">
        <v>458</v>
      </c>
      <c r="C4" s="12"/>
      <c r="D4" s="12"/>
      <c r="E4" s="12"/>
      <c r="F4" s="12"/>
      <c r="G4" s="12"/>
      <c r="H4" s="12"/>
      <c r="I4" s="12"/>
      <c r="J4" s="12"/>
      <c r="K4" s="12"/>
      <c r="L4" s="12"/>
      <c r="M4" s="12"/>
      <c r="N4" s="13"/>
      <c r="O4" s="13"/>
      <c r="P4" s="13"/>
      <c r="Q4" s="13" t="s">
        <v>18</v>
      </c>
      <c r="R4" s="13"/>
      <c r="S4" s="13"/>
      <c r="T4" s="13"/>
      <c r="U4" s="13"/>
      <c r="V4" s="13"/>
      <c r="W4" s="13"/>
      <c r="X4" s="13"/>
      <c r="Y4" s="13"/>
      <c r="Z4" s="13"/>
      <c r="AA4" s="13"/>
      <c r="AB4" s="13"/>
      <c r="AC4" s="13"/>
      <c r="AD4" s="13"/>
      <c r="AE4" s="13"/>
      <c r="AF4" s="13"/>
      <c r="AG4" s="13"/>
      <c r="AI4" s="275" t="s">
        <v>274</v>
      </c>
      <c r="AJ4" s="239" t="s">
        <v>276</v>
      </c>
    </row>
    <row r="5" spans="2:36" s="16" customFormat="1" ht="12.75" customHeight="1" thickTop="1">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c r="AB5" s="310"/>
      <c r="AC5" s="310"/>
      <c r="AD5" s="310"/>
      <c r="AE5" s="310"/>
      <c r="AF5" s="310"/>
      <c r="AG5" s="310"/>
      <c r="AH5" s="310"/>
      <c r="AI5" s="76" t="s">
        <v>19</v>
      </c>
      <c r="AJ5" s="522" t="s">
        <v>20</v>
      </c>
    </row>
    <row r="6" spans="2:36" s="523" customFormat="1" ht="12.75" customHeight="1">
      <c r="C6" s="491"/>
      <c r="D6" s="524"/>
    </row>
    <row r="7" spans="2:36" s="523" customFormat="1" ht="12.75" customHeight="1">
      <c r="I7" s="525" t="s">
        <v>286</v>
      </c>
      <c r="J7" s="807"/>
      <c r="K7" s="807"/>
      <c r="L7" s="526"/>
      <c r="N7" s="525" t="s">
        <v>176</v>
      </c>
      <c r="O7" s="527"/>
      <c r="P7" s="526"/>
      <c r="R7" s="525" t="s">
        <v>175</v>
      </c>
      <c r="S7" s="527"/>
      <c r="T7" s="526"/>
      <c r="U7" s="527"/>
      <c r="V7" s="526"/>
      <c r="X7" s="525" t="s">
        <v>177</v>
      </c>
      <c r="Y7" s="527"/>
      <c r="Z7" s="526"/>
      <c r="AB7" s="525" t="s">
        <v>178</v>
      </c>
      <c r="AC7" s="527"/>
      <c r="AD7" s="526"/>
      <c r="AF7" s="525" t="s">
        <v>181</v>
      </c>
      <c r="AG7" s="528"/>
    </row>
    <row r="8" spans="2:36" s="532" customFormat="1" ht="30.75" customHeight="1">
      <c r="B8" s="529" t="s">
        <v>170</v>
      </c>
      <c r="C8" s="530" t="s">
        <v>558</v>
      </c>
      <c r="D8" s="530" t="s">
        <v>171</v>
      </c>
      <c r="E8" s="530" t="s">
        <v>290</v>
      </c>
      <c r="F8" s="531" t="s">
        <v>172</v>
      </c>
      <c r="G8" s="531" t="s">
        <v>174</v>
      </c>
      <c r="I8" s="529" t="s">
        <v>71</v>
      </c>
      <c r="J8" s="808" t="s">
        <v>1099</v>
      </c>
      <c r="K8" s="808" t="s">
        <v>1100</v>
      </c>
      <c r="L8" s="531" t="s">
        <v>287</v>
      </c>
      <c r="M8" s="533"/>
      <c r="N8" s="529" t="s">
        <v>80</v>
      </c>
      <c r="O8" s="530" t="s">
        <v>85</v>
      </c>
      <c r="P8" s="531" t="s">
        <v>86</v>
      </c>
      <c r="R8" s="529" t="s">
        <v>80</v>
      </c>
      <c r="S8" s="530" t="s">
        <v>85</v>
      </c>
      <c r="T8" s="531" t="s">
        <v>86</v>
      </c>
      <c r="U8" s="530" t="s">
        <v>288</v>
      </c>
      <c r="V8" s="531" t="s">
        <v>289</v>
      </c>
      <c r="X8" s="529" t="s">
        <v>80</v>
      </c>
      <c r="Y8" s="530" t="s">
        <v>85</v>
      </c>
      <c r="Z8" s="531" t="s">
        <v>86</v>
      </c>
      <c r="AB8" s="529" t="s">
        <v>80</v>
      </c>
      <c r="AC8" s="530" t="s">
        <v>85</v>
      </c>
      <c r="AD8" s="531" t="s">
        <v>86</v>
      </c>
      <c r="AF8" s="534" t="s">
        <v>179</v>
      </c>
      <c r="AG8" s="535" t="s">
        <v>180</v>
      </c>
      <c r="AI8" s="536" t="s">
        <v>173</v>
      </c>
    </row>
    <row r="9" spans="2:36" s="523" customFormat="1" ht="12.75" customHeight="1"/>
    <row r="10" spans="2:36" s="538" customFormat="1" ht="12.75" customHeight="1">
      <c r="B10" s="537">
        <f>_xll.ciqfunctions.udf.CIQ($AI10,"IQ_TR_CLOSED_DATE")</f>
        <v>43143</v>
      </c>
      <c r="C10" s="538" t="str">
        <f>_xll.ciqfunctions.udf.CIQ($AI10,"IQ_TR_BUYERNAME")</f>
        <v>Boston Therapeutics, Inc.</v>
      </c>
      <c r="D10" s="538" t="str">
        <f>_xll.ciqfunctions.udf.CIQ($AI10,"IQ_TR_TARGETNAME")</f>
        <v>CureDM Group Holdings, LLC</v>
      </c>
      <c r="E10" s="538" t="str">
        <f>_xll.ciqfunctions.udf.CIQ($AI10, "IQ_PRIMARY_INDUSTRY")</f>
        <v>Biotechnology</v>
      </c>
      <c r="F10" s="539">
        <f>_xll.ciqfunctions.udf.CIQ($AI10, "IQ_TR_PCT_SOUGHT")/100</f>
        <v>1</v>
      </c>
      <c r="G10" s="540" t="str">
        <f>_xll.ciqfunctions.udf.CIQ(AI10, "IQ_TR_MAJ_MIN_STAKE")</f>
        <v>Majority</v>
      </c>
      <c r="I10" s="541">
        <f>_xll.ciqfunctions.udf.CIQ($AI10, "IQ_TR_IMPLIED_EV_FINAL", , $AJ$4,$AJ$5)</f>
        <v>1.9538</v>
      </c>
      <c r="J10" s="541">
        <f>IF(_xll.ciqfunctions.udf.CIQ(AI10, "IQ_TR_TOTAL_CASH")="n/a",0,_xll.ciqfunctions.udf.CIQ(AI10, "IQ_TR_TOTAL_CASH"))+IF(_xll.ciqfunctions.udf.CIQ(AI10, "IQ_TR_TOTAL_STOCK")="n/a",0,_xll.ciqfunctions.udf.CIQ(AI10, "IQ_TR_TOTAL_STOCK"))</f>
        <v>1.0249999999999999</v>
      </c>
      <c r="K10" s="125">
        <f>_xll.ciqfunctions.udf.CIQ(AI10, "IQ_TR_EARNOUTS")</f>
        <v>0.93239000000000005</v>
      </c>
      <c r="L10" s="541">
        <f>IF(_xll.ciqfunctions.udf.CIQ($AI10, "IQ_TR_TOTAL_GROSS_TV",$AJ$4,$AJ$5)=0,"NA",_xll.ciqfunctions.udf.CIQ($AI10, "IQ_TR_TOTAL_GROSS_TV",,"USD"))</f>
        <v>1.95739</v>
      </c>
      <c r="M10" s="542"/>
      <c r="N10" s="541">
        <f>_xll.ciqfunctions.udf.CIQ($AI10, "IQ_TR_TARGET_TOTAL_REV",,$AJ$4,$AJ$5)</f>
        <v>1.91E-3</v>
      </c>
      <c r="O10" s="541">
        <f>_xll.ciqfunctions.udf.CIQ($AI10, "IQ_TR_TARGET_EBITDA", , $AJ$4,$AJ$5)</f>
        <v>-0.37941999999999998</v>
      </c>
      <c r="P10" s="541">
        <f>_xll.ciqfunctions.udf.CIQ($AI10, "IQ_TR_TARGET_EBIT", , $AJ$4,$AJ$5)</f>
        <v>-0.49764000000000003</v>
      </c>
      <c r="Q10" s="542"/>
      <c r="R10" s="543">
        <f>IF(ISERROR($I10/N10), "n/a", $I10/N10)</f>
        <v>1022.9319371727748</v>
      </c>
      <c r="S10" s="543">
        <f>IF(ISERROR($I10/O10), "n/a", $I10/O10)</f>
        <v>-5.1494386168362238</v>
      </c>
      <c r="T10" s="543">
        <f>IF(ISERROR($I10/P10), "n/a", $I10/P10)</f>
        <v>-3.9261313399244431</v>
      </c>
      <c r="U10" s="543">
        <f>IF(_xll.ciqfunctions.udf.CIQ($AI10, "IQ_TR_IMPLIED_EQ_BV")=0,"NA",_xll.ciqfunctions.udf.CIQ($AI10, "IQ_TR_IMPLIED_EQ_BV"))</f>
        <v>13.89265</v>
      </c>
      <c r="V10" s="543" t="str">
        <f>IF(_xll.ciqfunctions.udf.CIQ($AI10, "IQ_TR_IMPLIED_EQ_NI_LTM")=0,"NA",_xll.ciqfunctions.udf.CIQ($AI10, "IQ_TR_IMPLIED_EQ_NI_LTM"))</f>
        <v>NM</v>
      </c>
      <c r="W10" s="542"/>
      <c r="X10" s="541">
        <f>_xll.ciqfunctions.udf.CIQ($AI10, "IQ_TR_TARGET_REVENUE_EST",, $AJ$4,$AJ$5)</f>
        <v>0</v>
      </c>
      <c r="Y10" s="541">
        <f>_xll.ciqfunctions.udf.CIQ($AI10, "IQ_TR_TARGET_EBITDA_EST",, $AJ$4,$AJ$5)</f>
        <v>0</v>
      </c>
      <c r="Z10" s="541">
        <f>_xll.ciqfunctions.udf.CIQ(AI10, "IQ_TR_IMPLIED_EV_EBIT_FWD")</f>
        <v>0</v>
      </c>
      <c r="AA10" s="542"/>
      <c r="AB10" s="543" t="str">
        <f>IF(ISERROR($I10/X10), "n/a", $I10/X10)</f>
        <v>n/a</v>
      </c>
      <c r="AC10" s="543" t="str">
        <f>IF(ISERROR($I10/Y10), "n/a", $I10/Y10)</f>
        <v>n/a</v>
      </c>
      <c r="AD10" s="543" t="str">
        <f>IF(ISERROR($I10/Z10), "n/a", $I10/Z10)</f>
        <v>n/a</v>
      </c>
      <c r="AF10" s="544" t="str">
        <f>IF((_xll.ciqfunctions.udf.CIQ($AI10, "IQ_TR_TARGET_STOCKPREMIUM_1W")/100)&lt;=0,"NM",_xll.ciqfunctions.udf.CIQ($AI10, "IQ_TR_TARGET_STOCKPREMIUM_1W")/100)</f>
        <v>NM</v>
      </c>
      <c r="AG10" s="544" t="str">
        <f>IF((_xll.ciqfunctions.udf.CIQ($AI10, "IQ_TR_TARGET_STOCKPREMIUM_1M")/100)&lt;=0,"NM",_xll.ciqfunctions.udf.CIQ($AI10, "IQ_TR_TARGET_STOCKPREMIUM_1M")/100)</f>
        <v>NM</v>
      </c>
      <c r="AI10" s="545" t="str">
        <f>+'Capital IQ Sheet-STM'!AK10</f>
        <v>IQTR552720207</v>
      </c>
      <c r="AJ10" s="538" t="str">
        <f>_xll.ciqfunctions.udf.CIQ(AI10, "IQ_BUSINESS_DESCRIPTION")</f>
        <v>CureDM Group Holdings, LLC develops and commercializes therapies that prevent, ameliorate or reverse diabetes, and allow for the discontinuation of insulin. The company was founded in 2010 and is based in Wilmington, Delaware. As of February 12, 2018, CureDM Group Holdings, LLC operates as a subsidiary of Boston Therapeutics, Inc.</v>
      </c>
    </row>
    <row r="11" spans="2:36" s="538" customFormat="1" ht="12.75" customHeight="1">
      <c r="B11" s="537">
        <f>_xll.ciqfunctions.udf.CIQ($AI11,"IQ_TR_CLOSED_DATE")</f>
        <v>42667</v>
      </c>
      <c r="C11" s="538" t="str">
        <f>_xll.ciqfunctions.udf.CIQ($AI11,"IQ_TR_BUYERNAME")</f>
        <v>Allergan plc</v>
      </c>
      <c r="D11" s="538" t="str">
        <f>_xll.ciqfunctions.udf.CIQ($AI11,"IQ_TR_TARGETNAME")</f>
        <v>Vitae Pharmaceuticals, Inc.</v>
      </c>
      <c r="E11" s="538" t="str">
        <f>_xll.ciqfunctions.udf.CIQ($AI11, "IQ_PRIMARY_INDUSTRY")</f>
        <v>Biotechnology</v>
      </c>
      <c r="F11" s="539">
        <f>_xll.ciqfunctions.udf.CIQ($AI11, "IQ_TR_PCT_SOUGHT")/100</f>
        <v>0.90961969999999992</v>
      </c>
      <c r="G11" s="540" t="str">
        <f>_xll.ciqfunctions.udf.CIQ(AI11, "IQ_TR_MAJ_MIN_STAKE")</f>
        <v>Majority</v>
      </c>
      <c r="I11" s="541">
        <f>_xll.ciqfunctions.udf.CIQ($AI11, "IQ_TR_IMPLIED_EV_FINAL", , $AJ$4,$AJ$5)</f>
        <v>528.23937000000001</v>
      </c>
      <c r="J11" s="541">
        <f>IF(_xll.ciqfunctions.udf.CIQ(AI11, "IQ_TR_TOTAL_CASH")="n/a",0,_xll.ciqfunctions.udf.CIQ(AI11, "IQ_TR_TOTAL_CASH"))+IF(_xll.ciqfunctions.udf.CIQ(AI11, "IQ_TR_TOTAL_STOCK")="n/a",0,_xll.ciqfunctions.udf.CIQ(AI11, "IQ_TR_TOTAL_STOCK"))</f>
        <v>550.93940999999995</v>
      </c>
      <c r="K11" s="125">
        <f>_xll.ciqfunctions.udf.CIQ(AI11, "IQ_TR_EARNOUTS")</f>
        <v>0</v>
      </c>
      <c r="L11" s="541">
        <f>IF(_xll.ciqfunctions.udf.CIQ($AI11, "IQ_TR_TOTAL_GROSS_TV",$AJ$4,$AJ$5)=0,"NA",_xll.ciqfunctions.udf.CIQ($AI11, "IQ_TR_TOTAL_GROSS_TV",,"USD"))</f>
        <v>550.93940999999995</v>
      </c>
      <c r="M11" s="542"/>
      <c r="N11" s="541">
        <f>_xll.ciqfunctions.udf.CIQ($AI11, "IQ_TR_TARGET_TOTAL_REV",,$AJ$4,$AJ$5)</f>
        <v>0.32246999999999998</v>
      </c>
      <c r="O11" s="541">
        <f>_xll.ciqfunctions.udf.CIQ($AI11, "IQ_TR_TARGET_EBITDA", , $AJ$4,$AJ$5)</f>
        <v>-45.344230000000003</v>
      </c>
      <c r="P11" s="541">
        <f>_xll.ciqfunctions.udf.CIQ($AI11, "IQ_TR_TARGET_EBIT", , $AJ$4,$AJ$5)</f>
        <v>-45.57047</v>
      </c>
      <c r="Q11" s="542"/>
      <c r="R11" s="543">
        <f t="shared" ref="R11:T29" si="0">IF(ISERROR($I11/N11), "n/a", $I11/N11)</f>
        <v>1638.1039166434089</v>
      </c>
      <c r="S11" s="543">
        <f t="shared" si="0"/>
        <v>-11.649538871869694</v>
      </c>
      <c r="T11" s="543">
        <f t="shared" si="0"/>
        <v>-11.591703355264933</v>
      </c>
      <c r="U11" s="543">
        <f>IF(_xll.ciqfunctions.udf.CIQ($AI11, "IQ_TR_IMPLIED_EQ_BV")=0,"NA",_xll.ciqfunctions.udf.CIQ($AI11, "IQ_TR_IMPLIED_EQ_BV"))</f>
        <v>8.2933599999999998</v>
      </c>
      <c r="V11" s="543" t="str">
        <f>IF(_xll.ciqfunctions.udf.CIQ($AI11, "IQ_TR_IMPLIED_EQ_NI_LTM")=0,"NA",_xll.ciqfunctions.udf.CIQ($AI11, "IQ_TR_IMPLIED_EQ_NI_LTM"))</f>
        <v>NM</v>
      </c>
      <c r="W11" s="542"/>
      <c r="X11" s="541">
        <f>_xll.ciqfunctions.udf.CIQ($AI11, "IQ_TR_TARGET_REVENUE_EST",, $AJ$4,$AJ$5)</f>
        <v>0.13450000000000001</v>
      </c>
      <c r="Y11" s="541">
        <f>_xll.ciqfunctions.udf.CIQ($AI11, "IQ_TR_TARGET_EBITDA_EST",, $AJ$4,$AJ$5)</f>
        <v>0</v>
      </c>
      <c r="Z11" s="541" t="str">
        <f>_xll.ciqfunctions.udf.CIQ(AI11, "IQ_TR_IMPLIED_EV_EBIT_FWD")</f>
        <v>NM</v>
      </c>
      <c r="AA11" s="542"/>
      <c r="AB11" s="543">
        <f t="shared" ref="AB11:AD29" si="1">IF(ISERROR($I11/X11), "n/a", $I11/X11)</f>
        <v>3927.4302602230482</v>
      </c>
      <c r="AC11" s="543" t="str">
        <f t="shared" si="1"/>
        <v>n/a</v>
      </c>
      <c r="AD11" s="543" t="str">
        <f t="shared" si="1"/>
        <v>n/a</v>
      </c>
      <c r="AF11" s="544">
        <f>IF((_xll.ciqfunctions.udf.CIQ($AI11, "IQ_TR_TARGET_STOCKPREMIUM_1W")/100)&lt;=0,"NM",_xll.ciqfunctions.udf.CIQ($AI11, "IQ_TR_TARGET_STOCKPREMIUM_1W")/100)</f>
        <v>1.634881</v>
      </c>
      <c r="AG11" s="544">
        <f>IF((_xll.ciqfunctions.udf.CIQ($AI11, "IQ_TR_TARGET_STOCKPREMIUM_1M")/100)&lt;=0,"NM",_xll.ciqfunctions.udf.CIQ($AI11, "IQ_TR_TARGET_STOCKPREMIUM_1M")/100)</f>
        <v>1.3918000000000001</v>
      </c>
      <c r="AI11" s="545" t="str">
        <f>+'Capital IQ Sheet-STM'!AK11</f>
        <v>IQTR384028496</v>
      </c>
      <c r="AJ11" s="538" t="str">
        <f>_xll.ciqfunctions.udf.CIQ(AI11, "IQ_BUSINESS_DESCRIPTION")</f>
        <v>Vitae Pharmaceuticals, Inc., a biotechnology company, focuses on discovering and developing novel and small molecule drugs for diseases with unmet medical needs in the United States. Its products include VTP-43742 in Phase I clinical trial for the treatment of autoimmune disorders, including psoriasis, psoriatic arthritis, ankylosing spondylitis, inflammatory bowel disease, and multiple sclerosis; VTP-38543 in Phase IIa for the treatment of atopic dermatitis; and BI 1147560 for the treatment and prevention of Alzheimer's disease. The company’s products also include VTP-34072 that is in Phase II clinical trial for the treatment of type 2 diabetes; and VTP-38443 for the treatment of acute coronary syndrome. Vitae Pharmaceuticals, Inc. was founded in 2001 and is headquartered in Fort Washington, Pennsylvania. As of October 24, 2016, Vitae Pharmaceuticals, Inc. operates as a subsidiary of Allergan plc.</v>
      </c>
    </row>
    <row r="12" spans="2:36" s="538" customFormat="1" ht="12.75" customHeight="1">
      <c r="B12" s="537">
        <f>_xll.ciqfunctions.udf.CIQ($AI12,"IQ_TR_CLOSED_DATE")</f>
        <v>42613</v>
      </c>
      <c r="C12" s="538" t="str">
        <f>_xll.ciqfunctions.udf.CIQ($AI12,"IQ_TR_BUYERNAME")</f>
        <v>OPKO Health, Inc.</v>
      </c>
      <c r="D12" s="538" t="str">
        <f>_xll.ciqfunctions.udf.CIQ($AI12,"IQ_TR_TARGETNAME")</f>
        <v>Transition Therapeutics Inc.</v>
      </c>
      <c r="E12" s="538" t="str">
        <f>_xll.ciqfunctions.udf.CIQ($AI12, "IQ_PRIMARY_INDUSTRY")</f>
        <v>Biotechnology</v>
      </c>
      <c r="F12" s="539">
        <f>_xll.ciqfunctions.udf.CIQ($AI12, "IQ_TR_PCT_SOUGHT")/100</f>
        <v>1</v>
      </c>
      <c r="G12" s="540" t="str">
        <f>_xll.ciqfunctions.udf.CIQ(AI12, "IQ_TR_MAJ_MIN_STAKE")</f>
        <v>Majority</v>
      </c>
      <c r="I12" s="541">
        <f>_xll.ciqfunctions.udf.CIQ($AI12, "IQ_TR_IMPLIED_EV_FINAL", , $AJ$4,$AJ$5)</f>
        <v>41.130989999999997</v>
      </c>
      <c r="J12" s="541">
        <f>IF(_xll.ciqfunctions.udf.CIQ(AI12, "IQ_TR_TOTAL_CASH")="n/a",0,_xll.ciqfunctions.udf.CIQ(AI12, "IQ_TR_TOTAL_CASH"))+IF(_xll.ciqfunctions.udf.CIQ(AI12, "IQ_TR_TOTAL_STOCK")="n/a",0,_xll.ciqfunctions.udf.CIQ(AI12, "IQ_TR_TOTAL_STOCK"))</f>
        <v>59.806919999999998</v>
      </c>
      <c r="K12" s="125">
        <f>_xll.ciqfunctions.udf.CIQ(AI12, "IQ_TR_EARNOUTS")</f>
        <v>0</v>
      </c>
      <c r="L12" s="541">
        <f>IF(_xll.ciqfunctions.udf.CIQ($AI12, "IQ_TR_TOTAL_GROSS_TV",$AJ$4,$AJ$5)=0,"NA",_xll.ciqfunctions.udf.CIQ($AI12, "IQ_TR_TOTAL_GROSS_TV",,"USD"))</f>
        <v>59.806919999999998</v>
      </c>
      <c r="M12" s="542"/>
      <c r="N12" s="541">
        <f>_xll.ciqfunctions.udf.CIQ($AI12, "IQ_TR_TARGET_TOTAL_REV",,$AJ$4,$AJ$5)</f>
        <v>0</v>
      </c>
      <c r="O12" s="541">
        <f>_xll.ciqfunctions.udf.CIQ($AI12, "IQ_TR_TARGET_EBITDA", , $AJ$4,$AJ$5)</f>
        <v>-19.4024</v>
      </c>
      <c r="P12" s="541">
        <f>_xll.ciqfunctions.udf.CIQ($AI12, "IQ_TR_TARGET_EBIT", , $AJ$4,$AJ$5)</f>
        <v>-19.957249999999998</v>
      </c>
      <c r="Q12" s="542"/>
      <c r="R12" s="543" t="str">
        <f t="shared" si="0"/>
        <v>n/a</v>
      </c>
      <c r="S12" s="647">
        <f t="shared" si="0"/>
        <v>-2.119891869047128</v>
      </c>
      <c r="T12" s="647">
        <f t="shared" si="0"/>
        <v>-2.0609547908654751</v>
      </c>
      <c r="U12" s="543">
        <f>IF(_xll.ciqfunctions.udf.CIQ($AI12, "IQ_TR_IMPLIED_EQ_BV")=0,"NA",_xll.ciqfunctions.udf.CIQ($AI12, "IQ_TR_IMPLIED_EQ_BV"))</f>
        <v>2.87737</v>
      </c>
      <c r="V12" s="543" t="str">
        <f>IF(_xll.ciqfunctions.udf.CIQ($AI12, "IQ_TR_IMPLIED_EQ_NI_LTM")=0,"NA",_xll.ciqfunctions.udf.CIQ($AI12, "IQ_TR_IMPLIED_EQ_NI_LTM"))</f>
        <v>NM</v>
      </c>
      <c r="W12" s="542"/>
      <c r="X12" s="541">
        <f>_xll.ciqfunctions.udf.CIQ($AI12, "IQ_TR_TARGET_REVENUE_EST",, $AJ$4,$AJ$5)</f>
        <v>0</v>
      </c>
      <c r="Y12" s="541">
        <f>_xll.ciqfunctions.udf.CIQ($AI12, "IQ_TR_TARGET_EBITDA_EST",, $AJ$4,$AJ$5)</f>
        <v>-11.43661</v>
      </c>
      <c r="Z12" s="541" t="str">
        <f>_xll.ciqfunctions.udf.CIQ(AI12, "IQ_TR_IMPLIED_EV_EBIT_FWD")</f>
        <v>NM</v>
      </c>
      <c r="AA12" s="542"/>
      <c r="AB12" s="543" t="str">
        <f t="shared" si="1"/>
        <v>n/a</v>
      </c>
      <c r="AC12" s="543">
        <f t="shared" si="1"/>
        <v>-3.5964319846527948</v>
      </c>
      <c r="AD12" s="543" t="str">
        <f t="shared" si="1"/>
        <v>n/a</v>
      </c>
      <c r="AF12" s="544">
        <f>IF((_xll.ciqfunctions.udf.CIQ($AI12, "IQ_TR_TARGET_STOCKPREMIUM_1W")/100)&lt;=0,"NM",_xll.ciqfunctions.udf.CIQ($AI12, "IQ_TR_TARGET_STOCKPREMIUM_1W")/100)</f>
        <v>1.041612</v>
      </c>
      <c r="AG12" s="544">
        <f>IF((_xll.ciqfunctions.udf.CIQ($AI12, "IQ_TR_TARGET_STOCKPREMIUM_1M")/100)&lt;=0,"NM",_xll.ciqfunctions.udf.CIQ($AI12, "IQ_TR_TARGET_STOCKPREMIUM_1M")/100)</f>
        <v>0.92382599999999993</v>
      </c>
      <c r="AI12" s="545" t="str">
        <f>+'Capital IQ Sheet-STM'!AK12</f>
        <v>IQTR370072353</v>
      </c>
      <c r="AJ12" s="538" t="str">
        <f>_xll.ciqfunctions.udf.CIQ(AI12, "IQ_BUSINESS_DESCRIPTION")</f>
        <v>Transition Therapeutics Inc., a biopharmaceutical company, researches and develops therapeutic agents for disease indications primarily in Canada. The company's lead central nervous system drug candidate is ELND005, which has completed a Phase II/III clinical trial for the treatment of agitation/aggression associated with Alzheimer's disease; and has completed Phase IIa clinical trial for the treatment of Down syndrome. Its lead metabolic drug candidate is TT401, which is in Phase II clinical study for the treatment of type 2 diabetes and accompanying obesity. The company is also developing TT701, a selective androgen receptor modulator for the treatment of androgen deficiencies. Transition Therapeutics Inc. has a licensing and collaboration agreement with Eli Lilly to develop and commercialize TT401; and to develop compounds in preclinical models to provide glycemic control and other beneficial effects, including weight loss. The company was formerly known as Transition Therapeutics and Diagnostics Inc. and changed its name to Transition Therapeutics Inc. in December 2000. Transition Therapeutics Inc. was founded in 1987 and is headquartered in Toronto, Canada. As of August 31, 2016, Transition Therapeutics Inc. operates as a subsidiary of Opko Health, Inc.</v>
      </c>
    </row>
    <row r="13" spans="2:36" s="538" customFormat="1" ht="12.75" customHeight="1">
      <c r="B13" s="537">
        <f>_xll.ciqfunctions.udf.CIQ($AI13,"IQ_TR_CLOSED_DATE")</f>
        <v>42530</v>
      </c>
      <c r="C13" s="538" t="str">
        <f>_xll.ciqfunctions.udf.CIQ($AI13,"IQ_TR_BUYERNAME")</f>
        <v>Nexus BioPharma Corporation (nka:Nexus BioPharma, Inc.)</v>
      </c>
      <c r="D13" s="538" t="str">
        <f>_xll.ciqfunctions.udf.CIQ($AI13,"IQ_TR_TARGETNAME")</f>
        <v>Nexus BioPharma, Inc. Prior to Reverse merger with Nexus BioPharma Corporation</v>
      </c>
      <c r="E13" s="538" t="str">
        <f>_xll.ciqfunctions.udf.CIQ($AI13, "IQ_PRIMARY_INDUSTRY")</f>
        <v>Pharmaceuticals</v>
      </c>
      <c r="F13" s="539">
        <f>_xll.ciqfunctions.udf.CIQ($AI13, "IQ_TR_PCT_SOUGHT")/100</f>
        <v>1</v>
      </c>
      <c r="G13" s="540" t="str">
        <f>_xll.ciqfunctions.udf.CIQ(AI13, "IQ_TR_MAJ_MIN_STAKE")</f>
        <v>Majority</v>
      </c>
      <c r="I13" s="541">
        <f>_xll.ciqfunctions.udf.CIQ($AI13, "IQ_TR_IMPLIED_EV_FINAL", , $AJ$4,$AJ$5)</f>
        <v>0</v>
      </c>
      <c r="J13" s="541">
        <f>IF(_xll.ciqfunctions.udf.CIQ(AI13, "IQ_TR_TOTAL_CASH")="n/a",0,_xll.ciqfunctions.udf.CIQ(AI13, "IQ_TR_TOTAL_CASH"))+IF(_xll.ciqfunctions.udf.CIQ(AI13, "IQ_TR_TOTAL_STOCK")="n/a",0,_xll.ciqfunctions.udf.CIQ(AI13, "IQ_TR_TOTAL_STOCK"))</f>
        <v>0</v>
      </c>
      <c r="K13" s="125">
        <f>_xll.ciqfunctions.udf.CIQ(AI13, "IQ_TR_EARNOUTS")</f>
        <v>0</v>
      </c>
      <c r="L13" s="541">
        <f>IF(_xll.ciqfunctions.udf.CIQ($AI13, "IQ_TR_TOTAL_GROSS_TV",$AJ$4,$AJ$5)=0,"NA",_xll.ciqfunctions.udf.CIQ($AI13, "IQ_TR_TOTAL_GROSS_TV",,"USD"))</f>
        <v>0</v>
      </c>
      <c r="M13" s="542"/>
      <c r="N13" s="541">
        <f>_xll.ciqfunctions.udf.CIQ($AI13, "IQ_TR_TARGET_TOTAL_REV",,$AJ$4,$AJ$5)</f>
        <v>0</v>
      </c>
      <c r="O13" s="541">
        <f>_xll.ciqfunctions.udf.CIQ($AI13, "IQ_TR_TARGET_EBITDA", , $AJ$4,$AJ$5)</f>
        <v>0</v>
      </c>
      <c r="P13" s="541">
        <f>_xll.ciqfunctions.udf.CIQ($AI13, "IQ_TR_TARGET_EBIT", , $AJ$4,$AJ$5)</f>
        <v>-2.8979999999999999E-2</v>
      </c>
      <c r="Q13" s="542"/>
      <c r="R13" s="543" t="str">
        <f t="shared" si="0"/>
        <v>n/a</v>
      </c>
      <c r="S13" s="543" t="str">
        <f t="shared" si="0"/>
        <v>n/a</v>
      </c>
      <c r="T13" s="543">
        <f t="shared" si="0"/>
        <v>0</v>
      </c>
      <c r="U13" s="543" t="str">
        <f>IF(_xll.ciqfunctions.udf.CIQ($AI13, "IQ_TR_IMPLIED_EQ_BV")=0,"NA",_xll.ciqfunctions.udf.CIQ($AI13, "IQ_TR_IMPLIED_EQ_BV"))</f>
        <v>NA</v>
      </c>
      <c r="V13" s="543" t="str">
        <f>IF(_xll.ciqfunctions.udf.CIQ($AI13, "IQ_TR_IMPLIED_EQ_NI_LTM")=0,"NA",_xll.ciqfunctions.udf.CIQ($AI13, "IQ_TR_IMPLIED_EQ_NI_LTM"))</f>
        <v>NA</v>
      </c>
      <c r="W13" s="542"/>
      <c r="X13" s="541">
        <f>_xll.ciqfunctions.udf.CIQ($AI13, "IQ_TR_TARGET_REVENUE_EST",, $AJ$4,$AJ$5)</f>
        <v>0</v>
      </c>
      <c r="Y13" s="541">
        <f>_xll.ciqfunctions.udf.CIQ($AI13, "IQ_TR_TARGET_EBITDA_EST",, $AJ$4,$AJ$5)</f>
        <v>0</v>
      </c>
      <c r="Z13" s="541">
        <f>_xll.ciqfunctions.udf.CIQ(AI13, "IQ_TR_IMPLIED_EV_EBIT_FWD")</f>
        <v>0</v>
      </c>
      <c r="AA13" s="542"/>
      <c r="AB13" s="543" t="str">
        <f t="shared" si="1"/>
        <v>n/a</v>
      </c>
      <c r="AC13" s="543" t="str">
        <f t="shared" si="1"/>
        <v>n/a</v>
      </c>
      <c r="AD13" s="543" t="str">
        <f t="shared" si="1"/>
        <v>n/a</v>
      </c>
      <c r="AF13" s="544" t="str">
        <f>IF((_xll.ciqfunctions.udf.CIQ($AI13, "IQ_TR_TARGET_STOCKPREMIUM_1W")/100)&lt;=0,"NM",_xll.ciqfunctions.udf.CIQ($AI13, "IQ_TR_TARGET_STOCKPREMIUM_1W")/100)</f>
        <v>NM</v>
      </c>
      <c r="AG13" s="544" t="str">
        <f>IF((_xll.ciqfunctions.udf.CIQ($AI13, "IQ_TR_TARGET_STOCKPREMIUM_1M")/100)&lt;=0,"NM",_xll.ciqfunctions.udf.CIQ($AI13, "IQ_TR_TARGET_STOCKPREMIUM_1M")/100)</f>
        <v>NM</v>
      </c>
      <c r="AI13" s="545" t="str">
        <f>+'Capital IQ Sheet-STM'!AK13</f>
        <v>IQTR340704865</v>
      </c>
      <c r="AJ13" s="538" t="str">
        <f>_xll.ciqfunctions.udf.CIQ(AI13, "IQ_BUSINESS_DESCRIPTION")</f>
        <v>As of June 9, 2016, Nexus BioPharma, Inc. was acquired by Nexus BioPharma Corporation, in a reverse merger transaction. Nexus BioPharma, Inc., a life science company, develops and commercializes drugs for transformative obesity and diabetes treatments. The company was formerly known as Plata Resources, Inc. and changed its name to Nexus BioPharma, Inc. in May 2016. Nexus BioPharma, Inc. was incorporated in 2007 and is based in Montclair, New Jersey.</v>
      </c>
    </row>
    <row r="14" spans="2:36" s="538" customFormat="1" ht="12.75" customHeight="1">
      <c r="B14" s="537">
        <f>_xll.ciqfunctions.udf.CIQ($AI14,"IQ_TR_CLOSED_DATE")</f>
        <v>42493</v>
      </c>
      <c r="C14" s="538" t="str">
        <f>_xll.ciqfunctions.udf.CIQ($AI14,"IQ_TR_BUYERNAME")</f>
        <v>Valeritas Holdings, Inc.</v>
      </c>
      <c r="D14" s="538" t="str">
        <f>_xll.ciqfunctions.udf.CIQ($AI14,"IQ_TR_TARGETNAME")</f>
        <v>Valeritas Holdings, Inc. (nka:Valeritas Holdings, Inc., Prior to Reverse Merger with Valeritas, Inc.)</v>
      </c>
      <c r="E14" s="538" t="str">
        <f>_xll.ciqfunctions.udf.CIQ($AI14, "IQ_PRIMARY_INDUSTRY")</f>
        <v>Pharmaceuticals</v>
      </c>
      <c r="F14" s="539">
        <f>_xll.ciqfunctions.udf.CIQ($AI14, "IQ_TR_PCT_SOUGHT")/100</f>
        <v>1</v>
      </c>
      <c r="G14" s="540" t="str">
        <f>_xll.ciqfunctions.udf.CIQ(AI14, "IQ_TR_MAJ_MIN_STAKE")</f>
        <v>Majority</v>
      </c>
      <c r="I14" s="541">
        <f>_xll.ciqfunctions.udf.CIQ($AI14, "IQ_TR_IMPLIED_EV_FINAL", , $AJ$4,$AJ$5)</f>
        <v>0</v>
      </c>
      <c r="J14" s="541">
        <f>IF(_xll.ciqfunctions.udf.CIQ(AI14, "IQ_TR_TOTAL_CASH")="n/a",0,_xll.ciqfunctions.udf.CIQ(AI14, "IQ_TR_TOTAL_CASH"))+IF(_xll.ciqfunctions.udf.CIQ(AI14, "IQ_TR_TOTAL_STOCK")="n/a",0,_xll.ciqfunctions.udf.CIQ(AI14, "IQ_TR_TOTAL_STOCK"))</f>
        <v>0</v>
      </c>
      <c r="K14" s="125">
        <f>_xll.ciqfunctions.udf.CIQ(AI14, "IQ_TR_EARNOUTS")</f>
        <v>0</v>
      </c>
      <c r="L14" s="541">
        <f>IF(_xll.ciqfunctions.udf.CIQ($AI14, "IQ_TR_TOTAL_GROSS_TV",$AJ$4,$AJ$5)=0,"NA",_xll.ciqfunctions.udf.CIQ($AI14, "IQ_TR_TOTAL_GROSS_TV",,"USD"))</f>
        <v>0</v>
      </c>
      <c r="M14" s="542"/>
      <c r="N14" s="541">
        <f>_xll.ciqfunctions.udf.CIQ($AI14, "IQ_TR_TARGET_TOTAL_REV",,$AJ$4,$AJ$5)</f>
        <v>1.99E-3</v>
      </c>
      <c r="O14" s="541">
        <f>_xll.ciqfunctions.udf.CIQ($AI14, "IQ_TR_TARGET_EBITDA", , $AJ$4,$AJ$5)</f>
        <v>0</v>
      </c>
      <c r="P14" s="541">
        <f>_xll.ciqfunctions.udf.CIQ($AI14, "IQ_TR_TARGET_EBIT", , $AJ$4,$AJ$5)</f>
        <v>-9.6860000000000002E-2</v>
      </c>
      <c r="Q14" s="542"/>
      <c r="R14" s="543">
        <f t="shared" si="0"/>
        <v>0</v>
      </c>
      <c r="S14" s="543" t="str">
        <f t="shared" si="0"/>
        <v>n/a</v>
      </c>
      <c r="T14" s="543">
        <f t="shared" si="0"/>
        <v>0</v>
      </c>
      <c r="U14" s="543" t="str">
        <f>IF(_xll.ciqfunctions.udf.CIQ($AI14, "IQ_TR_IMPLIED_EQ_BV")=0,"NA",_xll.ciqfunctions.udf.CIQ($AI14, "IQ_TR_IMPLIED_EQ_BV"))</f>
        <v>NA</v>
      </c>
      <c r="V14" s="543" t="str">
        <f>IF(_xll.ciqfunctions.udf.CIQ($AI14, "IQ_TR_IMPLIED_EQ_NI_LTM")=0,"NA",_xll.ciqfunctions.udf.CIQ($AI14, "IQ_TR_IMPLIED_EQ_NI_LTM"))</f>
        <v>NA</v>
      </c>
      <c r="W14" s="542"/>
      <c r="X14" s="541">
        <f>_xll.ciqfunctions.udf.CIQ($AI14, "IQ_TR_TARGET_REVENUE_EST",, $AJ$4,$AJ$5)</f>
        <v>0</v>
      </c>
      <c r="Y14" s="541">
        <f>_xll.ciqfunctions.udf.CIQ($AI14, "IQ_TR_TARGET_EBITDA_EST",, $AJ$4,$AJ$5)</f>
        <v>0</v>
      </c>
      <c r="Z14" s="541">
        <f>_xll.ciqfunctions.udf.CIQ(AI14, "IQ_TR_IMPLIED_EV_EBIT_FWD")</f>
        <v>0</v>
      </c>
      <c r="AA14" s="542"/>
      <c r="AB14" s="543" t="str">
        <f t="shared" si="1"/>
        <v>n/a</v>
      </c>
      <c r="AC14" s="543" t="str">
        <f t="shared" si="1"/>
        <v>n/a</v>
      </c>
      <c r="AD14" s="543" t="str">
        <f t="shared" si="1"/>
        <v>n/a</v>
      </c>
      <c r="AF14" s="544" t="str">
        <f>IF((_xll.ciqfunctions.udf.CIQ($AI14, "IQ_TR_TARGET_STOCKPREMIUM_1W")/100)&lt;=0,"NM",_xll.ciqfunctions.udf.CIQ($AI14, "IQ_TR_TARGET_STOCKPREMIUM_1W")/100)</f>
        <v>NM</v>
      </c>
      <c r="AG14" s="544" t="str">
        <f>IF((_xll.ciqfunctions.udf.CIQ($AI14, "IQ_TR_TARGET_STOCKPREMIUM_1M")/100)&lt;=0,"NM",_xll.ciqfunctions.udf.CIQ($AI14, "IQ_TR_TARGET_STOCKPREMIUM_1M")/100)</f>
        <v>NM</v>
      </c>
      <c r="AI14" s="545" t="str">
        <f>+'Capital IQ Sheet-STM'!AK14</f>
        <v>IQTR402103919</v>
      </c>
      <c r="AJ14" s="538" t="str">
        <f>_xll.ciqfunctions.udf.CIQ(AI14, "IQ_BUSINESS_DESCRIPTION")</f>
        <v xml:space="preserve">As of May 3, 2016 Valeritas Holdings, Inc. was acquired by Valeritas, Inc. in a reverse merger transaction. Valeritas Holdings, Inc., a commercial-stage medical technology company, develops technologies to treat Type 2 diabetes. The company’s products include V-Go, a disposable insulin delivery device that a patient adheres to skin every 24 hours; and h-Patch, a controlled delivery technology platform used in its V-Go devices. It also provides Mini-Ject, a disposable needle-free injection system that offers a range of pre-filled options; and Micro-Trans, a microneedle array patch to deliver drugs into the dermis layer of the skin. The company was founded in 2006 and is based in Bridgewater, New Jersey._x000D_
</v>
      </c>
    </row>
    <row r="15" spans="2:36" s="538" customFormat="1" ht="12.75" customHeight="1">
      <c r="B15" s="537">
        <f>_xll.ciqfunctions.udf.CIQ($AI15,"IQ_TR_CLOSED_DATE")</f>
        <v>42307</v>
      </c>
      <c r="C15" s="538" t="str">
        <f>_xll.ciqfunctions.udf.CIQ($AI15,"IQ_TR_BUYERNAME")</f>
        <v>Novo Nordisk A/S</v>
      </c>
      <c r="D15" s="538" t="str">
        <f>_xll.ciqfunctions.udf.CIQ($AI15,"IQ_TR_TARGETNAME")</f>
        <v>Calibrium LLC and MB2 LLC</v>
      </c>
      <c r="E15" s="538" t="str">
        <f>_xll.ciqfunctions.udf.CIQ($AI15, "IQ_PRIMARY_INDUSTRY")</f>
        <v>Biotechnology</v>
      </c>
      <c r="F15" s="539">
        <f>_xll.ciqfunctions.udf.CIQ($AI15, "IQ_TR_PCT_SOUGHT")/100</f>
        <v>1</v>
      </c>
      <c r="G15" s="540" t="str">
        <f>_xll.ciqfunctions.udf.CIQ(AI15, "IQ_TR_MAJ_MIN_STAKE")</f>
        <v>Majority</v>
      </c>
      <c r="I15" s="541">
        <f>_xll.ciqfunctions.udf.CIQ($AI15, "IQ_TR_IMPLIED_EV_FINAL", , $AJ$4,$AJ$5)</f>
        <v>0</v>
      </c>
      <c r="J15" s="541">
        <f>IF(_xll.ciqfunctions.udf.CIQ(AI15, "IQ_TR_TOTAL_CASH")="n/a",0,_xll.ciqfunctions.udf.CIQ(AI15, "IQ_TR_TOTAL_CASH"))+IF(_xll.ciqfunctions.udf.CIQ(AI15, "IQ_TR_TOTAL_STOCK")="n/a",0,_xll.ciqfunctions.udf.CIQ(AI15, "IQ_TR_TOTAL_STOCK"))</f>
        <v>0</v>
      </c>
      <c r="K15" s="125">
        <f>_xll.ciqfunctions.udf.CIQ(AI15, "IQ_TR_EARNOUTS")</f>
        <v>0</v>
      </c>
      <c r="L15" s="541">
        <f>IF(_xll.ciqfunctions.udf.CIQ($AI15, "IQ_TR_TOTAL_GROSS_TV",$AJ$4,$AJ$5)=0,"NA",_xll.ciqfunctions.udf.CIQ($AI15, "IQ_TR_TOTAL_GROSS_TV",,"USD"))</f>
        <v>0</v>
      </c>
      <c r="M15" s="542"/>
      <c r="N15" s="541">
        <f>_xll.ciqfunctions.udf.CIQ($AI15, "IQ_TR_TARGET_TOTAL_REV",,$AJ$4,$AJ$5)</f>
        <v>0</v>
      </c>
      <c r="O15" s="541">
        <f>_xll.ciqfunctions.udf.CIQ($AI15, "IQ_TR_TARGET_EBITDA", , $AJ$4,$AJ$5)</f>
        <v>0</v>
      </c>
      <c r="P15" s="541">
        <f>_xll.ciqfunctions.udf.CIQ($AI15, "IQ_TR_TARGET_EBIT", , $AJ$4,$AJ$5)</f>
        <v>0</v>
      </c>
      <c r="Q15" s="542"/>
      <c r="R15" s="543" t="str">
        <f t="shared" si="0"/>
        <v>n/a</v>
      </c>
      <c r="S15" s="543" t="str">
        <f t="shared" si="0"/>
        <v>n/a</v>
      </c>
      <c r="T15" s="543" t="str">
        <f t="shared" si="0"/>
        <v>n/a</v>
      </c>
      <c r="U15" s="543" t="str">
        <f>IF(_xll.ciqfunctions.udf.CIQ($AI15, "IQ_TR_IMPLIED_EQ_BV")=0,"NA",_xll.ciqfunctions.udf.CIQ($AI15, "IQ_TR_IMPLIED_EQ_BV"))</f>
        <v>NA</v>
      </c>
      <c r="V15" s="543" t="str">
        <f>IF(_xll.ciqfunctions.udf.CIQ($AI15, "IQ_TR_IMPLIED_EQ_NI_LTM")=0,"NA",_xll.ciqfunctions.udf.CIQ($AI15, "IQ_TR_IMPLIED_EQ_NI_LTM"))</f>
        <v>NA</v>
      </c>
      <c r="W15" s="542"/>
      <c r="X15" s="541">
        <f>_xll.ciqfunctions.udf.CIQ($AI15, "IQ_TR_TARGET_REVENUE_EST",, $AJ$4,$AJ$5)</f>
        <v>0</v>
      </c>
      <c r="Y15" s="541">
        <f>_xll.ciqfunctions.udf.CIQ($AI15, "IQ_TR_TARGET_EBITDA_EST",, $AJ$4,$AJ$5)</f>
        <v>0</v>
      </c>
      <c r="Z15" s="541">
        <f>_xll.ciqfunctions.udf.CIQ(AI15, "IQ_TR_IMPLIED_EV_EBIT_FWD")</f>
        <v>0</v>
      </c>
      <c r="AA15" s="542"/>
      <c r="AB15" s="543" t="str">
        <f t="shared" si="1"/>
        <v>n/a</v>
      </c>
      <c r="AC15" s="543" t="str">
        <f t="shared" si="1"/>
        <v>n/a</v>
      </c>
      <c r="AD15" s="543" t="str">
        <f t="shared" si="1"/>
        <v>n/a</v>
      </c>
      <c r="AF15" s="544" t="str">
        <f>IF((_xll.ciqfunctions.udf.CIQ($AI15, "IQ_TR_TARGET_STOCKPREMIUM_1W")/100)&lt;=0,"NM",_xll.ciqfunctions.udf.CIQ($AI15, "IQ_TR_TARGET_STOCKPREMIUM_1W")/100)</f>
        <v>NM</v>
      </c>
      <c r="AG15" s="544" t="str">
        <f>IF((_xll.ciqfunctions.udf.CIQ($AI15, "IQ_TR_TARGET_STOCKPREMIUM_1M")/100)&lt;=0,"NM",_xll.ciqfunctions.udf.CIQ($AI15, "IQ_TR_TARGET_STOCKPREMIUM_1M")/100)</f>
        <v>NM</v>
      </c>
      <c r="AI15" s="545" t="str">
        <f>+'Capital IQ Sheet-STM'!AK15</f>
        <v>IQTR310229188</v>
      </c>
      <c r="AJ15" s="538" t="str">
        <f>_xll.ciqfunctions.udf.CIQ(AI15, "IQ_BUSINESS_DESCRIPTION")</f>
        <v>As of October 30, 2015, Calibrium LLC and MB2 LLC was acquired by Novo Nordisk A/S. Calibrium LLC and MB2 LLC represents the combined operations of Calibrium LLC and MB2 LLC in their sale to Novo Nordisk A/S. Calibrium LLC is a biopharmaceutical company engaging in discovery and early development of novel peptides for the treatment of diabetes and related metabolic diseases. MB2 LLC is a clinical-stage biopharmaceutical company advancing a pipeline of mixed agonist drugs for the treatment of diabetes and obesity. Calibrium LLC is based in Indianapolis, Indiana. MB2 LLC is based in Carmel, Indiana.</v>
      </c>
    </row>
    <row r="16" spans="2:36" s="538" customFormat="1" ht="12.75" customHeight="1">
      <c r="B16" s="537">
        <f>_xll.ciqfunctions.udf.CIQ($AI16,"IQ_TR_CLOSED_DATE")</f>
        <v>42243</v>
      </c>
      <c r="C16" s="538" t="str">
        <f>_xll.ciqfunctions.udf.CIQ($AI16,"IQ_TR_BUYERNAME")</f>
        <v>Celgene Corporation</v>
      </c>
      <c r="D16" s="538" t="str">
        <f>_xll.ciqfunctions.udf.CIQ($AI16,"IQ_TR_TARGETNAME")</f>
        <v>Receptos, Inc.</v>
      </c>
      <c r="E16" s="538" t="str">
        <f>_xll.ciqfunctions.udf.CIQ($AI16, "IQ_PRIMARY_INDUSTRY")</f>
        <v>Biotechnology</v>
      </c>
      <c r="F16" s="539">
        <f>_xll.ciqfunctions.udf.CIQ($AI16, "IQ_TR_PCT_SOUGHT")/100</f>
        <v>1</v>
      </c>
      <c r="G16" s="540" t="str">
        <f>_xll.ciqfunctions.udf.CIQ(AI16, "IQ_TR_MAJ_MIN_STAKE")</f>
        <v>Majority</v>
      </c>
      <c r="I16" s="541">
        <f>_xll.ciqfunctions.udf.CIQ($AI16, "IQ_TR_IMPLIED_EV_FINAL", , $AJ$4,$AJ$5)</f>
        <v>7151.8984899999996</v>
      </c>
      <c r="J16" s="541">
        <f>IF(_xll.ciqfunctions.udf.CIQ(AI16, "IQ_TR_TOTAL_CASH")="n/a",0,_xll.ciqfunctions.udf.CIQ(AI16, "IQ_TR_TOTAL_CASH"))+IF(_xll.ciqfunctions.udf.CIQ(AI16, "IQ_TR_TOTAL_STOCK")="n/a",0,_xll.ciqfunctions.udf.CIQ(AI16, "IQ_TR_TOTAL_STOCK"))</f>
        <v>7332.6776099999997</v>
      </c>
      <c r="K16" s="125">
        <f>_xll.ciqfunctions.udf.CIQ(AI16, "IQ_TR_EARNOUTS")</f>
        <v>0</v>
      </c>
      <c r="L16" s="541">
        <f>IF(_xll.ciqfunctions.udf.CIQ($AI16, "IQ_TR_TOTAL_GROSS_TV",$AJ$4,$AJ$5)=0,"NA",_xll.ciqfunctions.udf.CIQ($AI16, "IQ_TR_TOTAL_GROSS_TV",,"USD"))</f>
        <v>7731.01649</v>
      </c>
      <c r="M16" s="542"/>
      <c r="N16" s="541">
        <f>_xll.ciqfunctions.udf.CIQ($AI16, "IQ_TR_TARGET_TOTAL_REV",,$AJ$4,$AJ$5)</f>
        <v>3.45</v>
      </c>
      <c r="O16" s="541">
        <f>_xll.ciqfunctions.udf.CIQ($AI16, "IQ_TR_TARGET_EBITDA", , $AJ$4,$AJ$5)</f>
        <v>-175.62700000000001</v>
      </c>
      <c r="P16" s="541">
        <f>_xll.ciqfunctions.udf.CIQ($AI16, "IQ_TR_TARGET_EBIT", , $AJ$4,$AJ$5)</f>
        <v>-175.84299999999999</v>
      </c>
      <c r="Q16" s="542"/>
      <c r="R16" s="543">
        <f t="shared" si="0"/>
        <v>2073.0140550724636</v>
      </c>
      <c r="S16" s="543">
        <f t="shared" si="0"/>
        <v>-40.722089940612769</v>
      </c>
      <c r="T16" s="543">
        <f t="shared" si="0"/>
        <v>-40.672068208572419</v>
      </c>
      <c r="U16" s="543">
        <f>IF(_xll.ciqfunctions.udf.CIQ($AI16, "IQ_TR_IMPLIED_EQ_BV")=0,"NA",_xll.ciqfunctions.udf.CIQ($AI16, "IQ_TR_IMPLIED_EQ_BV"))</f>
        <v>13.13902</v>
      </c>
      <c r="V16" s="543" t="str">
        <f>IF(_xll.ciqfunctions.udf.CIQ($AI16, "IQ_TR_IMPLIED_EQ_NI_LTM")=0,"NA",_xll.ciqfunctions.udf.CIQ($AI16, "IQ_TR_IMPLIED_EQ_NI_LTM"))</f>
        <v>NM</v>
      </c>
      <c r="W16" s="542"/>
      <c r="X16" s="541">
        <f>_xll.ciqfunctions.udf.CIQ($AI16, "IQ_TR_TARGET_REVENUE_EST",, $AJ$4,$AJ$5)</f>
        <v>2.7776999999999998</v>
      </c>
      <c r="Y16" s="541">
        <f>_xll.ciqfunctions.udf.CIQ($AI16, "IQ_TR_TARGET_EBITDA_EST",, $AJ$4,$AJ$5)</f>
        <v>-145.20189999999999</v>
      </c>
      <c r="Z16" s="541" t="str">
        <f>_xll.ciqfunctions.udf.CIQ(AI16, "IQ_TR_IMPLIED_EV_EBIT_FWD")</f>
        <v>NM</v>
      </c>
      <c r="AA16" s="542"/>
      <c r="AB16" s="543">
        <f t="shared" si="1"/>
        <v>2574.7555495553875</v>
      </c>
      <c r="AC16" s="543">
        <f t="shared" si="1"/>
        <v>-49.254854722975388</v>
      </c>
      <c r="AD16" s="543" t="str">
        <f t="shared" si="1"/>
        <v>n/a</v>
      </c>
      <c r="AF16" s="544">
        <f>IF((_xll.ciqfunctions.udf.CIQ($AI16, "IQ_TR_TARGET_STOCKPREMIUM_1W")/100)&lt;=0,"NM",_xll.ciqfunctions.udf.CIQ($AI16, "IQ_TR_TARGET_STOCKPREMIUM_1W")/100)</f>
        <v>0.17331700000000003</v>
      </c>
      <c r="AG16" s="544">
        <f>IF((_xll.ciqfunctions.udf.CIQ($AI16, "IQ_TR_TARGET_STOCKPREMIUM_1M")/100)&lt;=0,"NM",_xll.ciqfunctions.udf.CIQ($AI16, "IQ_TR_TARGET_STOCKPREMIUM_1M")/100)</f>
        <v>0.30110499999999996</v>
      </c>
      <c r="AI16" s="545" t="str">
        <f>+'Capital IQ Sheet-STM'!AK16</f>
        <v>IQTR306751096</v>
      </c>
      <c r="AJ16" s="538" t="str">
        <f>_xll.ciqfunctions.udf.CIQ(AI16, "IQ_BUSINESS_DESCRIPTION")</f>
        <v>Receptos, Inc., a clinical-stage biopharmaceutical company, focuses on the discovery, development, and commercialization of therapeutics in immune disorders. Its lead product includes ozanimod, an oral therapy that is in phase III studies for the treatment of relapsing multiple sclerosis; and is in phase II studies to treat ulcerative colitis and crohn’s disease. The company is also developing RPC4046, a monoclonal antibody, which is in phase II trials for the treatment of eosinophilic esophagitis, an allergic/immune-mediated disorder. In addition, it is involved in a research program for glucagon-like peptide-1 receptor small molecule positive allosteric modulators that is in preclinical studies for the treatment of Type 2 diabetes. The company was formerly known as Receptor Pharmaceuticals, Inc. and changed its name to Receptos, Inc. in May 2009. Receptos, Inc. was founded in 2008 and is headquartered in San Diego, California. As of August 27, 2015, Receptos, Inc. operates as a subsidiary of Celgene Corporation.</v>
      </c>
    </row>
    <row r="17" spans="2:36" s="538" customFormat="1" ht="12.75" customHeight="1">
      <c r="B17" s="537">
        <f>_xll.ciqfunctions.udf.CIQ($AI17,"IQ_TR_CLOSED_DATE")</f>
        <v>41905</v>
      </c>
      <c r="C17" s="538" t="str">
        <f>_xll.ciqfunctions.udf.CIQ($AI17,"IQ_TR_BUYERNAME")</f>
        <v>Sanofi-Aventis Deutschland GmbH</v>
      </c>
      <c r="D17" s="538" t="str">
        <f>_xll.ciqfunctions.udf.CIQ($AI17,"IQ_TR_TARGETNAME")</f>
        <v>MannKind Corp., Global Rights of Afrezza</v>
      </c>
      <c r="E17" s="538" t="str">
        <f>_xll.ciqfunctions.udf.CIQ($AI17, "IQ_PRIMARY_INDUSTRY")</f>
        <v>Pharmaceuticals</v>
      </c>
      <c r="F17" s="539">
        <f>_xll.ciqfunctions.udf.CIQ($AI17, "IQ_TR_PCT_SOUGHT")/100</f>
        <v>1</v>
      </c>
      <c r="G17" s="540" t="str">
        <f>_xll.ciqfunctions.udf.CIQ(AI17, "IQ_TR_MAJ_MIN_STAKE")</f>
        <v>Majority</v>
      </c>
      <c r="I17" s="541">
        <f>_xll.ciqfunctions.udf.CIQ($AI17, "IQ_TR_IMPLIED_EV_FINAL", , $AJ$4,$AJ$5)</f>
        <v>925</v>
      </c>
      <c r="J17" s="541">
        <f>IF(_xll.ciqfunctions.udf.CIQ(AI17, "IQ_TR_TOTAL_CASH")="n/a",0,_xll.ciqfunctions.udf.CIQ(AI17, "IQ_TR_TOTAL_CASH"))+IF(_xll.ciqfunctions.udf.CIQ(AI17, "IQ_TR_TOTAL_STOCK")="n/a",0,_xll.ciqfunctions.udf.CIQ(AI17, "IQ_TR_TOTAL_STOCK"))</f>
        <v>150</v>
      </c>
      <c r="K17" s="125">
        <f>_xll.ciqfunctions.udf.CIQ(AI17, "IQ_TR_EARNOUTS")</f>
        <v>775</v>
      </c>
      <c r="L17" s="541">
        <f>IF(_xll.ciqfunctions.udf.CIQ($AI17, "IQ_TR_TOTAL_GROSS_TV",$AJ$4,$AJ$5)=0,"NA",_xll.ciqfunctions.udf.CIQ($AI17, "IQ_TR_TOTAL_GROSS_TV",,"USD"))</f>
        <v>925</v>
      </c>
      <c r="M17" s="542"/>
      <c r="N17" s="541">
        <f>_xll.ciqfunctions.udf.CIQ($AI17, "IQ_TR_TARGET_TOTAL_REV",,$AJ$4,$AJ$5)</f>
        <v>0</v>
      </c>
      <c r="O17" s="541">
        <f>_xll.ciqfunctions.udf.CIQ($AI17, "IQ_TR_TARGET_EBITDA", , $AJ$4,$AJ$5)</f>
        <v>0</v>
      </c>
      <c r="P17" s="541">
        <f>_xll.ciqfunctions.udf.CIQ($AI17, "IQ_TR_TARGET_EBIT", , $AJ$4,$AJ$5)</f>
        <v>0</v>
      </c>
      <c r="Q17" s="542"/>
      <c r="R17" s="543" t="str">
        <f t="shared" si="0"/>
        <v>n/a</v>
      </c>
      <c r="S17" s="543" t="str">
        <f t="shared" si="0"/>
        <v>n/a</v>
      </c>
      <c r="T17" s="543" t="str">
        <f t="shared" si="0"/>
        <v>n/a</v>
      </c>
      <c r="U17" s="543" t="str">
        <f>IF(_xll.ciqfunctions.udf.CIQ($AI17, "IQ_TR_IMPLIED_EQ_BV")=0,"NA",_xll.ciqfunctions.udf.CIQ($AI17, "IQ_TR_IMPLIED_EQ_BV"))</f>
        <v>NA</v>
      </c>
      <c r="V17" s="543" t="str">
        <f>IF(_xll.ciqfunctions.udf.CIQ($AI17, "IQ_TR_IMPLIED_EQ_NI_LTM")=0,"NA",_xll.ciqfunctions.udf.CIQ($AI17, "IQ_TR_IMPLIED_EQ_NI_LTM"))</f>
        <v>NA</v>
      </c>
      <c r="W17" s="542"/>
      <c r="X17" s="541">
        <f>_xll.ciqfunctions.udf.CIQ($AI17, "IQ_TR_TARGET_REVENUE_EST",, $AJ$4,$AJ$5)</f>
        <v>0</v>
      </c>
      <c r="Y17" s="541">
        <f>_xll.ciqfunctions.udf.CIQ($AI17, "IQ_TR_TARGET_EBITDA_EST",, $AJ$4,$AJ$5)</f>
        <v>0</v>
      </c>
      <c r="Z17" s="541">
        <f>_xll.ciqfunctions.udf.CIQ(AI17, "IQ_TR_IMPLIED_EV_EBIT_FWD")</f>
        <v>0</v>
      </c>
      <c r="AA17" s="542"/>
      <c r="AB17" s="543" t="str">
        <f t="shared" si="1"/>
        <v>n/a</v>
      </c>
      <c r="AC17" s="543" t="str">
        <f t="shared" si="1"/>
        <v>n/a</v>
      </c>
      <c r="AD17" s="543" t="str">
        <f t="shared" si="1"/>
        <v>n/a</v>
      </c>
      <c r="AF17" s="544" t="str">
        <f>IF((_xll.ciqfunctions.udf.CIQ($AI17, "IQ_TR_TARGET_STOCKPREMIUM_1W")/100)&lt;=0,"NM",_xll.ciqfunctions.udf.CIQ($AI17, "IQ_TR_TARGET_STOCKPREMIUM_1W")/100)</f>
        <v>NM</v>
      </c>
      <c r="AG17" s="544" t="str">
        <f>IF((_xll.ciqfunctions.udf.CIQ($AI17, "IQ_TR_TARGET_STOCKPREMIUM_1M")/100)&lt;=0,"NM",_xll.ciqfunctions.udf.CIQ($AI17, "IQ_TR_TARGET_STOCKPREMIUM_1M")/100)</f>
        <v>NM</v>
      </c>
      <c r="AI17" s="545" t="str">
        <f>+'Capital IQ Sheet-STM'!AK17</f>
        <v>IQTR270074754</v>
      </c>
      <c r="AJ17" s="538" t="str">
        <f>_xll.ciqfunctions.udf.CIQ(AI17, "IQ_BUSINESS_DESCRIPTION")</f>
        <v>As of September 23, 2014, Global Rights of Afrezza of MannKind Corp. were acquired by Sanofi-Aventis Deutschland GmbH. MannKind Corp., Global Rights of Afrezza comprises licenses for development and commercialization of Afrezza Inhalation Powder for the treatment of diabetes.</v>
      </c>
    </row>
    <row r="18" spans="2:36" s="538" customFormat="1" ht="12.75" customHeight="1">
      <c r="B18" s="537">
        <f>_xll.ciqfunctions.udf.CIQ($AI18,"IQ_TR_CLOSED_DATE")</f>
        <v>41639</v>
      </c>
      <c r="C18" s="538" t="str">
        <f>_xll.ciqfunctions.udf.CIQ($AI18,"IQ_TR_BUYERNAME")</f>
        <v>Salix Pharmaceuticals, Inc</v>
      </c>
      <c r="D18" s="538" t="str">
        <f>_xll.ciqfunctions.udf.CIQ($AI18,"IQ_TR_TARGETNAME")</f>
        <v>Santarus, Inc.</v>
      </c>
      <c r="E18" s="538" t="str">
        <f>_xll.ciqfunctions.udf.CIQ($AI18, "IQ_PRIMARY_INDUSTRY")</f>
        <v>Pharmaceuticals</v>
      </c>
      <c r="F18" s="539">
        <f>_xll.ciqfunctions.udf.CIQ($AI18, "IQ_TR_PCT_SOUGHT")/100</f>
        <v>1</v>
      </c>
      <c r="G18" s="540" t="str">
        <f>_xll.ciqfunctions.udf.CIQ(AI18, "IQ_TR_MAJ_MIN_STAKE")</f>
        <v>Majority</v>
      </c>
      <c r="I18" s="541">
        <f>_xll.ciqfunctions.udf.CIQ($AI18, "IQ_TR_IMPLIED_EV_FINAL", , $AJ$4,$AJ$5)</f>
        <v>1946.42967</v>
      </c>
      <c r="J18" s="541">
        <f>IF(_xll.ciqfunctions.udf.CIQ(AI18, "IQ_TR_TOTAL_CASH")="n/a",0,_xll.ciqfunctions.udf.CIQ(AI18, "IQ_TR_TOTAL_CASH"))+IF(_xll.ciqfunctions.udf.CIQ(AI18, "IQ_TR_TOTAL_STOCK")="n/a",0,_xll.ciqfunctions.udf.CIQ(AI18, "IQ_TR_TOTAL_STOCK"))</f>
        <v>2154.4326700000001</v>
      </c>
      <c r="K18" s="125">
        <f>_xll.ciqfunctions.udf.CIQ(AI18, "IQ_TR_EARNOUTS")</f>
        <v>0</v>
      </c>
      <c r="L18" s="541">
        <f>IF(_xll.ciqfunctions.udf.CIQ($AI18, "IQ_TR_TOTAL_GROSS_TV",$AJ$4,$AJ$5)=0,"NA",_xll.ciqfunctions.udf.CIQ($AI18, "IQ_TR_TOTAL_GROSS_TV",,"USD"))</f>
        <v>2154.4326700000001</v>
      </c>
      <c r="M18" s="542"/>
      <c r="N18" s="541">
        <f>_xll.ciqfunctions.udf.CIQ($AI18, "IQ_TR_TARGET_TOTAL_REV",,$AJ$4,$AJ$5)</f>
        <v>337.80900000000003</v>
      </c>
      <c r="O18" s="541">
        <f>_xll.ciqfunctions.udf.CIQ($AI18, "IQ_TR_TARGET_EBITDA", , $AJ$4,$AJ$5)</f>
        <v>81.528000000000006</v>
      </c>
      <c r="P18" s="541">
        <f>_xll.ciqfunctions.udf.CIQ($AI18, "IQ_TR_TARGET_EBIT", , $AJ$4,$AJ$5)</f>
        <v>74.905000000000001</v>
      </c>
      <c r="Q18" s="542"/>
      <c r="R18" s="543">
        <f t="shared" si="0"/>
        <v>5.7619236610037028</v>
      </c>
      <c r="S18" s="543">
        <f t="shared" si="0"/>
        <v>23.87437040035325</v>
      </c>
      <c r="T18" s="543">
        <f t="shared" si="0"/>
        <v>25.985310326413458</v>
      </c>
      <c r="U18" s="543">
        <f>IF(_xll.ciqfunctions.udf.CIQ($AI18, "IQ_TR_IMPLIED_EQ_BV")=0,"NA",_xll.ciqfunctions.udf.CIQ($AI18, "IQ_TR_IMPLIED_EQ_BV"))</f>
        <v>9.4087399999999999</v>
      </c>
      <c r="V18" s="543">
        <f>IF(_xll.ciqfunctions.udf.CIQ($AI18, "IQ_TR_IMPLIED_EQ_NI_LTM")=0,"NA",_xll.ciqfunctions.udf.CIQ($AI18, "IQ_TR_IMPLIED_EQ_NI_LTM"))</f>
        <v>16.823090000000001</v>
      </c>
      <c r="W18" s="542"/>
      <c r="X18" s="541">
        <f>_xll.ciqfunctions.udf.CIQ($AI18, "IQ_TR_TARGET_REVENUE_EST",, $AJ$4,$AJ$5)</f>
        <v>440.74299999999999</v>
      </c>
      <c r="Y18" s="541">
        <f>_xll.ciqfunctions.udf.CIQ($AI18, "IQ_TR_TARGET_EBITDA_EST",, $AJ$4,$AJ$5)</f>
        <v>120.5</v>
      </c>
      <c r="Z18" s="541">
        <f>_xll.ciqfunctions.udf.CIQ(AI18, "IQ_TR_IMPLIED_EV_EBIT_FWD")</f>
        <v>14.202999999999999</v>
      </c>
      <c r="AA18" s="542"/>
      <c r="AB18" s="543">
        <f t="shared" si="1"/>
        <v>4.416246361258148</v>
      </c>
      <c r="AC18" s="543">
        <f t="shared" si="1"/>
        <v>16.152943319502075</v>
      </c>
      <c r="AD18" s="543">
        <f t="shared" si="1"/>
        <v>137.04355910723086</v>
      </c>
      <c r="AF18" s="544">
        <f>IF((_xll.ciqfunctions.udf.CIQ($AI18, "IQ_TR_TARGET_STOCKPREMIUM_1W")/100)&lt;=0,"NM",_xll.ciqfunctions.udf.CIQ($AI18, "IQ_TR_TARGET_STOCKPREMIUM_1W")/100)</f>
        <v>0.37162500000000004</v>
      </c>
      <c r="AG18" s="544">
        <f>IF((_xll.ciqfunctions.udf.CIQ($AI18, "IQ_TR_TARGET_STOCKPREMIUM_1M")/100)&lt;=0,"NM",_xll.ciqfunctions.udf.CIQ($AI18, "IQ_TR_TARGET_STOCKPREMIUM_1M")/100)</f>
        <v>0.52018999999999993</v>
      </c>
      <c r="AI18" s="545" t="str">
        <f>+'Capital IQ Sheet-STM'!AK18</f>
        <v>IQTR249981564</v>
      </c>
      <c r="AJ18" s="538" t="str">
        <f>_xll.ciqfunctions.udf.CIQ(AI18, "IQ_BUSINESS_DESCRIPTION")</f>
        <v>Santarus, Inc., a specialty biopharmaceutical company, focuses on acquiring, developing, and commercializing proprietary products that address the needs of patients treated by physician specialists. The company offers UCERIS (budesonide) extended release tablets for the induction of remission in patients with active, mild to moderate ulcerative colitis; and ZEGERID (omeprazole/sodium bicarbonate) for the treatment of certain upper gastrointestinal disorders. It also provides GLUMETZA (metformin hydrochloride extended release tablets) and CYCLOSET (bromocriptine mesylate) tablets, which are indicated as adjuncts to diet and exercise to improve glycemic control in adults with type 2 diabetes; and FENOGLIDE (fenofibrate) tablets, which are indicated as an adjunct to diet to reduce high cholesterol. Santarus' product development pipeline includes the investigational drug RUCONEST (recombinant human C1 esterase inhibitor) for the treatment of acute angioedema attacks in patients with hereditary angioedema. It is also developing Rifamycin SV MMX, which is in Phase III clinical testing for the treatment of travelers' diarrhea. In addition, the company has completed a Phase I clinical program with SAN-300, an investigational monoclonal antibody. Santarus, Inc. was founded in 1996 and is headquartered in San Diego, California. As of December 31, 2013, Santarus, Inc. operates as a subsidiary of Salix Pharmaceuticals, Inc.</v>
      </c>
    </row>
    <row r="19" spans="2:36" s="538" customFormat="1" ht="12.75" customHeight="1">
      <c r="B19" s="537">
        <f>_xll.ciqfunctions.udf.CIQ($AI19,"IQ_TR_CLOSED_DATE")</f>
        <v>41128</v>
      </c>
      <c r="C19" s="538" t="str">
        <f>_xll.ciqfunctions.udf.CIQ($AI19,"IQ_TR_BUYERNAME")</f>
        <v>Bristol-Myers Squibb Company</v>
      </c>
      <c r="D19" s="538" t="str">
        <f>_xll.ciqfunctions.udf.CIQ($AI19,"IQ_TR_TARGETNAME")</f>
        <v>Amylin Pharmaceuticals, LLC</v>
      </c>
      <c r="E19" s="538" t="str">
        <f>_xll.ciqfunctions.udf.CIQ($AI19, "IQ_PRIMARY_INDUSTRY")</f>
        <v>Biotechnology</v>
      </c>
      <c r="F19" s="539">
        <f>_xll.ciqfunctions.udf.CIQ($AI19, "IQ_TR_PCT_SOUGHT")/100</f>
        <v>1</v>
      </c>
      <c r="G19" s="540" t="str">
        <f>_xll.ciqfunctions.udf.CIQ(AI19, "IQ_TR_MAJ_MIN_STAKE")</f>
        <v>Majority</v>
      </c>
      <c r="I19" s="541">
        <f>_xll.ciqfunctions.udf.CIQ($AI19, "IQ_TR_IMPLIED_EV_FINAL", , $AJ$4,$AJ$5)</f>
        <v>6657.0938200000001</v>
      </c>
      <c r="J19" s="541">
        <f>IF(_xll.ciqfunctions.udf.CIQ(AI19, "IQ_TR_TOTAL_CASH")="n/a",0,_xll.ciqfunctions.udf.CIQ(AI19, "IQ_TR_TOTAL_CASH"))+IF(_xll.ciqfunctions.udf.CIQ(AI19, "IQ_TR_TOTAL_STOCK")="n/a",0,_xll.ciqfunctions.udf.CIQ(AI19, "IQ_TR_TOTAL_STOCK"))</f>
        <v>5124.9534199999998</v>
      </c>
      <c r="K19" s="125">
        <f>_xll.ciqfunctions.udf.CIQ(AI19, "IQ_TR_EARNOUTS")</f>
        <v>0</v>
      </c>
      <c r="L19" s="541">
        <f>IF(_xll.ciqfunctions.udf.CIQ($AI19, "IQ_TR_TOTAL_GROSS_TV",$AJ$4,$AJ$5)=0,"NA",_xll.ciqfunctions.udf.CIQ($AI19, "IQ_TR_TOTAL_GROSS_TV",,"USD"))</f>
        <v>6942.3518199999999</v>
      </c>
      <c r="M19" s="542"/>
      <c r="N19" s="541">
        <f>_xll.ciqfunctions.udf.CIQ($AI19, "IQ_TR_TARGET_TOTAL_REV",,$AJ$4,$AJ$5)</f>
        <v>651.65</v>
      </c>
      <c r="O19" s="541">
        <f>_xll.ciqfunctions.udf.CIQ($AI19, "IQ_TR_TARGET_EBITDA", , $AJ$4,$AJ$5)</f>
        <v>-449.55599999999998</v>
      </c>
      <c r="P19" s="541">
        <f>_xll.ciqfunctions.udf.CIQ($AI19, "IQ_TR_TARGET_EBIT", , $AJ$4,$AJ$5)</f>
        <v>-508.28300000000002</v>
      </c>
      <c r="Q19" s="542"/>
      <c r="R19" s="543">
        <f t="shared" si="0"/>
        <v>10.215750510243229</v>
      </c>
      <c r="S19" s="543">
        <f t="shared" si="0"/>
        <v>-14.808152532721174</v>
      </c>
      <c r="T19" s="543">
        <f t="shared" si="0"/>
        <v>-13.097219108252686</v>
      </c>
      <c r="U19" s="543" t="str">
        <f>IF(_xll.ciqfunctions.udf.CIQ($AI19, "IQ_TR_IMPLIED_EQ_BV")=0,"NA",_xll.ciqfunctions.udf.CIQ($AI19, "IQ_TR_IMPLIED_EQ_BV"))</f>
        <v>NM</v>
      </c>
      <c r="V19" s="543" t="str">
        <f>IF(_xll.ciqfunctions.udf.CIQ($AI19, "IQ_TR_IMPLIED_EQ_NI_LTM")=0,"NA",_xll.ciqfunctions.udf.CIQ($AI19, "IQ_TR_IMPLIED_EQ_NI_LTM"))</f>
        <v>NM</v>
      </c>
      <c r="W19" s="542"/>
      <c r="X19" s="541">
        <f>_xll.ciqfunctions.udf.CIQ($AI19, "IQ_TR_TARGET_REVENUE_EST",, $AJ$4,$AJ$5)</f>
        <v>718.67830000000004</v>
      </c>
      <c r="Y19" s="541">
        <f>_xll.ciqfunctions.udf.CIQ($AI19, "IQ_TR_TARGET_EBITDA_EST",, $AJ$4,$AJ$5)</f>
        <v>-21</v>
      </c>
      <c r="Z19" s="541" t="str">
        <f>_xll.ciqfunctions.udf.CIQ(AI19, "IQ_TR_IMPLIED_EV_EBIT_FWD")</f>
        <v>NM</v>
      </c>
      <c r="AA19" s="542"/>
      <c r="AB19" s="543">
        <f t="shared" si="1"/>
        <v>9.2629676170826354</v>
      </c>
      <c r="AC19" s="543">
        <f t="shared" si="1"/>
        <v>-317.0044676190476</v>
      </c>
      <c r="AD19" s="543" t="str">
        <f t="shared" si="1"/>
        <v>n/a</v>
      </c>
      <c r="AF19" s="544">
        <f>IF((_xll.ciqfunctions.udf.CIQ($AI19, "IQ_TR_TARGET_STOCKPREMIUM_1W")/100)&lt;=0,"NM",_xll.ciqfunctions.udf.CIQ($AI19, "IQ_TR_TARGET_STOCKPREMIUM_1W")/100)</f>
        <v>0.110315</v>
      </c>
      <c r="AG19" s="544">
        <f>IF((_xll.ciqfunctions.udf.CIQ($AI19, "IQ_TR_TARGET_STOCKPREMIUM_1M")/100)&lt;=0,"NM",_xll.ciqfunctions.udf.CIQ($AI19, "IQ_TR_TARGET_STOCKPREMIUM_1M")/100)</f>
        <v>0.12973800000000002</v>
      </c>
      <c r="AI19" s="545" t="str">
        <f>+'Capital IQ Sheet-STM'!AK19</f>
        <v>IQTR212731877</v>
      </c>
      <c r="AJ19" s="538" t="str">
        <f>_xll.ciqfunctions.udf.CIQ(AI19, "IQ_BUSINESS_DESCRIPTION")</f>
        <v>Amylin Pharmaceuticals, LLC, a biopharmaceutical company, engages in the discovery, development, and commercialization of drug candidates for the treatment of diabetes, obesity, and other diseases. The company offers BYDUREON (exenatide extended-release for injectable suspension), a once-weekly diabetes treatment as an adjunct to diet and exercise to improve glycemic control in adult patients with type 2 diabetes. Its products include BYETTA (exenatide) injection for the treatment of type 2 diabetes; and SYMLIN (pramlintide acetate) injection for the treatment of type 1 and type 2 diabetes. The company develops a dual chamber cartridge pen configuration of BYDUREON that allow patients to mix and administer BYDUREON from a pre-filled pen device. The company markets its products to healthcare providers, managed healthcare organizations, hospitals, wholesalers and pharmacies, government purchasers, and other third-party payers primarily in the United States. It has a collaboration agreement with Alkermes Controlled Therapeutics, Inc. II for the development, manufacture, and commercialization of BYDUREON; and a strategic relationship with Biocon, Limited, to develop pharmaceutical products for diabetes. The company was founded in 1987 and is headquartered in San Diego, California. Amylin Pharmaceuticals, LLC operates as a subsidiary of AstraZeneca PLC.</v>
      </c>
    </row>
    <row r="20" spans="2:36" s="538" customFormat="1" ht="12.75" customHeight="1">
      <c r="B20" s="537">
        <f>_xll.ciqfunctions.udf.CIQ($AI20,"IQ_TR_CLOSED_DATE")</f>
        <v>40982</v>
      </c>
      <c r="C20" s="538" t="str">
        <f>_xll.ciqfunctions.udf.CIQ($AI20,"IQ_TR_BUYERNAME")</f>
        <v>Islet Sciences, Inc.</v>
      </c>
      <c r="D20" s="538" t="str">
        <f>_xll.ciqfunctions.udf.CIQ($AI20,"IQ_TR_TARGETNAME")</f>
        <v>DiaKine Therapeutics, Inc.</v>
      </c>
      <c r="E20" s="538" t="str">
        <f>_xll.ciqfunctions.udf.CIQ($AI20, "IQ_PRIMARY_INDUSTRY")</f>
        <v>Pharmaceuticals</v>
      </c>
      <c r="F20" s="539">
        <f>_xll.ciqfunctions.udf.CIQ($AI20, "IQ_TR_PCT_SOUGHT")/100</f>
        <v>1</v>
      </c>
      <c r="G20" s="540" t="str">
        <f>_xll.ciqfunctions.udf.CIQ(AI20, "IQ_TR_MAJ_MIN_STAKE")</f>
        <v>Majority</v>
      </c>
      <c r="I20" s="541">
        <f>_xll.ciqfunctions.udf.CIQ($AI20, "IQ_TR_IMPLIED_EV_FINAL", , $AJ$4,$AJ$5)</f>
        <v>0</v>
      </c>
      <c r="J20" s="541">
        <f>IF(_xll.ciqfunctions.udf.CIQ(AI20, "IQ_TR_TOTAL_CASH")="n/a",0,_xll.ciqfunctions.udf.CIQ(AI20, "IQ_TR_TOTAL_CASH"))+IF(_xll.ciqfunctions.udf.CIQ(AI20, "IQ_TR_TOTAL_STOCK")="n/a",0,_xll.ciqfunctions.udf.CIQ(AI20, "IQ_TR_TOTAL_STOCK"))</f>
        <v>0</v>
      </c>
      <c r="K20" s="125">
        <f>_xll.ciqfunctions.udf.CIQ(AI20, "IQ_TR_EARNOUTS")</f>
        <v>0</v>
      </c>
      <c r="L20" s="541">
        <f>IF(_xll.ciqfunctions.udf.CIQ($AI20, "IQ_TR_TOTAL_GROSS_TV",$AJ$4,$AJ$5)=0,"NA",_xll.ciqfunctions.udf.CIQ($AI20, "IQ_TR_TOTAL_GROSS_TV",,"USD"))</f>
        <v>0</v>
      </c>
      <c r="M20" s="542"/>
      <c r="N20" s="541">
        <f>_xll.ciqfunctions.udf.CIQ($AI20, "IQ_TR_TARGET_TOTAL_REV",,$AJ$4,$AJ$5)</f>
        <v>0</v>
      </c>
      <c r="O20" s="541">
        <f>_xll.ciqfunctions.udf.CIQ($AI20, "IQ_TR_TARGET_EBITDA", , $AJ$4,$AJ$5)</f>
        <v>0</v>
      </c>
      <c r="P20" s="541">
        <f>_xll.ciqfunctions.udf.CIQ($AI20, "IQ_TR_TARGET_EBIT", , $AJ$4,$AJ$5)</f>
        <v>0</v>
      </c>
      <c r="Q20" s="542"/>
      <c r="R20" s="543" t="str">
        <f t="shared" si="0"/>
        <v>n/a</v>
      </c>
      <c r="S20" s="543" t="str">
        <f t="shared" si="0"/>
        <v>n/a</v>
      </c>
      <c r="T20" s="543" t="str">
        <f t="shared" si="0"/>
        <v>n/a</v>
      </c>
      <c r="U20" s="543" t="str">
        <f>IF(_xll.ciqfunctions.udf.CIQ($AI20, "IQ_TR_IMPLIED_EQ_BV")=0,"NA",_xll.ciqfunctions.udf.CIQ($AI20, "IQ_TR_IMPLIED_EQ_BV"))</f>
        <v>NA</v>
      </c>
      <c r="V20" s="543" t="str">
        <f>IF(_xll.ciqfunctions.udf.CIQ($AI20, "IQ_TR_IMPLIED_EQ_NI_LTM")=0,"NA",_xll.ciqfunctions.udf.CIQ($AI20, "IQ_TR_IMPLIED_EQ_NI_LTM"))</f>
        <v>NA</v>
      </c>
      <c r="W20" s="542"/>
      <c r="X20" s="541">
        <f>_xll.ciqfunctions.udf.CIQ($AI20, "IQ_TR_TARGET_REVENUE_EST",, $AJ$4,$AJ$5)</f>
        <v>0</v>
      </c>
      <c r="Y20" s="541">
        <f>_xll.ciqfunctions.udf.CIQ($AI20, "IQ_TR_TARGET_EBITDA_EST",, $AJ$4,$AJ$5)</f>
        <v>0</v>
      </c>
      <c r="Z20" s="541">
        <f>_xll.ciqfunctions.udf.CIQ(AI20, "IQ_TR_IMPLIED_EV_EBIT_FWD")</f>
        <v>0</v>
      </c>
      <c r="AA20" s="542"/>
      <c r="AB20" s="543" t="str">
        <f t="shared" si="1"/>
        <v>n/a</v>
      </c>
      <c r="AC20" s="543" t="str">
        <f t="shared" si="1"/>
        <v>n/a</v>
      </c>
      <c r="AD20" s="543" t="str">
        <f t="shared" si="1"/>
        <v>n/a</v>
      </c>
      <c r="AF20" s="544" t="str">
        <f>IF((_xll.ciqfunctions.udf.CIQ($AI20, "IQ_TR_TARGET_STOCKPREMIUM_1W")/100)&lt;=0,"NM",_xll.ciqfunctions.udf.CIQ($AI20, "IQ_TR_TARGET_STOCKPREMIUM_1W")/100)</f>
        <v>NM</v>
      </c>
      <c r="AG20" s="544" t="str">
        <f>IF((_xll.ciqfunctions.udf.CIQ($AI20, "IQ_TR_TARGET_STOCKPREMIUM_1M")/100)&lt;=0,"NM",_xll.ciqfunctions.udf.CIQ($AI20, "IQ_TR_TARGET_STOCKPREMIUM_1M")/100)</f>
        <v>NM</v>
      </c>
      <c r="AI20" s="545" t="str">
        <f>+'Capital IQ Sheet-STM'!AK20</f>
        <v>IQTR171930534</v>
      </c>
      <c r="AJ20" s="538" t="str">
        <f>_xll.ciqfunctions.udf.CIQ(AI20, "IQ_BUSINESS_DESCRIPTION")</f>
        <v>DiaKine Therapeutics, Inc. develops and commercializes therapies for type 1 and type 2 diabetes, and related complications. The company develops immune anti-inflamatory modulators into therapies for preventing inflammatory damage to insulin producing cells in islets and blocking complications that result from diabetes. The company develops Lisofylline, a small-molecule drug that blocks the destructive and inflammatory actions of immune agents called cytokines. The company was incorporated in 2004 and is based in Norfolk, Virginia. As of March 14, 2012, DiaKine Therapeutics, Inc. operates as a subsidiary of Islet Sciences, Inc.</v>
      </c>
    </row>
    <row r="21" spans="2:36" s="538" customFormat="1" ht="12.75" customHeight="1">
      <c r="B21" s="537">
        <f>_xll.ciqfunctions.udf.CIQ($AI21,"IQ_TR_CLOSED_DATE")</f>
        <v>40967</v>
      </c>
      <c r="C21" s="538" t="str">
        <f>_xll.ciqfunctions.udf.CIQ($AI21,"IQ_TR_BUYERNAME")</f>
        <v>CDH Investments; New Horizon Capital; CITIC Private Equity Funds Management Co., Ltd.</v>
      </c>
      <c r="D21" s="538" t="str">
        <f>_xll.ciqfunctions.udf.CIQ($AI21,"IQ_TR_TARGETNAME")</f>
        <v>Luye Pharma Group Ltd.</v>
      </c>
      <c r="E21" s="538" t="str">
        <f>_xll.ciqfunctions.udf.CIQ($AI21, "IQ_PRIMARY_INDUSTRY")</f>
        <v>Pharmaceuticals</v>
      </c>
      <c r="F21" s="539">
        <f>_xll.ciqfunctions.udf.CIQ($AI21, "IQ_TR_PCT_SOUGHT")/100</f>
        <v>0.77410000000000001</v>
      </c>
      <c r="G21" s="540" t="str">
        <f>_xll.ciqfunctions.udf.CIQ(AI21, "IQ_TR_MAJ_MIN_STAKE")</f>
        <v>Majority</v>
      </c>
      <c r="I21" s="541">
        <f>_xll.ciqfunctions.udf.CIQ($AI21, "IQ_TR_IMPLIED_EV_FINAL", , $AJ$4,$AJ$5)</f>
        <v>0</v>
      </c>
      <c r="J21" s="541">
        <f>IF(_xll.ciqfunctions.udf.CIQ(AI21, "IQ_TR_TOTAL_CASH")="n/a",0,_xll.ciqfunctions.udf.CIQ(AI21, "IQ_TR_TOTAL_CASH"))+IF(_xll.ciqfunctions.udf.CIQ(AI21, "IQ_TR_TOTAL_STOCK")="n/a",0,_xll.ciqfunctions.udf.CIQ(AI21, "IQ_TR_TOTAL_STOCK"))</f>
        <v>0</v>
      </c>
      <c r="K21" s="125">
        <f>_xll.ciqfunctions.udf.CIQ(AI21, "IQ_TR_EARNOUTS")</f>
        <v>0</v>
      </c>
      <c r="L21" s="541">
        <f>IF(_xll.ciqfunctions.udf.CIQ($AI21, "IQ_TR_TOTAL_GROSS_TV",$AJ$4,$AJ$5)=0,"NA",_xll.ciqfunctions.udf.CIQ($AI21, "IQ_TR_TOTAL_GROSS_TV",,"USD"))</f>
        <v>0</v>
      </c>
      <c r="M21" s="542"/>
      <c r="N21" s="541">
        <f>_xll.ciqfunctions.udf.CIQ($AI21, "IQ_TR_TARGET_TOTAL_REV",,$AJ$4,$AJ$5)</f>
        <v>281.77444000000003</v>
      </c>
      <c r="O21" s="541">
        <f>_xll.ciqfunctions.udf.CIQ($AI21, "IQ_TR_TARGET_EBITDA", , $AJ$4,$AJ$5)</f>
        <v>46.608649999999997</v>
      </c>
      <c r="P21" s="541">
        <f>_xll.ciqfunctions.udf.CIQ($AI21, "IQ_TR_TARGET_EBIT", , $AJ$4,$AJ$5)</f>
        <v>34.834530000000001</v>
      </c>
      <c r="Q21" s="542"/>
      <c r="R21" s="543">
        <f t="shared" si="0"/>
        <v>0</v>
      </c>
      <c r="S21" s="543">
        <f t="shared" si="0"/>
        <v>0</v>
      </c>
      <c r="T21" s="543">
        <f t="shared" si="0"/>
        <v>0</v>
      </c>
      <c r="U21" s="543" t="str">
        <f>IF(_xll.ciqfunctions.udf.CIQ($AI21, "IQ_TR_IMPLIED_EQ_BV")=0,"NA",_xll.ciqfunctions.udf.CIQ($AI21, "IQ_TR_IMPLIED_EQ_BV"))</f>
        <v>NA</v>
      </c>
      <c r="V21" s="543" t="str">
        <f>IF(_xll.ciqfunctions.udf.CIQ($AI21, "IQ_TR_IMPLIED_EQ_NI_LTM")=0,"NA",_xll.ciqfunctions.udf.CIQ($AI21, "IQ_TR_IMPLIED_EQ_NI_LTM"))</f>
        <v>NA</v>
      </c>
      <c r="W21" s="542"/>
      <c r="X21" s="541">
        <f>_xll.ciqfunctions.udf.CIQ($AI21, "IQ_TR_TARGET_REVENUE_EST",, $AJ$4,$AJ$5)</f>
        <v>0</v>
      </c>
      <c r="Y21" s="541">
        <f>_xll.ciqfunctions.udf.CIQ($AI21, "IQ_TR_TARGET_EBITDA_EST",, $AJ$4,$AJ$5)</f>
        <v>0</v>
      </c>
      <c r="Z21" s="541">
        <f>_xll.ciqfunctions.udf.CIQ(AI21, "IQ_TR_IMPLIED_EV_EBIT_FWD")</f>
        <v>0</v>
      </c>
      <c r="AA21" s="542"/>
      <c r="AB21" s="543" t="str">
        <f t="shared" si="1"/>
        <v>n/a</v>
      </c>
      <c r="AC21" s="543" t="str">
        <f t="shared" si="1"/>
        <v>n/a</v>
      </c>
      <c r="AD21" s="543" t="str">
        <f t="shared" si="1"/>
        <v>n/a</v>
      </c>
      <c r="AF21" s="544" t="str">
        <f>IF((_xll.ciqfunctions.udf.CIQ($AI21, "IQ_TR_TARGET_STOCKPREMIUM_1W")/100)&lt;=0,"NM",_xll.ciqfunctions.udf.CIQ($AI21, "IQ_TR_TARGET_STOCKPREMIUM_1W")/100)</f>
        <v>NM</v>
      </c>
      <c r="AG21" s="544" t="str">
        <f>IF((_xll.ciqfunctions.udf.CIQ($AI21, "IQ_TR_TARGET_STOCKPREMIUM_1M")/100)&lt;=0,"NM",_xll.ciqfunctions.udf.CIQ($AI21, "IQ_TR_TARGET_STOCKPREMIUM_1M")/100)</f>
        <v>NM</v>
      </c>
      <c r="AI21" s="545" t="str">
        <f>+'Capital IQ Sheet-STM'!AK21</f>
        <v>IQTR172621471</v>
      </c>
      <c r="AJ21" s="538" t="str">
        <f>_xll.ciqfunctions.udf.CIQ(AI21, "IQ_BUSINESS_DESCRIPTION")</f>
        <v>Luye Pharma Group Ltd., an investment holding company, develops, produces, markets, and sells pharmaceutical products. The company offers Maitongna for cerebral edema and edema caused by trauma; Xuezhikang, a blood lipid regulator capsule; Tiandida for ovarian or non-small cell lung cancer; Yitaida for acute promyelocytic leukemia and liver cancer; CMNa for tumor radiotherapy; LIPUSU for ovarian, metastatic ovarian, breast, and non-small-cell lung cancer patient; Nuosen for acute upper digestive tract hemorrhage; Bei Tang Ning, a capsule to control blood glucose in patients with type 2 diabetes; Bei Xi, an acarbose capsule for diabetes; and LUTINGNUO, reduced glutathione injection for toxicity, and injuries caused by ionizing radiation, as well as for hypoxemia. It also provides Glucosamine Hydrochloride tablets for osteoarthritis; Xi Ming Ting largetrifoliolious bugbane rhizome total saponin tablets for invigorating splenic yang and relieving depression, and treating perimenopausal syndrome in females, as well as improving the symptoms of hot flashes, sweating, irritability, insomnia, hypochondriac pain, dizziness and tinnitus, aching pain of waist and knee, melancholy, unhappy, etc. In addition, the company provides Oukai sodium aescinate tablets for soft tissue swelling and venous edema; Oulai, a compound sodium aescinate gel for local swelling induced by inflammation, degenerative lesion, and trauma; Sidinuo for osteoporosis and relieving pain induced by osteoporosis; Outong, a capsaicin gel; and Jinsiping selegiline hydrochloride tablets for Parkinson’s disease. Further, it distributes, sells, and retails pharmaceutical drugs; manufactures and sells eggs; and provides business and investment consultation, as well as contract research, process development, and manufacturing services. The company has strategic collaboration with Excel BioPharm LLC. The company was founded in 1994 and is headquartered in Yantai, the People’s Republic of China.</v>
      </c>
    </row>
    <row r="22" spans="2:36" s="538" customFormat="1" ht="12.75" customHeight="1">
      <c r="B22" s="537">
        <f>_xll.ciqfunctions.udf.CIQ($AI22,"IQ_TR_CLOSED_DATE")</f>
        <v>40542</v>
      </c>
      <c r="C22" s="538" t="str">
        <f>_xll.ciqfunctions.udf.CIQ($AI22,"IQ_TR_BUYERNAME")</f>
        <v>Roche Holding AG</v>
      </c>
      <c r="D22" s="538" t="str">
        <f>_xll.ciqfunctions.udf.CIQ($AI22,"IQ_TR_TARGETNAME")</f>
        <v>Marcadia Biotech, Inc.</v>
      </c>
      <c r="E22" s="538" t="str">
        <f>_xll.ciqfunctions.udf.CIQ($AI22, "IQ_PRIMARY_INDUSTRY")</f>
        <v>Biotechnology</v>
      </c>
      <c r="F22" s="539">
        <f>_xll.ciqfunctions.udf.CIQ($AI22, "IQ_TR_PCT_SOUGHT")/100</f>
        <v>1</v>
      </c>
      <c r="G22" s="540" t="str">
        <f>_xll.ciqfunctions.udf.CIQ(AI22, "IQ_TR_MAJ_MIN_STAKE")</f>
        <v>Majority</v>
      </c>
      <c r="I22" s="541">
        <f>_xll.ciqfunctions.udf.CIQ($AI22, "IQ_TR_IMPLIED_EV_FINAL", , $AJ$4,$AJ$5)</f>
        <v>500</v>
      </c>
      <c r="J22" s="541">
        <f>IF(_xll.ciqfunctions.udf.CIQ(AI22, "IQ_TR_TOTAL_CASH")="n/a",0,_xll.ciqfunctions.udf.CIQ(AI22, "IQ_TR_TOTAL_CASH"))+IF(_xll.ciqfunctions.udf.CIQ(AI22, "IQ_TR_TOTAL_STOCK")="n/a",0,_xll.ciqfunctions.udf.CIQ(AI22, "IQ_TR_TOTAL_STOCK"))</f>
        <v>500</v>
      </c>
      <c r="K22" s="125">
        <f>_xll.ciqfunctions.udf.CIQ(AI22, "IQ_TR_EARNOUTS")</f>
        <v>0</v>
      </c>
      <c r="L22" s="541">
        <f>IF(_xll.ciqfunctions.udf.CIQ($AI22, "IQ_TR_TOTAL_GROSS_TV",$AJ$4,$AJ$5)=0,"NA",_xll.ciqfunctions.udf.CIQ($AI22, "IQ_TR_TOTAL_GROSS_TV",,"USD"))</f>
        <v>500</v>
      </c>
      <c r="M22" s="542"/>
      <c r="N22" s="541">
        <f>_xll.ciqfunctions.udf.CIQ($AI22, "IQ_TR_TARGET_TOTAL_REV",,$AJ$4,$AJ$5)</f>
        <v>0</v>
      </c>
      <c r="O22" s="541">
        <f>_xll.ciqfunctions.udf.CIQ($AI22, "IQ_TR_TARGET_EBITDA", , $AJ$4,$AJ$5)</f>
        <v>0</v>
      </c>
      <c r="P22" s="541">
        <f>_xll.ciqfunctions.udf.CIQ($AI22, "IQ_TR_TARGET_EBIT", , $AJ$4,$AJ$5)</f>
        <v>0</v>
      </c>
      <c r="Q22" s="542"/>
      <c r="R22" s="543" t="str">
        <f t="shared" si="0"/>
        <v>n/a</v>
      </c>
      <c r="S22" s="543" t="str">
        <f t="shared" si="0"/>
        <v>n/a</v>
      </c>
      <c r="T22" s="543" t="str">
        <f t="shared" si="0"/>
        <v>n/a</v>
      </c>
      <c r="U22" s="543" t="str">
        <f>IF(_xll.ciqfunctions.udf.CIQ($AI22, "IQ_TR_IMPLIED_EQ_BV")=0,"NA",_xll.ciqfunctions.udf.CIQ($AI22, "IQ_TR_IMPLIED_EQ_BV"))</f>
        <v>NA</v>
      </c>
      <c r="V22" s="543" t="str">
        <f>IF(_xll.ciqfunctions.udf.CIQ($AI22, "IQ_TR_IMPLIED_EQ_NI_LTM")=0,"NA",_xll.ciqfunctions.udf.CIQ($AI22, "IQ_TR_IMPLIED_EQ_NI_LTM"))</f>
        <v>NA</v>
      </c>
      <c r="W22" s="542"/>
      <c r="X22" s="541">
        <f>_xll.ciqfunctions.udf.CIQ($AI22, "IQ_TR_TARGET_REVENUE_EST",, $AJ$4,$AJ$5)</f>
        <v>0</v>
      </c>
      <c r="Y22" s="541">
        <f>_xll.ciqfunctions.udf.CIQ($AI22, "IQ_TR_TARGET_EBITDA_EST",, $AJ$4,$AJ$5)</f>
        <v>0</v>
      </c>
      <c r="Z22" s="541">
        <f>_xll.ciqfunctions.udf.CIQ(AI22, "IQ_TR_IMPLIED_EV_EBIT_FWD")</f>
        <v>0</v>
      </c>
      <c r="AA22" s="542"/>
      <c r="AB22" s="543" t="str">
        <f t="shared" si="1"/>
        <v>n/a</v>
      </c>
      <c r="AC22" s="543" t="str">
        <f t="shared" si="1"/>
        <v>n/a</v>
      </c>
      <c r="AD22" s="543" t="str">
        <f t="shared" si="1"/>
        <v>n/a</v>
      </c>
      <c r="AF22" s="544" t="str">
        <f>IF((_xll.ciqfunctions.udf.CIQ($AI22, "IQ_TR_TARGET_STOCKPREMIUM_1W")/100)&lt;=0,"NM",_xll.ciqfunctions.udf.CIQ($AI22, "IQ_TR_TARGET_STOCKPREMIUM_1W")/100)</f>
        <v>NM</v>
      </c>
      <c r="AG22" s="544" t="str">
        <f>IF((_xll.ciqfunctions.udf.CIQ($AI22, "IQ_TR_TARGET_STOCKPREMIUM_1M")/100)&lt;=0,"NM",_xll.ciqfunctions.udf.CIQ($AI22, "IQ_TR_TARGET_STOCKPREMIUM_1M")/100)</f>
        <v>NM</v>
      </c>
      <c r="AI22" s="545" t="str">
        <f>+'Capital IQ Sheet-STM'!AK22</f>
        <v>IQTR117803920</v>
      </c>
      <c r="AJ22" s="538" t="str">
        <f>_xll.ciqfunctions.udf.CIQ(AI22, "IQ_BUSINESS_DESCRIPTION")</f>
        <v>Marcadia Biotech, Inc. discovers, develops, and commercializes drug candidates and biopharmaceutical products for the treatment of diabetes, obesity, and metabolic diseases. It has a strategic collaboration with Merck &amp; Co., Inc. The company was formerly known as PhySci Pharmaceuticals, Inc. and changed its name to Marcadia Biotech, Inc. in 2006. The company was founded in 2005 and is based in Nutley, New Jersey. As of December 30, 2010, Marcadia Biotech, Inc. operates as a subsidiary of Roche Holding AG.</v>
      </c>
    </row>
    <row r="23" spans="2:36" s="538" customFormat="1" ht="12.75" customHeight="1">
      <c r="B23" s="537">
        <f>_xll.ciqfunctions.udf.CIQ($AI23,"IQ_TR_CLOSED_DATE")</f>
        <v>0</v>
      </c>
      <c r="C23" s="538" t="str">
        <f>_xll.ciqfunctions.udf.CIQ($AI23,"IQ_TR_BUYERNAME")</f>
        <v>Sanofi-Aventis (nka:Sanofi)</v>
      </c>
      <c r="D23" s="538" t="str">
        <f>_xll.ciqfunctions.udf.CIQ($AI23,"IQ_TR_TARGETNAME")</f>
        <v>Metabolex, Inc., MBX-2982 Novel Type 2 Diabetes Treatment Product Line</v>
      </c>
      <c r="E23" s="538" t="str">
        <f>_xll.ciqfunctions.udf.CIQ($AI23, "IQ_PRIMARY_INDUSTRY")</f>
        <v>Pharmaceuticals</v>
      </c>
      <c r="F23" s="539">
        <f>_xll.ciqfunctions.udf.CIQ($AI23, "IQ_TR_PCT_SOUGHT")/100</f>
        <v>1</v>
      </c>
      <c r="G23" s="540" t="str">
        <f>_xll.ciqfunctions.udf.CIQ(AI23, "IQ_TR_MAJ_MIN_STAKE")</f>
        <v>Majority</v>
      </c>
      <c r="I23" s="541">
        <f>_xll.ciqfunctions.udf.CIQ($AI23, "IQ_TR_IMPLIED_EV_FINAL", , $AJ$4,$AJ$5)</f>
        <v>0</v>
      </c>
      <c r="J23" s="541">
        <f>IF(_xll.ciqfunctions.udf.CIQ(AI23, "IQ_TR_TOTAL_CASH")="n/a",0,_xll.ciqfunctions.udf.CIQ(AI23, "IQ_TR_TOTAL_CASH"))+IF(_xll.ciqfunctions.udf.CIQ(AI23, "IQ_TR_TOTAL_STOCK")="n/a",0,_xll.ciqfunctions.udf.CIQ(AI23, "IQ_TR_TOTAL_STOCK"))</f>
        <v>0</v>
      </c>
      <c r="K23" s="125">
        <f>_xll.ciqfunctions.udf.CIQ(AI23, "IQ_TR_EARNOUTS")</f>
        <v>0</v>
      </c>
      <c r="L23" s="541">
        <f>IF(_xll.ciqfunctions.udf.CIQ($AI23, "IQ_TR_TOTAL_GROSS_TV",$AJ$4,$AJ$5)=0,"NA",_xll.ciqfunctions.udf.CIQ($AI23, "IQ_TR_TOTAL_GROSS_TV",,"USD"))</f>
        <v>375</v>
      </c>
      <c r="M23" s="542"/>
      <c r="N23" s="541">
        <f>_xll.ciqfunctions.udf.CIQ($AI23, "IQ_TR_TARGET_TOTAL_REV",,$AJ$4,$AJ$5)</f>
        <v>0</v>
      </c>
      <c r="O23" s="541">
        <f>_xll.ciqfunctions.udf.CIQ($AI23, "IQ_TR_TARGET_EBITDA", , $AJ$4,$AJ$5)</f>
        <v>0</v>
      </c>
      <c r="P23" s="541">
        <f>_xll.ciqfunctions.udf.CIQ($AI23, "IQ_TR_TARGET_EBIT", , $AJ$4,$AJ$5)</f>
        <v>0</v>
      </c>
      <c r="Q23" s="542"/>
      <c r="R23" s="543" t="str">
        <f t="shared" si="0"/>
        <v>n/a</v>
      </c>
      <c r="S23" s="543" t="str">
        <f t="shared" si="0"/>
        <v>n/a</v>
      </c>
      <c r="T23" s="543" t="str">
        <f t="shared" si="0"/>
        <v>n/a</v>
      </c>
      <c r="U23" s="543" t="str">
        <f>IF(_xll.ciqfunctions.udf.CIQ($AI23, "IQ_TR_IMPLIED_EQ_BV")=0,"NA",_xll.ciqfunctions.udf.CIQ($AI23, "IQ_TR_IMPLIED_EQ_BV"))</f>
        <v>NA</v>
      </c>
      <c r="V23" s="543" t="str">
        <f>IF(_xll.ciqfunctions.udf.CIQ($AI23, "IQ_TR_IMPLIED_EQ_NI_LTM")=0,"NA",_xll.ciqfunctions.udf.CIQ($AI23, "IQ_TR_IMPLIED_EQ_NI_LTM"))</f>
        <v>NA</v>
      </c>
      <c r="W23" s="542"/>
      <c r="X23" s="541">
        <f>_xll.ciqfunctions.udf.CIQ($AI23, "IQ_TR_TARGET_REVENUE_EST",, $AJ$4,$AJ$5)</f>
        <v>0</v>
      </c>
      <c r="Y23" s="541">
        <f>_xll.ciqfunctions.udf.CIQ($AI23, "IQ_TR_TARGET_EBITDA_EST",, $AJ$4,$AJ$5)</f>
        <v>0</v>
      </c>
      <c r="Z23" s="541">
        <f>_xll.ciqfunctions.udf.CIQ(AI23, "IQ_TR_IMPLIED_EV_EBIT_FWD")</f>
        <v>0</v>
      </c>
      <c r="AA23" s="542"/>
      <c r="AB23" s="543" t="str">
        <f t="shared" si="1"/>
        <v>n/a</v>
      </c>
      <c r="AC23" s="543" t="str">
        <f t="shared" si="1"/>
        <v>n/a</v>
      </c>
      <c r="AD23" s="543" t="str">
        <f t="shared" si="1"/>
        <v>n/a</v>
      </c>
      <c r="AF23" s="544" t="str">
        <f>IF((_xll.ciqfunctions.udf.CIQ($AI23, "IQ_TR_TARGET_STOCKPREMIUM_1W")/100)&lt;=0,"NM",_xll.ciqfunctions.udf.CIQ($AI23, "IQ_TR_TARGET_STOCKPREMIUM_1W")/100)</f>
        <v>NM</v>
      </c>
      <c r="AG23" s="544" t="str">
        <f>IF((_xll.ciqfunctions.udf.CIQ($AI23, "IQ_TR_TARGET_STOCKPREMIUM_1M")/100)&lt;=0,"NM",_xll.ciqfunctions.udf.CIQ($AI23, "IQ_TR_TARGET_STOCKPREMIUM_1M")/100)</f>
        <v>NM</v>
      </c>
      <c r="AI23" s="545" t="str">
        <f>+'Capital IQ Sheet-STM'!AK23</f>
        <v>IQTR108906276</v>
      </c>
      <c r="AJ23" s="538" t="str">
        <f>_xll.ciqfunctions.udf.CIQ(AI23, "IQ_BUSINESS_DESCRIPTION")</f>
        <v>Metabolex, Inc., MBX-2982 Novel Type 2 Diabetes Treatment Product Line comprises MBX-2982, a potent selective orally active GPR119 agonist for type 2 diabetes. Metabolex, Inc. is based in Hayward, California.</v>
      </c>
    </row>
    <row r="24" spans="2:36" s="538" customFormat="1" ht="12.75" customHeight="1">
      <c r="B24" s="537" t="str">
        <f>_xll.ciqfunctions.udf.CIQ($AI24,"IQ_TR_CLOSED_DATE")</f>
        <v>(Invalid Transaction Id)</v>
      </c>
      <c r="C24" s="538" t="str">
        <f>_xll.ciqfunctions.udf.CIQ($AI24,"IQ_TR_BUYERNAME")</f>
        <v>(Invalid Transaction Id)</v>
      </c>
      <c r="D24" s="538" t="str">
        <f>_xll.ciqfunctions.udf.CIQ($AI24,"IQ_TR_TARGETNAME")</f>
        <v>(Invalid Transaction Id)</v>
      </c>
      <c r="E24" s="538">
        <f>_xll.ciqfunctions.udf.CIQ($AI24, "IQ_PRIMARY_INDUSTRY")</f>
        <v>0</v>
      </c>
      <c r="F24" s="539" t="e">
        <f>_xll.ciqfunctions.udf.CIQ($AI24, "IQ_TR_PCT_SOUGHT")/100</f>
        <v>#VALUE!</v>
      </c>
      <c r="G24" s="540" t="str">
        <f>_xll.ciqfunctions.udf.CIQ(AI24, "IQ_TR_MAJ_MIN_STAKE")</f>
        <v>(Invalid Transaction Id)</v>
      </c>
      <c r="I24" s="541" t="str">
        <f>_xll.ciqfunctions.udf.CIQ($AI24, "IQ_TR_IMPLIED_EV_FINAL", , $AJ$4,$AJ$5)</f>
        <v>(Invalid Transaction Id)</v>
      </c>
      <c r="J24" s="541" t="e">
        <f>IF(_xll.ciqfunctions.udf.CIQ(AI24, "IQ_TR_TOTAL_CASH")="n/a",0,_xll.ciqfunctions.udf.CIQ(AI24, "IQ_TR_TOTAL_CASH"))+IF(_xll.ciqfunctions.udf.CIQ(AI24, "IQ_TR_TOTAL_STOCK")="n/a",0,_xll.ciqfunctions.udf.CIQ(AI24, "IQ_TR_TOTAL_STOCK"))</f>
        <v>#VALUE!</v>
      </c>
      <c r="K24" s="125" t="str">
        <f>_xll.ciqfunctions.udf.CIQ(AI24, "IQ_TR_EARNOUTS")</f>
        <v>(Invalid Transaction Id)</v>
      </c>
      <c r="L24" s="541" t="str">
        <f>IF(_xll.ciqfunctions.udf.CIQ($AI24, "IQ_TR_TOTAL_GROSS_TV",$AJ$4,$AJ$5)=0,"NA",_xll.ciqfunctions.udf.CIQ($AI24, "IQ_TR_TOTAL_GROSS_TV",,"USD"))</f>
        <v>(Invalid Transaction Id)</v>
      </c>
      <c r="M24" s="542"/>
      <c r="N24" s="541" t="str">
        <f>_xll.ciqfunctions.udf.CIQ($AI24, "IQ_TR_TARGET_TOTAL_REV",,$AJ$4,$AJ$5)</f>
        <v>(Invalid Transaction Id)</v>
      </c>
      <c r="O24" s="541" t="str">
        <f>_xll.ciqfunctions.udf.CIQ($AI24, "IQ_TR_TARGET_EBITDA", , $AJ$4,$AJ$5)</f>
        <v>(Invalid Transaction Id)</v>
      </c>
      <c r="P24" s="541" t="str">
        <f>_xll.ciqfunctions.udf.CIQ($AI24, "IQ_TR_TARGET_EBIT", , $AJ$4,$AJ$5)</f>
        <v>(Invalid Transaction Id)</v>
      </c>
      <c r="Q24" s="542"/>
      <c r="R24" s="543" t="str">
        <f t="shared" si="0"/>
        <v>n/a</v>
      </c>
      <c r="S24" s="543" t="str">
        <f t="shared" si="0"/>
        <v>n/a</v>
      </c>
      <c r="T24" s="543" t="str">
        <f t="shared" si="0"/>
        <v>n/a</v>
      </c>
      <c r="U24" s="543" t="str">
        <f>IF(_xll.ciqfunctions.udf.CIQ($AI24, "IQ_TR_IMPLIED_EQ_BV")=0,"NA",_xll.ciqfunctions.udf.CIQ($AI24, "IQ_TR_IMPLIED_EQ_BV"))</f>
        <v>(Invalid Transaction Id)</v>
      </c>
      <c r="V24" s="543" t="str">
        <f>IF(_xll.ciqfunctions.udf.CIQ($AI24, "IQ_TR_IMPLIED_EQ_NI_LTM")=0,"NA",_xll.ciqfunctions.udf.CIQ($AI24, "IQ_TR_IMPLIED_EQ_NI_LTM"))</f>
        <v>(Invalid Transaction Id)</v>
      </c>
      <c r="W24" s="542"/>
      <c r="X24" s="541" t="str">
        <f>_xll.ciqfunctions.udf.CIQ($AI24, "IQ_TR_TARGET_REVENUE_EST",, $AJ$4,$AJ$5)</f>
        <v>(Invalid Transaction Id)</v>
      </c>
      <c r="Y24" s="541" t="str">
        <f>_xll.ciqfunctions.udf.CIQ($AI24, "IQ_TR_TARGET_EBITDA_EST",, $AJ$4,$AJ$5)</f>
        <v>(Invalid Transaction Id)</v>
      </c>
      <c r="Z24" s="541" t="str">
        <f>_xll.ciqfunctions.udf.CIQ(AI24, "IQ_TR_IMPLIED_EV_EBIT_FWD")</f>
        <v>(Invalid Transaction Id)</v>
      </c>
      <c r="AA24" s="542"/>
      <c r="AB24" s="543" t="str">
        <f t="shared" si="1"/>
        <v>n/a</v>
      </c>
      <c r="AC24" s="543" t="str">
        <f t="shared" si="1"/>
        <v>n/a</v>
      </c>
      <c r="AD24" s="543" t="str">
        <f t="shared" si="1"/>
        <v>n/a</v>
      </c>
      <c r="AF24" s="544" t="e">
        <f>IF((_xll.ciqfunctions.udf.CIQ($AI24, "IQ_TR_TARGET_STOCKPREMIUM_1W")/100)&lt;=0,"NM",_xll.ciqfunctions.udf.CIQ($AI24, "IQ_TR_TARGET_STOCKPREMIUM_1W")/100)</f>
        <v>#VALUE!</v>
      </c>
      <c r="AG24" s="544" t="e">
        <f>IF((_xll.ciqfunctions.udf.CIQ($AI24, "IQ_TR_TARGET_STOCKPREMIUM_1M")/100)&lt;=0,"NM",_xll.ciqfunctions.udf.CIQ($AI24, "IQ_TR_TARGET_STOCKPREMIUM_1M")/100)</f>
        <v>#VALUE!</v>
      </c>
      <c r="AI24" s="545">
        <f>+'Capital IQ Sheet-STM'!AK24</f>
        <v>0</v>
      </c>
      <c r="AJ24" s="538">
        <f>_xll.ciqfunctions.udf.CIQ(AI24, "IQ_BUSINESS_DESCRIPTION")</f>
        <v>0</v>
      </c>
    </row>
    <row r="25" spans="2:36" s="538" customFormat="1" ht="12.75" customHeight="1">
      <c r="B25" s="537" t="str">
        <f>_xll.ciqfunctions.udf.CIQ($AI25,"IQ_TR_CLOSED_DATE")</f>
        <v>(Invalid Transaction Id)</v>
      </c>
      <c r="C25" s="538" t="str">
        <f>_xll.ciqfunctions.udf.CIQ($AI25,"IQ_TR_BUYERNAME")</f>
        <v>(Invalid Transaction Id)</v>
      </c>
      <c r="D25" s="538" t="str">
        <f>_xll.ciqfunctions.udf.CIQ($AI25,"IQ_TR_TARGETNAME")</f>
        <v>(Invalid Transaction Id)</v>
      </c>
      <c r="E25" s="538">
        <f>_xll.ciqfunctions.udf.CIQ($AI25, "IQ_PRIMARY_INDUSTRY")</f>
        <v>0</v>
      </c>
      <c r="F25" s="539" t="e">
        <f>_xll.ciqfunctions.udf.CIQ($AI25, "IQ_TR_PCT_SOUGHT")/100</f>
        <v>#VALUE!</v>
      </c>
      <c r="G25" s="540" t="str">
        <f>_xll.ciqfunctions.udf.CIQ(AI25, "IQ_TR_MAJ_MIN_STAKE")</f>
        <v>(Invalid Transaction Id)</v>
      </c>
      <c r="I25" s="541" t="str">
        <f>_xll.ciqfunctions.udf.CIQ($AI25, "IQ_TR_IMPLIED_EV_FINAL", , $AJ$4,$AJ$5)</f>
        <v>(Invalid Transaction Id)</v>
      </c>
      <c r="J25" s="541" t="e">
        <f>IF(_xll.ciqfunctions.udf.CIQ(AI25, "IQ_TR_TOTAL_CASH")="n/a",0,_xll.ciqfunctions.udf.CIQ(AI25, "IQ_TR_TOTAL_CASH"))+IF(_xll.ciqfunctions.udf.CIQ(AI25, "IQ_TR_TOTAL_STOCK")="n/a",0,_xll.ciqfunctions.udf.CIQ(AI25, "IQ_TR_TOTAL_STOCK"))</f>
        <v>#VALUE!</v>
      </c>
      <c r="K25" s="125" t="str">
        <f>_xll.ciqfunctions.udf.CIQ(AI25, "IQ_TR_EARNOUTS")</f>
        <v>(Invalid Transaction Id)</v>
      </c>
      <c r="L25" s="541" t="str">
        <f>IF(_xll.ciqfunctions.udf.CIQ($AI25, "IQ_TR_TOTAL_GROSS_TV",$AJ$4,$AJ$5)=0,"NA",_xll.ciqfunctions.udf.CIQ($AI25, "IQ_TR_TOTAL_GROSS_TV",,"USD"))</f>
        <v>(Invalid Transaction Id)</v>
      </c>
      <c r="M25" s="542"/>
      <c r="N25" s="541" t="str">
        <f>_xll.ciqfunctions.udf.CIQ($AI25, "IQ_TR_TARGET_TOTAL_REV",,$AJ$4,$AJ$5)</f>
        <v>(Invalid Transaction Id)</v>
      </c>
      <c r="O25" s="541" t="str">
        <f>_xll.ciqfunctions.udf.CIQ($AI25, "IQ_TR_TARGET_EBITDA", , $AJ$4,$AJ$5)</f>
        <v>(Invalid Transaction Id)</v>
      </c>
      <c r="P25" s="541" t="str">
        <f>_xll.ciqfunctions.udf.CIQ($AI25, "IQ_TR_TARGET_EBIT", , $AJ$4,$AJ$5)</f>
        <v>(Invalid Transaction Id)</v>
      </c>
      <c r="Q25" s="542"/>
      <c r="R25" s="543" t="str">
        <f t="shared" si="0"/>
        <v>n/a</v>
      </c>
      <c r="S25" s="543" t="str">
        <f t="shared" si="0"/>
        <v>n/a</v>
      </c>
      <c r="T25" s="543" t="str">
        <f t="shared" si="0"/>
        <v>n/a</v>
      </c>
      <c r="U25" s="543" t="str">
        <f>IF(_xll.ciqfunctions.udf.CIQ($AI25, "IQ_TR_IMPLIED_EQ_BV")=0,"NA",_xll.ciqfunctions.udf.CIQ($AI25, "IQ_TR_IMPLIED_EQ_BV"))</f>
        <v>(Invalid Transaction Id)</v>
      </c>
      <c r="V25" s="543" t="str">
        <f>IF(_xll.ciqfunctions.udf.CIQ($AI25, "IQ_TR_IMPLIED_EQ_NI_LTM")=0,"NA",_xll.ciqfunctions.udf.CIQ($AI25, "IQ_TR_IMPLIED_EQ_NI_LTM"))</f>
        <v>(Invalid Transaction Id)</v>
      </c>
      <c r="W25" s="542"/>
      <c r="X25" s="541" t="str">
        <f>_xll.ciqfunctions.udf.CIQ($AI25, "IQ_TR_TARGET_REVENUE_EST",, $AJ$4,$AJ$5)</f>
        <v>(Invalid Transaction Id)</v>
      </c>
      <c r="Y25" s="541" t="str">
        <f>_xll.ciqfunctions.udf.CIQ($AI25, "IQ_TR_TARGET_EBITDA_EST",, $AJ$4,$AJ$5)</f>
        <v>(Invalid Transaction Id)</v>
      </c>
      <c r="Z25" s="541" t="str">
        <f>_xll.ciqfunctions.udf.CIQ(AI25, "IQ_TR_IMPLIED_EV_EBIT_FWD")</f>
        <v>(Invalid Transaction Id)</v>
      </c>
      <c r="AA25" s="542"/>
      <c r="AB25" s="543" t="str">
        <f t="shared" si="1"/>
        <v>n/a</v>
      </c>
      <c r="AC25" s="543" t="str">
        <f t="shared" si="1"/>
        <v>n/a</v>
      </c>
      <c r="AD25" s="543" t="str">
        <f t="shared" si="1"/>
        <v>n/a</v>
      </c>
      <c r="AF25" s="544" t="e">
        <f>IF((_xll.ciqfunctions.udf.CIQ($AI25, "IQ_TR_TARGET_STOCKPREMIUM_1W")/100)&lt;=0,"NM",_xll.ciqfunctions.udf.CIQ($AI25, "IQ_TR_TARGET_STOCKPREMIUM_1W")/100)</f>
        <v>#VALUE!</v>
      </c>
      <c r="AG25" s="544" t="e">
        <f>IF((_xll.ciqfunctions.udf.CIQ($AI25, "IQ_TR_TARGET_STOCKPREMIUM_1M")/100)&lt;=0,"NM",_xll.ciqfunctions.udf.CIQ($AI25, "IQ_TR_TARGET_STOCKPREMIUM_1M")/100)</f>
        <v>#VALUE!</v>
      </c>
      <c r="AI25" s="545">
        <f>+'Capital IQ Sheet-STM'!AK24</f>
        <v>0</v>
      </c>
      <c r="AJ25" s="538">
        <f>_xll.ciqfunctions.udf.CIQ(AI25, "IQ_BUSINESS_DESCRIPTION")</f>
        <v>0</v>
      </c>
    </row>
    <row r="26" spans="2:36" s="538" customFormat="1" ht="12.75" customHeight="1">
      <c r="B26" s="537" t="str">
        <f>_xll.ciqfunctions.udf.CIQ($AI26,"IQ_TR_CLOSED_DATE")</f>
        <v>(Invalid Transaction Id)</v>
      </c>
      <c r="C26" s="538" t="str">
        <f>_xll.ciqfunctions.udf.CIQ($AI26,"IQ_TR_BUYERNAME")</f>
        <v>(Invalid Transaction Id)</v>
      </c>
      <c r="D26" s="538" t="str">
        <f>_xll.ciqfunctions.udf.CIQ($AI26,"IQ_TR_TARGETNAME")</f>
        <v>(Invalid Transaction Id)</v>
      </c>
      <c r="E26" s="538">
        <f>_xll.ciqfunctions.udf.CIQ($AI26, "IQ_PRIMARY_INDUSTRY")</f>
        <v>0</v>
      </c>
      <c r="F26" s="539" t="e">
        <f>_xll.ciqfunctions.udf.CIQ($AI26, "IQ_TR_PCT_SOUGHT")/100</f>
        <v>#VALUE!</v>
      </c>
      <c r="G26" s="540" t="str">
        <f>_xll.ciqfunctions.udf.CIQ(AI26, "IQ_TR_MAJ_MIN_STAKE")</f>
        <v>(Invalid Transaction Id)</v>
      </c>
      <c r="I26" s="541" t="str">
        <f>_xll.ciqfunctions.udf.CIQ($AI26, "IQ_TR_IMPLIED_EV_FINAL", , $AJ$4,$AJ$5)</f>
        <v>(Invalid Transaction Id)</v>
      </c>
      <c r="J26" s="541" t="e">
        <f>IF(_xll.ciqfunctions.udf.CIQ(AI26, "IQ_TR_TOTAL_CASH")="n/a",0,_xll.ciqfunctions.udf.CIQ(AI26, "IQ_TR_TOTAL_CASH"))+IF(_xll.ciqfunctions.udf.CIQ(AI26, "IQ_TR_TOTAL_STOCK")="n/a",0,_xll.ciqfunctions.udf.CIQ(AI26, "IQ_TR_TOTAL_STOCK"))</f>
        <v>#VALUE!</v>
      </c>
      <c r="K26" s="125" t="str">
        <f>_xll.ciqfunctions.udf.CIQ(AI26, "IQ_TR_EARNOUTS")</f>
        <v>(Invalid Transaction Id)</v>
      </c>
      <c r="L26" s="541" t="str">
        <f>IF(_xll.ciqfunctions.udf.CIQ($AI26, "IQ_TR_TOTAL_GROSS_TV",$AJ$4,$AJ$5)=0,"NA",_xll.ciqfunctions.udf.CIQ($AI26, "IQ_TR_TOTAL_GROSS_TV",,"USD"))</f>
        <v>(Invalid Transaction Id)</v>
      </c>
      <c r="M26" s="542"/>
      <c r="N26" s="541" t="str">
        <f>_xll.ciqfunctions.udf.CIQ($AI26, "IQ_TR_TARGET_TOTAL_REV",,$AJ$4,$AJ$5)</f>
        <v>(Invalid Transaction Id)</v>
      </c>
      <c r="O26" s="541" t="str">
        <f>_xll.ciqfunctions.udf.CIQ($AI26, "IQ_TR_TARGET_EBITDA", , $AJ$4,$AJ$5)</f>
        <v>(Invalid Transaction Id)</v>
      </c>
      <c r="P26" s="541" t="str">
        <f>_xll.ciqfunctions.udf.CIQ($AI26, "IQ_TR_TARGET_EBIT", , $AJ$4,$AJ$5)</f>
        <v>(Invalid Transaction Id)</v>
      </c>
      <c r="Q26" s="542"/>
      <c r="R26" s="543" t="str">
        <f t="shared" si="0"/>
        <v>n/a</v>
      </c>
      <c r="S26" s="543" t="str">
        <f t="shared" si="0"/>
        <v>n/a</v>
      </c>
      <c r="T26" s="543" t="str">
        <f t="shared" si="0"/>
        <v>n/a</v>
      </c>
      <c r="U26" s="543" t="str">
        <f>IF(_xll.ciqfunctions.udf.CIQ($AI26, "IQ_TR_IMPLIED_EQ_BV")=0,"NA",_xll.ciqfunctions.udf.CIQ($AI26, "IQ_TR_IMPLIED_EQ_BV"))</f>
        <v>(Invalid Transaction Id)</v>
      </c>
      <c r="V26" s="543" t="str">
        <f>IF(_xll.ciqfunctions.udf.CIQ($AI26, "IQ_TR_IMPLIED_EQ_NI_LTM")=0,"NA",_xll.ciqfunctions.udf.CIQ($AI26, "IQ_TR_IMPLIED_EQ_NI_LTM"))</f>
        <v>(Invalid Transaction Id)</v>
      </c>
      <c r="W26" s="542"/>
      <c r="X26" s="541" t="str">
        <f>_xll.ciqfunctions.udf.CIQ($AI26, "IQ_TR_TARGET_REVENUE_EST",, $AJ$4,$AJ$5)</f>
        <v>(Invalid Transaction Id)</v>
      </c>
      <c r="Y26" s="541" t="str">
        <f>_xll.ciqfunctions.udf.CIQ($AI26, "IQ_TR_TARGET_EBITDA_EST",, $AJ$4,$AJ$5)</f>
        <v>(Invalid Transaction Id)</v>
      </c>
      <c r="Z26" s="541" t="str">
        <f>_xll.ciqfunctions.udf.CIQ(AI26, "IQ_TR_IMPLIED_EV_EBIT_FWD")</f>
        <v>(Invalid Transaction Id)</v>
      </c>
      <c r="AA26" s="542"/>
      <c r="AB26" s="543" t="str">
        <f t="shared" si="1"/>
        <v>n/a</v>
      </c>
      <c r="AC26" s="543" t="str">
        <f t="shared" si="1"/>
        <v>n/a</v>
      </c>
      <c r="AD26" s="543" t="str">
        <f t="shared" si="1"/>
        <v>n/a</v>
      </c>
      <c r="AF26" s="544" t="e">
        <f>IF((_xll.ciqfunctions.udf.CIQ($AI26, "IQ_TR_TARGET_STOCKPREMIUM_1W")/100)&lt;=0,"NM",_xll.ciqfunctions.udf.CIQ($AI26, "IQ_TR_TARGET_STOCKPREMIUM_1W")/100)</f>
        <v>#VALUE!</v>
      </c>
      <c r="AG26" s="544" t="e">
        <f>IF((_xll.ciqfunctions.udf.CIQ($AI26, "IQ_TR_TARGET_STOCKPREMIUM_1M")/100)&lt;=0,"NM",_xll.ciqfunctions.udf.CIQ($AI26, "IQ_TR_TARGET_STOCKPREMIUM_1M")/100)</f>
        <v>#VALUE!</v>
      </c>
      <c r="AI26" s="545">
        <f>+'Capital IQ Sheet-STM'!AK25</f>
        <v>0</v>
      </c>
      <c r="AJ26" s="538">
        <f>_xll.ciqfunctions.udf.CIQ(AI26, "IQ_BUSINESS_DESCRIPTION")</f>
        <v>0</v>
      </c>
    </row>
    <row r="27" spans="2:36" s="538" customFormat="1" ht="12.75" customHeight="1">
      <c r="B27" s="537" t="str">
        <f>_xll.ciqfunctions.udf.CIQ($AI27,"IQ_TR_CLOSED_DATE")</f>
        <v>(Invalid Transaction Id)</v>
      </c>
      <c r="C27" s="538" t="str">
        <f>_xll.ciqfunctions.udf.CIQ($AI27,"IQ_TR_BUYERNAME")</f>
        <v>(Invalid Transaction Id)</v>
      </c>
      <c r="D27" s="538" t="str">
        <f>_xll.ciqfunctions.udf.CIQ($AI27,"IQ_TR_TARGETNAME")</f>
        <v>(Invalid Transaction Id)</v>
      </c>
      <c r="E27" s="538">
        <f>_xll.ciqfunctions.udf.CIQ($AI27, "IQ_PRIMARY_INDUSTRY")</f>
        <v>0</v>
      </c>
      <c r="F27" s="539" t="e">
        <f>_xll.ciqfunctions.udf.CIQ($AI27, "IQ_TR_PCT_SOUGHT")/100</f>
        <v>#VALUE!</v>
      </c>
      <c r="G27" s="540" t="str">
        <f>_xll.ciqfunctions.udf.CIQ(AI27, "IQ_TR_MAJ_MIN_STAKE")</f>
        <v>(Invalid Transaction Id)</v>
      </c>
      <c r="I27" s="541" t="str">
        <f>_xll.ciqfunctions.udf.CIQ($AI27, "IQ_TR_IMPLIED_EV_FINAL", , $AJ$4,$AJ$5)</f>
        <v>(Invalid Transaction Id)</v>
      </c>
      <c r="J27" s="541" t="e">
        <f>IF(_xll.ciqfunctions.udf.CIQ(AI27, "IQ_TR_TOTAL_CASH")="n/a",0,_xll.ciqfunctions.udf.CIQ(AI27, "IQ_TR_TOTAL_CASH"))+IF(_xll.ciqfunctions.udf.CIQ(AI27, "IQ_TR_TOTAL_STOCK")="n/a",0,_xll.ciqfunctions.udf.CIQ(AI27, "IQ_TR_TOTAL_STOCK"))</f>
        <v>#VALUE!</v>
      </c>
      <c r="K27" s="125" t="str">
        <f>_xll.ciqfunctions.udf.CIQ(AI27, "IQ_TR_EARNOUTS")</f>
        <v>(Invalid Transaction Id)</v>
      </c>
      <c r="L27" s="541" t="str">
        <f>IF(_xll.ciqfunctions.udf.CIQ($AI27, "IQ_TR_TOTAL_GROSS_TV",$AJ$4,$AJ$5)=0,"NA",_xll.ciqfunctions.udf.CIQ($AI27, "IQ_TR_TOTAL_GROSS_TV",,"USD"))</f>
        <v>(Invalid Transaction Id)</v>
      </c>
      <c r="M27" s="542"/>
      <c r="N27" s="541" t="str">
        <f>_xll.ciqfunctions.udf.CIQ($AI27, "IQ_TR_TARGET_TOTAL_REV",,$AJ$4,$AJ$5)</f>
        <v>(Invalid Transaction Id)</v>
      </c>
      <c r="O27" s="541" t="str">
        <f>_xll.ciqfunctions.udf.CIQ($AI27, "IQ_TR_TARGET_EBITDA", , $AJ$4,$AJ$5)</f>
        <v>(Invalid Transaction Id)</v>
      </c>
      <c r="P27" s="541" t="str">
        <f>_xll.ciqfunctions.udf.CIQ($AI27, "IQ_TR_TARGET_EBIT", , $AJ$4,$AJ$5)</f>
        <v>(Invalid Transaction Id)</v>
      </c>
      <c r="Q27" s="542"/>
      <c r="R27" s="543" t="str">
        <f t="shared" si="0"/>
        <v>n/a</v>
      </c>
      <c r="S27" s="543" t="str">
        <f t="shared" si="0"/>
        <v>n/a</v>
      </c>
      <c r="T27" s="543" t="str">
        <f t="shared" si="0"/>
        <v>n/a</v>
      </c>
      <c r="U27" s="543" t="str">
        <f>IF(_xll.ciqfunctions.udf.CIQ($AI27, "IQ_TR_IMPLIED_EQ_BV")=0,"NA",_xll.ciqfunctions.udf.CIQ($AI27, "IQ_TR_IMPLIED_EQ_BV"))</f>
        <v>(Invalid Transaction Id)</v>
      </c>
      <c r="V27" s="543" t="str">
        <f>IF(_xll.ciqfunctions.udf.CIQ($AI27, "IQ_TR_IMPLIED_EQ_NI_LTM")=0,"NA",_xll.ciqfunctions.udf.CIQ($AI27, "IQ_TR_IMPLIED_EQ_NI_LTM"))</f>
        <v>(Invalid Transaction Id)</v>
      </c>
      <c r="W27" s="542"/>
      <c r="X27" s="541" t="str">
        <f>_xll.ciqfunctions.udf.CIQ($AI27, "IQ_TR_TARGET_REVENUE_EST",, $AJ$4,$AJ$5)</f>
        <v>(Invalid Transaction Id)</v>
      </c>
      <c r="Y27" s="541" t="str">
        <f>_xll.ciqfunctions.udf.CIQ($AI27, "IQ_TR_TARGET_EBITDA_EST",, $AJ$4,$AJ$5)</f>
        <v>(Invalid Transaction Id)</v>
      </c>
      <c r="Z27" s="541" t="str">
        <f>_xll.ciqfunctions.udf.CIQ(AI27, "IQ_TR_IMPLIED_EV_EBIT_FWD")</f>
        <v>(Invalid Transaction Id)</v>
      </c>
      <c r="AA27" s="542"/>
      <c r="AB27" s="543" t="str">
        <f t="shared" si="1"/>
        <v>n/a</v>
      </c>
      <c r="AC27" s="543" t="str">
        <f t="shared" si="1"/>
        <v>n/a</v>
      </c>
      <c r="AD27" s="543" t="str">
        <f t="shared" si="1"/>
        <v>n/a</v>
      </c>
      <c r="AF27" s="544" t="e">
        <f>IF((_xll.ciqfunctions.udf.CIQ($AI27, "IQ_TR_TARGET_STOCKPREMIUM_1W")/100)&lt;=0,"NM",_xll.ciqfunctions.udf.CIQ($AI27, "IQ_TR_TARGET_STOCKPREMIUM_1W")/100)</f>
        <v>#VALUE!</v>
      </c>
      <c r="AG27" s="544" t="e">
        <f>IF((_xll.ciqfunctions.udf.CIQ($AI27, "IQ_TR_TARGET_STOCKPREMIUM_1M")/100)&lt;=0,"NM",_xll.ciqfunctions.udf.CIQ($AI27, "IQ_TR_TARGET_STOCKPREMIUM_1M")/100)</f>
        <v>#VALUE!</v>
      </c>
      <c r="AI27" s="545">
        <f>+'Capital IQ Sheet-STM'!AK26</f>
        <v>0</v>
      </c>
      <c r="AJ27" s="538">
        <f>_xll.ciqfunctions.udf.CIQ(AI27, "IQ_BUSINESS_DESCRIPTION")</f>
        <v>0</v>
      </c>
    </row>
    <row r="28" spans="2:36" s="538" customFormat="1" ht="12.75" customHeight="1">
      <c r="B28" s="537" t="str">
        <f>_xll.ciqfunctions.udf.CIQ($AI28,"IQ_TR_CLOSED_DATE")</f>
        <v>(Invalid Transaction Id)</v>
      </c>
      <c r="C28" s="538" t="str">
        <f>_xll.ciqfunctions.udf.CIQ($AI28,"IQ_TR_BUYERNAME")</f>
        <v>(Invalid Transaction Id)</v>
      </c>
      <c r="D28" s="538" t="str">
        <f>_xll.ciqfunctions.udf.CIQ($AI28,"IQ_TR_TARGETNAME")</f>
        <v>(Invalid Transaction Id)</v>
      </c>
      <c r="E28" s="538">
        <f>_xll.ciqfunctions.udf.CIQ($AI28, "IQ_PRIMARY_INDUSTRY")</f>
        <v>0</v>
      </c>
      <c r="F28" s="539" t="e">
        <f>_xll.ciqfunctions.udf.CIQ($AI28, "IQ_TR_PCT_SOUGHT")/100</f>
        <v>#VALUE!</v>
      </c>
      <c r="G28" s="540" t="str">
        <f>_xll.ciqfunctions.udf.CIQ(AI28, "IQ_TR_MAJ_MIN_STAKE")</f>
        <v>(Invalid Transaction Id)</v>
      </c>
      <c r="I28" s="541" t="str">
        <f>_xll.ciqfunctions.udf.CIQ($AI28, "IQ_TR_IMPLIED_EV_FINAL", , $AJ$4,$AJ$5)</f>
        <v>(Invalid Transaction Id)</v>
      </c>
      <c r="J28" s="541" t="e">
        <f>IF(_xll.ciqfunctions.udf.CIQ(AI28, "IQ_TR_TOTAL_CASH")="n/a",0,_xll.ciqfunctions.udf.CIQ(AI28, "IQ_TR_TOTAL_CASH"))+IF(_xll.ciqfunctions.udf.CIQ(AI28, "IQ_TR_TOTAL_STOCK")="n/a",0,_xll.ciqfunctions.udf.CIQ(AI28, "IQ_TR_TOTAL_STOCK"))</f>
        <v>#VALUE!</v>
      </c>
      <c r="K28" s="125" t="str">
        <f>_xll.ciqfunctions.udf.CIQ(AI28, "IQ_TR_EARNOUTS")</f>
        <v>(Invalid Transaction Id)</v>
      </c>
      <c r="L28" s="541" t="str">
        <f>IF(_xll.ciqfunctions.udf.CIQ($AI28, "IQ_TR_TOTAL_GROSS_TV",$AJ$4,$AJ$5)=0,"NA",_xll.ciqfunctions.udf.CIQ($AI28, "IQ_TR_TOTAL_GROSS_TV",,"USD"))</f>
        <v>(Invalid Transaction Id)</v>
      </c>
      <c r="M28" s="542"/>
      <c r="N28" s="541" t="str">
        <f>_xll.ciqfunctions.udf.CIQ($AI28, "IQ_TR_TARGET_TOTAL_REV",,$AJ$4,$AJ$5)</f>
        <v>(Invalid Transaction Id)</v>
      </c>
      <c r="O28" s="541" t="str">
        <f>_xll.ciqfunctions.udf.CIQ($AI28, "IQ_TR_TARGET_EBITDA", , $AJ$4,$AJ$5)</f>
        <v>(Invalid Transaction Id)</v>
      </c>
      <c r="P28" s="541" t="str">
        <f>_xll.ciqfunctions.udf.CIQ($AI28, "IQ_TR_TARGET_EBIT", , $AJ$4,$AJ$5)</f>
        <v>(Invalid Transaction Id)</v>
      </c>
      <c r="Q28" s="542"/>
      <c r="R28" s="543" t="str">
        <f t="shared" si="0"/>
        <v>n/a</v>
      </c>
      <c r="S28" s="543" t="str">
        <f t="shared" si="0"/>
        <v>n/a</v>
      </c>
      <c r="T28" s="543" t="str">
        <f t="shared" si="0"/>
        <v>n/a</v>
      </c>
      <c r="U28" s="543" t="str">
        <f>IF(_xll.ciqfunctions.udf.CIQ($AI28, "IQ_TR_IMPLIED_EQ_BV")=0,"NA",_xll.ciqfunctions.udf.CIQ($AI28, "IQ_TR_IMPLIED_EQ_BV"))</f>
        <v>(Invalid Transaction Id)</v>
      </c>
      <c r="V28" s="543" t="str">
        <f>IF(_xll.ciqfunctions.udf.CIQ($AI28, "IQ_TR_IMPLIED_EQ_NI_LTM")=0,"NA",_xll.ciqfunctions.udf.CIQ($AI28, "IQ_TR_IMPLIED_EQ_NI_LTM"))</f>
        <v>(Invalid Transaction Id)</v>
      </c>
      <c r="W28" s="542"/>
      <c r="X28" s="541" t="str">
        <f>_xll.ciqfunctions.udf.CIQ($AI28, "IQ_TR_TARGET_REVENUE_EST",, $AJ$4,$AJ$5)</f>
        <v>(Invalid Transaction Id)</v>
      </c>
      <c r="Y28" s="541" t="str">
        <f>_xll.ciqfunctions.udf.CIQ($AI28, "IQ_TR_TARGET_EBITDA_EST",, $AJ$4,$AJ$5)</f>
        <v>(Invalid Transaction Id)</v>
      </c>
      <c r="Z28" s="541" t="str">
        <f>_xll.ciqfunctions.udf.CIQ(AI28, "IQ_TR_IMPLIED_EV_EBIT_FWD")</f>
        <v>(Invalid Transaction Id)</v>
      </c>
      <c r="AA28" s="542"/>
      <c r="AB28" s="543" t="str">
        <f t="shared" si="1"/>
        <v>n/a</v>
      </c>
      <c r="AC28" s="543" t="str">
        <f t="shared" si="1"/>
        <v>n/a</v>
      </c>
      <c r="AD28" s="543" t="str">
        <f t="shared" si="1"/>
        <v>n/a</v>
      </c>
      <c r="AF28" s="544" t="e">
        <f>IF((_xll.ciqfunctions.udf.CIQ($AI28, "IQ_TR_TARGET_STOCKPREMIUM_1W")/100)&lt;=0,"NM",_xll.ciqfunctions.udf.CIQ($AI28, "IQ_TR_TARGET_STOCKPREMIUM_1W")/100)</f>
        <v>#VALUE!</v>
      </c>
      <c r="AG28" s="544" t="e">
        <f>IF((_xll.ciqfunctions.udf.CIQ($AI28, "IQ_TR_TARGET_STOCKPREMIUM_1M")/100)&lt;=0,"NM",_xll.ciqfunctions.udf.CIQ($AI28, "IQ_TR_TARGET_STOCKPREMIUM_1M")/100)</f>
        <v>#VALUE!</v>
      </c>
      <c r="AI28" s="545">
        <f>+'Capital IQ Sheet-STM'!AK27</f>
        <v>0</v>
      </c>
      <c r="AJ28" s="538">
        <f>_xll.ciqfunctions.udf.CIQ(AI28, "IQ_BUSINESS_DESCRIPTION")</f>
        <v>0</v>
      </c>
    </row>
    <row r="29" spans="2:36" s="538" customFormat="1" ht="12.75" customHeight="1">
      <c r="B29" s="537" t="str">
        <f>_xll.ciqfunctions.udf.CIQ($AI29,"IQ_TR_CLOSED_DATE")</f>
        <v>(Invalid Transaction Id)</v>
      </c>
      <c r="C29" s="538" t="str">
        <f>_xll.ciqfunctions.udf.CIQ($AI29,"IQ_TR_BUYERNAME")</f>
        <v>(Invalid Transaction Id)</v>
      </c>
      <c r="D29" s="538" t="str">
        <f>_xll.ciqfunctions.udf.CIQ($AI29,"IQ_TR_TARGETNAME")</f>
        <v>(Invalid Transaction Id)</v>
      </c>
      <c r="E29" s="538">
        <f>_xll.ciqfunctions.udf.CIQ($AI29, "IQ_PRIMARY_INDUSTRY")</f>
        <v>0</v>
      </c>
      <c r="F29" s="539" t="e">
        <f>_xll.ciqfunctions.udf.CIQ($AI29, "IQ_TR_PCT_SOUGHT")/100</f>
        <v>#VALUE!</v>
      </c>
      <c r="G29" s="540" t="str">
        <f>_xll.ciqfunctions.udf.CIQ(AI29, "IQ_TR_MAJ_MIN_STAKE")</f>
        <v>(Invalid Transaction Id)</v>
      </c>
      <c r="I29" s="541" t="str">
        <f>_xll.ciqfunctions.udf.CIQ($AI29, "IQ_TR_IMPLIED_EV_FINAL", , $AJ$4,$AJ$5)</f>
        <v>(Invalid Transaction Id)</v>
      </c>
      <c r="J29" s="541" t="e">
        <f>IF(_xll.ciqfunctions.udf.CIQ(AI29, "IQ_TR_TOTAL_CASH")="n/a",0,_xll.ciqfunctions.udf.CIQ(AI29, "IQ_TR_TOTAL_CASH"))+IF(_xll.ciqfunctions.udf.CIQ(AI29, "IQ_TR_TOTAL_STOCK")="n/a",0,_xll.ciqfunctions.udf.CIQ(AI29, "IQ_TR_TOTAL_STOCK"))</f>
        <v>#VALUE!</v>
      </c>
      <c r="K29" s="125" t="str">
        <f>_xll.ciqfunctions.udf.CIQ(AI29, "IQ_TR_EARNOUTS")</f>
        <v>(Invalid Transaction Id)</v>
      </c>
      <c r="L29" s="541" t="str">
        <f>IF(_xll.ciqfunctions.udf.CIQ($AI29, "IQ_TR_TOTAL_GROSS_TV",$AJ$4,$AJ$5)=0,"NA",_xll.ciqfunctions.udf.CIQ($AI29, "IQ_TR_TOTAL_GROSS_TV",,"USD"))</f>
        <v>(Invalid Transaction Id)</v>
      </c>
      <c r="M29" s="542"/>
      <c r="N29" s="541" t="str">
        <f>_xll.ciqfunctions.udf.CIQ($AI29, "IQ_TR_TARGET_TOTAL_REV",,$AJ$4,$AJ$5)</f>
        <v>(Invalid Transaction Id)</v>
      </c>
      <c r="O29" s="541" t="str">
        <f>_xll.ciqfunctions.udf.CIQ($AI29, "IQ_TR_TARGET_EBITDA", , $AJ$4,$AJ$5)</f>
        <v>(Invalid Transaction Id)</v>
      </c>
      <c r="P29" s="541" t="str">
        <f>_xll.ciqfunctions.udf.CIQ($AI29, "IQ_TR_TARGET_EBIT", , $AJ$4,$AJ$5)</f>
        <v>(Invalid Transaction Id)</v>
      </c>
      <c r="Q29" s="542"/>
      <c r="R29" s="543" t="str">
        <f t="shared" si="0"/>
        <v>n/a</v>
      </c>
      <c r="S29" s="543" t="str">
        <f t="shared" si="0"/>
        <v>n/a</v>
      </c>
      <c r="T29" s="543" t="str">
        <f t="shared" si="0"/>
        <v>n/a</v>
      </c>
      <c r="U29" s="543" t="str">
        <f>IF(_xll.ciqfunctions.udf.CIQ($AI29, "IQ_TR_IMPLIED_EQ_BV")=0,"NA",_xll.ciqfunctions.udf.CIQ($AI29, "IQ_TR_IMPLIED_EQ_BV"))</f>
        <v>(Invalid Transaction Id)</v>
      </c>
      <c r="V29" s="543" t="str">
        <f>IF(_xll.ciqfunctions.udf.CIQ($AI29, "IQ_TR_IMPLIED_EQ_NI_LTM")=0,"NA",_xll.ciqfunctions.udf.CIQ($AI29, "IQ_TR_IMPLIED_EQ_NI_LTM"))</f>
        <v>(Invalid Transaction Id)</v>
      </c>
      <c r="W29" s="542"/>
      <c r="X29" s="541" t="str">
        <f>_xll.ciqfunctions.udf.CIQ($AI29, "IQ_TR_TARGET_REVENUE_EST",, $AJ$4,$AJ$5)</f>
        <v>(Invalid Transaction Id)</v>
      </c>
      <c r="Y29" s="541" t="str">
        <f>_xll.ciqfunctions.udf.CIQ($AI29, "IQ_TR_TARGET_EBITDA_EST",, $AJ$4,$AJ$5)</f>
        <v>(Invalid Transaction Id)</v>
      </c>
      <c r="Z29" s="541" t="str">
        <f>_xll.ciqfunctions.udf.CIQ(AI29, "IQ_TR_IMPLIED_EV_EBIT_FWD")</f>
        <v>(Invalid Transaction Id)</v>
      </c>
      <c r="AA29" s="542"/>
      <c r="AB29" s="543" t="str">
        <f t="shared" si="1"/>
        <v>n/a</v>
      </c>
      <c r="AC29" s="543" t="str">
        <f t="shared" si="1"/>
        <v>n/a</v>
      </c>
      <c r="AD29" s="543" t="str">
        <f t="shared" si="1"/>
        <v>n/a</v>
      </c>
      <c r="AF29" s="544" t="e">
        <f>IF((_xll.ciqfunctions.udf.CIQ($AI29, "IQ_TR_TARGET_STOCKPREMIUM_1W")/100)&lt;=0,"NM",_xll.ciqfunctions.udf.CIQ($AI29, "IQ_TR_TARGET_STOCKPREMIUM_1W")/100)</f>
        <v>#VALUE!</v>
      </c>
      <c r="AG29" s="544" t="e">
        <f>IF((_xll.ciqfunctions.udf.CIQ($AI29, "IQ_TR_TARGET_STOCKPREMIUM_1M")/100)&lt;=0,"NM",_xll.ciqfunctions.udf.CIQ($AI29, "IQ_TR_TARGET_STOCKPREMIUM_1M")/100)</f>
        <v>#VALUE!</v>
      </c>
      <c r="AI29" s="545">
        <f>+'Capital IQ Sheet-STM'!AK28</f>
        <v>0</v>
      </c>
      <c r="AJ29" s="538">
        <f>_xll.ciqfunctions.udf.CIQ(AI29, "IQ_BUSINESS_DESCRIPTION")</f>
        <v>0</v>
      </c>
    </row>
    <row r="30" spans="2:36" s="538" customFormat="1" ht="12.75" customHeight="1">
      <c r="B30" s="537"/>
      <c r="F30" s="539"/>
      <c r="G30" s="540"/>
      <c r="I30" s="541"/>
      <c r="J30" s="541"/>
      <c r="K30" s="541"/>
      <c r="L30" s="541"/>
      <c r="M30" s="542"/>
      <c r="N30" s="541"/>
      <c r="O30" s="541"/>
      <c r="P30" s="541"/>
      <c r="Q30" s="542"/>
      <c r="R30" s="543"/>
      <c r="S30" s="543"/>
      <c r="T30" s="543"/>
      <c r="U30" s="543"/>
      <c r="V30" s="543"/>
      <c r="W30" s="542"/>
      <c r="X30" s="541"/>
      <c r="Y30" s="541"/>
      <c r="Z30" s="541"/>
      <c r="AA30" s="542"/>
      <c r="AB30" s="543"/>
      <c r="AC30" s="543"/>
      <c r="AD30" s="543"/>
      <c r="AF30" s="544"/>
      <c r="AG30" s="544"/>
      <c r="AI30" s="545">
        <f>+'Capital IQ Sheet-STM'!AK29</f>
        <v>0</v>
      </c>
    </row>
    <row r="31" spans="2:36" s="538" customFormat="1" ht="12.75" customHeight="1">
      <c r="B31" s="537"/>
      <c r="F31" s="539"/>
      <c r="G31" s="540"/>
      <c r="I31" s="541"/>
      <c r="J31" s="541"/>
      <c r="K31" s="541"/>
      <c r="L31" s="541"/>
      <c r="M31" s="542"/>
      <c r="N31" s="541"/>
      <c r="O31" s="541"/>
      <c r="P31" s="541"/>
      <c r="Q31" s="542"/>
      <c r="R31" s="543"/>
      <c r="S31" s="543"/>
      <c r="T31" s="543"/>
      <c r="U31" s="543"/>
      <c r="V31" s="543"/>
      <c r="W31" s="542"/>
      <c r="X31" s="541"/>
      <c r="Y31" s="541"/>
      <c r="Z31" s="541"/>
      <c r="AA31" s="542"/>
      <c r="AB31" s="543"/>
      <c r="AC31" s="543"/>
      <c r="AD31" s="543"/>
      <c r="AF31" s="544"/>
      <c r="AG31" s="544"/>
      <c r="AI31" s="545">
        <f>+'Capital IQ Sheet-STM'!AK30</f>
        <v>0</v>
      </c>
    </row>
    <row r="32" spans="2:36" s="538" customFormat="1" ht="12.75" customHeight="1">
      <c r="B32" s="537"/>
      <c r="F32" s="539"/>
      <c r="G32" s="540"/>
      <c r="I32" s="541"/>
      <c r="J32" s="541"/>
      <c r="K32" s="541"/>
      <c r="L32" s="541"/>
      <c r="M32" s="542"/>
      <c r="N32" s="541"/>
      <c r="O32" s="541"/>
      <c r="P32" s="541"/>
      <c r="Q32" s="542"/>
      <c r="R32" s="543"/>
      <c r="S32" s="543"/>
      <c r="T32" s="543"/>
      <c r="U32" s="543"/>
      <c r="V32" s="543"/>
      <c r="W32" s="542"/>
      <c r="X32" s="541"/>
      <c r="Y32" s="541"/>
      <c r="Z32" s="541"/>
      <c r="AA32" s="542"/>
      <c r="AB32" s="543"/>
      <c r="AC32" s="543"/>
      <c r="AD32" s="543"/>
      <c r="AF32" s="544"/>
      <c r="AG32" s="544"/>
      <c r="AI32" s="545">
        <f>+'Capital IQ Sheet-STM'!AK31</f>
        <v>0</v>
      </c>
    </row>
    <row r="33" spans="2:35" s="538" customFormat="1" ht="12.75" customHeight="1">
      <c r="B33" s="537"/>
      <c r="F33" s="539"/>
      <c r="G33" s="540"/>
      <c r="I33" s="541"/>
      <c r="J33" s="541"/>
      <c r="K33" s="541"/>
      <c r="L33" s="541"/>
      <c r="M33" s="542"/>
      <c r="N33" s="541"/>
      <c r="O33" s="541"/>
      <c r="P33" s="541"/>
      <c r="Q33" s="542"/>
      <c r="R33" s="543"/>
      <c r="S33" s="543"/>
      <c r="T33" s="543"/>
      <c r="U33" s="543"/>
      <c r="V33" s="543"/>
      <c r="W33" s="542"/>
      <c r="X33" s="541"/>
      <c r="Y33" s="541"/>
      <c r="Z33" s="541"/>
      <c r="AA33" s="542"/>
      <c r="AB33" s="543"/>
      <c r="AC33" s="543"/>
      <c r="AD33" s="543"/>
      <c r="AF33" s="544"/>
      <c r="AG33" s="544"/>
      <c r="AI33" s="545">
        <f>+'Capital IQ Sheet-STM'!AK32</f>
        <v>0</v>
      </c>
    </row>
    <row r="34" spans="2:35" s="538" customFormat="1" ht="12.75" customHeight="1">
      <c r="B34" s="537"/>
      <c r="F34" s="539"/>
      <c r="G34" s="540"/>
      <c r="I34" s="541"/>
      <c r="J34" s="541"/>
      <c r="K34" s="541"/>
      <c r="L34" s="541"/>
      <c r="M34" s="542"/>
      <c r="N34" s="541"/>
      <c r="O34" s="541"/>
      <c r="P34" s="541"/>
      <c r="Q34" s="542"/>
      <c r="R34" s="543"/>
      <c r="S34" s="543"/>
      <c r="T34" s="543"/>
      <c r="U34" s="543"/>
      <c r="V34" s="543"/>
      <c r="W34" s="542"/>
      <c r="X34" s="541"/>
      <c r="Y34" s="541"/>
      <c r="Z34" s="541"/>
      <c r="AA34" s="542"/>
      <c r="AB34" s="543"/>
      <c r="AC34" s="543"/>
      <c r="AD34" s="543"/>
      <c r="AF34" s="544"/>
      <c r="AG34" s="544"/>
      <c r="AI34" s="545">
        <f>+'Capital IQ Sheet-STM'!AK33</f>
        <v>0</v>
      </c>
    </row>
    <row r="35" spans="2:35" s="538" customFormat="1" ht="12.75" customHeight="1">
      <c r="B35" s="537"/>
      <c r="F35" s="539"/>
      <c r="G35" s="540"/>
      <c r="I35" s="541"/>
      <c r="J35" s="541"/>
      <c r="K35" s="541"/>
      <c r="L35" s="541"/>
      <c r="M35" s="542"/>
      <c r="N35" s="541"/>
      <c r="O35" s="541"/>
      <c r="P35" s="541"/>
      <c r="Q35" s="542"/>
      <c r="R35" s="543"/>
      <c r="S35" s="543"/>
      <c r="T35" s="543"/>
      <c r="U35" s="543"/>
      <c r="V35" s="543"/>
      <c r="W35" s="542"/>
      <c r="X35" s="541"/>
      <c r="Y35" s="541"/>
      <c r="Z35" s="541"/>
      <c r="AA35" s="542"/>
      <c r="AB35" s="543"/>
      <c r="AC35" s="543"/>
      <c r="AD35" s="543"/>
      <c r="AF35" s="544"/>
      <c r="AG35" s="544"/>
      <c r="AI35" s="545">
        <f>+'Capital IQ Sheet-STM'!AK34</f>
        <v>0</v>
      </c>
    </row>
    <row r="36" spans="2:35" s="538" customFormat="1" ht="12.75" customHeight="1">
      <c r="B36" s="537"/>
      <c r="F36" s="539"/>
      <c r="G36" s="540"/>
      <c r="I36" s="541"/>
      <c r="J36" s="541"/>
      <c r="K36" s="541"/>
      <c r="L36" s="541"/>
      <c r="M36" s="542"/>
      <c r="N36" s="541"/>
      <c r="O36" s="541"/>
      <c r="P36" s="541"/>
      <c r="Q36" s="542"/>
      <c r="R36" s="543"/>
      <c r="S36" s="543"/>
      <c r="T36" s="543"/>
      <c r="U36" s="543"/>
      <c r="V36" s="543"/>
      <c r="W36" s="542"/>
      <c r="X36" s="541"/>
      <c r="Y36" s="541"/>
      <c r="Z36" s="541"/>
      <c r="AA36" s="542"/>
      <c r="AB36" s="543"/>
      <c r="AC36" s="543"/>
      <c r="AD36" s="543"/>
      <c r="AF36" s="544"/>
      <c r="AG36" s="544"/>
      <c r="AI36" s="545">
        <f>+'Capital IQ Sheet-STM'!AK35</f>
        <v>0</v>
      </c>
    </row>
    <row r="37" spans="2:35" s="538" customFormat="1" ht="12.75" customHeight="1">
      <c r="B37" s="537"/>
      <c r="F37" s="539"/>
      <c r="G37" s="540"/>
      <c r="I37" s="541"/>
      <c r="J37" s="541"/>
      <c r="K37" s="541"/>
      <c r="L37" s="541"/>
      <c r="M37" s="542"/>
      <c r="N37" s="541"/>
      <c r="O37" s="541"/>
      <c r="P37" s="541"/>
      <c r="Q37" s="542"/>
      <c r="R37" s="543"/>
      <c r="S37" s="543"/>
      <c r="T37" s="543"/>
      <c r="U37" s="543"/>
      <c r="V37" s="543"/>
      <c r="W37" s="542"/>
      <c r="X37" s="541"/>
      <c r="Y37" s="541"/>
      <c r="Z37" s="541"/>
      <c r="AA37" s="542"/>
      <c r="AB37" s="543"/>
      <c r="AC37" s="543"/>
      <c r="AD37" s="543"/>
      <c r="AF37" s="544"/>
      <c r="AG37" s="544"/>
      <c r="AI37" s="545">
        <f>+'Capital IQ Sheet-STM'!AK36</f>
        <v>0</v>
      </c>
    </row>
    <row r="38" spans="2:35" s="538" customFormat="1" ht="12.75" customHeight="1">
      <c r="B38" s="537"/>
      <c r="F38" s="539"/>
      <c r="G38" s="540"/>
      <c r="I38" s="541"/>
      <c r="J38" s="541"/>
      <c r="K38" s="541"/>
      <c r="L38" s="541"/>
      <c r="M38" s="542"/>
      <c r="N38" s="541"/>
      <c r="O38" s="541"/>
      <c r="P38" s="541"/>
      <c r="Q38" s="542"/>
      <c r="R38" s="543"/>
      <c r="S38" s="543"/>
      <c r="T38" s="543"/>
      <c r="U38" s="543"/>
      <c r="V38" s="543"/>
      <c r="W38" s="542"/>
      <c r="X38" s="541"/>
      <c r="Y38" s="541"/>
      <c r="Z38" s="541"/>
      <c r="AA38" s="542"/>
      <c r="AB38" s="543"/>
      <c r="AC38" s="543"/>
      <c r="AD38" s="543"/>
      <c r="AF38" s="544"/>
      <c r="AG38" s="544"/>
      <c r="AI38" s="545">
        <f>+'Capital IQ Sheet-STM'!AK37</f>
        <v>0</v>
      </c>
    </row>
    <row r="39" spans="2:35" s="538" customFormat="1" ht="12.75" customHeight="1">
      <c r="B39" s="537"/>
      <c r="F39" s="539"/>
      <c r="G39" s="540"/>
      <c r="I39" s="541"/>
      <c r="J39" s="541"/>
      <c r="K39" s="541"/>
      <c r="L39" s="541"/>
      <c r="M39" s="542"/>
      <c r="N39" s="541"/>
      <c r="O39" s="541"/>
      <c r="P39" s="541"/>
      <c r="Q39" s="542"/>
      <c r="R39" s="543"/>
      <c r="S39" s="543"/>
      <c r="T39" s="543"/>
      <c r="U39" s="543"/>
      <c r="V39" s="543"/>
      <c r="W39" s="542"/>
      <c r="X39" s="541"/>
      <c r="Y39" s="541"/>
      <c r="Z39" s="541"/>
      <c r="AA39" s="542"/>
      <c r="AB39" s="543"/>
      <c r="AC39" s="543"/>
      <c r="AD39" s="543"/>
      <c r="AF39" s="544"/>
      <c r="AG39" s="544"/>
      <c r="AI39" s="545">
        <f>+'Capital IQ Sheet-STM'!AK38</f>
        <v>0</v>
      </c>
    </row>
    <row r="40" spans="2:35" s="538" customFormat="1" ht="12.75" customHeight="1">
      <c r="B40" s="537"/>
      <c r="F40" s="539"/>
      <c r="G40" s="540"/>
      <c r="I40" s="541"/>
      <c r="J40" s="541"/>
      <c r="K40" s="541"/>
      <c r="L40" s="541"/>
      <c r="M40" s="542"/>
      <c r="N40" s="541"/>
      <c r="O40" s="541"/>
      <c r="P40" s="541"/>
      <c r="Q40" s="542"/>
      <c r="R40" s="543"/>
      <c r="S40" s="543"/>
      <c r="T40" s="543"/>
      <c r="U40" s="543"/>
      <c r="V40" s="543"/>
      <c r="W40" s="542"/>
      <c r="X40" s="541"/>
      <c r="Y40" s="541"/>
      <c r="Z40" s="541"/>
      <c r="AA40" s="542"/>
      <c r="AB40" s="543"/>
      <c r="AC40" s="543"/>
      <c r="AD40" s="543"/>
      <c r="AF40" s="544"/>
      <c r="AG40" s="544"/>
      <c r="AI40" s="545">
        <f>+'Capital IQ Sheet-STM'!AK39</f>
        <v>0</v>
      </c>
    </row>
    <row r="41" spans="2:35" s="538" customFormat="1" ht="12.75" customHeight="1">
      <c r="B41" s="537"/>
      <c r="F41" s="539"/>
      <c r="G41" s="540"/>
      <c r="I41" s="541"/>
      <c r="J41" s="541"/>
      <c r="K41" s="541"/>
      <c r="L41" s="541"/>
      <c r="M41" s="542"/>
      <c r="N41" s="541"/>
      <c r="O41" s="541"/>
      <c r="P41" s="541"/>
      <c r="Q41" s="542"/>
      <c r="R41" s="543"/>
      <c r="S41" s="543"/>
      <c r="T41" s="543"/>
      <c r="U41" s="543"/>
      <c r="V41" s="543"/>
      <c r="W41" s="542"/>
      <c r="X41" s="541"/>
      <c r="Y41" s="541"/>
      <c r="Z41" s="541"/>
      <c r="AA41" s="542"/>
      <c r="AB41" s="543"/>
      <c r="AC41" s="543"/>
      <c r="AD41" s="543"/>
      <c r="AF41" s="544"/>
      <c r="AG41" s="544"/>
      <c r="AI41" s="545"/>
    </row>
    <row r="42" spans="2:35" s="538" customFormat="1" ht="12.75" customHeight="1">
      <c r="B42" s="537"/>
      <c r="F42" s="539"/>
      <c r="G42" s="540"/>
      <c r="I42" s="541"/>
      <c r="J42" s="541"/>
      <c r="K42" s="541"/>
      <c r="L42" s="541"/>
      <c r="M42" s="542"/>
      <c r="N42" s="541"/>
      <c r="O42" s="541"/>
      <c r="P42" s="541"/>
      <c r="Q42" s="542"/>
      <c r="R42" s="543"/>
      <c r="S42" s="543"/>
      <c r="T42" s="543"/>
      <c r="U42" s="543"/>
      <c r="V42" s="543"/>
      <c r="W42" s="542"/>
      <c r="X42" s="541"/>
      <c r="Y42" s="541"/>
      <c r="Z42" s="541"/>
      <c r="AA42" s="542"/>
      <c r="AB42" s="543"/>
      <c r="AC42" s="543"/>
      <c r="AD42" s="543"/>
      <c r="AF42" s="544"/>
      <c r="AG42" s="544"/>
      <c r="AI42" s="545"/>
    </row>
    <row r="43" spans="2:35" s="538" customFormat="1" ht="12.75" customHeight="1">
      <c r="B43" s="537"/>
      <c r="F43" s="539"/>
      <c r="G43" s="540"/>
      <c r="I43" s="541"/>
      <c r="J43" s="541"/>
      <c r="K43" s="541"/>
      <c r="L43" s="541"/>
      <c r="M43" s="542"/>
      <c r="N43" s="541"/>
      <c r="O43" s="541"/>
      <c r="P43" s="541"/>
      <c r="Q43" s="542"/>
      <c r="R43" s="543"/>
      <c r="S43" s="543"/>
      <c r="T43" s="543"/>
      <c r="U43" s="543"/>
      <c r="V43" s="543"/>
      <c r="W43" s="542"/>
      <c r="X43" s="541"/>
      <c r="Y43" s="541"/>
      <c r="Z43" s="541"/>
      <c r="AA43" s="542"/>
      <c r="AB43" s="543"/>
      <c r="AC43" s="543"/>
      <c r="AD43" s="543"/>
      <c r="AF43" s="544"/>
      <c r="AG43" s="544"/>
      <c r="AI43" s="545"/>
    </row>
    <row r="44" spans="2:35" s="538" customFormat="1" ht="12.75" customHeight="1">
      <c r="B44" s="537"/>
      <c r="F44" s="539"/>
      <c r="G44" s="540"/>
      <c r="I44" s="541"/>
      <c r="J44" s="541"/>
      <c r="K44" s="541"/>
      <c r="L44" s="541"/>
      <c r="M44" s="542"/>
      <c r="N44" s="541"/>
      <c r="O44" s="541"/>
      <c r="P44" s="541"/>
      <c r="Q44" s="542"/>
      <c r="R44" s="543"/>
      <c r="S44" s="543"/>
      <c r="T44" s="543"/>
      <c r="U44" s="543"/>
      <c r="V44" s="543"/>
      <c r="W44" s="542"/>
      <c r="X44" s="541"/>
      <c r="Y44" s="541"/>
      <c r="Z44" s="541"/>
      <c r="AA44" s="542"/>
      <c r="AB44" s="543"/>
      <c r="AC44" s="543"/>
      <c r="AD44" s="543"/>
      <c r="AF44" s="544"/>
      <c r="AG44" s="544"/>
      <c r="AI44" s="545"/>
    </row>
    <row r="45" spans="2:35" s="523" customFormat="1" ht="12.75" customHeight="1"/>
    <row r="46" spans="2:35" s="523" customFormat="1" ht="12.75" customHeight="1"/>
    <row r="47" spans="2:35" s="523" customFormat="1" ht="12.75" customHeight="1">
      <c r="B47" s="546" t="s">
        <v>41</v>
      </c>
      <c r="C47" s="547"/>
      <c r="D47" s="547"/>
      <c r="E47" s="547"/>
      <c r="F47" s="547"/>
      <c r="G47" s="547"/>
      <c r="H47" s="547"/>
      <c r="I47" s="548">
        <f>MAX(I10:I45)</f>
        <v>7151.8984899999996</v>
      </c>
      <c r="J47" s="809"/>
      <c r="K47" s="809"/>
      <c r="L47" s="548"/>
      <c r="M47" s="547"/>
      <c r="N47" s="548">
        <f>MAX(N10:N45)</f>
        <v>651.65</v>
      </c>
      <c r="O47" s="548">
        <f>MAX(O10:O45)</f>
        <v>81.528000000000006</v>
      </c>
      <c r="P47" s="548">
        <f>MAX(P10:P45)</f>
        <v>74.905000000000001</v>
      </c>
      <c r="Q47" s="549"/>
      <c r="R47" s="550">
        <f>MAX(R10:R45)</f>
        <v>2073.0140550724636</v>
      </c>
      <c r="S47" s="550">
        <f>MAX(S10:S45)</f>
        <v>23.87437040035325</v>
      </c>
      <c r="T47" s="550">
        <f>MAX(T10:T45)</f>
        <v>25.985310326413458</v>
      </c>
      <c r="U47" s="550">
        <f>MAX(U10:U45)</f>
        <v>13.89265</v>
      </c>
      <c r="V47" s="550">
        <f>MAX(V10:V45)</f>
        <v>16.823090000000001</v>
      </c>
      <c r="W47" s="547"/>
      <c r="X47" s="548">
        <f>MAX(X10:X45)</f>
        <v>718.67830000000004</v>
      </c>
      <c r="Y47" s="548">
        <f>MAX(Y10:Y45)</f>
        <v>120.5</v>
      </c>
      <c r="Z47" s="548">
        <f>MAX(Z10:Z45)</f>
        <v>14.202999999999999</v>
      </c>
      <c r="AA47" s="547"/>
      <c r="AB47" s="550">
        <f>MAX(AB10:AB45)</f>
        <v>3927.4302602230482</v>
      </c>
      <c r="AC47" s="550">
        <f>MAX(AC10:AC45)</f>
        <v>16.152943319502075</v>
      </c>
      <c r="AD47" s="550">
        <f>MAX(AD10:AD45)</f>
        <v>137.04355910723086</v>
      </c>
      <c r="AE47" s="547"/>
      <c r="AF47" s="551" t="e">
        <f>MAX(AF10:AF45)</f>
        <v>#VALUE!</v>
      </c>
      <c r="AG47" s="552" t="e">
        <f>MAX(AG10:AG45)</f>
        <v>#VALUE!</v>
      </c>
    </row>
    <row r="48" spans="2:35" s="523" customFormat="1" ht="12.75" customHeight="1">
      <c r="B48" s="553" t="s">
        <v>45</v>
      </c>
      <c r="C48" s="554"/>
      <c r="D48" s="554"/>
      <c r="E48" s="554"/>
      <c r="F48" s="554"/>
      <c r="G48" s="554"/>
      <c r="H48" s="554"/>
      <c r="I48" s="555">
        <f>QUARTILE(I10:I45,3)</f>
        <v>825.80984250000006</v>
      </c>
      <c r="J48" s="555"/>
      <c r="K48" s="555"/>
      <c r="L48" s="555"/>
      <c r="M48" s="554"/>
      <c r="N48" s="555">
        <f>QUARTILE(N10:N45,3)</f>
        <v>2.6681175000000001</v>
      </c>
      <c r="O48" s="555">
        <f>QUARTILE(O10:O45,3)</f>
        <v>0</v>
      </c>
      <c r="P48" s="555">
        <f>QUARTILE(P10:P45,3)</f>
        <v>0</v>
      </c>
      <c r="Q48" s="556"/>
      <c r="R48" s="557">
        <f>QUARTILE(R10:R45,3)</f>
        <v>1330.5179269080918</v>
      </c>
      <c r="S48" s="557">
        <f>QUARTILE(S10:S45,3)</f>
        <v>-1.059945934523564</v>
      </c>
      <c r="T48" s="557">
        <f>QUARTILE(T10:T45,3)</f>
        <v>0</v>
      </c>
      <c r="U48" s="557">
        <f>QUARTILE(U10:U45,3)</f>
        <v>13.13902</v>
      </c>
      <c r="V48" s="557">
        <f>QUARTILE(V10:V45,3)</f>
        <v>16.823090000000001</v>
      </c>
      <c r="W48" s="554"/>
      <c r="X48" s="555">
        <f>QUARTILE(X10:X45,3)</f>
        <v>0.10087500000000001</v>
      </c>
      <c r="Y48" s="555">
        <f>QUARTILE(Y10:Y45,3)</f>
        <v>0</v>
      </c>
      <c r="Z48" s="555">
        <f>QUARTILE(Z10:Z45,3)</f>
        <v>0</v>
      </c>
      <c r="AA48" s="554"/>
      <c r="AB48" s="557">
        <f>QUARTILE(AB10:AB45,3)</f>
        <v>2912.9242272223028</v>
      </c>
      <c r="AC48" s="557">
        <f>QUARTILE(AC10:AC45,3)</f>
        <v>1.3409118413859229</v>
      </c>
      <c r="AD48" s="557">
        <f>QUARTILE(AD10:AD45,3)</f>
        <v>137.04355910723086</v>
      </c>
      <c r="AE48" s="554"/>
      <c r="AF48" s="558" t="e">
        <f>QUARTILE(AF10:AF45,3)</f>
        <v>#VALUE!</v>
      </c>
      <c r="AG48" s="559" t="e">
        <f>QUARTILE(AG10:AG45,3)</f>
        <v>#VALUE!</v>
      </c>
    </row>
    <row r="49" spans="2:33" s="523" customFormat="1" ht="12.75" customHeight="1">
      <c r="B49" s="553" t="s">
        <v>43</v>
      </c>
      <c r="C49" s="554"/>
      <c r="D49" s="554"/>
      <c r="E49" s="554"/>
      <c r="F49" s="554"/>
      <c r="G49" s="554"/>
      <c r="H49" s="554"/>
      <c r="I49" s="555">
        <f>AVERAGE(I10:I45)</f>
        <v>1267.981867142857</v>
      </c>
      <c r="J49" s="555"/>
      <c r="K49" s="555"/>
      <c r="L49" s="555"/>
      <c r="M49" s="554"/>
      <c r="N49" s="555">
        <f>AVERAGE(N10:N45)</f>
        <v>91.072129285714283</v>
      </c>
      <c r="O49" s="555">
        <f>AVERAGE(O10:O45)</f>
        <v>-40.155171428571428</v>
      </c>
      <c r="P49" s="555">
        <f>AVERAGE(P10:P45)</f>
        <v>-45.75269071428572</v>
      </c>
      <c r="Q49" s="556"/>
      <c r="R49" s="557">
        <f>AVERAGE(R10:R45)</f>
        <v>678.57536900855632</v>
      </c>
      <c r="S49" s="557">
        <f>AVERAGE(S10:S45)</f>
        <v>-7.2249630615333915</v>
      </c>
      <c r="T49" s="557">
        <f>AVERAGE(T10:T45)</f>
        <v>-5.0403073862740557</v>
      </c>
      <c r="U49" s="557">
        <f>AVERAGE(U10:U45)</f>
        <v>9.5222280000000001</v>
      </c>
      <c r="V49" s="557">
        <f>AVERAGE(V10:V45)</f>
        <v>16.823090000000001</v>
      </c>
      <c r="W49" s="554"/>
      <c r="X49" s="555">
        <f>AVERAGE(X10:X45)</f>
        <v>83.023821428571424</v>
      </c>
      <c r="Y49" s="555">
        <f>AVERAGE(Y10:Y45)</f>
        <v>-4.0813221428571422</v>
      </c>
      <c r="Z49" s="555">
        <f>AVERAGE(Z10:Z45)</f>
        <v>1.4202999999999999</v>
      </c>
      <c r="AA49" s="554"/>
      <c r="AB49" s="557">
        <f>AVERAGE(AB10:AB45)</f>
        <v>1628.9662559391941</v>
      </c>
      <c r="AC49" s="557">
        <f>AVERAGE(AC10:AC45)</f>
        <v>-88.425702751793423</v>
      </c>
      <c r="AD49" s="557">
        <f>AVERAGE(AD10:AD45)</f>
        <v>137.04355910723086</v>
      </c>
      <c r="AE49" s="554"/>
      <c r="AF49" s="558" t="e">
        <f>AVERAGE(AF10:AF45)</f>
        <v>#VALUE!</v>
      </c>
      <c r="AG49" s="559" t="e">
        <f>AVERAGE(AG10:AG45)</f>
        <v>#VALUE!</v>
      </c>
    </row>
    <row r="50" spans="2:33" s="523" customFormat="1" ht="12.75" customHeight="1">
      <c r="B50" s="553" t="s">
        <v>3</v>
      </c>
      <c r="C50" s="554"/>
      <c r="D50" s="554"/>
      <c r="E50" s="554"/>
      <c r="F50" s="554"/>
      <c r="G50" s="554"/>
      <c r="H50" s="554"/>
      <c r="I50" s="555">
        <f>MEDIAN(I10:I45)</f>
        <v>21.542394999999999</v>
      </c>
      <c r="J50" s="555"/>
      <c r="K50" s="555"/>
      <c r="L50" s="555"/>
      <c r="M50" s="554"/>
      <c r="N50" s="555">
        <f>MEDIAN(N10:N45)</f>
        <v>9.5500000000000001E-4</v>
      </c>
      <c r="O50" s="555">
        <f>MEDIAN(O10:O45)</f>
        <v>0</v>
      </c>
      <c r="P50" s="555">
        <f>MEDIAN(P10:P45)</f>
        <v>-1.4489999999999999E-2</v>
      </c>
      <c r="Q50" s="556"/>
      <c r="R50" s="557">
        <f>MEDIAN(R10:R45)</f>
        <v>10.215750510243229</v>
      </c>
      <c r="S50" s="557">
        <f>MEDIAN(S10:S45)</f>
        <v>-5.1494386168362238</v>
      </c>
      <c r="T50" s="557">
        <f>MEDIAN(T10:T45)</f>
        <v>-2.0609547908654751</v>
      </c>
      <c r="U50" s="557">
        <f>MEDIAN(U10:U45)</f>
        <v>9.4087399999999999</v>
      </c>
      <c r="V50" s="557">
        <f>MEDIAN(V10:V45)</f>
        <v>16.823090000000001</v>
      </c>
      <c r="W50" s="554"/>
      <c r="X50" s="555">
        <f>MEDIAN(X10:X45)</f>
        <v>0</v>
      </c>
      <c r="Y50" s="555">
        <f>MEDIAN(Y10:Y45)</f>
        <v>0</v>
      </c>
      <c r="Z50" s="555">
        <f>MEDIAN(Z10:Z45)</f>
        <v>0</v>
      </c>
      <c r="AA50" s="554"/>
      <c r="AB50" s="557">
        <f>MEDIAN(AB10:AB45)</f>
        <v>1292.0092585862351</v>
      </c>
      <c r="AC50" s="557">
        <f>MEDIAN(AC10:AC45)</f>
        <v>-26.425643353814092</v>
      </c>
      <c r="AD50" s="557">
        <f>MEDIAN(AD10:AD45)</f>
        <v>137.04355910723086</v>
      </c>
      <c r="AE50" s="554"/>
      <c r="AF50" s="558" t="e">
        <f>MEDIAN(AF10:AF45)</f>
        <v>#VALUE!</v>
      </c>
      <c r="AG50" s="559" t="e">
        <f>MEDIAN(AG10:AG45)</f>
        <v>#VALUE!</v>
      </c>
    </row>
    <row r="51" spans="2:33" s="523" customFormat="1" ht="12.75" customHeight="1">
      <c r="B51" s="553" t="s">
        <v>44</v>
      </c>
      <c r="C51" s="554"/>
      <c r="D51" s="554"/>
      <c r="E51" s="554"/>
      <c r="F51" s="554"/>
      <c r="G51" s="554"/>
      <c r="H51" s="554"/>
      <c r="I51" s="555">
        <f>QUARTILE(I10:I45,1)</f>
        <v>0</v>
      </c>
      <c r="J51" s="555"/>
      <c r="K51" s="555"/>
      <c r="L51" s="555"/>
      <c r="M51" s="554"/>
      <c r="N51" s="555">
        <f>QUARTILE(N10:N45,1)</f>
        <v>0</v>
      </c>
      <c r="O51" s="555">
        <f>QUARTILE(O10:O45,1)</f>
        <v>-14.646654999999999</v>
      </c>
      <c r="P51" s="555">
        <f>QUARTILE(P10:P45,1)</f>
        <v>-15.092347499999999</v>
      </c>
      <c r="Q51" s="556"/>
      <c r="R51" s="557">
        <f>QUARTILE(R10:R45,1)</f>
        <v>2.8809618305018514</v>
      </c>
      <c r="S51" s="557">
        <f>QUARTILE(S10:S45,1)</f>
        <v>-13.228845702295434</v>
      </c>
      <c r="T51" s="557">
        <f>QUARTILE(T10:T45,1)</f>
        <v>-11.591703355264933</v>
      </c>
      <c r="U51" s="557">
        <f>QUARTILE(U10:U45,1)</f>
        <v>8.2933599999999998</v>
      </c>
      <c r="V51" s="557">
        <f>QUARTILE(V10:V45,1)</f>
        <v>16.823090000000001</v>
      </c>
      <c r="W51" s="554"/>
      <c r="X51" s="555">
        <f>QUARTILE(X10:X45,1)</f>
        <v>0</v>
      </c>
      <c r="Y51" s="555">
        <f>QUARTILE(Y10:Y45,1)</f>
        <v>0</v>
      </c>
      <c r="Z51" s="555">
        <f>QUARTILE(Z10:Z45,1)</f>
        <v>0</v>
      </c>
      <c r="AA51" s="554"/>
      <c r="AB51" s="557">
        <f>QUARTILE(AB10:AB45,1)</f>
        <v>8.0512873031265144</v>
      </c>
      <c r="AC51" s="557">
        <f>QUARTILE(AC10:AC45,1)</f>
        <v>-116.19225794699344</v>
      </c>
      <c r="AD51" s="557">
        <f>QUARTILE(AD10:AD45,1)</f>
        <v>137.04355910723086</v>
      </c>
      <c r="AE51" s="554"/>
      <c r="AF51" s="558" t="e">
        <f>QUARTILE(AF10:AF45,1)</f>
        <v>#VALUE!</v>
      </c>
      <c r="AG51" s="559" t="e">
        <f>QUARTILE(AG10:AG45,1)</f>
        <v>#VALUE!</v>
      </c>
    </row>
    <row r="52" spans="2:33" s="523" customFormat="1" ht="12.75" customHeight="1">
      <c r="B52" s="560" t="s">
        <v>42</v>
      </c>
      <c r="C52" s="561"/>
      <c r="D52" s="561"/>
      <c r="E52" s="561"/>
      <c r="F52" s="561"/>
      <c r="G52" s="561"/>
      <c r="H52" s="561"/>
      <c r="I52" s="562">
        <f>MIN(I10:I45)</f>
        <v>0</v>
      </c>
      <c r="J52" s="562"/>
      <c r="K52" s="562"/>
      <c r="L52" s="562"/>
      <c r="M52" s="561"/>
      <c r="N52" s="562">
        <f>MIN(N10:N45)</f>
        <v>0</v>
      </c>
      <c r="O52" s="562">
        <f>MIN(O10:O45)</f>
        <v>-449.55599999999998</v>
      </c>
      <c r="P52" s="562">
        <f>MIN(P10:P45)</f>
        <v>-508.28300000000002</v>
      </c>
      <c r="Q52" s="563"/>
      <c r="R52" s="564">
        <f>MIN(R10:R45)</f>
        <v>0</v>
      </c>
      <c r="S52" s="564">
        <f>MIN(S10:S45)</f>
        <v>-40.722089940612769</v>
      </c>
      <c r="T52" s="564">
        <f>MIN(T10:T45)</f>
        <v>-40.672068208572419</v>
      </c>
      <c r="U52" s="564">
        <f>MIN(U10:U45)</f>
        <v>2.87737</v>
      </c>
      <c r="V52" s="564">
        <f>MIN(V10:V45)</f>
        <v>16.823090000000001</v>
      </c>
      <c r="W52" s="561"/>
      <c r="X52" s="562">
        <f>MIN(X10:X45)</f>
        <v>0</v>
      </c>
      <c r="Y52" s="562">
        <f>MIN(Y10:Y45)</f>
        <v>-145.20189999999999</v>
      </c>
      <c r="Z52" s="562">
        <f>MIN(Z10:Z45)</f>
        <v>0</v>
      </c>
      <c r="AA52" s="561"/>
      <c r="AB52" s="564">
        <f>MIN(AB10:AB45)</f>
        <v>4.416246361258148</v>
      </c>
      <c r="AC52" s="564">
        <f>MIN(AC10:AC45)</f>
        <v>-317.0044676190476</v>
      </c>
      <c r="AD52" s="564">
        <f>MIN(AD10:AD45)</f>
        <v>137.04355910723086</v>
      </c>
      <c r="AE52" s="561"/>
      <c r="AF52" s="565" t="e">
        <f>MIN(AF10:AF45)</f>
        <v>#VALUE!</v>
      </c>
      <c r="AG52" s="566" t="e">
        <f>MIN(AG10:AG45)</f>
        <v>#VALUE!</v>
      </c>
    </row>
    <row r="53" spans="2:33" s="523" customFormat="1" ht="12.75" customHeight="1"/>
    <row r="54" spans="2:33" s="523" customFormat="1" ht="12.75" customHeight="1"/>
    <row r="55" spans="2:33" s="523" customFormat="1" ht="12.75" customHeight="1">
      <c r="B55" s="567" t="s">
        <v>46</v>
      </c>
    </row>
    <row r="56" spans="2:33" s="523" customFormat="1" ht="12.75" customHeight="1"/>
    <row r="57" spans="2:33" s="523" customFormat="1" ht="12.75" customHeight="1"/>
  </sheetData>
  <conditionalFormatting sqref="AG4">
    <cfRule type="cellIs" dxfId="10" priority="1" stopIfTrue="1" operator="equal">
      <formula>"input"</formula>
    </cfRule>
  </conditionalFormatting>
  <conditionalFormatting sqref="R4">
    <cfRule type="cellIs" dxfId="9" priority="5" stopIfTrue="1" operator="equal">
      <formula>"input"</formula>
    </cfRule>
  </conditionalFormatting>
  <conditionalFormatting sqref="B4:M4">
    <cfRule type="cellIs" dxfId="8" priority="11" stopIfTrue="1" operator="equal">
      <formula>"input"</formula>
    </cfRule>
  </conditionalFormatting>
  <conditionalFormatting sqref="N4">
    <cfRule type="cellIs" dxfId="7" priority="9" stopIfTrue="1" operator="equal">
      <formula>"input"</formula>
    </cfRule>
  </conditionalFormatting>
  <conditionalFormatting sqref="N4">
    <cfRule type="cellIs" dxfId="6" priority="10" stopIfTrue="1" operator="equal">
      <formula>"input"</formula>
    </cfRule>
  </conditionalFormatting>
  <conditionalFormatting sqref="O4:Q4">
    <cfRule type="cellIs" dxfId="5" priority="7" stopIfTrue="1" operator="equal">
      <formula>"input"</formula>
    </cfRule>
  </conditionalFormatting>
  <conditionalFormatting sqref="O4:Q4">
    <cfRule type="cellIs" dxfId="4" priority="8" stopIfTrue="1" operator="equal">
      <formula>"input"</formula>
    </cfRule>
  </conditionalFormatting>
  <conditionalFormatting sqref="R4">
    <cfRule type="cellIs" dxfId="3" priority="6" stopIfTrue="1" operator="equal">
      <formula>"input"</formula>
    </cfRule>
  </conditionalFormatting>
  <conditionalFormatting sqref="S4:AF4">
    <cfRule type="cellIs" dxfId="2" priority="3" stopIfTrue="1" operator="equal">
      <formula>"input"</formula>
    </cfRule>
  </conditionalFormatting>
  <conditionalFormatting sqref="S4:AF4">
    <cfRule type="cellIs" dxfId="1" priority="4" stopIfTrue="1" operator="equal">
      <formula>"input"</formula>
    </cfRule>
  </conditionalFormatting>
  <conditionalFormatting sqref="AG4">
    <cfRule type="cellIs" dxfId="0" priority="2" stopIfTrue="1" operator="equal">
      <formula>"input"</formula>
    </cfRule>
  </conditionalFormatting>
  <pageMargins left="0.7" right="0.7" top="0.75" bottom="0.75" header="0.3" footer="0.3"/>
  <pageSetup scale="92" orientation="portrait" r:id="rId1"/>
  <colBreaks count="1" manualBreakCount="1">
    <brk id="13" max="54" man="1"/>
  </colBreaks>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H74"/>
  <sheetViews>
    <sheetView showGridLines="0" view="pageBreakPreview" topLeftCell="A13" zoomScaleNormal="100" zoomScaleSheetLayoutView="100" workbookViewId="0">
      <selection activeCell="H13" sqref="H13:H42"/>
    </sheetView>
  </sheetViews>
  <sheetFormatPr defaultColWidth="9.33203125" defaultRowHeight="11.25" outlineLevelCol="1"/>
  <cols>
    <col min="1" max="1" width="40.1640625" style="374" bestFit="1" customWidth="1"/>
    <col min="2" max="2" width="14.83203125" style="374" bestFit="1" customWidth="1"/>
    <col min="3" max="3" width="25.1640625" style="372" bestFit="1" customWidth="1"/>
    <col min="4" max="4" width="19" style="372" bestFit="1" customWidth="1"/>
    <col min="5" max="9" width="17.83203125" style="372" customWidth="1"/>
    <col min="10" max="10" width="15.33203125" style="372" customWidth="1"/>
    <col min="11" max="11" width="14" style="372" customWidth="1"/>
    <col min="12" max="12" width="15.6640625" style="372" bestFit="1" customWidth="1"/>
    <col min="13" max="13" width="16.1640625" style="372" customWidth="1"/>
    <col min="14" max="16" width="14.83203125" style="372" bestFit="1" customWidth="1"/>
    <col min="17" max="18" width="14.83203125" style="372" customWidth="1"/>
    <col min="19" max="23" width="14.83203125" style="372" bestFit="1" customWidth="1"/>
    <col min="24" max="24" width="14.83203125" style="372" customWidth="1"/>
    <col min="25" max="29" width="14.83203125" style="372" bestFit="1" customWidth="1"/>
    <col min="30" max="30" width="17" style="372" bestFit="1" customWidth="1"/>
    <col min="31" max="31" width="14.83203125" style="372" bestFit="1" customWidth="1"/>
    <col min="32" max="32" width="19.1640625" style="372" customWidth="1"/>
    <col min="33" max="33" width="19.5" style="372" customWidth="1"/>
    <col min="34" max="34" width="21.1640625" style="372" customWidth="1"/>
    <col min="35" max="35" width="19" style="372" bestFit="1" customWidth="1"/>
    <col min="36" max="36" width="12.83203125" style="372" customWidth="1"/>
    <col min="37" max="37" width="15.33203125" style="372" customWidth="1"/>
    <col min="38" max="38" width="13.1640625" style="372" customWidth="1"/>
    <col min="39" max="39" width="18.5" style="372" bestFit="1" customWidth="1"/>
    <col min="40" max="40" width="14.83203125" style="372" bestFit="1" customWidth="1"/>
    <col min="41" max="42" width="14.83203125" style="372" customWidth="1"/>
    <col min="43" max="43" width="14.83203125" style="371" customWidth="1"/>
    <col min="44" max="44" width="14.83203125" style="372" customWidth="1"/>
    <col min="45" max="45" width="11.1640625" style="371" customWidth="1"/>
    <col min="46" max="46" width="14.83203125" style="372" bestFit="1" customWidth="1"/>
    <col min="47" max="50" width="14.83203125" style="371" customWidth="1"/>
    <col min="51" max="51" width="16" style="371" customWidth="1"/>
    <col min="52" max="54" width="14.83203125" style="371" customWidth="1"/>
    <col min="55" max="55" width="14.83203125" style="372" customWidth="1"/>
    <col min="56" max="69" width="14.83203125" style="371" customWidth="1"/>
    <col min="70" max="70" width="17" style="371" customWidth="1" outlineLevel="1"/>
    <col min="71" max="78" width="9.33203125" style="371"/>
    <col min="79" max="82" width="9.33203125" style="370"/>
    <col min="83" max="83" width="9.33203125" style="418"/>
    <col min="84" max="16384" width="9.33203125" style="370"/>
  </cols>
  <sheetData>
    <row r="1" spans="1:86" s="367" customFormat="1">
      <c r="A1" s="374" t="s">
        <v>464</v>
      </c>
      <c r="B1" s="400">
        <f>'MASTER PubCo Inputs'!C6</f>
        <v>43281</v>
      </c>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c r="AD1" s="372"/>
      <c r="AE1" s="372"/>
      <c r="AF1" s="372"/>
      <c r="AG1" s="372"/>
      <c r="AH1" s="372"/>
      <c r="AI1" s="372"/>
      <c r="AJ1" s="372"/>
      <c r="AK1" s="372"/>
      <c r="AL1" s="372"/>
      <c r="AM1" s="372"/>
      <c r="AN1" s="372"/>
      <c r="AO1" s="372"/>
      <c r="AP1" s="372"/>
      <c r="AQ1" s="368"/>
      <c r="AR1" s="372"/>
      <c r="AS1" s="369"/>
      <c r="AT1" s="372"/>
      <c r="AU1" s="368"/>
      <c r="AV1" s="368"/>
      <c r="AW1" s="368"/>
      <c r="AX1" s="368"/>
      <c r="AY1" s="368"/>
      <c r="AZ1" s="368"/>
      <c r="BA1" s="368"/>
      <c r="BB1" s="368"/>
      <c r="BC1" s="368"/>
      <c r="BD1" s="368"/>
      <c r="BE1" s="368"/>
      <c r="BF1" s="368"/>
      <c r="BG1" s="368"/>
      <c r="BH1" s="368"/>
      <c r="BI1" s="368"/>
      <c r="BJ1" s="368"/>
      <c r="BK1" s="368"/>
      <c r="BL1" s="368"/>
      <c r="BM1" s="368"/>
      <c r="BN1" s="368"/>
      <c r="BO1" s="368"/>
      <c r="BP1" s="368"/>
      <c r="BQ1" s="368"/>
      <c r="BR1" s="368"/>
      <c r="BS1" s="368"/>
      <c r="BT1" s="368"/>
      <c r="BU1" s="368"/>
      <c r="BV1" s="368"/>
      <c r="BW1" s="368"/>
      <c r="BX1" s="368"/>
      <c r="BY1" s="368"/>
      <c r="BZ1" s="368"/>
    </row>
    <row r="2" spans="1:86" s="367" customFormat="1">
      <c r="A2" s="374" t="s">
        <v>465</v>
      </c>
      <c r="B2" s="400" t="str">
        <f>'Capital IQ Sheet-GPC'!B2</f>
        <v>CY2016</v>
      </c>
      <c r="C2" s="372"/>
      <c r="D2" s="372"/>
      <c r="E2" s="372"/>
      <c r="F2" s="372"/>
      <c r="G2" s="372"/>
      <c r="H2" s="372"/>
      <c r="I2" s="372"/>
      <c r="J2" s="372"/>
      <c r="K2" s="486" t="s">
        <v>17</v>
      </c>
      <c r="L2" s="487">
        <f>B1</f>
        <v>43281</v>
      </c>
      <c r="M2" s="372"/>
      <c r="N2" s="372"/>
      <c r="O2" s="372"/>
      <c r="P2" s="372"/>
      <c r="Q2" s="372"/>
      <c r="R2" s="372"/>
      <c r="S2" s="372"/>
      <c r="T2" s="372"/>
      <c r="U2" s="372"/>
      <c r="V2" s="372"/>
      <c r="W2" s="372"/>
      <c r="X2" s="372"/>
      <c r="Y2" s="372"/>
      <c r="Z2" s="372"/>
      <c r="AA2" s="372"/>
      <c r="AB2" s="372"/>
      <c r="AC2" s="372"/>
      <c r="AD2" s="372"/>
      <c r="AE2" s="372"/>
      <c r="AF2" s="372"/>
      <c r="AG2" s="372"/>
      <c r="AH2" s="372"/>
      <c r="AI2" s="372"/>
      <c r="AJ2" s="372"/>
      <c r="AK2" s="372"/>
      <c r="AL2" s="372"/>
      <c r="AM2" s="372"/>
      <c r="AN2" s="372"/>
      <c r="AO2" s="372"/>
      <c r="AP2" s="372"/>
      <c r="AQ2" s="368"/>
      <c r="AR2" s="372"/>
      <c r="AS2" s="369"/>
      <c r="AT2" s="372"/>
      <c r="AU2" s="368"/>
      <c r="AV2" s="368"/>
      <c r="AW2" s="368"/>
      <c r="AX2" s="368"/>
      <c r="AY2" s="368"/>
      <c r="AZ2" s="368"/>
      <c r="BA2" s="368"/>
      <c r="BB2" s="368"/>
      <c r="BC2" s="368"/>
      <c r="BD2" s="368"/>
      <c r="BE2" s="368"/>
      <c r="BF2" s="368"/>
      <c r="BG2" s="368"/>
      <c r="BH2" s="368"/>
      <c r="BI2" s="368"/>
      <c r="BJ2" s="368"/>
      <c r="BK2" s="368"/>
      <c r="BL2" s="368"/>
      <c r="BM2" s="368"/>
      <c r="BN2" s="368"/>
      <c r="BO2" s="368"/>
      <c r="BP2" s="368"/>
      <c r="BQ2" s="368"/>
      <c r="BR2" s="368"/>
      <c r="BS2" s="368"/>
      <c r="BT2" s="368"/>
      <c r="BU2" s="368"/>
      <c r="BV2" s="368"/>
      <c r="BW2" s="368"/>
      <c r="BX2" s="368"/>
      <c r="BY2" s="368"/>
      <c r="BZ2" s="368"/>
    </row>
    <row r="3" spans="1:86" s="367" customFormat="1">
      <c r="A3" s="374" t="s">
        <v>466</v>
      </c>
      <c r="B3" s="400" t="str">
        <f>'Capital IQ Sheet-GPC'!B3</f>
        <v>CY2017</v>
      </c>
      <c r="C3" s="372"/>
      <c r="D3" s="372"/>
      <c r="E3" s="372"/>
      <c r="F3" s="372"/>
      <c r="G3" s="372"/>
      <c r="H3" s="372"/>
      <c r="I3" s="372"/>
      <c r="J3" s="372"/>
      <c r="K3" s="404" t="s">
        <v>273</v>
      </c>
      <c r="L3" s="405" t="str">
        <f>'Capital IQ Sheet-GPC'!L3</f>
        <v>F</v>
      </c>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68"/>
      <c r="AR3" s="372"/>
      <c r="AS3" s="369"/>
      <c r="AT3" s="372"/>
      <c r="AU3" s="368"/>
      <c r="AV3" s="368"/>
      <c r="AW3" s="368"/>
      <c r="AX3" s="368"/>
      <c r="AY3" s="368"/>
      <c r="AZ3" s="368"/>
      <c r="BA3" s="368"/>
      <c r="BB3" s="368"/>
      <c r="BC3" s="368"/>
      <c r="BD3" s="368"/>
      <c r="BE3" s="368"/>
      <c r="BF3" s="368"/>
      <c r="BG3" s="368"/>
      <c r="BH3" s="368"/>
      <c r="BI3" s="368"/>
      <c r="BJ3" s="368"/>
      <c r="BK3" s="368"/>
      <c r="BL3" s="368"/>
      <c r="BM3" s="368"/>
      <c r="BN3" s="368"/>
      <c r="BO3" s="368"/>
      <c r="BP3" s="368"/>
      <c r="BQ3" s="368"/>
      <c r="BR3" s="368"/>
      <c r="BS3" s="368"/>
      <c r="BT3" s="368"/>
      <c r="BU3" s="368"/>
      <c r="BV3" s="368"/>
      <c r="BW3" s="368"/>
      <c r="BX3" s="368"/>
      <c r="BY3" s="368"/>
      <c r="BZ3" s="368"/>
    </row>
    <row r="4" spans="1:86" s="367" customFormat="1">
      <c r="A4" s="374" t="s">
        <v>467</v>
      </c>
      <c r="B4" s="400" t="str">
        <f>'Capital IQ Sheet-GPC'!B4</f>
        <v>CY2018</v>
      </c>
      <c r="C4" s="372"/>
      <c r="D4" s="372"/>
      <c r="E4" s="372"/>
      <c r="F4" s="372"/>
      <c r="G4" s="372"/>
      <c r="H4" s="372"/>
      <c r="I4" s="372"/>
      <c r="J4" s="372"/>
      <c r="K4" s="404" t="s">
        <v>543</v>
      </c>
      <c r="L4" s="405" t="str">
        <f>'Capital IQ Sheet-GPC'!L4</f>
        <v>LFR</v>
      </c>
      <c r="M4" s="372"/>
      <c r="N4" s="372"/>
      <c r="O4" s="372"/>
      <c r="P4" s="372"/>
      <c r="Q4" s="372"/>
      <c r="R4" s="372"/>
      <c r="S4" s="372"/>
      <c r="T4" s="372"/>
      <c r="U4" s="372"/>
      <c r="V4" s="372"/>
      <c r="W4" s="372"/>
      <c r="X4" s="372"/>
      <c r="Y4" s="372"/>
      <c r="Z4" s="372"/>
      <c r="AA4" s="372"/>
      <c r="AB4" s="372"/>
      <c r="AC4" s="372"/>
      <c r="AD4" s="372"/>
      <c r="AE4" s="372"/>
      <c r="AF4" s="372"/>
      <c r="AG4" s="372"/>
      <c r="AH4" s="372"/>
      <c r="AI4" s="372"/>
      <c r="AJ4" s="372"/>
      <c r="AK4" s="372"/>
      <c r="AL4" s="372"/>
      <c r="AM4" s="372"/>
      <c r="AN4" s="372"/>
      <c r="AO4" s="372"/>
      <c r="AP4" s="372"/>
      <c r="AQ4" s="368"/>
      <c r="AR4" s="372"/>
      <c r="AS4" s="368"/>
      <c r="AT4" s="372"/>
      <c r="AU4" s="368"/>
      <c r="AV4" s="368"/>
      <c r="AW4" s="368"/>
      <c r="AX4" s="368"/>
      <c r="AY4" s="368"/>
      <c r="AZ4" s="368"/>
      <c r="BA4" s="368"/>
      <c r="BB4" s="368"/>
      <c r="BC4" s="368"/>
      <c r="BD4" s="368"/>
      <c r="BE4" s="368"/>
      <c r="BF4" s="368"/>
      <c r="BG4" s="368"/>
      <c r="BH4" s="368"/>
      <c r="BI4" s="368"/>
      <c r="BJ4" s="368"/>
      <c r="BK4" s="368"/>
      <c r="BL4" s="368"/>
      <c r="BM4" s="368"/>
      <c r="BN4" s="368"/>
      <c r="BO4" s="368"/>
      <c r="BP4" s="368"/>
      <c r="BQ4" s="368"/>
      <c r="BR4" s="368"/>
      <c r="BS4" s="368"/>
      <c r="BT4" s="368"/>
      <c r="BU4" s="368"/>
      <c r="BV4" s="368"/>
      <c r="BW4" s="368"/>
      <c r="BX4" s="368"/>
      <c r="BY4" s="368"/>
      <c r="BZ4" s="368"/>
    </row>
    <row r="5" spans="1:86" s="367" customFormat="1">
      <c r="A5" s="374" t="s">
        <v>468</v>
      </c>
      <c r="B5" s="400" t="str">
        <f>'Capital IQ Sheet-GPC'!B5</f>
        <v>CY2019</v>
      </c>
      <c r="C5" s="372"/>
      <c r="D5" s="372"/>
      <c r="E5" s="372"/>
      <c r="F5" s="372"/>
      <c r="G5" s="372"/>
      <c r="H5" s="372"/>
      <c r="I5" s="372"/>
      <c r="J5" s="372"/>
      <c r="K5" s="404" t="s">
        <v>274</v>
      </c>
      <c r="L5" s="405" t="str">
        <f>'Capital IQ Sheet-GPC'!L5</f>
        <v>USD</v>
      </c>
      <c r="M5" s="372"/>
      <c r="N5" s="372"/>
      <c r="O5" s="372"/>
      <c r="P5" s="372"/>
      <c r="Q5" s="372"/>
      <c r="R5" s="372"/>
      <c r="S5" s="372"/>
      <c r="T5" s="372"/>
      <c r="U5" s="372"/>
      <c r="V5" s="372"/>
      <c r="W5" s="372"/>
      <c r="X5" s="372"/>
      <c r="Y5" s="372"/>
      <c r="Z5" s="372"/>
      <c r="AA5" s="372"/>
      <c r="AB5" s="372"/>
      <c r="AC5" s="372"/>
      <c r="AD5" s="372"/>
      <c r="AE5" s="372"/>
      <c r="AF5" s="372"/>
      <c r="AG5" s="372"/>
      <c r="AH5" s="372"/>
      <c r="AI5" s="372"/>
      <c r="AJ5" s="372"/>
      <c r="AK5" s="372"/>
      <c r="AL5" s="372"/>
      <c r="AM5" s="372"/>
      <c r="AN5" s="372"/>
      <c r="AO5" s="372"/>
      <c r="AP5" s="372"/>
      <c r="AQ5" s="368"/>
      <c r="AR5" s="372"/>
      <c r="AS5" s="368"/>
      <c r="AT5" s="372"/>
      <c r="AU5" s="368"/>
      <c r="AV5" s="368"/>
      <c r="AW5" s="368"/>
      <c r="AX5" s="368"/>
      <c r="AY5" s="368"/>
      <c r="AZ5" s="368"/>
      <c r="BA5" s="368"/>
      <c r="BB5" s="368"/>
      <c r="BC5" s="368"/>
      <c r="BD5" s="368"/>
      <c r="BE5" s="368"/>
      <c r="BF5" s="368"/>
      <c r="BG5" s="368"/>
      <c r="BH5" s="368"/>
      <c r="BI5" s="368"/>
      <c r="BJ5" s="368"/>
      <c r="BK5" s="368"/>
      <c r="BL5" s="368"/>
      <c r="BM5" s="368"/>
      <c r="BN5" s="368"/>
      <c r="BO5" s="368"/>
      <c r="BP5" s="368"/>
      <c r="BQ5" s="368"/>
      <c r="BR5" s="368"/>
      <c r="BS5" s="368"/>
      <c r="BT5" s="368"/>
      <c r="BU5" s="368"/>
      <c r="BV5" s="368"/>
      <c r="BW5" s="368"/>
      <c r="BX5" s="368"/>
      <c r="BY5" s="368"/>
      <c r="BZ5" s="368"/>
    </row>
    <row r="6" spans="1:86" s="367" customFormat="1">
      <c r="A6" s="374" t="s">
        <v>469</v>
      </c>
      <c r="B6" s="400" t="str">
        <f>'Capital IQ Sheet-GPC'!B6</f>
        <v>CY2020</v>
      </c>
      <c r="C6" s="372"/>
      <c r="D6" s="372"/>
      <c r="E6" s="372"/>
      <c r="F6" s="372"/>
      <c r="G6" s="372"/>
      <c r="H6" s="372"/>
      <c r="I6" s="372"/>
      <c r="J6" s="372"/>
      <c r="K6" s="406" t="s">
        <v>19</v>
      </c>
      <c r="L6" s="407" t="str">
        <f>'Capital IQ Sheet-GPC'!L6</f>
        <v>H</v>
      </c>
      <c r="M6" s="372"/>
      <c r="N6" s="372"/>
      <c r="O6" s="372"/>
      <c r="P6" s="372"/>
      <c r="Q6" s="372"/>
      <c r="R6" s="372"/>
      <c r="S6" s="372"/>
      <c r="T6" s="372"/>
      <c r="U6" s="372"/>
      <c r="V6" s="372"/>
      <c r="W6" s="372"/>
      <c r="X6" s="372"/>
      <c r="Y6" s="372"/>
      <c r="Z6" s="372"/>
      <c r="AA6" s="372"/>
      <c r="AB6" s="372"/>
      <c r="AC6" s="372"/>
      <c r="AD6" s="372"/>
      <c r="AE6" s="408"/>
      <c r="AF6" s="372"/>
      <c r="AG6" s="372"/>
      <c r="AH6" s="372"/>
      <c r="AI6" s="372"/>
      <c r="AJ6" s="372"/>
      <c r="AK6" s="372"/>
      <c r="AL6" s="372"/>
      <c r="AM6" s="372"/>
      <c r="AN6" s="372"/>
      <c r="AO6" s="372"/>
      <c r="AP6" s="372"/>
      <c r="AQ6" s="368"/>
      <c r="AR6" s="372"/>
      <c r="AS6" s="368"/>
      <c r="AT6" s="372"/>
      <c r="AU6" s="368"/>
      <c r="AV6" s="368"/>
      <c r="AW6" s="368"/>
      <c r="AX6" s="368"/>
      <c r="AY6" s="368"/>
      <c r="AZ6" s="368"/>
      <c r="BA6" s="368"/>
      <c r="BB6" s="368"/>
      <c r="BC6" s="368"/>
      <c r="BD6" s="368"/>
      <c r="BE6" s="368"/>
      <c r="BF6" s="368"/>
      <c r="BG6" s="368"/>
      <c r="BH6" s="368"/>
      <c r="BI6" s="368"/>
      <c r="BJ6" s="368"/>
      <c r="BK6" s="368"/>
      <c r="BL6" s="368"/>
      <c r="BM6" s="368"/>
      <c r="BN6" s="368"/>
      <c r="BO6" s="368"/>
      <c r="BP6" s="368"/>
      <c r="BQ6" s="368"/>
      <c r="BR6" s="368"/>
      <c r="BS6" s="368"/>
      <c r="BT6" s="368"/>
      <c r="BU6" s="368"/>
      <c r="BV6" s="368"/>
      <c r="BW6" s="368"/>
      <c r="BX6" s="368"/>
      <c r="BY6" s="368"/>
      <c r="BZ6" s="368"/>
    </row>
    <row r="7" spans="1:86" s="367" customFormat="1">
      <c r="A7" s="374" t="s">
        <v>545</v>
      </c>
      <c r="B7" s="400" t="str">
        <f>'Capital IQ Sheet-GPC'!B7</f>
        <v>CY2021</v>
      </c>
      <c r="C7" s="372"/>
      <c r="D7" s="372"/>
      <c r="E7" s="372"/>
      <c r="F7" s="372"/>
      <c r="G7" s="372"/>
      <c r="H7" s="372"/>
      <c r="I7" s="372"/>
      <c r="J7" s="372"/>
      <c r="K7" s="408"/>
      <c r="L7" s="408"/>
      <c r="M7" s="372"/>
      <c r="N7" s="372"/>
      <c r="O7" s="372"/>
      <c r="P7" s="372"/>
      <c r="Q7" s="372"/>
      <c r="R7" s="372"/>
      <c r="S7" s="372"/>
      <c r="T7" s="372"/>
      <c r="U7" s="372"/>
      <c r="V7" s="372"/>
      <c r="W7" s="372"/>
      <c r="X7" s="372"/>
      <c r="Y7" s="372"/>
      <c r="Z7" s="372"/>
      <c r="AA7" s="372"/>
      <c r="AB7" s="372"/>
      <c r="AC7" s="372"/>
      <c r="AD7" s="372"/>
      <c r="AE7" s="408"/>
      <c r="AF7" s="409"/>
      <c r="AG7" s="409"/>
      <c r="AH7" s="372"/>
      <c r="AI7" s="372"/>
      <c r="AJ7" s="372"/>
      <c r="AK7" s="372"/>
      <c r="AL7" s="372"/>
      <c r="AM7" s="372"/>
      <c r="AN7" s="372"/>
      <c r="AO7" s="372"/>
      <c r="AP7" s="372"/>
      <c r="AQ7" s="368"/>
      <c r="AR7" s="372"/>
      <c r="AS7" s="368"/>
      <c r="AT7" s="372"/>
      <c r="AU7" s="368"/>
      <c r="AV7" s="368"/>
      <c r="AW7" s="368"/>
      <c r="AX7" s="368"/>
      <c r="AY7" s="368"/>
      <c r="AZ7" s="368"/>
      <c r="BA7" s="368"/>
      <c r="BB7" s="368"/>
      <c r="BC7" s="368"/>
      <c r="BD7" s="368"/>
      <c r="BE7" s="368"/>
      <c r="BF7" s="368"/>
      <c r="BG7" s="368"/>
      <c r="BH7" s="368"/>
      <c r="BI7" s="368"/>
      <c r="BJ7" s="368"/>
      <c r="BK7" s="368"/>
      <c r="BL7" s="368"/>
      <c r="BM7" s="368"/>
      <c r="BN7" s="368"/>
      <c r="BO7" s="368"/>
      <c r="BP7" s="368"/>
      <c r="BQ7" s="368"/>
      <c r="BR7" s="368"/>
      <c r="BS7" s="368"/>
      <c r="BT7" s="368"/>
      <c r="BU7" s="368"/>
      <c r="BV7" s="368"/>
      <c r="BW7" s="368"/>
      <c r="BX7" s="368"/>
      <c r="BY7" s="368"/>
      <c r="BZ7" s="368"/>
    </row>
    <row r="8" spans="1:86" s="367" customFormat="1">
      <c r="A8" s="374" t="s">
        <v>470</v>
      </c>
      <c r="B8" s="400">
        <f>'Capital IQ Sheet-GPC'!B8</f>
        <v>43190</v>
      </c>
      <c r="C8" s="372"/>
      <c r="D8" s="372"/>
      <c r="E8" s="372"/>
      <c r="F8" s="372"/>
      <c r="G8" s="372"/>
      <c r="H8" s="372"/>
      <c r="I8" s="372"/>
      <c r="J8" s="372"/>
      <c r="K8" s="372"/>
      <c r="L8" s="372"/>
      <c r="M8" s="372"/>
      <c r="N8" s="372"/>
      <c r="O8" s="372"/>
      <c r="P8" s="372"/>
      <c r="Q8" s="372"/>
      <c r="R8" s="372"/>
      <c r="S8" s="372"/>
      <c r="T8" s="372"/>
      <c r="U8" s="372"/>
      <c r="V8" s="372"/>
      <c r="W8" s="372"/>
      <c r="X8" s="372"/>
      <c r="Y8" s="372"/>
      <c r="Z8" s="372"/>
      <c r="AA8" s="372"/>
      <c r="AB8" s="372"/>
      <c r="AC8" s="372"/>
      <c r="AD8" s="372"/>
      <c r="AE8" s="372"/>
      <c r="AF8" s="372"/>
      <c r="AG8" s="372"/>
      <c r="AH8" s="372"/>
      <c r="AI8" s="372"/>
      <c r="AJ8" s="372"/>
      <c r="AK8" s="372"/>
      <c r="AL8" s="372"/>
      <c r="AM8" s="372"/>
      <c r="AN8" s="372"/>
      <c r="AO8" s="372"/>
      <c r="AP8" s="372"/>
      <c r="AQ8" s="368"/>
      <c r="AR8" s="372"/>
      <c r="AS8" s="368"/>
      <c r="AT8" s="372"/>
      <c r="AU8" s="368"/>
      <c r="AV8" s="368"/>
      <c r="AW8" s="368"/>
      <c r="AX8" s="368"/>
      <c r="AY8" s="368"/>
      <c r="AZ8" s="368"/>
      <c r="BA8" s="368"/>
      <c r="BB8" s="368"/>
      <c r="BC8" s="368"/>
      <c r="BD8" s="368"/>
      <c r="BE8" s="368"/>
      <c r="BF8" s="368"/>
      <c r="BG8" s="368"/>
      <c r="BH8" s="368"/>
      <c r="BI8" s="368"/>
      <c r="BJ8" s="368"/>
      <c r="BK8" s="368"/>
      <c r="BL8" s="368"/>
      <c r="BM8" s="368"/>
      <c r="BN8" s="368"/>
      <c r="BO8" s="368"/>
      <c r="BP8" s="368"/>
      <c r="BQ8" s="368"/>
      <c r="BR8" s="368"/>
      <c r="BS8" s="368"/>
      <c r="BT8" s="368"/>
      <c r="BU8" s="368"/>
      <c r="BV8" s="368"/>
      <c r="BW8" s="368"/>
      <c r="BX8" s="368"/>
      <c r="BY8" s="368"/>
      <c r="BZ8" s="368"/>
    </row>
    <row r="9" spans="1:86" s="491" customFormat="1" ht="12.75">
      <c r="A9" s="488"/>
      <c r="B9" s="488"/>
      <c r="C9" s="489"/>
      <c r="D9" s="489"/>
      <c r="E9" s="489"/>
      <c r="F9" s="489"/>
      <c r="G9" s="489"/>
      <c r="H9" s="489"/>
      <c r="I9" s="489"/>
      <c r="J9" s="489"/>
      <c r="K9" s="489"/>
      <c r="L9" s="489"/>
      <c r="M9" s="489"/>
      <c r="N9" s="489"/>
      <c r="O9" s="489"/>
      <c r="P9" s="489"/>
      <c r="Q9" s="489"/>
      <c r="R9" s="489"/>
      <c r="S9" s="489"/>
      <c r="T9" s="489"/>
      <c r="U9" s="489"/>
      <c r="V9" s="489"/>
      <c r="W9" s="489"/>
      <c r="X9" s="489"/>
      <c r="Y9" s="489"/>
      <c r="Z9" s="489"/>
      <c r="AA9" s="489"/>
      <c r="AB9" s="489"/>
      <c r="AC9" s="489"/>
      <c r="AD9" s="489"/>
      <c r="AE9" s="489"/>
      <c r="AF9" s="489"/>
      <c r="AG9" s="489"/>
      <c r="AH9" s="489"/>
      <c r="AI9" s="489"/>
      <c r="AJ9" s="489"/>
      <c r="AK9" s="489"/>
      <c r="AL9" s="489"/>
      <c r="AM9" s="489"/>
      <c r="AN9" s="489"/>
      <c r="AO9" s="489"/>
      <c r="AP9" s="489"/>
      <c r="AQ9" s="490"/>
      <c r="AR9" s="489"/>
      <c r="AS9" s="490"/>
      <c r="AT9" s="489"/>
      <c r="AU9" s="490"/>
      <c r="AV9" s="490"/>
      <c r="AW9" s="490"/>
      <c r="AX9" s="490"/>
      <c r="AY9" s="490"/>
      <c r="AZ9" s="490"/>
      <c r="BA9" s="490"/>
      <c r="BB9" s="490"/>
      <c r="BC9" s="489"/>
      <c r="BD9" s="490"/>
      <c r="BE9" s="490"/>
      <c r="BF9" s="490"/>
      <c r="BG9" s="490"/>
      <c r="BH9" s="490"/>
      <c r="BI9" s="490"/>
      <c r="BJ9" s="490"/>
      <c r="BK9" s="490"/>
      <c r="BL9" s="490"/>
      <c r="BM9" s="490"/>
      <c r="BN9" s="490"/>
      <c r="BO9" s="490"/>
      <c r="BP9" s="490"/>
      <c r="BQ9" s="490"/>
      <c r="BR9" s="490"/>
      <c r="BS9" s="490"/>
      <c r="BT9" s="490"/>
      <c r="BU9" s="490"/>
      <c r="BV9" s="490"/>
      <c r="BW9" s="490"/>
      <c r="BX9" s="490"/>
      <c r="BY9" s="490"/>
      <c r="BZ9" s="490"/>
    </row>
    <row r="10" spans="1:86">
      <c r="A10" s="410" t="str">
        <f>'Capital IQ Sheet-GPC'!A10</f>
        <v>Comparable Public Companies (Primary)</v>
      </c>
      <c r="W10" s="411"/>
      <c r="AF10" s="492" t="s">
        <v>165</v>
      </c>
      <c r="AG10" s="493"/>
      <c r="AH10" s="493"/>
      <c r="AI10" s="494"/>
      <c r="AJ10" s="372" t="s">
        <v>169</v>
      </c>
      <c r="AK10" s="372" t="s">
        <v>164</v>
      </c>
      <c r="AL10" s="372" t="s">
        <v>165</v>
      </c>
      <c r="AM10" s="372" t="s">
        <v>169</v>
      </c>
      <c r="AN10" s="372" t="s">
        <v>164</v>
      </c>
      <c r="AO10" s="372" t="s">
        <v>165</v>
      </c>
      <c r="AQ10" s="368">
        <v>1</v>
      </c>
      <c r="AR10" s="372">
        <v>2</v>
      </c>
      <c r="AS10" s="368">
        <v>5</v>
      </c>
      <c r="AU10" s="372" t="s">
        <v>169</v>
      </c>
      <c r="AV10" s="372" t="s">
        <v>164</v>
      </c>
      <c r="AW10" s="372" t="s">
        <v>165</v>
      </c>
      <c r="AX10" s="411" t="str">
        <f>B2</f>
        <v>CY2016</v>
      </c>
      <c r="AY10" s="411" t="str">
        <f>B3</f>
        <v>CY2017</v>
      </c>
      <c r="AZ10" s="372" t="s">
        <v>169</v>
      </c>
      <c r="BA10" s="372" t="s">
        <v>164</v>
      </c>
      <c r="BB10" s="372" t="s">
        <v>165</v>
      </c>
      <c r="BC10" s="372" t="str">
        <f>AX10</f>
        <v>CY2016</v>
      </c>
      <c r="BD10" s="372" t="str">
        <f>AY10</f>
        <v>CY2017</v>
      </c>
      <c r="BE10" s="372"/>
      <c r="BF10" s="372"/>
      <c r="BG10" s="372"/>
      <c r="BH10" s="368"/>
      <c r="BI10" s="368"/>
      <c r="BJ10" s="368"/>
      <c r="BK10" s="368"/>
      <c r="BL10" s="368"/>
      <c r="BM10" s="368"/>
      <c r="BN10" s="368"/>
      <c r="BO10" s="368"/>
      <c r="BP10" s="368"/>
      <c r="BQ10" s="368"/>
      <c r="BR10" s="368"/>
      <c r="BS10" s="368" t="s">
        <v>47</v>
      </c>
      <c r="BT10" s="368"/>
      <c r="BU10" s="368"/>
      <c r="BV10" s="368"/>
      <c r="BW10" s="368"/>
      <c r="BX10" s="368"/>
      <c r="BY10" s="368"/>
      <c r="BZ10" s="368"/>
      <c r="CA10" s="367"/>
      <c r="CB10" s="367"/>
      <c r="CC10" s="367"/>
      <c r="CD10" s="367"/>
      <c r="CE10" s="367"/>
      <c r="CF10" s="367"/>
      <c r="CG10" s="367"/>
      <c r="CH10" s="367"/>
    </row>
    <row r="11" spans="1:86" ht="12.75">
      <c r="A11" s="374" t="s">
        <v>38</v>
      </c>
      <c r="B11" s="374" t="s">
        <v>471</v>
      </c>
      <c r="C11" s="372" t="s">
        <v>472</v>
      </c>
      <c r="D11" s="372" t="s">
        <v>473</v>
      </c>
      <c r="E11" s="372" t="s">
        <v>474</v>
      </c>
      <c r="F11" s="372" t="s">
        <v>547</v>
      </c>
      <c r="G11" s="371" t="s">
        <v>475</v>
      </c>
      <c r="H11" s="371" t="s">
        <v>71</v>
      </c>
      <c r="I11" s="371" t="s">
        <v>442</v>
      </c>
      <c r="J11" s="372" t="s">
        <v>24</v>
      </c>
      <c r="K11" s="372" t="s">
        <v>25</v>
      </c>
      <c r="L11" s="372" t="s">
        <v>26</v>
      </c>
      <c r="M11" s="372" t="s">
        <v>27</v>
      </c>
      <c r="N11" s="372" t="s">
        <v>30</v>
      </c>
      <c r="O11" s="489" t="s">
        <v>520</v>
      </c>
      <c r="P11" s="372" t="s">
        <v>521</v>
      </c>
      <c r="Q11" s="372" t="s">
        <v>522</v>
      </c>
      <c r="R11" s="372" t="str">
        <f>"REV_"&amp;$B$2</f>
        <v>REV_CY2016</v>
      </c>
      <c r="S11" s="372" t="str">
        <f>"REV_"&amp;$B$3</f>
        <v>REV_CY2017</v>
      </c>
      <c r="T11" s="372" t="str">
        <f>"REV_"&amp;$B$4</f>
        <v>REV_CY2018</v>
      </c>
      <c r="U11" s="372" t="str">
        <f>"REV_"&amp;$B$5</f>
        <v>REV_CY2019</v>
      </c>
      <c r="V11" s="372" t="str">
        <f>"REV_"&amp;$B$6</f>
        <v>REV_CY2020</v>
      </c>
      <c r="W11" s="372" t="str">
        <f>"REV_"&amp;$B$7</f>
        <v>REV_CY2021</v>
      </c>
      <c r="X11" s="489" t="s">
        <v>523</v>
      </c>
      <c r="Y11" s="372" t="s">
        <v>524</v>
      </c>
      <c r="Z11" s="372" t="s">
        <v>476</v>
      </c>
      <c r="AA11" s="372" t="s">
        <v>525</v>
      </c>
      <c r="AB11" s="372" t="s">
        <v>526</v>
      </c>
      <c r="AC11" s="372" t="s">
        <v>527</v>
      </c>
      <c r="AD11" s="372" t="s">
        <v>528</v>
      </c>
      <c r="AE11" s="372" t="s">
        <v>529</v>
      </c>
      <c r="AF11" s="372" t="s">
        <v>532</v>
      </c>
      <c r="AG11" s="372" t="s">
        <v>559</v>
      </c>
      <c r="AH11" s="372" t="s">
        <v>560</v>
      </c>
      <c r="AI11" s="372" t="s">
        <v>561</v>
      </c>
      <c r="AJ11" s="372" t="s">
        <v>533</v>
      </c>
      <c r="AK11" s="372" t="s">
        <v>533</v>
      </c>
      <c r="AL11" s="372" t="s">
        <v>533</v>
      </c>
      <c r="AM11" s="372" t="s">
        <v>440</v>
      </c>
      <c r="AN11" s="372" t="s">
        <v>440</v>
      </c>
      <c r="AO11" s="372" t="s">
        <v>440</v>
      </c>
      <c r="AP11" s="372" t="s">
        <v>562</v>
      </c>
      <c r="AQ11" s="372" t="s">
        <v>479</v>
      </c>
      <c r="AR11" s="372" t="s">
        <v>478</v>
      </c>
      <c r="AS11" s="372" t="s">
        <v>477</v>
      </c>
      <c r="AT11" s="372" t="s">
        <v>7</v>
      </c>
      <c r="AU11" s="371" t="s">
        <v>386</v>
      </c>
      <c r="AV11" s="371" t="s">
        <v>386</v>
      </c>
      <c r="AW11" s="371" t="s">
        <v>386</v>
      </c>
      <c r="AX11" s="371" t="s">
        <v>386</v>
      </c>
      <c r="AY11" s="372" t="s">
        <v>386</v>
      </c>
      <c r="AZ11" s="371" t="s">
        <v>387</v>
      </c>
      <c r="BA11" s="371" t="s">
        <v>387</v>
      </c>
      <c r="BB11" s="371" t="s">
        <v>387</v>
      </c>
      <c r="BC11" s="372" t="s">
        <v>387</v>
      </c>
      <c r="BD11" s="371" t="s">
        <v>387</v>
      </c>
      <c r="BE11" s="371" t="s">
        <v>552</v>
      </c>
      <c r="BF11" s="371" t="s">
        <v>553</v>
      </c>
      <c r="BG11" s="371" t="s">
        <v>554</v>
      </c>
      <c r="BH11" s="371" t="s">
        <v>555</v>
      </c>
      <c r="BI11" s="371" t="s">
        <v>556</v>
      </c>
      <c r="BJ11" s="371" t="s">
        <v>557</v>
      </c>
      <c r="BK11" s="371" t="s">
        <v>480</v>
      </c>
      <c r="BL11" s="371" t="s">
        <v>481</v>
      </c>
      <c r="BM11" s="371" t="s">
        <v>482</v>
      </c>
      <c r="BN11" s="371" t="s">
        <v>483</v>
      </c>
      <c r="BO11" s="371" t="s">
        <v>484</v>
      </c>
      <c r="BP11" s="371" t="s">
        <v>485</v>
      </c>
      <c r="BQ11" s="371" t="s">
        <v>486</v>
      </c>
      <c r="BR11" s="371" t="s">
        <v>487</v>
      </c>
      <c r="BS11" s="373" t="str">
        <f>'Capital IQ Sheet-GPC'!BS11</f>
        <v>Year 1</v>
      </c>
      <c r="BT11" s="373" t="str">
        <f>'Capital IQ Sheet-GPC'!BT11</f>
        <v>Year 2</v>
      </c>
      <c r="BU11" s="373" t="str">
        <f>'Capital IQ Sheet-GPC'!BU11</f>
        <v>Year 3</v>
      </c>
      <c r="BV11" s="373" t="str">
        <f>'Capital IQ Sheet-GPC'!BV11</f>
        <v>Year 4</v>
      </c>
      <c r="BW11" s="373" t="str">
        <f>'Capital IQ Sheet-GPC'!BW11</f>
        <v>Year 5</v>
      </c>
      <c r="BX11" s="373" t="str">
        <f>'Capital IQ Sheet-GPC'!BX11</f>
        <v>Year 6</v>
      </c>
      <c r="BY11" s="373" t="str">
        <f>'Capital IQ Sheet-GPC'!BY11</f>
        <v>Year 7</v>
      </c>
      <c r="BZ11" s="373" t="str">
        <f>'Capital IQ Sheet-GPC'!BZ11</f>
        <v>Year 8</v>
      </c>
      <c r="CB11" s="370" t="s">
        <v>563</v>
      </c>
      <c r="CC11" s="370" t="s">
        <v>147</v>
      </c>
      <c r="CD11" s="370" t="s">
        <v>148</v>
      </c>
      <c r="CE11" s="371" t="s">
        <v>536</v>
      </c>
    </row>
    <row r="12" spans="1:86">
      <c r="CE12" s="370"/>
    </row>
    <row r="13" spans="1:86" s="371" customFormat="1" ht="12.75">
      <c r="A13" s="372" t="str">
        <f>_xll.ciqfunctions.udf.CIQ($B13,"IQ_COMPANY_TICKER")</f>
        <v>CPSE:NOVO B</v>
      </c>
      <c r="B13" s="412" t="str">
        <f>'Capital IQ Sheet-GPC'!B13</f>
        <v>IQ323452</v>
      </c>
      <c r="C13" s="372" t="str">
        <f>_xll.ciqfunctions.udf.CIQ($A13,"IQ_COMPANY_NAME")</f>
        <v>Novo Nordisk A/S</v>
      </c>
      <c r="D13" s="372" t="str">
        <f>_xll.ciqfunctions.udf.CIQ($A13, "IQ_EXCHANGE")</f>
        <v>CPSE</v>
      </c>
      <c r="E13" s="411">
        <f>_xll.ciqfunctions.udf.CIQ($A13, "IQ_PERIODDATE_IS", IQ_FY)</f>
        <v>43100</v>
      </c>
      <c r="F13" s="411">
        <f>_xll.ciqfunctions.udf.CIQ(A13, "IQ_PERIODDATE_IS", IQ_LTM, $B$1,$L$4,$L$3)</f>
        <v>43190</v>
      </c>
      <c r="G13" s="411">
        <f>_xll.ciqfunctions.udf.CIQ($A13, "IQ_FIRSTPRICINGDATE")</f>
        <v>33605</v>
      </c>
      <c r="H13" s="413">
        <f>_xll.ciqfunctions.udf.CIQ($A13, "IQ_TEV", $L$2, $L$5, $L$6)</f>
        <v>110584.08422999999</v>
      </c>
      <c r="I13" s="413">
        <f>_xll.ciqfunctions.udf.CIQ(A13, "IQ_LASTSALEPRICE", $B$1,$L$5)</f>
        <v>46.34769</v>
      </c>
      <c r="J13" s="413">
        <f>_xll.ciqfunctions.udf.CIQ($A13, "IQ_MARKETCAP", $L$2, $L$5, $L$6)</f>
        <v>112194.50996</v>
      </c>
      <c r="K13" s="413">
        <f>_xll.ciqfunctions.udf.CIQ($A13, "IQ_TOTAL_DEBT", IQ_LTM, $L$2,$L$4, $L$3, $L$5, $L$6)</f>
        <v>37.684269999999998</v>
      </c>
      <c r="L13" s="413">
        <f>_xll.ciqfunctions.udf.CIQ($A13, "IQ_PREF_EQUITY", IQ_LTM, $L$2, $L$4, $L$3, $L$5, $L$6)</f>
        <v>0</v>
      </c>
      <c r="M13" s="413">
        <f>_xll.ciqfunctions.udf.CIQ($A13, "IQ_MINORITY_INTEREST_TOTAL", IQ_LTM, $L$2, $L$4, $L$3, $L$5, $L$6)</f>
        <v>0</v>
      </c>
      <c r="N13" s="413">
        <f>_xll.ciqfunctions.udf.CIQ($A13, "IQ_CASH_ST_INVEST", IQ_LTM, $L$2, $L$4, $L$3, $L$5, $L$6)</f>
        <v>1737.6084000000001</v>
      </c>
      <c r="O13" s="413">
        <f>_xll.ciqfunctions.udf.CIQ($A13, "IQ_TOTAL_REV", IQ_LTM-8, $L$2, $L$4, $L$3, $L$5, $L$6)</f>
        <v>16804.59172</v>
      </c>
      <c r="P13" s="413">
        <f>_xll.ciqfunctions.udf.CIQ($A13, "IQ_TOTAL_REV", IQ_LTM - 4, $L$2, $L$4, $L$3, $L$5,$L$6)</f>
        <v>16251.231239999999</v>
      </c>
      <c r="Q13" s="413">
        <f>_xll.ciqfunctions.udf.CIQ($A13, "IQ_TOTAL_REV", IQ_LTM, $L$2, $L$4, $L$3, $L$5, $L$6)</f>
        <v>18209.76585</v>
      </c>
      <c r="R13" s="413">
        <f>_xll.ciqfunctions.udf.CIQ($A13, "IQ_TOTAL_REV", $B$2, $L$2, $L$4, $L$3, $L$5, $L$6)</f>
        <v>15871.280479999999</v>
      </c>
      <c r="S13" s="413">
        <f>IF(_xll.ciqfunctions.udf.CIQ($A13, "IQ_TOTAL_REV", $B$3, $L$2,$L$4, $L$3, $L$5, $L$6)=0,Q13,_xll.ciqfunctions.udf.CIQ($A13, "IQ_TOTAL_REV", $B$3, $L$2,$L$4, $L$3, $L$5, $L$6))</f>
        <v>18013.653439999998</v>
      </c>
      <c r="T13" s="413">
        <f>IF(_xll.ciqfunctions.udf.CIQ($A13, "IQ_REVENUE_EST",$B$4, $L$2, "CON", $L$3, $L$5, $L$6)=0,"n/a",_xll.ciqfunctions.udf.CIQ($A13, "IQ_REVENUE_EST",$B$4, $L$2, "CON", $L$3, $L$5, $L$6))</f>
        <v>17333.342359999999</v>
      </c>
      <c r="U13" s="413">
        <f>IF(_xll.ciqfunctions.udf.CIQ($A13, "IQ_REVENUE_EST",$B$5, $L$2, "CON", $L$3, $L$5, $L$6)=0,"n/a",_xll.ciqfunctions.udf.CIQ($A13, "IQ_REVENUE_EST",$B$5, $L$2, "CON", $L$3, $L$5, $L$6))</f>
        <v>18225.362359999999</v>
      </c>
      <c r="V13" s="413">
        <f>IF(_xll.ciqfunctions.udf.CIQ($A13, "IQ_REVENUE_EST",$B$6, $L$2, "CON", $L$3, $L$5, $L$6)=0,"n/a",_xll.ciqfunctions.udf.CIQ($A13, "IQ_REVENUE_EST",$B$6, $L$2, "CON", $L$3, $L$5, $L$6))</f>
        <v>19451.656569999999</v>
      </c>
      <c r="W13" s="413">
        <f>IF(_xll.ciqfunctions.udf.CIQ($A13, "IQ_REVENUE_EST", $B$7, $L$2, "CON", $L$3, $L$5, $L$6)=0,"n/a",_xll.ciqfunctions.udf.CIQ($A13, "IQ_REVENUE_EST",$B$7, $L$2, "CON", $L$3, $L$5, $L$6))</f>
        <v>21435.06234</v>
      </c>
      <c r="X13" s="413">
        <f>_xll.ciqfunctions.udf.CIQ($A13, "IQ_EBITDA", IQ_LTM-8, $L$2, $L$4, $L$3, $L$5, $L$6)</f>
        <v>7683.9595200000003</v>
      </c>
      <c r="Y13" s="413">
        <f>_xll.ciqfunctions.udf.CIQ($A13, "IQ_EBITDA", IQ_LTM-4, $L$2,$L$4, $L$3, $L$5, $L$6)</f>
        <v>7586.9754499999999</v>
      </c>
      <c r="Z13" s="413">
        <f>_xll.ciqfunctions.udf.CIQ($A13, "IQ_EBITDA", IQ_LTM, $L$2, $L$4, $L$3, $L$5, $L$6)</f>
        <v>8411.5254399999994</v>
      </c>
      <c r="AA13" s="413">
        <f>_xll.ciqfunctions.udf.CIQ($A13, "IQ_EBITDA", $B$2, $L$2, $L$4, $L$3, $L$5, $L$6)</f>
        <v>7312.1763600000004</v>
      </c>
      <c r="AB13" s="413">
        <f>IF(_xll.ciqfunctions.udf.CIQ($A13, "IQ_EBITDA", $B$3, $L$2,$L$4, $L$3, $L$5, $L$6)=0,Z13,_xll.ciqfunctions.udf.CIQ($A13, "IQ_EBITDA", $B$3, $L$2,$L$4, $L$3, $L$5, $L$6))</f>
        <v>8391.4053899999999</v>
      </c>
      <c r="AC13" s="413">
        <f>IF(_xll.ciqfunctions.udf.CIQ($A13, "IQ_EBITDA_EST",$B$4, $L$2, "CON", $L$3, $L$5, $L$6)=0,"n/a",_xll.ciqfunctions.udf.CIQ($A13, "IQ_EBITDA_EST",$B$4, $L$2, "CON", $L$3, $L$5, $L$6))</f>
        <v>7890.1490400000002</v>
      </c>
      <c r="AD13" s="413">
        <f>IF(_xll.ciqfunctions.udf.CIQ($A13, "IQ_EBITDA_EST",$B$5, $L$2, "CON", $L$3, $L$5, $L$6)=0,"n/a",_xll.ciqfunctions.udf.CIQ($A13, "IQ_EBITDA_EST",$B$5, $L$2, "CON", $L$3, $L$5, $L$6))</f>
        <v>8365.6371600000002</v>
      </c>
      <c r="AE13" s="413">
        <f>IF(_xll.ciqfunctions.udf.CIQ($A13, "IQ_EBITDA_EST",$B$6, $L$2, "CON", $L$3, $L$5, $L$6)=0,"n/a",_xll.ciqfunctions.udf.CIQ($A13, "IQ_EBITDA_EST",$B$6, $L$2, "CON", $L$3, $L$5, $L$6))</f>
        <v>9008.6327899999997</v>
      </c>
      <c r="AF13" s="414">
        <f>IF(ISERROR(_xll.ciqfunctions.udf.CIQ($A13, "IQ_GROSS_MARGIN", IQ_LTM, $L$2,$L$4, $L$3, $L$5, $L$6)/100), "n/a", _xll.ciqfunctions.udf.CIQ($A13,  "IQ_GROSS_MARGIN", IQ_LTM, $L$2, $L$4, $L$3, $L$5, $L$6)/100)</f>
        <v>0.84045199999999998</v>
      </c>
      <c r="AG13" s="414">
        <f>IF(ISERROR(_xll.ciqfunctions.udf.CIQ($A13,"IQ_EBITDA_MARGIN", IQ_LTM, $L$2, $L$4, $L$3, $L$5, $L$6)/100), "n/a", _xll.ciqfunctions.udf.CIQ($A13, "IQ_EBITDA_MARGIN", IQ_LTM, $L$2, $L$4, $L$3, $L$5, $L$6)/100)</f>
        <v>0.46192300000000003</v>
      </c>
      <c r="AH13" s="414">
        <f>IF(ISERROR(_xll.ciqfunctions.udf.CIQ($A13,"IQ_EBIT_MARGIN", IQ_LTM, $L$2, $L$4, $L$3, $L$5, $L$6)/100), "n/a", _xll.ciqfunctions.udf.CIQ($A13, "IQ_EBIT_MARGIN", IQ_LTM, $L$2, $L$4, $L$3, $L$5, $L$6)/100)</f>
        <v>0.43565600000000004</v>
      </c>
      <c r="AI13" s="414">
        <f>IF(ISERROR(_xll.ciqfunctions.udf.CIQ($A13,"IQ_NI_MARGIN", IQ_LTM, $L$2, $L$4, $L$3, $L$5, $L$6)/100), "n/a", _xll.ciqfunctions.udf.CIQ($A13, "IQ_NI_MARGIN", IQ_LTM, $L$2, $L$4, $L$3, $L$5, $L$6)/100)</f>
        <v>0.351489</v>
      </c>
      <c r="AJ13" s="413">
        <f>_xll.ciqfunctions.udf.CIQ($A13,"IQ_TOTAL_CA",IQ_LTM-8,$L$2, $L$4, $L$3, $L$5, $L$6)-_xll.ciqfunctions.udf.CIQ($A13,"IQ_TOTAL_CL",IQ_LTM-8,$L$2, $L$4, $L$3, $L$5, $L$6)</f>
        <v>811.19500999999946</v>
      </c>
      <c r="AK13" s="413">
        <f>_xll.ciqfunctions.udf.CIQ($A13,"IQ_TOTAL_CA",IQ_LTM-4,$L$2, $L$4, $L$3, $L$5, $L$6)-_xll.ciqfunctions.udf.CIQ($A13,"IQ_TOTAL_CL",IQ_LTM-4,$L$2, $L$4, $L$3, $L$5, $L$6)</f>
        <v>969.86865000000034</v>
      </c>
      <c r="AL13" s="413">
        <f>_xll.ciqfunctions.udf.CIQ($A13,"IQ_TOTAL_CA",IQ_LTM,$L$2, $L$4, $L$3, $L$5, $L$6)-_xll.ciqfunctions.udf.CIQ($A13,"IQ_TOTAL_CL",IQ_LTM,$L$2, $L$4, $L$3, $L$5, $L$6)</f>
        <v>949.87496000000101</v>
      </c>
      <c r="AM13" s="413">
        <f>IF(ISERROR(_xll.ciqfunctions.udf.CIQ($A13, "IQ_Capex", IQ_LTM-8, $L$2,$L$4, $L$3, $L$5, $L$6)), "n/a", _xll.ciqfunctions.udf.CIQ($A13, "IQ_Capex", IQ_LTM-8, $L$2, $L$4, $L$3, $L$5, $L$6))</f>
        <v>-848.03277000000003</v>
      </c>
      <c r="AN13" s="413">
        <f>IF(ISERROR(_xll.ciqfunctions.udf.CIQ($A13, "IQ_Capex", IQ_LTM-4, $L$2,$L$4, $L$3, $L$5, $L$6)), "n/a", _xll.ciqfunctions.udf.CIQ($A13, "IQ_Capex", IQ_LTM-4, $L$2,$L$4, $L$3, $L$5, $L$6))</f>
        <v>-1090.07772</v>
      </c>
      <c r="AO13" s="413">
        <f>IF(ISERROR(_xll.ciqfunctions.udf.CIQ($A13, "IQ_Capex", IQ_LTM, $L$2, $L$4, $L$3, $L$5, $L$6)), "n/a", _xll.ciqfunctions.udf.CIQ($A13, "IQ_Capex", IQ_LTM, $L$2, $L$4, $L$3, $L$5, $L$6))</f>
        <v>-1337.9568200000001</v>
      </c>
      <c r="AP13" s="415" t="str">
        <f>_xll.ciqfunctions.udf.CIQ(A13, "IQ_BUSINESS_DESCRIPTION")</f>
        <v>Novo Nordisk A/S, a healthcare company, engages in the discovery, development, manufacture, and marketing of pharmaceutical products worldwide. It operates in two segments, Diabetes Care and Obesity, and Biopharmaceuticals. The Diabetes Care and Obesity segment provides insulins, GLP-1 and related delivery systems, and oral anti-diabetic drugs and obesity. The Biopharmaceuticals segment offers products in the areas of haemophilia care, growth hormone therapy, and hormone replacement therapy. Novo Nordisk A/S has a research and licensing agreement with DUKE National University Singapore Medical School to develop stem cell-based treatments for chronic heart failure and age-related macular degeneration; and a strategic alliance with Evotec AG to discover and develop small molecule therapies to treat patients suffering from diabetes, obesity, and co-morbidities, as well as has a research collaboration with Kallyope Inc. The company markets and distributes its products through distributors and independent agents. Novo Nordisk A/S was founded in 1925 and is headquartered in Bagsvaerd, Denmark.</v>
      </c>
      <c r="AQ13" s="416">
        <f>_xll.ciqfunctions.udf.CIQ($A13, "IQ_BETA_1YR", $B$1)</f>
        <v>0.54383999999999999</v>
      </c>
      <c r="AR13" s="416">
        <f>_xll.ciqfunctions.udf.CIQ($A13, "IQ_BETA_2YR", $B$1)</f>
        <v>0.58235999999999999</v>
      </c>
      <c r="AS13" s="416">
        <f>_xll.ciqfunctions.udf.CIQ($A13, "IQ_BETA_5YR", $B$1)</f>
        <v>0.51153000000000004</v>
      </c>
      <c r="AT13" s="414">
        <f>_xll.ciqfunctions.udf.CIQ($A13, "IQ_DIVIDEND_YIELD", $B$1)/100</f>
        <v>2.6520000000000002E-2</v>
      </c>
      <c r="AU13" s="413">
        <f>_xll.ciqfunctions.udf.CIQ($A13, "IQ_EARNING_CO", IQ_LTM-8, $L$2, $L$4, $L$3, $L$5, $L$6)</f>
        <v>5264.1313300000002</v>
      </c>
      <c r="AV13" s="413">
        <f>_xll.ciqfunctions.udf.CIQ($A13, "IQ_EARNING_CO", IQ_LTM-4, $L$2, $L$4, $L$3, $L$5, $L$6)</f>
        <v>5554.0617400000001</v>
      </c>
      <c r="AW13" s="413">
        <f>_xll.ciqfunctions.udf.CIQ($A13, "IQ_EARNING_CO", IQ_LTM, $L$2, $L$4, $L$3, $L$5, $L$6)</f>
        <v>6400.5407999999998</v>
      </c>
      <c r="AX13" s="413">
        <f>_xll.ciqfunctions.udf.CIQ($A13, "IQ_EARNING_CO", $B$2, $L$2, $L$4, $L$3, $L$5, $L$6)</f>
        <v>5384.8480300000001</v>
      </c>
      <c r="AY13" s="413">
        <f>IF(_xll.ciqfunctions.udf.CIQ($A13, "IQ_EARNING_CO", $B$3, $L$2,$L$4, $L$3, $L$5, $L$6)=0,AW13,_xll.ciqfunctions.udf.CIQ($A13, "IQ_EARNING_CO", $B$3, $L$2,$L$4, $L$3, $L$5, $L$6))</f>
        <v>6149.3751400000001</v>
      </c>
      <c r="AZ13" s="413">
        <f>_xll.ciqfunctions.udf.CIQ($A13, "IQ_TOTAL_EQUITY", IQ_LTM-8, $L$2, $L$4, $L$3, $L$5, $L$6)</f>
        <v>5699.0003299999998</v>
      </c>
      <c r="BA13" s="413">
        <f>_xll.ciqfunctions.udf.CIQ($A13, "IQ_TOTAL_EQUITY", IQ_LTM-4, $L$2, $L$4, $L$3, $L$5, $L$6)</f>
        <v>5794.9112599999999</v>
      </c>
      <c r="BB13" s="413">
        <f>_xll.ciqfunctions.udf.CIQ($A13, "IQ_TOTAL_EQUITY", IQ_LTM, $L$2, $L$4, $L$3, $L$5, $L$6)</f>
        <v>7311.73981</v>
      </c>
      <c r="BC13" s="413">
        <f>_xll.ciqfunctions.udf.CIQ($A13, "IQ_TOTAL_EQUITY", $B$2, $L$2, $L$4, $L$3, $L$5, $L$6)</f>
        <v>6427.5988200000002</v>
      </c>
      <c r="BD13" s="413">
        <f>IF(_xll.ciqfunctions.udf.CIQ($A13, "IQ_TOTAL_EQUITY", $B$3, $L$2,$L$4, $L$3, $L$5, $L$6)=0,BB13,_xll.ciqfunctions.udf.CIQ($A13, "IQ_TOTAL_EQUITY", $B$3, $L$2,$L$4, $L$3, $L$5, $L$6))</f>
        <v>8033.8610699999999</v>
      </c>
      <c r="BE13" s="413">
        <f>_xll.ciqfunctions.udf.CIQ(A13, "IQ_LASTSALEPRICE", $B$8)</f>
        <v>49.17136</v>
      </c>
      <c r="BF13" s="413">
        <f>_xll.ciqfunctions.udf.CIQ($A13, "IQ_MARKETCAP", $B$8, $L$5, $L$6)</f>
        <v>119579.29502999999</v>
      </c>
      <c r="BG13" s="413">
        <f>_xll.ciqfunctions.udf.CIQ($A13, "IQ_TOTAL_DEBT", IQ_LTM, $B$8,$L$4, $L$3, $L$5, $L$6)</f>
        <v>273.19805000000002</v>
      </c>
      <c r="BH13" s="371">
        <f>_xll.ciqfunctions.udf.CIQ($A13,"IQ_PREF_EQUITY",IQ_LTM,$B$8,$L$4,$L$3,$L$5,$L$6)</f>
        <v>0</v>
      </c>
      <c r="BI13" s="371">
        <f>_xll.ciqfunctions.udf.CIQ($A13, "IQ_MINORITY_INTEREST_TOTAL", IQ_LTM,$B$8,$L$4,$L$3,$L$5,$L$6)</f>
        <v>0</v>
      </c>
      <c r="BJ13" s="413">
        <f>_xll.ciqfunctions.udf.CIQ($A13, "IQ_CASH_ST_INVEST", IQ_LTM, $B$8, $L$4, $L$3, $L$5, $L$6)</f>
        <v>3040.3362200000001</v>
      </c>
      <c r="BK13" s="371">
        <f>_xll.ciqfunctions.udf.CIQ($A13, "IQ_EFFECT_TAX_RATE")</f>
        <v>20.396799999999999</v>
      </c>
      <c r="BL13" s="371">
        <f>IF(_xll.ciqfunctions.udf.CIQ($A13, "IQ_TOTAL_REV_2YR_ANN_CAGR", IQ_LTM, $B$1,$L$4, $L$3, $L$5, $L$6)="NM","n/a",(_xll.ciqfunctions.udf.CIQ($A13, "IQ_TOTAL_REV_2YR_ANN_CAGR", IQ_LTM, $B$1,$L$4, $L$3, $L$5, $L$6)/100))</f>
        <v>1.0680000000000002E-3</v>
      </c>
      <c r="BM13" s="371">
        <f>IF(_xll.ciqfunctions.udf.CIQ($A13, "IQ_TOTAL_REV_3YR_ANN_CAGR", IQ_LTM, $B$1,$L$4, $L$3, $L$5, $L$6)="NM","n/a",(_xll.ciqfunctions.udf.CIQ($A13, "IQ_TOTAL_REV_3YR_ANN_CAGR", IQ_LTM, $B$1,$L$4, $L$3, $L$5, $L$6)/100))</f>
        <v>5.561E-2</v>
      </c>
      <c r="BN13" s="371">
        <f>IF(_xll.ciqfunctions.udf.CIQ($A13, "IQ_TOTAL_REV_5YR_ANN_CAGR", IQ_LTM, $B$1,$L$4, $L$3, $L$5, $L$6)="NM","n/a",(_xll.ciqfunctions.udf.CIQ($A13, "IQ_TOTAL_REV_5YR_ANN_CAGR", IQ_LTM, $B$1,$L$4, $L$3, $L$5, $L$6)/100))</f>
        <v>6.5412999999999999E-2</v>
      </c>
      <c r="BO13" s="371">
        <f>IF(_xll.ciqfunctions.udf.CIQ($A13,"IQ_EBITDA_2YR_ANN_CAGR", IQ_LTM,$B$1,$L$4, $L$3, $L$5, $L$6)="NM","n/a",(_xll.ciqfunctions.udf.CIQ($A13,"IQ_EBITDA_2YR_ANN_CAGR", IQ_LTM,$B$1,$L$4, $L$3, $L$5, $L$6)/100))</f>
        <v>6.1670000000000006E-3</v>
      </c>
      <c r="BP13" s="371">
        <f>IF(_xll.ciqfunctions.udf.CIQ($A13,"IQ_EBITDA_3YR_ANN_CAGR", IQ_LTM,$B$1,$L$4, $L$3, $L$5, $L$6)="NM","n/a",(_xll.ciqfunctions.udf.CIQ($A13,"IQ_EBITDA_3YR_ANN_CAGR", IQ_LTM,$B$1,$L$4, $L$3, $L$5, $L$6)/100))</f>
        <v>7.3264999999999997E-2</v>
      </c>
      <c r="BQ13" s="371">
        <f>IF(_xll.ciqfunctions.udf.CIQ($A13,"IQ_EBITDA_5YR_ANN_CAGR", IQ_LTM,$B$1,$L$4, $L$3, $L$5, $L$6)="NM","n/a",(_xll.ciqfunctions.udf.CIQ($A13,"IQ_EBITDA_5YR_ANN_CAGR", IQ_LTM,$B$1,$L$4, $L$3, $L$5, $L$6)/100))</f>
        <v>8.8681999999999997E-2</v>
      </c>
      <c r="BR13" s="375">
        <f>IFERROR((_xll.ciqfunctions.udf.CIQ($A13, "IQ_DA_CF", IQ_LTM, $B$1, $L$4, $L$3, $L$5, $L$6)/Q13),"NM")</f>
        <v>2.6267540392343924E-2</v>
      </c>
      <c r="BS13" s="417">
        <f>'Capital IQ Sheet-GPC'!BS13</f>
        <v>0.23337104782440229</v>
      </c>
      <c r="BT13" s="417">
        <f>'Capital IQ Sheet-GPC'!BT13</f>
        <v>0.27152222085926869</v>
      </c>
      <c r="BU13" s="417">
        <f>'Capital IQ Sheet-GPC'!BU13</f>
        <v>0.27509605137080317</v>
      </c>
      <c r="BV13" s="417">
        <f>'Capital IQ Sheet-GPC'!BV13</f>
        <v>0.26647478565178756</v>
      </c>
      <c r="BW13" s="417">
        <f>'Capital IQ Sheet-GPC'!BW13</f>
        <v>0.25702694560965095</v>
      </c>
      <c r="BX13" s="417">
        <f>'Capital IQ Sheet-GPC'!BX13</f>
        <v>0.25752787186184822</v>
      </c>
      <c r="BY13" s="417">
        <f>'Capital IQ Sheet-GPC'!BY13</f>
        <v>0.26523876608060654</v>
      </c>
      <c r="BZ13" s="417">
        <f>'Capital IQ Sheet-GPC'!BZ13</f>
        <v>0.26473478426800701</v>
      </c>
      <c r="CB13" s="371">
        <v>2</v>
      </c>
      <c r="CC13" s="495" t="s">
        <v>150</v>
      </c>
      <c r="CD13" s="495" t="s">
        <v>149</v>
      </c>
      <c r="CE13" s="373">
        <f>$B$1-365*CB13</f>
        <v>42551</v>
      </c>
    </row>
    <row r="14" spans="1:86" s="371" customFormat="1" ht="12.75">
      <c r="A14" s="372" t="str">
        <f>_xll.ciqfunctions.udf.CIQ($B14,"IQ_COMPANY_TICKER")</f>
        <v>SEHK:1530</v>
      </c>
      <c r="B14" s="412" t="str">
        <f>'Capital IQ Sheet-GPC'!B15</f>
        <v>IQ24164591</v>
      </c>
      <c r="C14" s="372" t="str">
        <f>_xll.ciqfunctions.udf.CIQ($A14,"IQ_COMPANY_NAME")</f>
        <v>3SBio Inc.</v>
      </c>
      <c r="D14" s="372" t="str">
        <f>_xll.ciqfunctions.udf.CIQ($A14, "IQ_EXCHANGE")</f>
        <v>SEHK</v>
      </c>
      <c r="E14" s="411">
        <f>_xll.ciqfunctions.udf.CIQ($A14, "IQ_PERIODDATE_IS", IQ_FY)</f>
        <v>43100</v>
      </c>
      <c r="F14" s="411">
        <f>_xll.ciqfunctions.udf.CIQ(A14, "IQ_PERIODDATE_IS", IQ_LTM, $B$1,$L$4,$L$3)</f>
        <v>43100</v>
      </c>
      <c r="G14" s="411">
        <f>_xll.ciqfunctions.udf.CIQ($A14, "IQ_FIRSTPRICINGDATE")</f>
        <v>42166</v>
      </c>
      <c r="H14" s="413">
        <f>_xll.ciqfunctions.udf.CIQ($A14, "IQ_TEV", $L$2, $L$5, $L$6)</f>
        <v>6000.97145</v>
      </c>
      <c r="I14" s="413">
        <f>_xll.ciqfunctions.udf.CIQ(A14, "IQ_LASTSALEPRICE", $B$1,$L$5)</f>
        <v>2.2711299999999999</v>
      </c>
      <c r="J14" s="413">
        <f>_xll.ciqfunctions.udf.CIQ($A14, "IQ_MARKETCAP", $L$2, $L$5, $L$6)</f>
        <v>5765.9263099999998</v>
      </c>
      <c r="K14" s="413">
        <f>_xll.ciqfunctions.udf.CIQ($A14, "IQ_TOTAL_DEBT", IQ_LTM, $L$2,$L$4, $L$3, $L$5, $L$6)</f>
        <v>677.16830000000004</v>
      </c>
      <c r="L14" s="413">
        <f>_xll.ciqfunctions.udf.CIQ($A14, "IQ_PREF_EQUITY", IQ_LTM, $L$2, $L$4, $L$3, $L$5, $L$6)</f>
        <v>0</v>
      </c>
      <c r="M14" s="413">
        <f>_xll.ciqfunctions.udf.CIQ($A14, "IQ_MINORITY_INTEREST_TOTAL", IQ_LTM, $L$2, $L$4, $L$3, $L$5, $L$6)</f>
        <v>35.787419999999997</v>
      </c>
      <c r="N14" s="413">
        <f>_xll.ciqfunctions.udf.CIQ($A14, "IQ_CASH_ST_INVEST", IQ_LTM, $L$2, $L$4, $L$3, $L$5, $L$6)</f>
        <v>476.92147999999997</v>
      </c>
      <c r="O14" s="413">
        <f>_xll.ciqfunctions.udf.CIQ($A14, "IQ_TOTAL_REV", IQ_LTM-8, $L$2, $L$4, $L$3, $L$5, $L$6)</f>
        <v>257.70134999999999</v>
      </c>
      <c r="P14" s="413">
        <f>_xll.ciqfunctions.udf.CIQ($A14, "IQ_TOTAL_REV", IQ_LTM - 4, $L$2, $L$4, $L$3, $L$5,$L$6)</f>
        <v>402.87020999999999</v>
      </c>
      <c r="Q14" s="413">
        <f>_xll.ciqfunctions.udf.CIQ($A14, "IQ_TOTAL_REV", IQ_LTM, $L$2, $L$4, $L$3, $L$5, $L$6)</f>
        <v>573.92133999999999</v>
      </c>
      <c r="R14" s="413">
        <f>_xll.ciqfunctions.udf.CIQ($A14, "IQ_TOTAL_REV", $B$2, $L$2, $L$4, $L$3, $L$5, $L$6)</f>
        <v>402.87020999999999</v>
      </c>
      <c r="S14" s="413">
        <f>IF(_xll.ciqfunctions.udf.CIQ($A14, "IQ_TOTAL_REV", $B$3, $L$2,$L$4, $L$3, $L$5, $L$6)=0,Q14,_xll.ciqfunctions.udf.CIQ($A14, "IQ_TOTAL_REV", $B$3, $L$2,$L$4, $L$3, $L$5, $L$6))</f>
        <v>573.92133999999999</v>
      </c>
      <c r="T14" s="413">
        <f>IF(_xll.ciqfunctions.udf.CIQ($A14, "IQ_REVENUE_EST",$B$4, $L$2, "CON", $L$3, $L$5, $L$6)=0,"n/a",_xll.ciqfunctions.udf.CIQ($A14, "IQ_REVENUE_EST",$B$4, $L$2, "CON", $L$3, $L$5, $L$6))</f>
        <v>757.17007999999998</v>
      </c>
      <c r="U14" s="413">
        <f>IF(_xll.ciqfunctions.udf.CIQ($A14, "IQ_REVENUE_EST",$B$5, $L$2, "CON", $L$3, $L$5, $L$6)=0,"n/a",_xll.ciqfunctions.udf.CIQ($A14, "IQ_REVENUE_EST",$B$5, $L$2, "CON", $L$3, $L$5, $L$6))</f>
        <v>939.10441000000003</v>
      </c>
      <c r="V14" s="413">
        <f>IF(_xll.ciqfunctions.udf.CIQ($A14, "IQ_REVENUE_EST",$B$6, $L$2, "CON", $L$3, $L$5, $L$6)=0,"n/a",_xll.ciqfunctions.udf.CIQ($A14, "IQ_REVENUE_EST",$B$6, $L$2, "CON", $L$3, $L$5, $L$6))</f>
        <v>1129.0559499999999</v>
      </c>
      <c r="W14" s="413">
        <f>IF(_xll.ciqfunctions.udf.CIQ($A14, "IQ_REVENUE_EST", $B$7, $L$2, "CON", $L$3, $L$5, $L$6)=0,"n/a",_xll.ciqfunctions.udf.CIQ($A14, "IQ_REVENUE_EST",$B$7, $L$2, "CON", $L$3, $L$5, $L$6))</f>
        <v>1277.4571699999999</v>
      </c>
      <c r="X14" s="413">
        <f>_xll.ciqfunctions.udf.CIQ($A14, "IQ_EBITDA", IQ_LTM-8, $L$2, $L$4, $L$3, $L$5, $L$6)</f>
        <v>104.83466</v>
      </c>
      <c r="Y14" s="413">
        <f>_xll.ciqfunctions.udf.CIQ($A14, "IQ_EBITDA", IQ_LTM-4, $L$2,$L$4, $L$3, $L$5, $L$6)</f>
        <v>141.29749000000001</v>
      </c>
      <c r="Z14" s="413">
        <f>_xll.ciqfunctions.udf.CIQ($A14, "IQ_EBITDA", IQ_LTM, $L$2, $L$4, $L$3, $L$5, $L$6)</f>
        <v>206.29013</v>
      </c>
      <c r="AA14" s="413">
        <f>_xll.ciqfunctions.udf.CIQ($A14, "IQ_EBITDA", $B$2, $L$2, $L$4, $L$3, $L$5, $L$6)</f>
        <v>141.29749000000001</v>
      </c>
      <c r="AB14" s="413">
        <f>IF(_xll.ciqfunctions.udf.CIQ($A14, "IQ_EBITDA", $B$3, $L$2,$L$4, $L$3, $L$5, $L$6)=0,Z14,_xll.ciqfunctions.udf.CIQ($A14, "IQ_EBITDA", $B$3, $L$2,$L$4, $L$3, $L$5, $L$6))</f>
        <v>206.29013</v>
      </c>
      <c r="AC14" s="413">
        <f>IF(_xll.ciqfunctions.udf.CIQ($A14, "IQ_EBITDA_EST",$B$4, $L$2, "CON", $L$3, $L$5, $L$6)=0,"n/a",_xll.ciqfunctions.udf.CIQ($A14, "IQ_EBITDA_EST",$B$4, $L$2, "CON", $L$3, $L$5, $L$6))</f>
        <v>269.70600000000002</v>
      </c>
      <c r="AD14" s="413">
        <f>IF(_xll.ciqfunctions.udf.CIQ($A14, "IQ_EBITDA_EST",$B$5, $L$2, "CON", $L$3, $L$5, $L$6)=0,"n/a",_xll.ciqfunctions.udf.CIQ($A14, "IQ_EBITDA_EST",$B$5, $L$2, "CON", $L$3, $L$5, $L$6))</f>
        <v>329.74324999999999</v>
      </c>
      <c r="AE14" s="413">
        <f>IF(_xll.ciqfunctions.udf.CIQ($A14, "IQ_EBITDA_EST",$B$6, $L$2, "CON", $L$3, $L$5, $L$6)=0,"n/a",_xll.ciqfunctions.udf.CIQ($A14, "IQ_EBITDA_EST",$B$6, $L$2, "CON", $L$3, $L$5, $L$6))</f>
        <v>390.61011000000002</v>
      </c>
      <c r="AF14" s="414">
        <f>IF(ISERROR(_xll.ciqfunctions.udf.CIQ($A14, "IQ_GROSS_MARGIN", IQ_LTM, $L$2,$L$4, $L$3, $L$5, $L$6)/100), "n/a", _xll.ciqfunctions.udf.CIQ($A14,  "IQ_GROSS_MARGIN", IQ_LTM, $L$2, $L$4, $L$3, $L$5, $L$6)/100)</f>
        <v>0.81891400000000003</v>
      </c>
      <c r="AG14" s="414">
        <f>IF(ISERROR(_xll.ciqfunctions.udf.CIQ($A14,"IQ_EBITDA_MARGIN", IQ_LTM, $L$2, $L$4, $L$3, $L$5, $L$6)/100), "n/a", _xll.ciqfunctions.udf.CIQ($A14, "IQ_EBITDA_MARGIN", IQ_LTM, $L$2, $L$4, $L$3, $L$5, $L$6)/100)</f>
        <v>0.35943900000000001</v>
      </c>
      <c r="AH14" s="414">
        <f>IF(ISERROR(_xll.ciqfunctions.udf.CIQ($A14,"IQ_EBIT_MARGIN", IQ_LTM, $L$2, $L$4, $L$3, $L$5, $L$6)/100), "n/a", _xll.ciqfunctions.udf.CIQ($A14, "IQ_EBIT_MARGIN", IQ_LTM, $L$2, $L$4, $L$3, $L$5, $L$6)/100)</f>
        <v>0.29418099999999997</v>
      </c>
      <c r="AI14" s="414">
        <f>IF(ISERROR(_xll.ciqfunctions.udf.CIQ($A14,"IQ_NI_MARGIN", IQ_LTM, $L$2, $L$4, $L$3, $L$5, $L$6)/100), "n/a", _xll.ciqfunctions.udf.CIQ($A14, "IQ_NI_MARGIN", IQ_LTM, $L$2, $L$4, $L$3, $L$5, $L$6)/100)</f>
        <v>0.25048300000000001</v>
      </c>
      <c r="AJ14" s="413">
        <f>_xll.ciqfunctions.udf.CIQ($A14,"IQ_TOTAL_CA",IQ_LTM-8,$L$2, $L$4, $L$3, $L$5, $L$6)-_xll.ciqfunctions.udf.CIQ($A14,"IQ_TOTAL_CL",IQ_LTM-8,$L$2, $L$4, $L$3, $L$5, $L$6)</f>
        <v>306.56249000000003</v>
      </c>
      <c r="AK14" s="413">
        <f>_xll.ciqfunctions.udf.CIQ($A14,"IQ_TOTAL_CA",IQ_LTM-4,$L$2, $L$4, $L$3, $L$5, $L$6)-_xll.ciqfunctions.udf.CIQ($A14,"IQ_TOTAL_CL",IQ_LTM-4,$L$2, $L$4, $L$3, $L$5, $L$6)</f>
        <v>158.00789</v>
      </c>
      <c r="AL14" s="413">
        <f>_xll.ciqfunctions.udf.CIQ($A14,"IQ_TOTAL_CA",IQ_LTM,$L$2, $L$4, $L$3, $L$5, $L$6)-_xll.ciqfunctions.udf.CIQ($A14,"IQ_TOTAL_CL",IQ_LTM,$L$2, $L$4, $L$3, $L$5, $L$6)</f>
        <v>473.42077999999992</v>
      </c>
      <c r="AM14" s="413">
        <f>IF(ISERROR(_xll.ciqfunctions.udf.CIQ($A14, "IQ_Capex", IQ_LTM-8, $L$2,$L$4, $L$3, $L$5, $L$6)), "n/a", _xll.ciqfunctions.udf.CIQ($A14, "IQ_Capex", IQ_LTM-8, $L$2, $L$4, $L$3, $L$5, $L$6))</f>
        <v>-9.4016199999999994</v>
      </c>
      <c r="AN14" s="413">
        <f>IF(ISERROR(_xll.ciqfunctions.udf.CIQ($A14, "IQ_Capex", IQ_LTM-4, $L$2,$L$4, $L$3, $L$5, $L$6)), "n/a", _xll.ciqfunctions.udf.CIQ($A14, "IQ_Capex", IQ_LTM-4, $L$2,$L$4, $L$3, $L$5, $L$6))</f>
        <v>-16.769739999999999</v>
      </c>
      <c r="AO14" s="413">
        <f>IF(ISERROR(_xll.ciqfunctions.udf.CIQ($A14, "IQ_Capex", IQ_LTM, $L$2, $L$4, $L$3, $L$5, $L$6)), "n/a", _xll.ciqfunctions.udf.CIQ($A14, "IQ_Capex", IQ_LTM, $L$2, $L$4, $L$3, $L$5, $L$6))</f>
        <v>-21.279910000000001</v>
      </c>
      <c r="AP14" s="415" t="str">
        <f>_xll.ciqfunctions.udf.CIQ(A14, "IQ_BUSINESS_DESCRIPTION")</f>
        <v>3SBio Inc. develops, manufactures, markets, and sells biopharmaceuticals. The company’s primary products include TPIAO, a recombinant human thrombopoietin for thrombocytopenia; Yisaipu, a tumour necrosis factor for treating rheumatoid arthritis, ankylosing spondylitis, and psoriasis; and EPIAO, a recombinant human erythropoietin for the treatment of anemia associated with chronic kidney disease (CKD), chemotherapy-induced anemia, and reduction of allogeneic blood transfusion in surgery patients. Its primary products also comprise SEPO, a recombinant human erythropoietin for anemia associated with CKD and chemotherapy; Byetta/Bydureon, an exenatide injection to improve glycemic control in adults with type-2 diabetes mellitus; and Qiming Keli for retinopathy caused by type-2 diabetes. In addition, the company offers Ruisiyi to treat advanced breast cancer; Wanwei for treating vomiting caused by cytotoxic chemotherapy; and Intefen to treat lymphatic or hematopoietic malignancies and viral infections. Further, it provides Inleusin for renal cell carcinoma, melanoma, thoracic fluid build-up caused by cancer, and tuberculosis; Etanercept for moderate to severe rheumatoid arthritis and plaque psoriasis, and active ankylosing spondylitis; and Sparin for prophylaxis and vein thrombosis, and to prevent clotting during hemodialysis. Additionally, the company offers Mandi for male-pattern alopecia and alopecia areata; Aiyishu for iron-deficiency anemia; Disu to prevent and treat chronic bronchitis, colds, and asthma; Jiannipai to prevent acute rejection after renal transplantation; and Humulin for diabetes, as well as contract development and manufacturing, trading, project management and consultation, and technology services. The company markets its products through in-house sales and marketing team, as well as distributors and third-party promoters. 3SBio Inc. was incorporated in 2006 and is headquartered in Shenyang, the People’s Republic of China.</v>
      </c>
      <c r="AQ14" s="416">
        <f>_xll.ciqfunctions.udf.CIQ($A14, "IQ_BETA_1YR", $B$1)</f>
        <v>0.99390999999999996</v>
      </c>
      <c r="AR14" s="416">
        <f>_xll.ciqfunctions.udf.CIQ($A14, "IQ_BETA_2YR", $B$1)</f>
        <v>0.80166999999999999</v>
      </c>
      <c r="AS14" s="416">
        <f>_xll.ciqfunctions.udf.CIQ($A14, "IQ_BETA_5YR", $B$1)</f>
        <v>0.72962000000000005</v>
      </c>
      <c r="AT14" s="414">
        <f>_xll.ciqfunctions.udf.CIQ($A14, "IQ_DIVIDEND_YIELD", $B$1)/100</f>
        <v>3.8429999999999996E-3</v>
      </c>
      <c r="AU14" s="413">
        <f>_xll.ciqfunctions.udf.CIQ($A14, "IQ_EARNING_CO", IQ_LTM-8, $L$2, $L$4, $L$3, $L$5, $L$6)</f>
        <v>81.05198</v>
      </c>
      <c r="AV14" s="413">
        <f>_xll.ciqfunctions.udf.CIQ($A14, "IQ_EARNING_CO", IQ_LTM-4, $L$2, $L$4, $L$3, $L$5, $L$6)</f>
        <v>102.86805</v>
      </c>
      <c r="AW14" s="413">
        <f>_xll.ciqfunctions.udf.CIQ($A14, "IQ_EARNING_CO", IQ_LTM, $L$2, $L$4, $L$3, $L$5, $L$6)</f>
        <v>142.06956</v>
      </c>
      <c r="AX14" s="413">
        <f>_xll.ciqfunctions.udf.CIQ($A14, "IQ_EARNING_CO", $B$2, $L$2, $L$4, $L$3, $L$5, $L$6)</f>
        <v>102.86805</v>
      </c>
      <c r="AY14" s="413">
        <f>IF(_xll.ciqfunctions.udf.CIQ($A14, "IQ_EARNING_CO", $B$3, $L$2,$L$4, $L$3, $L$5, $L$6)=0,AW14,_xll.ciqfunctions.udf.CIQ($A14, "IQ_EARNING_CO", $B$3, $L$2,$L$4, $L$3, $L$5, $L$6))</f>
        <v>142.06956</v>
      </c>
      <c r="AZ14" s="413">
        <f>_xll.ciqfunctions.udf.CIQ($A14, "IQ_TOTAL_EQUITY", IQ_LTM-8, $L$2, $L$4, $L$3, $L$5, $L$6)</f>
        <v>867.99614999999994</v>
      </c>
      <c r="BA14" s="413">
        <f>_xll.ciqfunctions.udf.CIQ($A14, "IQ_TOTAL_EQUITY", IQ_LTM-4, $L$2, $L$4, $L$3, $L$5, $L$6)</f>
        <v>974.49981000000002</v>
      </c>
      <c r="BB14" s="413">
        <f>_xll.ciqfunctions.udf.CIQ($A14, "IQ_TOTAL_EQUITY", IQ_LTM, $L$2, $L$4, $L$3, $L$5, $L$6)</f>
        <v>1172.58303</v>
      </c>
      <c r="BC14" s="413">
        <f>_xll.ciqfunctions.udf.CIQ($A14, "IQ_TOTAL_EQUITY", $B$2, $L$2, $L$4, $L$3, $L$5, $L$6)</f>
        <v>974.49981000000002</v>
      </c>
      <c r="BD14" s="413">
        <f>IF(_xll.ciqfunctions.udf.CIQ($A14, "IQ_TOTAL_EQUITY", $B$3, $L$2,$L$4, $L$3, $L$5, $L$6)=0,BB14,_xll.ciqfunctions.udf.CIQ($A14, "IQ_TOTAL_EQUITY", $B$3, $L$2,$L$4, $L$3, $L$5, $L$6))</f>
        <v>1172.58303</v>
      </c>
      <c r="BE14" s="413">
        <f>_xll.ciqfunctions.udf.CIQ(A14, "IQ_LASTSALEPRICE", $B$8)</f>
        <v>2.2525599999999999</v>
      </c>
      <c r="BF14" s="413">
        <f>_xll.ciqfunctions.udf.CIQ($A14, "IQ_MARKETCAP", $B$8, $L$5, $L$6)</f>
        <v>5718.79781</v>
      </c>
      <c r="BG14" s="413">
        <f>_xll.ciqfunctions.udf.CIQ($A14, "IQ_TOTAL_DEBT", IQ_LTM, $B$8,$L$4, $L$3, $L$5, $L$6)</f>
        <v>365.55482000000001</v>
      </c>
      <c r="BH14" s="371">
        <f>_xll.ciqfunctions.udf.CIQ($A14,"IQ_PREF_EQUITY",IQ_LTM,$B$8,$L$4,$L$3,$L$5,$L$6)</f>
        <v>0</v>
      </c>
      <c r="BI14" s="371">
        <f>_xll.ciqfunctions.udf.CIQ($A14, "IQ_MINORITY_INTEREST_TOTAL", IQ_LTM,$B$8,$L$4,$L$3,$L$5,$L$6)</f>
        <v>35.492719999999998</v>
      </c>
      <c r="BJ14" s="413">
        <f>_xll.ciqfunctions.udf.CIQ($A14, "IQ_CASH_ST_INVEST", IQ_LTM, $B$8, $L$4, $L$3, $L$5, $L$6)</f>
        <v>77.25121</v>
      </c>
      <c r="BK14" s="371">
        <f>_xll.ciqfunctions.udf.CIQ($A14, "IQ_EFFECT_TAX_RATE")</f>
        <v>14.4543</v>
      </c>
      <c r="BL14" s="371">
        <f>IF(_xll.ciqfunctions.udf.CIQ($A14, "IQ_TOTAL_REV_2YR_ANN_CAGR", IQ_LTM, $B$1,$L$4, $L$3, $L$5, $L$6)="NM","n/a",(_xll.ciqfunctions.udf.CIQ($A14, "IQ_TOTAL_REV_2YR_ANN_CAGR", IQ_LTM, $B$1,$L$4, $L$3, $L$5, $L$6)/100))</f>
        <v>0.49397099999999999</v>
      </c>
      <c r="BM14" s="371">
        <f>IF(_xll.ciqfunctions.udf.CIQ($A14, "IQ_TOTAL_REV_3YR_ANN_CAGR", IQ_LTM, $B$1,$L$4, $L$3, $L$5, $L$6)="NM","n/a",(_xll.ciqfunctions.udf.CIQ($A14, "IQ_TOTAL_REV_3YR_ANN_CAGR", IQ_LTM, $B$1,$L$4, $L$3, $L$5, $L$6)/100))</f>
        <v>0.48914000000000002</v>
      </c>
      <c r="BN14" s="371">
        <f>IF(_xll.ciqfunctions.udf.CIQ($A14, "IQ_TOTAL_REV_5YR_ANN_CAGR", IQ_LTM, $B$1,$L$4, $L$3, $L$5, $L$6)="NM","n/a",(_xll.ciqfunctions.udf.CIQ($A14, "IQ_TOTAL_REV_5YR_ANN_CAGR", IQ_LTM, $B$1,$L$4, $L$3, $L$5, $L$6)/100))</f>
        <v>0.415933</v>
      </c>
      <c r="BO14" s="371">
        <f>IF(_xll.ciqfunctions.udf.CIQ($A14,"IQ_EBITDA_2YR_ANN_CAGR", IQ_LTM,$B$1,$L$4, $L$3, $L$5, $L$6)="NM","n/a",(_xll.ciqfunctions.udf.CIQ($A14,"IQ_EBITDA_2YR_ANN_CAGR", IQ_LTM,$B$1,$L$4, $L$3, $L$5, $L$6)/100))</f>
        <v>0.404304</v>
      </c>
      <c r="BP14" s="371">
        <f>IF(_xll.ciqfunctions.udf.CIQ($A14,"IQ_EBITDA_3YR_ANN_CAGR", IQ_LTM,$B$1,$L$4, $L$3, $L$5, $L$6)="NM","n/a",(_xll.ciqfunctions.udf.CIQ($A14,"IQ_EBITDA_3YR_ANN_CAGR", IQ_LTM,$B$1,$L$4, $L$3, $L$5, $L$6)/100))</f>
        <v>0.52722999999999998</v>
      </c>
      <c r="BQ14" s="371">
        <f>IF(_xll.ciqfunctions.udf.CIQ($A14,"IQ_EBITDA_5YR_ANN_CAGR", IQ_LTM,$B$1,$L$4, $L$3, $L$5, $L$6)="NM","n/a",(_xll.ciqfunctions.udf.CIQ($A14,"IQ_EBITDA_5YR_ANN_CAGR", IQ_LTM,$B$1,$L$4, $L$3, $L$5, $L$6)/100))</f>
        <v>0.52358800000000005</v>
      </c>
      <c r="BR14" s="375">
        <f>IFERROR((_xll.ciqfunctions.udf.CIQ($A14, "IQ_DA_CF", IQ_LTM, $B$1, $L$4, $L$3, $L$5, $L$6)/Q14),"NM")</f>
        <v>6.5257949808940716E-2</v>
      </c>
      <c r="BS14" s="417">
        <f>'Capital IQ Sheet-GPC'!BS15</f>
        <v>0.4165407869412846</v>
      </c>
      <c r="BT14" s="417">
        <f>'Capital IQ Sheet-GPC'!BT15</f>
        <v>0.39060716108232951</v>
      </c>
      <c r="BU14" s="417">
        <f>'Capital IQ Sheet-GPC'!BU15</f>
        <v>0.39544882696315536</v>
      </c>
      <c r="BV14" s="417">
        <f>'Capital IQ Sheet-GPC'!BV15</f>
        <v>0.39956663729133235</v>
      </c>
      <c r="BW14" s="417" t="str">
        <f>'Capital IQ Sheet-GPC'!BW15</f>
        <v>n/a</v>
      </c>
      <c r="BX14" s="417" t="str">
        <f>'Capital IQ Sheet-GPC'!BX15</f>
        <v>n/a</v>
      </c>
      <c r="BY14" s="417" t="str">
        <f>'Capital IQ Sheet-GPC'!BY15</f>
        <v>n/a</v>
      </c>
      <c r="BZ14" s="417" t="str">
        <f>'Capital IQ Sheet-GPC'!BZ15</f>
        <v>n/a</v>
      </c>
      <c r="CB14" s="371">
        <v>2</v>
      </c>
      <c r="CC14" s="495" t="s">
        <v>150</v>
      </c>
      <c r="CD14" s="495" t="s">
        <v>149</v>
      </c>
      <c r="CE14" s="373">
        <f t="shared" ref="CE14:CE42" si="0">$B$1-365*CB14</f>
        <v>42551</v>
      </c>
    </row>
    <row r="15" spans="1:86" s="371" customFormat="1" ht="12.75">
      <c r="A15" s="372" t="str">
        <f>_xll.ciqfunctions.udf.CIQ($B15,"IQ_COMPANY_TICKER")</f>
        <v>SEHK:2186</v>
      </c>
      <c r="B15" s="412" t="str">
        <f>'Capital IQ Sheet-GPC'!B16</f>
        <v>IQ9994690</v>
      </c>
      <c r="C15" s="372" t="str">
        <f>_xll.ciqfunctions.udf.CIQ($A15,"IQ_COMPANY_NAME")</f>
        <v>Luye Pharma Group Ltd.</v>
      </c>
      <c r="D15" s="372" t="str">
        <f>_xll.ciqfunctions.udf.CIQ($A15, "IQ_EXCHANGE")</f>
        <v>SEHK</v>
      </c>
      <c r="E15" s="411">
        <f>_xll.ciqfunctions.udf.CIQ($A15, "IQ_PERIODDATE_IS", IQ_FY)</f>
        <v>43100</v>
      </c>
      <c r="F15" s="411">
        <f>_xll.ciqfunctions.udf.CIQ(A15, "IQ_PERIODDATE_IS", IQ_LTM, $B$1,$L$4,$L$3)</f>
        <v>43100</v>
      </c>
      <c r="G15" s="411">
        <f>_xll.ciqfunctions.udf.CIQ($A15, "IQ_FIRSTPRICINGDATE")</f>
        <v>41829</v>
      </c>
      <c r="H15" s="413">
        <f>_xll.ciqfunctions.udf.CIQ($A15, "IQ_TEV", $L$2, $L$5, $L$6)</f>
        <v>3399.7200899999998</v>
      </c>
      <c r="I15" s="413">
        <f>_xll.ciqfunctions.udf.CIQ(A15, "IQ_LASTSALEPRICE", $B$1,$L$5)</f>
        <v>1.02596</v>
      </c>
      <c r="J15" s="413">
        <f>_xll.ciqfunctions.udf.CIQ($A15, "IQ_MARKETCAP", $L$2, $L$5, $L$6)</f>
        <v>3359.9747900000002</v>
      </c>
      <c r="K15" s="413">
        <f>_xll.ciqfunctions.udf.CIQ($A15, "IQ_TOTAL_DEBT", IQ_LTM, $L$2,$L$4, $L$3, $L$5, $L$6)</f>
        <v>439.75547999999998</v>
      </c>
      <c r="L15" s="413">
        <f>_xll.ciqfunctions.udf.CIQ($A15, "IQ_PREF_EQUITY", IQ_LTM, $L$2, $L$4, $L$3, $L$5, $L$6)</f>
        <v>0</v>
      </c>
      <c r="M15" s="413">
        <f>_xll.ciqfunctions.udf.CIQ($A15, "IQ_MINORITY_INTEREST_TOTAL", IQ_LTM, $L$2, $L$4, $L$3, $L$5, $L$6)</f>
        <v>19.597180000000002</v>
      </c>
      <c r="N15" s="413">
        <f>_xll.ciqfunctions.udf.CIQ($A15, "IQ_CASH_ST_INVEST", IQ_LTM, $L$2, $L$4, $L$3, $L$5, $L$6)</f>
        <v>419.44011999999998</v>
      </c>
      <c r="O15" s="413">
        <f>_xll.ciqfunctions.udf.CIQ($A15, "IQ_TOTAL_REV", IQ_LTM-8, $L$2, $L$4, $L$3, $L$5, $L$6)</f>
        <v>394.78305999999998</v>
      </c>
      <c r="P15" s="413">
        <f>_xll.ciqfunctions.udf.CIQ($A15, "IQ_TOTAL_REV", IQ_LTM - 4, $L$2, $L$4, $L$3, $L$5,$L$6)</f>
        <v>420.22554000000002</v>
      </c>
      <c r="Q15" s="413">
        <f>_xll.ciqfunctions.udf.CIQ($A15, "IQ_TOTAL_REV", IQ_LTM, $L$2, $L$4, $L$3, $L$5, $L$6)</f>
        <v>586.29443000000003</v>
      </c>
      <c r="R15" s="413">
        <f>_xll.ciqfunctions.udf.CIQ($A15, "IQ_TOTAL_REV", $B$2, $L$2, $L$4, $L$3, $L$5, $L$6)</f>
        <v>420.22554000000002</v>
      </c>
      <c r="S15" s="413">
        <f>IF(_xll.ciqfunctions.udf.CIQ($A15, "IQ_TOTAL_REV", $B$3, $L$2,$L$4, $L$3, $L$5, $L$6)=0,Q15,_xll.ciqfunctions.udf.CIQ($A15, "IQ_TOTAL_REV", $B$3, $L$2,$L$4, $L$3, $L$5, $L$6))</f>
        <v>586.29443000000003</v>
      </c>
      <c r="T15" s="413">
        <f>IF(_xll.ciqfunctions.udf.CIQ($A15, "IQ_REVENUE_EST",$B$4, $L$2, "CON", $L$3, $L$5, $L$6)=0,"n/a",_xll.ciqfunctions.udf.CIQ($A15, "IQ_REVENUE_EST",$B$4, $L$2, "CON", $L$3, $L$5, $L$6))</f>
        <v>681.62617</v>
      </c>
      <c r="U15" s="413">
        <f>IF(_xll.ciqfunctions.udf.CIQ($A15, "IQ_REVENUE_EST",$B$5, $L$2, "CON", $L$3, $L$5, $L$6)=0,"n/a",_xll.ciqfunctions.udf.CIQ($A15, "IQ_REVENUE_EST",$B$5, $L$2, "CON", $L$3, $L$5, $L$6))</f>
        <v>797.48961999999995</v>
      </c>
      <c r="V15" s="413">
        <f>IF(_xll.ciqfunctions.udf.CIQ($A15, "IQ_REVENUE_EST",$B$6, $L$2, "CON", $L$3, $L$5, $L$6)=0,"n/a",_xll.ciqfunctions.udf.CIQ($A15, "IQ_REVENUE_EST",$B$6, $L$2, "CON", $L$3, $L$5, $L$6))</f>
        <v>911.34821999999997</v>
      </c>
      <c r="W15" s="413">
        <f>IF(_xll.ciqfunctions.udf.CIQ($A15, "IQ_REVENUE_EST", $B$7, $L$2, "CON", $L$3, $L$5, $L$6)=0,"n/a",_xll.ciqfunctions.udf.CIQ($A15, "IQ_REVENUE_EST",$B$7, $L$2, "CON", $L$3, $L$5, $L$6))</f>
        <v>1023.8088</v>
      </c>
      <c r="X15" s="413">
        <f>_xll.ciqfunctions.udf.CIQ($A15, "IQ_EBITDA", IQ_LTM-8, $L$2, $L$4, $L$3, $L$5, $L$6)</f>
        <v>134.58081999999999</v>
      </c>
      <c r="Y15" s="413">
        <f>_xll.ciqfunctions.udf.CIQ($A15, "IQ_EBITDA", IQ_LTM-4, $L$2,$L$4, $L$3, $L$5, $L$6)</f>
        <v>134.06732</v>
      </c>
      <c r="Z15" s="413">
        <f>_xll.ciqfunctions.udf.CIQ($A15, "IQ_EBITDA", IQ_LTM, $L$2, $L$4, $L$3, $L$5, $L$6)</f>
        <v>183.18518</v>
      </c>
      <c r="AA15" s="413">
        <f>_xll.ciqfunctions.udf.CIQ($A15, "IQ_EBITDA", $B$2, $L$2, $L$4, $L$3, $L$5, $L$6)</f>
        <v>134.06732</v>
      </c>
      <c r="AB15" s="413">
        <f>IF(_xll.ciqfunctions.udf.CIQ($A15, "IQ_EBITDA", $B$3, $L$2,$L$4, $L$3, $L$5, $L$6)=0,Z15,_xll.ciqfunctions.udf.CIQ($A15, "IQ_EBITDA", $B$3, $L$2,$L$4, $L$3, $L$5, $L$6))</f>
        <v>183.18518</v>
      </c>
      <c r="AC15" s="413">
        <f>IF(_xll.ciqfunctions.udf.CIQ($A15, "IQ_EBITDA_EST",$B$4, $L$2, "CON", $L$3, $L$5, $L$6)=0,"n/a",_xll.ciqfunctions.udf.CIQ($A15, "IQ_EBITDA_EST",$B$4, $L$2, "CON", $L$3, $L$5, $L$6))</f>
        <v>238.81822</v>
      </c>
      <c r="AD15" s="413">
        <f>IF(_xll.ciqfunctions.udf.CIQ($A15, "IQ_EBITDA_EST",$B$5, $L$2, "CON", $L$3, $L$5, $L$6)=0,"n/a",_xll.ciqfunctions.udf.CIQ($A15, "IQ_EBITDA_EST",$B$5, $L$2, "CON", $L$3, $L$5, $L$6))</f>
        <v>281.19260000000003</v>
      </c>
      <c r="AE15" s="413">
        <f>IF(_xll.ciqfunctions.udf.CIQ($A15, "IQ_EBITDA_EST",$B$6, $L$2, "CON", $L$3, $L$5, $L$6)=0,"n/a",_xll.ciqfunctions.udf.CIQ($A15, "IQ_EBITDA_EST",$B$6, $L$2, "CON", $L$3, $L$5, $L$6))</f>
        <v>313.61133000000001</v>
      </c>
      <c r="AF15" s="414">
        <f>IF(ISERROR(_xll.ciqfunctions.udf.CIQ($A15, "IQ_GROSS_MARGIN", IQ_LTM, $L$2,$L$4, $L$3, $L$5, $L$6)/100), "n/a", _xll.ciqfunctions.udf.CIQ($A15,  "IQ_GROSS_MARGIN", IQ_LTM, $L$2, $L$4, $L$3, $L$5, $L$6)/100)</f>
        <v>0.77679699999999996</v>
      </c>
      <c r="AG15" s="414">
        <f>IF(ISERROR(_xll.ciqfunctions.udf.CIQ($A15,"IQ_EBITDA_MARGIN", IQ_LTM, $L$2, $L$4, $L$3, $L$5, $L$6)/100), "n/a", _xll.ciqfunctions.udf.CIQ($A15, "IQ_EBITDA_MARGIN", IQ_LTM, $L$2, $L$4, $L$3, $L$5, $L$6)/100)</f>
        <v>0.31244499999999997</v>
      </c>
      <c r="AH15" s="414">
        <f>IF(ISERROR(_xll.ciqfunctions.udf.CIQ($A15,"IQ_EBIT_MARGIN", IQ_LTM, $L$2, $L$4, $L$3, $L$5, $L$6)/100), "n/a", _xll.ciqfunctions.udf.CIQ($A15, "IQ_EBIT_MARGIN", IQ_LTM, $L$2, $L$4, $L$3, $L$5, $L$6)/100)</f>
        <v>0.249359</v>
      </c>
      <c r="AI15" s="414">
        <f>IF(ISERROR(_xll.ciqfunctions.udf.CIQ($A15,"IQ_NI_MARGIN", IQ_LTM, $L$2, $L$4, $L$3, $L$5, $L$6)/100), "n/a", _xll.ciqfunctions.udf.CIQ($A15, "IQ_NI_MARGIN", IQ_LTM, $L$2, $L$4, $L$3, $L$5, $L$6)/100)</f>
        <v>0.25725100000000001</v>
      </c>
      <c r="AJ15" s="413">
        <f>_xll.ciqfunctions.udf.CIQ($A15,"IQ_TOTAL_CA",IQ_LTM-8,$L$2, $L$4, $L$3, $L$5, $L$6)-_xll.ciqfunctions.udf.CIQ($A15,"IQ_TOTAL_CL",IQ_LTM-8,$L$2, $L$4, $L$3, $L$5, $L$6)</f>
        <v>620.10273000000007</v>
      </c>
      <c r="AK15" s="413">
        <f>_xll.ciqfunctions.udf.CIQ($A15,"IQ_TOTAL_CA",IQ_LTM-4,$L$2, $L$4, $L$3, $L$5, $L$6)-_xll.ciqfunctions.udf.CIQ($A15,"IQ_TOTAL_CL",IQ_LTM-4,$L$2, $L$4, $L$3, $L$5, $L$6)</f>
        <v>418.76904999999999</v>
      </c>
      <c r="AL15" s="413">
        <f>_xll.ciqfunctions.udf.CIQ($A15,"IQ_TOTAL_CA",IQ_LTM,$L$2, $L$4, $L$3, $L$5, $L$6)-_xll.ciqfunctions.udf.CIQ($A15,"IQ_TOTAL_CL",IQ_LTM,$L$2, $L$4, $L$3, $L$5, $L$6)</f>
        <v>405.91005999999993</v>
      </c>
      <c r="AM15" s="413">
        <f>IF(ISERROR(_xll.ciqfunctions.udf.CIQ($A15, "IQ_Capex", IQ_LTM-8, $L$2,$L$4, $L$3, $L$5, $L$6)), "n/a", _xll.ciqfunctions.udf.CIQ($A15, "IQ_Capex", IQ_LTM-8, $L$2, $L$4, $L$3, $L$5, $L$6))</f>
        <v>-31.437349999999999</v>
      </c>
      <c r="AN15" s="413">
        <f>IF(ISERROR(_xll.ciqfunctions.udf.CIQ($A15, "IQ_Capex", IQ_LTM-4, $L$2,$L$4, $L$3, $L$5, $L$6)), "n/a", _xll.ciqfunctions.udf.CIQ($A15, "IQ_Capex", IQ_LTM-4, $L$2,$L$4, $L$3, $L$5, $L$6))</f>
        <v>-37.936889999999998</v>
      </c>
      <c r="AO15" s="413">
        <f>IF(ISERROR(_xll.ciqfunctions.udf.CIQ($A15, "IQ_Capex", IQ_LTM, $L$2, $L$4, $L$3, $L$5, $L$6)), "n/a", _xll.ciqfunctions.udf.CIQ($A15, "IQ_Capex", IQ_LTM, $L$2, $L$4, $L$3, $L$5, $L$6))</f>
        <v>-77.969170000000005</v>
      </c>
      <c r="AP15" s="415" t="str">
        <f>_xll.ciqfunctions.udf.CIQ(A15, "IQ_BUSINESS_DESCRIPTION")</f>
        <v>Luye Pharma Group Ltd., an investment holding company, develops, produces, markets, and sells pharmaceutical products. The company offers Maitongna for cerebral edema and edema caused by trauma; Xuezhikang, a blood lipid regulator capsule; Tiandida for ovarian or non-small cell lung cancer; Yitaida for acute promyelocytic leukemia and liver cancer; CMNa for tumor radiotherapy; LIPUSU for ovarian, metastatic ovarian, breast, and non-small-cell lung cancer patient; Nuosen for acute upper digestive tract hemorrhage; Bei Tang Ning, a capsule to control blood glucose in patients with type 2 diabetes; Bei Xi, an acarbose capsule for diabetes; and LUTINGNUO, reduced glutathione injection for toxicity, and injuries caused by ionizing radiation, as well as for hypoxemia. It also provides Glucosamine Hydrochloride tablets for osteoarthritis; Xi Ming Ting largetrifoliolious bugbane rhizome total saponin tablets for invigorating splenic yang and relieving depression, and treating perimenopausal syndrome in females, as well as improving the symptoms of hot flashes, sweating, irritability, insomnia, hypochondriac pain, dizziness and tinnitus, aching pain of waist and knee, melancholy, unhappy, etc. In addition, the company provides Oukai sodium aescinate tablets for soft tissue swelling and venous edema; Oulai, a compound sodium aescinate gel for local swelling induced by inflammation, degenerative lesion, and trauma; Sidinuo for osteoporosis and relieving pain induced by osteoporosis; Outong, a capsaicin gel; and Jinsiping selegiline hydrochloride tablets for Parkinson’s disease. Further, it distributes, sells, and retails pharmaceutical drugs; manufactures and sells eggs; and provides business and investment consultation, as well as contract research, process development, and manufacturing services. The company has strategic collaboration with Excel BioPharm LLC. The company was founded in 1994 and is headquartered in Yantai, the People’s Republic of China.</v>
      </c>
      <c r="AQ15" s="416">
        <f>_xll.ciqfunctions.udf.CIQ($A15, "IQ_BETA_1YR", $B$1)</f>
        <v>1.08599</v>
      </c>
      <c r="AR15" s="416">
        <f>_xll.ciqfunctions.udf.CIQ($A15, "IQ_BETA_2YR", $B$1)</f>
        <v>0.93838999999999995</v>
      </c>
      <c r="AS15" s="416">
        <f>_xll.ciqfunctions.udf.CIQ($A15, "IQ_BETA_5YR", $B$1)</f>
        <v>0.80442000000000002</v>
      </c>
      <c r="AT15" s="414">
        <f>_xll.ciqfunctions.udf.CIQ($A15, "IQ_DIVIDEND_YIELD", $B$1)/100</f>
        <v>1.0895999999999999E-2</v>
      </c>
      <c r="AU15" s="413">
        <f>_xll.ciqfunctions.udf.CIQ($A15, "IQ_EARNING_CO", IQ_LTM-8, $L$2, $L$4, $L$3, $L$5, $L$6)</f>
        <v>117.78189999999999</v>
      </c>
      <c r="AV15" s="413">
        <f>_xll.ciqfunctions.udf.CIQ($A15, "IQ_EARNING_CO", IQ_LTM-4, $L$2, $L$4, $L$3, $L$5, $L$6)</f>
        <v>128.75465</v>
      </c>
      <c r="AW15" s="413">
        <f>_xll.ciqfunctions.udf.CIQ($A15, "IQ_EARNING_CO", IQ_LTM, $L$2, $L$4, $L$3, $L$5, $L$6)</f>
        <v>150.70081999999999</v>
      </c>
      <c r="AX15" s="413">
        <f>_xll.ciqfunctions.udf.CIQ($A15, "IQ_EARNING_CO", $B$2, $L$2, $L$4, $L$3, $L$5, $L$6)</f>
        <v>128.75465</v>
      </c>
      <c r="AY15" s="413">
        <f>IF(_xll.ciqfunctions.udf.CIQ($A15, "IQ_EARNING_CO", $B$3, $L$2,$L$4, $L$3, $L$5, $L$6)=0,AW15,_xll.ciqfunctions.udf.CIQ($A15, "IQ_EARNING_CO", $B$3, $L$2,$L$4, $L$3, $L$5, $L$6))</f>
        <v>150.70081999999999</v>
      </c>
      <c r="AZ15" s="413">
        <f>_xll.ciqfunctions.udf.CIQ($A15, "IQ_TOTAL_EQUITY", IQ_LTM-8, $L$2, $L$4, $L$3, $L$5, $L$6)</f>
        <v>893.26622999999995</v>
      </c>
      <c r="BA15" s="413">
        <f>_xll.ciqfunctions.udf.CIQ($A15, "IQ_TOTAL_EQUITY", IQ_LTM-4, $L$2, $L$4, $L$3, $L$5, $L$6)</f>
        <v>945.07028000000003</v>
      </c>
      <c r="BB15" s="413">
        <f>_xll.ciqfunctions.udf.CIQ($A15, "IQ_TOTAL_EQUITY", IQ_LTM, $L$2, $L$4, $L$3, $L$5, $L$6)</f>
        <v>1059.81773</v>
      </c>
      <c r="BC15" s="413">
        <f>_xll.ciqfunctions.udf.CIQ($A15, "IQ_TOTAL_EQUITY", $B$2, $L$2, $L$4, $L$3, $L$5, $L$6)</f>
        <v>945.07028000000003</v>
      </c>
      <c r="BD15" s="413">
        <f>IF(_xll.ciqfunctions.udf.CIQ($A15, "IQ_TOTAL_EQUITY", $B$3, $L$2,$L$4, $L$3, $L$5, $L$6)=0,BB15,_xll.ciqfunctions.udf.CIQ($A15, "IQ_TOTAL_EQUITY", $B$3, $L$2,$L$4, $L$3, $L$5, $L$6))</f>
        <v>1059.81773</v>
      </c>
      <c r="BE15" s="413">
        <f>_xll.ciqfunctions.udf.CIQ(A15, "IQ_LASTSALEPRICE", $B$8)</f>
        <v>0.95682999999999996</v>
      </c>
      <c r="BF15" s="413">
        <f>_xll.ciqfunctions.udf.CIQ($A15, "IQ_MARKETCAP", $B$8, $L$5, $L$6)</f>
        <v>3133.5827599999998</v>
      </c>
      <c r="BG15" s="413">
        <f>_xll.ciqfunctions.udf.CIQ($A15, "IQ_TOTAL_DEBT", IQ_LTM, $B$8,$L$4, $L$3, $L$5, $L$6)</f>
        <v>469.91534000000001</v>
      </c>
      <c r="BH15" s="371">
        <f>_xll.ciqfunctions.udf.CIQ($A15,"IQ_PREF_EQUITY",IQ_LTM,$B$8,$L$4,$L$3,$L$5,$L$6)</f>
        <v>0</v>
      </c>
      <c r="BI15" s="371">
        <f>_xll.ciqfunctions.udf.CIQ($A15, "IQ_MINORITY_INTEREST_TOTAL", IQ_LTM,$B$8,$L$4,$L$3,$L$5,$L$6)</f>
        <v>20.05059</v>
      </c>
      <c r="BJ15" s="413">
        <f>_xll.ciqfunctions.udf.CIQ($A15, "IQ_CASH_ST_INVEST", IQ_LTM, $B$8, $L$4, $L$3, $L$5, $L$6)</f>
        <v>341.53370000000001</v>
      </c>
      <c r="BK15" s="371">
        <f>_xll.ciqfunctions.udf.CIQ($A15, "IQ_EFFECT_TAX_RATE")</f>
        <v>12.161</v>
      </c>
      <c r="BL15" s="371">
        <f>IF(_xll.ciqfunctions.udf.CIQ($A15, "IQ_TOTAL_REV_2YR_ANN_CAGR", IQ_LTM, $B$1,$L$4, $L$3, $L$5, $L$6)="NM","n/a",(_xll.ciqfunctions.udf.CIQ($A15, "IQ_TOTAL_REV_2YR_ANN_CAGR", IQ_LTM, $B$1,$L$4, $L$3, $L$5, $L$6)/100))</f>
        <v>0.21998100000000001</v>
      </c>
      <c r="BM15" s="371">
        <f>IF(_xll.ciqfunctions.udf.CIQ($A15, "IQ_TOTAL_REV_3YR_ANN_CAGR", IQ_LTM, $B$1,$L$4, $L$3, $L$5, $L$6)="NM","n/a",(_xll.ciqfunctions.udf.CIQ($A15, "IQ_TOTAL_REV_3YR_ANN_CAGR", IQ_LTM, $B$1,$L$4, $L$3, $L$5, $L$6)/100))</f>
        <v>0.14460100000000001</v>
      </c>
      <c r="BN15" s="371">
        <f>IF(_xll.ciqfunctions.udf.CIQ($A15, "IQ_TOTAL_REV_5YR_ANN_CAGR", IQ_LTM, $B$1,$L$4, $L$3, $L$5, $L$6)="NM","n/a",(_xll.ciqfunctions.udf.CIQ($A15, "IQ_TOTAL_REV_5YR_ANN_CAGR", IQ_LTM, $B$1,$L$4, $L$3, $L$5, $L$6)/100))</f>
        <v>0.12299400000000001</v>
      </c>
      <c r="BO15" s="371">
        <f>IF(_xll.ciqfunctions.udf.CIQ($A15,"IQ_EBITDA_2YR_ANN_CAGR", IQ_LTM,$B$1,$L$4, $L$3, $L$5, $L$6)="NM","n/a",(_xll.ciqfunctions.udf.CIQ($A15,"IQ_EBITDA_2YR_ANN_CAGR", IQ_LTM,$B$1,$L$4, $L$3, $L$5, $L$6)/100))</f>
        <v>0.16796</v>
      </c>
      <c r="BP15" s="371">
        <f>IF(_xll.ciqfunctions.udf.CIQ($A15,"IQ_EBITDA_3YR_ANN_CAGR", IQ_LTM,$B$1,$L$4, $L$3, $L$5, $L$6)="NM","n/a",(_xll.ciqfunctions.udf.CIQ($A15,"IQ_EBITDA_3YR_ANN_CAGR", IQ_LTM,$B$1,$L$4, $L$3, $L$5, $L$6)/100))</f>
        <v>0.13835500000000001</v>
      </c>
      <c r="BQ15" s="371">
        <f>IF(_xll.ciqfunctions.udf.CIQ($A15,"IQ_EBITDA_5YR_ANN_CAGR", IQ_LTM,$B$1,$L$4, $L$3, $L$5, $L$6)="NM","n/a",(_xll.ciqfunctions.udf.CIQ($A15,"IQ_EBITDA_5YR_ANN_CAGR", IQ_LTM,$B$1,$L$4, $L$3, $L$5, $L$6)/100))</f>
        <v>0.275175</v>
      </c>
      <c r="BR15" s="375">
        <f>IFERROR((_xll.ciqfunctions.udf.CIQ($A15, "IQ_DA_CF", IQ_LTM, $B$1, $L$4, $L$3, $L$5, $L$6)/Q15),"NM")</f>
        <v>6.3086493931044166E-2</v>
      </c>
      <c r="BS15" s="417">
        <f>'Capital IQ Sheet-GPC'!BS16</f>
        <v>0.43677110001721992</v>
      </c>
      <c r="BT15" s="417">
        <f>'Capital IQ Sheet-GPC'!BT16</f>
        <v>0.3682228385764143</v>
      </c>
      <c r="BU15" s="417">
        <f>'Capital IQ Sheet-GPC'!BU16</f>
        <v>0.38477740391868537</v>
      </c>
      <c r="BV15" s="417">
        <f>'Capital IQ Sheet-GPC'!BV16</f>
        <v>0.38401808467479637</v>
      </c>
      <c r="BW15" s="417" t="str">
        <f>'Capital IQ Sheet-GPC'!BW16</f>
        <v>n/a</v>
      </c>
      <c r="BX15" s="417" t="str">
        <f>'Capital IQ Sheet-GPC'!BX16</f>
        <v>n/a</v>
      </c>
      <c r="BY15" s="417" t="str">
        <f>'Capital IQ Sheet-GPC'!BY16</f>
        <v>n/a</v>
      </c>
      <c r="BZ15" s="417" t="str">
        <f>'Capital IQ Sheet-GPC'!BZ16</f>
        <v>n/a</v>
      </c>
      <c r="CB15" s="371">
        <v>2</v>
      </c>
      <c r="CC15" s="495" t="s">
        <v>150</v>
      </c>
      <c r="CD15" s="495" t="s">
        <v>149</v>
      </c>
      <c r="CE15" s="373">
        <f t="shared" si="0"/>
        <v>42551</v>
      </c>
    </row>
    <row r="16" spans="1:86" s="371" customFormat="1" ht="12.75">
      <c r="A16" s="372" t="str">
        <f>_xll.ciqfunctions.udf.CIQ($B16,"IQ_COMPANY_TICKER")</f>
        <v>NasdaqGS:ICPT</v>
      </c>
      <c r="B16" s="412" t="str">
        <f>'Capital IQ Sheet-GPC'!B17</f>
        <v>IQ11382658</v>
      </c>
      <c r="C16" s="372" t="str">
        <f>_xll.ciqfunctions.udf.CIQ($A16,"IQ_COMPANY_NAME")</f>
        <v>Intercept Pharmaceuticals, Inc.</v>
      </c>
      <c r="D16" s="372" t="str">
        <f>_xll.ciqfunctions.udf.CIQ($A16, "IQ_EXCHANGE")</f>
        <v>NasdaqGS</v>
      </c>
      <c r="E16" s="411">
        <f>_xll.ciqfunctions.udf.CIQ($A16, "IQ_PERIODDATE_IS", IQ_FY)</f>
        <v>43100</v>
      </c>
      <c r="F16" s="411">
        <f>_xll.ciqfunctions.udf.CIQ(A16, "IQ_PERIODDATE_IS", IQ_LTM, $B$1,$L$4,$L$3)</f>
        <v>43190</v>
      </c>
      <c r="G16" s="411">
        <f>_xll.ciqfunctions.udf.CIQ($A16, "IQ_FIRSTPRICINGDATE")</f>
        <v>41193</v>
      </c>
      <c r="H16" s="413">
        <f>_xll.ciqfunctions.udf.CIQ($A16, "IQ_TEV", $L$2, $L$5, $L$6)</f>
        <v>2515.66275</v>
      </c>
      <c r="I16" s="413">
        <f>_xll.ciqfunctions.udf.CIQ(A16, "IQ_LASTSALEPRICE", $B$1,$L$5)</f>
        <v>83.91</v>
      </c>
      <c r="J16" s="413">
        <f>_xll.ciqfunctions.udf.CIQ($A16, "IQ_MARKETCAP", $L$2, $L$5, $L$6)</f>
        <v>2482.30575</v>
      </c>
      <c r="K16" s="413">
        <f>_xll.ciqfunctions.udf.CIQ($A16, "IQ_TOTAL_DEBT", IQ_LTM, $L$2,$L$4, $L$3, $L$5, $L$6)</f>
        <v>359.44900000000001</v>
      </c>
      <c r="L16" s="413">
        <f>_xll.ciqfunctions.udf.CIQ($A16, "IQ_PREF_EQUITY", IQ_LTM, $L$2, $L$4, $L$3, $L$5, $L$6)</f>
        <v>0</v>
      </c>
      <c r="M16" s="413">
        <f>_xll.ciqfunctions.udf.CIQ($A16, "IQ_MINORITY_INTEREST_TOTAL", IQ_LTM, $L$2, $L$4, $L$3, $L$5, $L$6)</f>
        <v>0</v>
      </c>
      <c r="N16" s="413">
        <f>_xll.ciqfunctions.udf.CIQ($A16, "IQ_CASH_ST_INVEST", IQ_LTM, $L$2, $L$4, $L$3, $L$5, $L$6)</f>
        <v>326.09199999999998</v>
      </c>
      <c r="O16" s="413">
        <f>_xll.ciqfunctions.udf.CIQ($A16, "IQ_TOTAL_REV", IQ_LTM-8, $L$2, $L$4, $L$3, $L$5, $L$6)</f>
        <v>1.782</v>
      </c>
      <c r="P16" s="413">
        <f>_xll.ciqfunctions.udf.CIQ($A16, "IQ_TOTAL_REV", IQ_LTM - 4, $L$2, $L$4, $L$3, $L$5,$L$6)</f>
        <v>45.554000000000002</v>
      </c>
      <c r="Q16" s="413">
        <f>_xll.ciqfunctions.udf.CIQ($A16, "IQ_TOTAL_REV", IQ_LTM, $L$2, $L$4, $L$3, $L$5, $L$6)</f>
        <v>145.87100000000001</v>
      </c>
      <c r="R16" s="413">
        <f>_xll.ciqfunctions.udf.CIQ($A16, "IQ_TOTAL_REV", $B$2, $L$2, $L$4, $L$3, $L$5, $L$6)</f>
        <v>24.951000000000001</v>
      </c>
      <c r="S16" s="413">
        <f>IF(_xll.ciqfunctions.udf.CIQ($A16, "IQ_TOTAL_REV", $B$3, $L$2,$L$4, $L$3, $L$5, $L$6)=0,Q16,_xll.ciqfunctions.udf.CIQ($A16, "IQ_TOTAL_REV", $B$3, $L$2,$L$4, $L$3, $L$5, $L$6))</f>
        <v>130.95599999999999</v>
      </c>
      <c r="T16" s="413">
        <f>IF(_xll.ciqfunctions.udf.CIQ($A16, "IQ_REVENUE_EST",$B$4, $L$2, "CON", $L$3, $L$5, $L$6)=0,"n/a",_xll.ciqfunctions.udf.CIQ($A16, "IQ_REVENUE_EST",$B$4, $L$2, "CON", $L$3, $L$5, $L$6))</f>
        <v>179.11264</v>
      </c>
      <c r="U16" s="413">
        <f>IF(_xll.ciqfunctions.udf.CIQ($A16, "IQ_REVENUE_EST",$B$5, $L$2, "CON", $L$3, $L$5, $L$6)=0,"n/a",_xll.ciqfunctions.udf.CIQ($A16, "IQ_REVENUE_EST",$B$5, $L$2, "CON", $L$3, $L$5, $L$6))</f>
        <v>274.30029999999999</v>
      </c>
      <c r="V16" s="413">
        <f>IF(_xll.ciqfunctions.udf.CIQ($A16, "IQ_REVENUE_EST",$B$6, $L$2, "CON", $L$3, $L$5, $L$6)=0,"n/a",_xll.ciqfunctions.udf.CIQ($A16, "IQ_REVENUE_EST",$B$6, $L$2, "CON", $L$3, $L$5, $L$6))</f>
        <v>320.26038</v>
      </c>
      <c r="W16" s="413">
        <f>IF(_xll.ciqfunctions.udf.CIQ($A16, "IQ_REVENUE_EST", $B$7, $L$2, "CON", $L$3, $L$5, $L$6)=0,"n/a",_xll.ciqfunctions.udf.CIQ($A16, "IQ_REVENUE_EST",$B$7, $L$2, "CON", $L$3, $L$5, $L$6))</f>
        <v>621.84749999999997</v>
      </c>
      <c r="X16" s="413">
        <f>_xll.ciqfunctions.udf.CIQ($A16, "IQ_EBITDA", IQ_LTM-8, $L$2, $L$4, $L$3, $L$5, $L$6)</f>
        <v>-269.77199999999999</v>
      </c>
      <c r="Y16" s="413">
        <f>_xll.ciqfunctions.udf.CIQ($A16, "IQ_EBITDA", IQ_LTM-4, $L$2,$L$4, $L$3, $L$5, $L$6)</f>
        <v>-355.15199999999999</v>
      </c>
      <c r="Z16" s="413">
        <f>_xll.ciqfunctions.udf.CIQ($A16, "IQ_EBITDA", IQ_LTM, $L$2, $L$4, $L$3, $L$5, $L$6)</f>
        <v>-316.81599999999997</v>
      </c>
      <c r="AA16" s="413">
        <f>_xll.ciqfunctions.udf.CIQ($A16, "IQ_EBITDA", $B$2, $L$2, $L$4, $L$3, $L$5, $L$6)</f>
        <v>-353.70699999999999</v>
      </c>
      <c r="AB16" s="413">
        <f>IF(_xll.ciqfunctions.udf.CIQ($A16, "IQ_EBITDA", $B$3, $L$2,$L$4, $L$3, $L$5, $L$6)=0,Z16,_xll.ciqfunctions.udf.CIQ($A16, "IQ_EBITDA", $B$3, $L$2,$L$4, $L$3, $L$5, $L$6))</f>
        <v>-325.81099999999998</v>
      </c>
      <c r="AC16" s="413">
        <f>IF(_xll.ciqfunctions.udf.CIQ($A16, "IQ_EBITDA_EST",$B$4, $L$2, "CON", $L$3, $L$5, $L$6)=0,"n/a",_xll.ciqfunctions.udf.CIQ($A16, "IQ_EBITDA_EST",$B$4, $L$2, "CON", $L$3, $L$5, $L$6))</f>
        <v>-279.57587999999998</v>
      </c>
      <c r="AD16" s="413">
        <f>IF(_xll.ciqfunctions.udf.CIQ($A16, "IQ_EBITDA_EST",$B$5, $L$2, "CON", $L$3, $L$5, $L$6)=0,"n/a",_xll.ciqfunctions.udf.CIQ($A16, "IQ_EBITDA_EST",$B$5, $L$2, "CON", $L$3, $L$5, $L$6))</f>
        <v>-245.96132</v>
      </c>
      <c r="AE16" s="413">
        <f>IF(_xll.ciqfunctions.udf.CIQ($A16, "IQ_EBITDA_EST",$B$6, $L$2, "CON", $L$3, $L$5, $L$6)=0,"n/a",_xll.ciqfunctions.udf.CIQ($A16, "IQ_EBITDA_EST",$B$6, $L$2, "CON", $L$3, $L$5, $L$6))</f>
        <v>-491.16399999999999</v>
      </c>
      <c r="AF16" s="414">
        <f>IF(ISERROR(_xll.ciqfunctions.udf.CIQ($A16, "IQ_GROSS_MARGIN", IQ_LTM, $L$2,$L$4, $L$3, $L$5, $L$6)/100), "n/a", _xll.ciqfunctions.udf.CIQ($A16,  "IQ_GROSS_MARGIN", IQ_LTM, $L$2, $L$4, $L$3, $L$5, $L$6)/100)</f>
        <v>0.98934600000000006</v>
      </c>
      <c r="AG16" s="414">
        <f>IF(ISERROR(_xll.ciqfunctions.udf.CIQ($A16,"IQ_EBITDA_MARGIN", IQ_LTM, $L$2, $L$4, $L$3, $L$5, $L$6)/100), "n/a", _xll.ciqfunctions.udf.CIQ($A16, "IQ_EBITDA_MARGIN", IQ_LTM, $L$2, $L$4, $L$3, $L$5, $L$6)/100)</f>
        <v>-2.171891</v>
      </c>
      <c r="AH16" s="414">
        <f>IF(ISERROR(_xll.ciqfunctions.udf.CIQ($A16,"IQ_EBIT_MARGIN", IQ_LTM, $L$2, $L$4, $L$3, $L$5, $L$6)/100), "n/a", _xll.ciqfunctions.udf.CIQ($A16, "IQ_EBIT_MARGIN", IQ_LTM, $L$2, $L$4, $L$3, $L$5, $L$6)/100)</f>
        <v>-2.2067779999999999</v>
      </c>
      <c r="AI16" s="414">
        <f>IF(ISERROR(_xll.ciqfunctions.udf.CIQ($A16,"IQ_NI_MARGIN", IQ_LTM, $L$2, $L$4, $L$3, $L$5, $L$6)/100), "n/a", _xll.ciqfunctions.udf.CIQ($A16, "IQ_NI_MARGIN", IQ_LTM, $L$2, $L$4, $L$3, $L$5, $L$6)/100)</f>
        <v>-2.4132759999999998</v>
      </c>
      <c r="AJ16" s="413">
        <f>_xll.ciqfunctions.udf.CIQ($A16,"IQ_TOTAL_CA",IQ_LTM-8,$L$2, $L$4, $L$3, $L$5, $L$6)-_xll.ciqfunctions.udf.CIQ($A16,"IQ_TOTAL_CL",IQ_LTM-8,$L$2, $L$4, $L$3, $L$5, $L$6)</f>
        <v>475.69499999999999</v>
      </c>
      <c r="AK16" s="413">
        <f>_xll.ciqfunctions.udf.CIQ($A16,"IQ_TOTAL_CA",IQ_LTM-4,$L$2, $L$4, $L$3, $L$5, $L$6)-_xll.ciqfunctions.udf.CIQ($A16,"IQ_TOTAL_CL",IQ_LTM-4,$L$2, $L$4, $L$3, $L$5, $L$6)</f>
        <v>562.30600000000004</v>
      </c>
      <c r="AL16" s="413">
        <f>_xll.ciqfunctions.udf.CIQ($A16,"IQ_TOTAL_CA",IQ_LTM,$L$2, $L$4, $L$3, $L$5, $L$6)-_xll.ciqfunctions.udf.CIQ($A16,"IQ_TOTAL_CL",IQ_LTM,$L$2, $L$4, $L$3, $L$5, $L$6)</f>
        <v>284.399</v>
      </c>
      <c r="AM16" s="413">
        <f>IF(ISERROR(_xll.ciqfunctions.udf.CIQ($A16, "IQ_Capex", IQ_LTM-8, $L$2,$L$4, $L$3, $L$5, $L$6)), "n/a", _xll.ciqfunctions.udf.CIQ($A16, "IQ_Capex", IQ_LTM-8, $L$2, $L$4, $L$3, $L$5, $L$6))</f>
        <v>-6.4119999999999999</v>
      </c>
      <c r="AN16" s="413">
        <f>IF(ISERROR(_xll.ciqfunctions.udf.CIQ($A16, "IQ_Capex", IQ_LTM-4, $L$2,$L$4, $L$3, $L$5, $L$6)), "n/a", _xll.ciqfunctions.udf.CIQ($A16, "IQ_Capex", IQ_LTM-4, $L$2,$L$4, $L$3, $L$5, $L$6))</f>
        <v>-6.6970000000000001</v>
      </c>
      <c r="AO16" s="413">
        <f>IF(ISERROR(_xll.ciqfunctions.udf.CIQ($A16, "IQ_Capex", IQ_LTM, $L$2, $L$4, $L$3, $L$5, $L$6)), "n/a", _xll.ciqfunctions.udf.CIQ($A16, "IQ_Capex", IQ_LTM, $L$2, $L$4, $L$3, $L$5, $L$6))</f>
        <v>-6.4560000000000004</v>
      </c>
      <c r="AP16" s="415" t="str">
        <f>_xll.ciqfunctions.udf.CIQ(A16, "IQ_BUSINESS_DESCRIPTION")</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c r="AQ16" s="416">
        <f>_xll.ciqfunctions.udf.CIQ($A16, "IQ_BETA_1YR", $B$1)</f>
        <v>1.2401800000000001</v>
      </c>
      <c r="AR16" s="416">
        <f>_xll.ciqfunctions.udf.CIQ($A16, "IQ_BETA_2YR", $B$1)</f>
        <v>1.8649199999999999</v>
      </c>
      <c r="AS16" s="416">
        <f>_xll.ciqfunctions.udf.CIQ($A16, "IQ_BETA_5YR", $B$1)</f>
        <v>-1.67344</v>
      </c>
      <c r="AT16" s="414">
        <f>_xll.ciqfunctions.udf.CIQ($A16, "IQ_DIVIDEND_YIELD", $B$1)/100</f>
        <v>0</v>
      </c>
      <c r="AU16" s="413">
        <f>_xll.ciqfunctions.udf.CIQ($A16, "IQ_EARNING_CO", IQ_LTM-8, $L$2, $L$4, $L$3, $L$5, $L$6)</f>
        <v>-313.71699999999998</v>
      </c>
      <c r="AV16" s="413">
        <f>_xll.ciqfunctions.udf.CIQ($A16, "IQ_EARNING_CO", IQ_LTM-4, $L$2, $L$4, $L$3, $L$5, $L$6)</f>
        <v>-376.08600000000001</v>
      </c>
      <c r="AW16" s="413">
        <f>_xll.ciqfunctions.udf.CIQ($A16, "IQ_EARNING_CO", IQ_LTM, $L$2, $L$4, $L$3, $L$5, $L$6)</f>
        <v>-352.02699999999999</v>
      </c>
      <c r="AX16" s="413">
        <f>_xll.ciqfunctions.udf.CIQ($A16, "IQ_EARNING_CO", $B$2, $L$2, $L$4, $L$3, $L$5, $L$6)</f>
        <v>-412.83</v>
      </c>
      <c r="AY16" s="413">
        <f>IF(_xll.ciqfunctions.udf.CIQ($A16, "IQ_EARNING_CO", $B$3, $L$2,$L$4, $L$3, $L$5, $L$6)=0,AW16,_xll.ciqfunctions.udf.CIQ($A16, "IQ_EARNING_CO", $B$3, $L$2,$L$4, $L$3, $L$5, $L$6))</f>
        <v>-360.36700000000002</v>
      </c>
      <c r="AZ16" s="413">
        <f>_xll.ciqfunctions.udf.CIQ($A16, "IQ_TOTAL_EQUITY", IQ_LTM-8, $L$2, $L$4, $L$3, $L$5, $L$6)</f>
        <v>488.33300000000003</v>
      </c>
      <c r="BA16" s="413">
        <f>_xll.ciqfunctions.udf.CIQ($A16, "IQ_TOTAL_EQUITY", IQ_LTM-4, $L$2, $L$4, $L$3, $L$5, $L$6)</f>
        <v>240.238</v>
      </c>
      <c r="BB16" s="413">
        <f>_xll.ciqfunctions.udf.CIQ($A16, "IQ_TOTAL_EQUITY", IQ_LTM, $L$2, $L$4, $L$3, $L$5, $L$6)</f>
        <v>-52.274999999999999</v>
      </c>
      <c r="BC16" s="413">
        <f>_xll.ciqfunctions.udf.CIQ($A16, "IQ_TOTAL_EQUITY", $B$2, $L$2, $L$4, $L$3, $L$5, $L$6)</f>
        <v>314.93200000000002</v>
      </c>
      <c r="BD16" s="413">
        <f>IF(_xll.ciqfunctions.udf.CIQ($A16, "IQ_TOTAL_EQUITY", $B$3, $L$2,$L$4, $L$3, $L$5, $L$6)=0,BB16,_xll.ciqfunctions.udf.CIQ($A16, "IQ_TOTAL_EQUITY", $B$3, $L$2,$L$4, $L$3, $L$5, $L$6))</f>
        <v>16.385999999999999</v>
      </c>
      <c r="BE16" s="413">
        <f>_xll.ciqfunctions.udf.CIQ(A16, "IQ_LASTSALEPRICE", $B$8)</f>
        <v>61.52</v>
      </c>
      <c r="BF16" s="413">
        <f>_xll.ciqfunctions.udf.CIQ($A16, "IQ_MARKETCAP", $B$8, $L$5, $L$6)</f>
        <v>1548.6231499999999</v>
      </c>
      <c r="BG16" s="413">
        <f>_xll.ciqfunctions.udf.CIQ($A16, "IQ_TOTAL_DEBT", IQ_LTM, $B$8,$L$4, $L$3, $L$5, $L$6)</f>
        <v>355.67700000000002</v>
      </c>
      <c r="BH16" s="371">
        <f>_xll.ciqfunctions.udf.CIQ($A16,"IQ_PREF_EQUITY",IQ_LTM,$B$8,$L$4,$L$3,$L$5,$L$6)</f>
        <v>0</v>
      </c>
      <c r="BI16" s="371">
        <f>_xll.ciqfunctions.udf.CIQ($A16, "IQ_MINORITY_INTEREST_TOTAL", IQ_LTM,$B$8,$L$4,$L$3,$L$5,$L$6)</f>
        <v>0</v>
      </c>
      <c r="BJ16" s="413">
        <f>_xll.ciqfunctions.udf.CIQ($A16, "IQ_CASH_ST_INVEST", IQ_LTM, $B$8, $L$4, $L$3, $L$5, $L$6)</f>
        <v>414.91699999999997</v>
      </c>
      <c r="BK16" s="371">
        <f>_xll.ciqfunctions.udf.CIQ($A16, "IQ_EFFECT_TAX_RATE")</f>
        <v>0</v>
      </c>
      <c r="BL16" s="371">
        <f>IF(_xll.ciqfunctions.udf.CIQ($A16, "IQ_TOTAL_REV_2YR_ANN_CAGR", IQ_LTM, $B$1,$L$4, $L$3, $L$5, $L$6)="NM","n/a",(_xll.ciqfunctions.udf.CIQ($A16, "IQ_TOTAL_REV_2YR_ANN_CAGR", IQ_LTM, $B$1,$L$4, $L$3, $L$5, $L$6)/100))</f>
        <v>8.047542</v>
      </c>
      <c r="BM16" s="371">
        <f>IF(_xll.ciqfunctions.udf.CIQ($A16, "IQ_TOTAL_REV_3YR_ANN_CAGR", IQ_LTM, $B$1,$L$4, $L$3, $L$5, $L$6)="NM","n/a",(_xll.ciqfunctions.udf.CIQ($A16, "IQ_TOTAL_REV_3YR_ANN_CAGR", IQ_LTM, $B$1,$L$4, $L$3, $L$5, $L$6)/100))</f>
        <v>2.7430439999999998</v>
      </c>
      <c r="BN16" s="371">
        <f>IF(_xll.ciqfunctions.udf.CIQ($A16, "IQ_TOTAL_REV_5YR_ANN_CAGR", IQ_LTM, $B$1,$L$4, $L$3, $L$5, $L$6)="NM","n/a",(_xll.ciqfunctions.udf.CIQ($A16, "IQ_TOTAL_REV_5YR_ANN_CAGR", IQ_LTM, $B$1,$L$4, $L$3, $L$5, $L$6)/100))</f>
        <v>1.336954</v>
      </c>
      <c r="BO16" s="371" t="str">
        <f>IF(_xll.ciqfunctions.udf.CIQ($A16,"IQ_EBITDA_2YR_ANN_CAGR", IQ_LTM,$B$1,$L$4, $L$3, $L$5, $L$6)="NM","n/a",(_xll.ciqfunctions.udf.CIQ($A16,"IQ_EBITDA_2YR_ANN_CAGR", IQ_LTM,$B$1,$L$4, $L$3, $L$5, $L$6)/100))</f>
        <v>n/a</v>
      </c>
      <c r="BP16" s="371" t="str">
        <f>IF(_xll.ciqfunctions.udf.CIQ($A16,"IQ_EBITDA_3YR_ANN_CAGR", IQ_LTM,$B$1,$L$4, $L$3, $L$5, $L$6)="NM","n/a",(_xll.ciqfunctions.udf.CIQ($A16,"IQ_EBITDA_3YR_ANN_CAGR", IQ_LTM,$B$1,$L$4, $L$3, $L$5, $L$6)/100))</f>
        <v>n/a</v>
      </c>
      <c r="BQ16" s="371" t="str">
        <f>IF(_xll.ciqfunctions.udf.CIQ($A16,"IQ_EBITDA_5YR_ANN_CAGR", IQ_LTM,$B$1,$L$4, $L$3, $L$5, $L$6)="NM","n/a",(_xll.ciqfunctions.udf.CIQ($A16,"IQ_EBITDA_5YR_ANN_CAGR", IQ_LTM,$B$1,$L$4, $L$3, $L$5, $L$6)/100))</f>
        <v>n/a</v>
      </c>
      <c r="BR16" s="375">
        <f>IFERROR((_xll.ciqfunctions.udf.CIQ($A16, "IQ_DA_CF", IQ_LTM, $B$1, $L$4, $L$3, $L$5, $L$6)/Q16),"NM")</f>
        <v>3.4886989189078024E-2</v>
      </c>
      <c r="BS16" s="417">
        <f>'Capital IQ Sheet-GPC'!BS17</f>
        <v>0.63494375623135568</v>
      </c>
      <c r="BT16" s="417">
        <f>'Capital IQ Sheet-GPC'!BT17</f>
        <v>0.55938950878676441</v>
      </c>
      <c r="BU16" s="417">
        <f>'Capital IQ Sheet-GPC'!BU17</f>
        <v>0.60449747603175452</v>
      </c>
      <c r="BV16" s="417">
        <f>'Capital IQ Sheet-GPC'!BV17</f>
        <v>0.63082850805088186</v>
      </c>
      <c r="BW16" s="417">
        <f>'Capital IQ Sheet-GPC'!BW17</f>
        <v>0.92099373355268976</v>
      </c>
      <c r="BX16" s="417">
        <f>'Capital IQ Sheet-GPC'!BX17</f>
        <v>0.88075139052579154</v>
      </c>
      <c r="BY16" s="417" t="str">
        <f>'Capital IQ Sheet-GPC'!BY17</f>
        <v>n/a</v>
      </c>
      <c r="BZ16" s="417" t="str">
        <f>'Capital IQ Sheet-GPC'!BZ17</f>
        <v>n/a</v>
      </c>
      <c r="CB16" s="371">
        <v>2</v>
      </c>
      <c r="CC16" s="495" t="s">
        <v>150</v>
      </c>
      <c r="CD16" s="495" t="s">
        <v>149</v>
      </c>
      <c r="CE16" s="373">
        <f t="shared" si="0"/>
        <v>42551</v>
      </c>
    </row>
    <row r="17" spans="1:83" s="371" customFormat="1" ht="12.75">
      <c r="A17" s="372" t="str">
        <f>_xll.ciqfunctions.udf.CIQ($B17,"IQ_COMPANY_TICKER")</f>
        <v>SEHK:3933</v>
      </c>
      <c r="B17" s="412" t="str">
        <f>'Capital IQ Sheet-GPC'!B18</f>
        <v>IQ34724429</v>
      </c>
      <c r="C17" s="372" t="str">
        <f>_xll.ciqfunctions.udf.CIQ($A17,"IQ_COMPANY_NAME")</f>
        <v>The United Laboratories International Holdings Limited</v>
      </c>
      <c r="D17" s="372" t="str">
        <f>_xll.ciqfunctions.udf.CIQ($A17, "IQ_EXCHANGE")</f>
        <v>SEHK</v>
      </c>
      <c r="E17" s="411">
        <f>_xll.ciqfunctions.udf.CIQ($A17, "IQ_PERIODDATE_IS", IQ_FY)</f>
        <v>43100</v>
      </c>
      <c r="F17" s="411">
        <f>_xll.ciqfunctions.udf.CIQ(A17, "IQ_PERIODDATE_IS", IQ_LTM, $B$1,$L$4,$L$3)</f>
        <v>43100</v>
      </c>
      <c r="G17" s="411">
        <f>_xll.ciqfunctions.udf.CIQ($A17, "IQ_FIRSTPRICINGDATE")</f>
        <v>39248</v>
      </c>
      <c r="H17" s="413">
        <f>_xll.ciqfunctions.udf.CIQ($A17, "IQ_TEV", $L$2, $L$5, $L$6)</f>
        <v>2204.7008599999999</v>
      </c>
      <c r="I17" s="413">
        <f>_xll.ciqfunctions.udf.CIQ(A17, "IQ_LASTSALEPRICE", $B$1,$L$5)</f>
        <v>1.04125</v>
      </c>
      <c r="J17" s="413">
        <f>_xll.ciqfunctions.udf.CIQ($A17, "IQ_MARKETCAP", $L$2, $L$5, $L$6)</f>
        <v>1705.28388</v>
      </c>
      <c r="K17" s="413">
        <f>_xll.ciqfunctions.udf.CIQ($A17, "IQ_TOTAL_DEBT", IQ_LTM, $L$2,$L$4, $L$3, $L$5, $L$6)</f>
        <v>746.46118999999999</v>
      </c>
      <c r="L17" s="413">
        <f>_xll.ciqfunctions.udf.CIQ($A17, "IQ_PREF_EQUITY", IQ_LTM, $L$2, $L$4, $L$3, $L$5, $L$6)</f>
        <v>0</v>
      </c>
      <c r="M17" s="413">
        <f>_xll.ciqfunctions.udf.CIQ($A17, "IQ_MINORITY_INTEREST_TOTAL", IQ_LTM, $L$2, $L$4, $L$3, $L$5, $L$6)</f>
        <v>0</v>
      </c>
      <c r="N17" s="413">
        <f>_xll.ciqfunctions.udf.CIQ($A17, "IQ_CASH_ST_INVEST", IQ_LTM, $L$2, $L$4, $L$3, $L$5, $L$6)</f>
        <v>244.9426</v>
      </c>
      <c r="O17" s="413">
        <f>_xll.ciqfunctions.udf.CIQ($A17, "IQ_TOTAL_REV", IQ_LTM-8, $L$2, $L$4, $L$3, $L$5, $L$6)</f>
        <v>992.83531000000005</v>
      </c>
      <c r="P17" s="413">
        <f>_xll.ciqfunctions.udf.CIQ($A17, "IQ_TOTAL_REV", IQ_LTM - 4, $L$2, $L$4, $L$3, $L$5,$L$6)</f>
        <v>875.35559000000001</v>
      </c>
      <c r="Q17" s="413">
        <f>_xll.ciqfunctions.udf.CIQ($A17, "IQ_TOTAL_REV", IQ_LTM, $L$2, $L$4, $L$3, $L$5, $L$6)</f>
        <v>1049.1716200000001</v>
      </c>
      <c r="R17" s="413">
        <f>_xll.ciqfunctions.udf.CIQ($A17, "IQ_TOTAL_REV", $B$2, $L$2, $L$4, $L$3, $L$5, $L$6)</f>
        <v>875.35559000000001</v>
      </c>
      <c r="S17" s="413">
        <f>IF(_xll.ciqfunctions.udf.CIQ($A17, "IQ_TOTAL_REV", $B$3, $L$2,$L$4, $L$3, $L$5, $L$6)=0,Q17,_xll.ciqfunctions.udf.CIQ($A17, "IQ_TOTAL_REV", $B$3, $L$2,$L$4, $L$3, $L$5, $L$6))</f>
        <v>1049.1716200000001</v>
      </c>
      <c r="T17" s="413">
        <f>IF(_xll.ciqfunctions.udf.CIQ($A17, "IQ_REVENUE_EST",$B$4, $L$2, "CON", $L$3, $L$5, $L$6)=0,"n/a",_xll.ciqfunctions.udf.CIQ($A17, "IQ_REVENUE_EST",$B$4, $L$2, "CON", $L$3, $L$5, $L$6))</f>
        <v>1193.23696</v>
      </c>
      <c r="U17" s="413">
        <f>IF(_xll.ciqfunctions.udf.CIQ($A17, "IQ_REVENUE_EST",$B$5, $L$2, "CON", $L$3, $L$5, $L$6)=0,"n/a",_xll.ciqfunctions.udf.CIQ($A17, "IQ_REVENUE_EST",$B$5, $L$2, "CON", $L$3, $L$5, $L$6))</f>
        <v>1285.52421</v>
      </c>
      <c r="V17" s="413">
        <f>IF(_xll.ciqfunctions.udf.CIQ($A17, "IQ_REVENUE_EST",$B$6, $L$2, "CON", $L$3, $L$5, $L$6)=0,"n/a",_xll.ciqfunctions.udf.CIQ($A17, "IQ_REVENUE_EST",$B$6, $L$2, "CON", $L$3, $L$5, $L$6))</f>
        <v>1414.86087</v>
      </c>
      <c r="W17" s="413" t="str">
        <f>IF(_xll.ciqfunctions.udf.CIQ($A17, "IQ_REVENUE_EST", $B$7, $L$2, "CON", $L$3, $L$5, $L$6)=0,"n/a",_xll.ciqfunctions.udf.CIQ($A17, "IQ_REVENUE_EST",$B$7, $L$2, "CON", $L$3, $L$5, $L$6))</f>
        <v>n/a</v>
      </c>
      <c r="X17" s="413">
        <f>_xll.ciqfunctions.udf.CIQ($A17, "IQ_EBITDA", IQ_LTM-8, $L$2, $L$4, $L$3, $L$5, $L$6)</f>
        <v>200.17134999999999</v>
      </c>
      <c r="Y17" s="413">
        <f>_xll.ciqfunctions.udf.CIQ($A17, "IQ_EBITDA", IQ_LTM-4, $L$2,$L$4, $L$3, $L$5, $L$6)</f>
        <v>150.23777999999999</v>
      </c>
      <c r="Z17" s="413">
        <f>_xll.ciqfunctions.udf.CIQ($A17, "IQ_EBITDA", IQ_LTM, $L$2, $L$4, $L$3, $L$5, $L$6)</f>
        <v>209.88580999999999</v>
      </c>
      <c r="AA17" s="413">
        <f>_xll.ciqfunctions.udf.CIQ($A17, "IQ_EBITDA", $B$2, $L$2, $L$4, $L$3, $L$5, $L$6)</f>
        <v>150.23777999999999</v>
      </c>
      <c r="AB17" s="413">
        <f>IF(_xll.ciqfunctions.udf.CIQ($A17, "IQ_EBITDA", $B$3, $L$2,$L$4, $L$3, $L$5, $L$6)=0,Z17,_xll.ciqfunctions.udf.CIQ($A17, "IQ_EBITDA", $B$3, $L$2,$L$4, $L$3, $L$5, $L$6))</f>
        <v>209.88580999999999</v>
      </c>
      <c r="AC17" s="413">
        <f>IF(_xll.ciqfunctions.udf.CIQ($A17, "IQ_EBITDA_EST",$B$4, $L$2, "CON", $L$3, $L$5, $L$6)=0,"n/a",_xll.ciqfunctions.udf.CIQ($A17, "IQ_EBITDA_EST",$B$4, $L$2, "CON", $L$3, $L$5, $L$6))</f>
        <v>270.03415999999999</v>
      </c>
      <c r="AD17" s="413">
        <f>IF(_xll.ciqfunctions.udf.CIQ($A17, "IQ_EBITDA_EST",$B$5, $L$2, "CON", $L$3, $L$5, $L$6)=0,"n/a",_xll.ciqfunctions.udf.CIQ($A17, "IQ_EBITDA_EST",$B$5, $L$2, "CON", $L$3, $L$5, $L$6))</f>
        <v>279.20434999999998</v>
      </c>
      <c r="AE17" s="413">
        <f>IF(_xll.ciqfunctions.udf.CIQ($A17, "IQ_EBITDA_EST",$B$6, $L$2, "CON", $L$3, $L$5, $L$6)=0,"n/a",_xll.ciqfunctions.udf.CIQ($A17, "IQ_EBITDA_EST",$B$6, $L$2, "CON", $L$3, $L$5, $L$6))</f>
        <v>277.16381000000001</v>
      </c>
      <c r="AF17" s="414">
        <f>IF(ISERROR(_xll.ciqfunctions.udf.CIQ($A17, "IQ_GROSS_MARGIN", IQ_LTM, $L$2,$L$4, $L$3, $L$5, $L$6)/100), "n/a", _xll.ciqfunctions.udf.CIQ($A17,  "IQ_GROSS_MARGIN", IQ_LTM, $L$2, $L$4, $L$3, $L$5, $L$6)/100)</f>
        <v>0.36595</v>
      </c>
      <c r="AG17" s="414">
        <f>IF(ISERROR(_xll.ciqfunctions.udf.CIQ($A17,"IQ_EBITDA_MARGIN", IQ_LTM, $L$2, $L$4, $L$3, $L$5, $L$6)/100), "n/a", _xll.ciqfunctions.udf.CIQ($A17, "IQ_EBITDA_MARGIN", IQ_LTM, $L$2, $L$4, $L$3, $L$5, $L$6)/100)</f>
        <v>0.200049</v>
      </c>
      <c r="AH17" s="414">
        <f>IF(ISERROR(_xll.ciqfunctions.udf.CIQ($A17,"IQ_EBIT_MARGIN", IQ_LTM, $L$2, $L$4, $L$3, $L$5, $L$6)/100), "n/a", _xll.ciqfunctions.udf.CIQ($A17, "IQ_EBIT_MARGIN", IQ_LTM, $L$2, $L$4, $L$3, $L$5, $L$6)/100)</f>
        <v>8.5180000000000006E-2</v>
      </c>
      <c r="AI17" s="414">
        <f>IF(ISERROR(_xll.ciqfunctions.udf.CIQ($A17,"IQ_NI_MARGIN", IQ_LTM, $L$2, $L$4, $L$3, $L$5, $L$6)/100), "n/a", _xll.ciqfunctions.udf.CIQ($A17, "IQ_NI_MARGIN", IQ_LTM, $L$2, $L$4, $L$3, $L$5, $L$6)/100)</f>
        <v>1.1976000000000001E-2</v>
      </c>
      <c r="AJ17" s="413">
        <f>_xll.ciqfunctions.udf.CIQ($A17,"IQ_TOTAL_CA",IQ_LTM-8,$L$2, $L$4, $L$3, $L$5, $L$6)-_xll.ciqfunctions.udf.CIQ($A17,"IQ_TOTAL_CL",IQ_LTM-8,$L$2, $L$4, $L$3, $L$5, $L$6)</f>
        <v>-348.03790000000004</v>
      </c>
      <c r="AK17" s="413">
        <f>_xll.ciqfunctions.udf.CIQ($A17,"IQ_TOTAL_CA",IQ_LTM-4,$L$2, $L$4, $L$3, $L$5, $L$6)-_xll.ciqfunctions.udf.CIQ($A17,"IQ_TOTAL_CL",IQ_LTM-4,$L$2, $L$4, $L$3, $L$5, $L$6)</f>
        <v>-139.46669000000009</v>
      </c>
      <c r="AL17" s="413">
        <f>_xll.ciqfunctions.udf.CIQ($A17,"IQ_TOTAL_CA",IQ_LTM,$L$2, $L$4, $L$3, $L$5, $L$6)-_xll.ciqfunctions.udf.CIQ($A17,"IQ_TOTAL_CL",IQ_LTM,$L$2, $L$4, $L$3, $L$5, $L$6)</f>
        <v>149.93882999999994</v>
      </c>
      <c r="AM17" s="413">
        <f>IF(ISERROR(_xll.ciqfunctions.udf.CIQ($A17, "IQ_Capex", IQ_LTM-8, $L$2,$L$4, $L$3, $L$5, $L$6)), "n/a", _xll.ciqfunctions.udf.CIQ($A17, "IQ_Capex", IQ_LTM-8, $L$2, $L$4, $L$3, $L$5, $L$6))</f>
        <v>-93.275049999999993</v>
      </c>
      <c r="AN17" s="413">
        <f>IF(ISERROR(_xll.ciqfunctions.udf.CIQ($A17, "IQ_Capex", IQ_LTM-4, $L$2,$L$4, $L$3, $L$5, $L$6)), "n/a", _xll.ciqfunctions.udf.CIQ($A17, "IQ_Capex", IQ_LTM-4, $L$2,$L$4, $L$3, $L$5, $L$6))</f>
        <v>-58.014809999999997</v>
      </c>
      <c r="AO17" s="413">
        <f>IF(ISERROR(_xll.ciqfunctions.udf.CIQ($A17, "IQ_Capex", IQ_LTM, $L$2, $L$4, $L$3, $L$5, $L$6)), "n/a", _xll.ciqfunctions.udf.CIQ($A17, "IQ_Capex", IQ_LTM, $L$2, $L$4, $L$3, $L$5, $L$6))</f>
        <v>-70.406809999999993</v>
      </c>
      <c r="AP17" s="415" t="str">
        <f>_xll.ciqfunctions.udf.CIQ(A17, "IQ_BUSINESS_DESCRIPTION")</f>
        <v>The United Laboratories International Holdings Limited, an investment holding company, manufactures and sells pharmaceutical products. It operates in three segments: Intermediate Products, Bulk Medicine, and Finished Products. The company offers oral antibiotics, antimicrobials for injection, anti-cold products, cough medicines, ophthalmic drugs, antiviral drugs, anti-hepatitis B drugs, diabetes drugs, skin drugs for external use, cardiovascular and cerebrovascular drugs, nervous system drugs, vitamins, and vacant gelatin capsules, as well as non-antibiotics finished products and soft capsule casings. It also provides chemical pharmaceuticals, including anti-cancer drugs and various antibiotics. In addition, the company manufactures and sells organic fertilizers; holds trademarks; trades in pharmaceutical products; and offers management services. It has operations in the People's Republic of China, Europe, India, Hong Kong, the Middle East, South America, other Asian regions, and other regions. The company was founded in 1990 and is headquartered in Yuen Long, Hong Kong. The United Laboratories International Holdings Limited is a subsidiary of Heren Far East Limited.</v>
      </c>
      <c r="AQ17" s="416">
        <f>_xll.ciqfunctions.udf.CIQ($A17, "IQ_BETA_1YR", $B$1)</f>
        <v>0.59653</v>
      </c>
      <c r="AR17" s="416">
        <f>_xll.ciqfunctions.udf.CIQ($A17, "IQ_BETA_2YR", $B$1)</f>
        <v>0.14000000000000001</v>
      </c>
      <c r="AS17" s="416">
        <f>_xll.ciqfunctions.udf.CIQ($A17, "IQ_BETA_5YR", $B$1)</f>
        <v>0.89766999999999997</v>
      </c>
      <c r="AT17" s="414">
        <f>_xll.ciqfunctions.udf.CIQ($A17, "IQ_DIVIDEND_YIELD", $B$1)/100</f>
        <v>7.254E-3</v>
      </c>
      <c r="AU17" s="413">
        <f>_xll.ciqfunctions.udf.CIQ($A17, "IQ_EARNING_CO", IQ_LTM-8, $L$2, $L$4, $L$3, $L$5, $L$6)</f>
        <v>14.23958</v>
      </c>
      <c r="AV17" s="413">
        <f>_xll.ciqfunctions.udf.CIQ($A17, "IQ_EARNING_CO", IQ_LTM-4, $L$2, $L$4, $L$3, $L$5, $L$6)</f>
        <v>-39.226170000000003</v>
      </c>
      <c r="AW17" s="413">
        <f>_xll.ciqfunctions.udf.CIQ($A17, "IQ_EARNING_CO", IQ_LTM, $L$2, $L$4, $L$3, $L$5, $L$6)</f>
        <v>12.565200000000001</v>
      </c>
      <c r="AX17" s="413">
        <f>_xll.ciqfunctions.udf.CIQ($A17, "IQ_EARNING_CO", $B$2, $L$2, $L$4, $L$3, $L$5, $L$6)</f>
        <v>-39.226170000000003</v>
      </c>
      <c r="AY17" s="413">
        <f>IF(_xll.ciqfunctions.udf.CIQ($A17, "IQ_EARNING_CO", $B$3, $L$2,$L$4, $L$3, $L$5, $L$6)=0,AW17,_xll.ciqfunctions.udf.CIQ($A17, "IQ_EARNING_CO", $B$3, $L$2,$L$4, $L$3, $L$5, $L$6))</f>
        <v>12.565200000000001</v>
      </c>
      <c r="AZ17" s="413">
        <f>_xll.ciqfunctions.udf.CIQ($A17, "IQ_TOTAL_EQUITY", IQ_LTM-8, $L$2, $L$4, $L$3, $L$5, $L$6)</f>
        <v>866.91031999999996</v>
      </c>
      <c r="BA17" s="413">
        <f>_xll.ciqfunctions.udf.CIQ($A17, "IQ_TOTAL_EQUITY", IQ_LTM-4, $L$2, $L$4, $L$3, $L$5, $L$6)</f>
        <v>770.15382</v>
      </c>
      <c r="BB17" s="413">
        <f>_xll.ciqfunctions.udf.CIQ($A17, "IQ_TOTAL_EQUITY", IQ_LTM, $L$2, $L$4, $L$3, $L$5, $L$6)</f>
        <v>836.33254999999997</v>
      </c>
      <c r="BC17" s="413">
        <f>_xll.ciqfunctions.udf.CIQ($A17, "IQ_TOTAL_EQUITY", $B$2, $L$2, $L$4, $L$3, $L$5, $L$6)</f>
        <v>770.15382</v>
      </c>
      <c r="BD17" s="413">
        <f>IF(_xll.ciqfunctions.udf.CIQ($A17, "IQ_TOTAL_EQUITY", $B$3, $L$2,$L$4, $L$3, $L$5, $L$6)=0,BB17,_xll.ciqfunctions.udf.CIQ($A17, "IQ_TOTAL_EQUITY", $B$3, $L$2,$L$4, $L$3, $L$5, $L$6))</f>
        <v>836.33254999999997</v>
      </c>
      <c r="BE17" s="413">
        <f>_xll.ciqfunctions.udf.CIQ(A17, "IQ_LASTSALEPRICE", $B$8)</f>
        <v>1.03582</v>
      </c>
      <c r="BF17" s="413">
        <f>_xll.ciqfunctions.udf.CIQ($A17, "IQ_MARKETCAP", $B$8, $L$5, $L$6)</f>
        <v>1685.1526799999999</v>
      </c>
      <c r="BG17" s="413">
        <f>_xll.ciqfunctions.udf.CIQ($A17, "IQ_TOTAL_DEBT", IQ_LTM, $B$8,$L$4, $L$3, $L$5, $L$6)</f>
        <v>824.84756000000004</v>
      </c>
      <c r="BH17" s="371">
        <f>_xll.ciqfunctions.udf.CIQ($A17,"IQ_PREF_EQUITY",IQ_LTM,$B$8,$L$4,$L$3,$L$5,$L$6)</f>
        <v>0</v>
      </c>
      <c r="BI17" s="371">
        <f>_xll.ciqfunctions.udf.CIQ($A17, "IQ_MINORITY_INTEREST_TOTAL", IQ_LTM,$B$8,$L$4,$L$3,$L$5,$L$6)</f>
        <v>0</v>
      </c>
      <c r="BJ17" s="413">
        <f>_xll.ciqfunctions.udf.CIQ($A17, "IQ_CASH_ST_INVEST", IQ_LTM, $B$8, $L$4, $L$3, $L$5, $L$6)</f>
        <v>224.50315000000001</v>
      </c>
      <c r="BK17" s="371" t="str">
        <f>_xll.ciqfunctions.udf.CIQ($A17, "IQ_EFFECT_TAX_RATE")</f>
        <v>NM</v>
      </c>
      <c r="BL17" s="371">
        <f>IF(_xll.ciqfunctions.udf.CIQ($A17, "IQ_TOTAL_REV_2YR_ANN_CAGR", IQ_LTM, $B$1,$L$4, $L$3, $L$5, $L$6)="NM","n/a",(_xll.ciqfunctions.udf.CIQ($A17, "IQ_TOTAL_REV_2YR_ANN_CAGR", IQ_LTM, $B$1,$L$4, $L$3, $L$5, $L$6)/100))</f>
        <v>3.2173E-2</v>
      </c>
      <c r="BM17" s="371">
        <f>IF(_xll.ciqfunctions.udf.CIQ($A17, "IQ_TOTAL_REV_3YR_ANN_CAGR", IQ_LTM, $B$1,$L$4, $L$3, $L$5, $L$6)="NM","n/a",(_xll.ciqfunctions.udf.CIQ($A17, "IQ_TOTAL_REV_3YR_ANN_CAGR", IQ_LTM, $B$1,$L$4, $L$3, $L$5, $L$6)/100))</f>
        <v>6.9179999999999997E-3</v>
      </c>
      <c r="BN17" s="371">
        <f>IF(_xll.ciqfunctions.udf.CIQ($A17, "IQ_TOTAL_REV_5YR_ANN_CAGR", IQ_LTM, $B$1,$L$4, $L$3, $L$5, $L$6)="NM","n/a",(_xll.ciqfunctions.udf.CIQ($A17, "IQ_TOTAL_REV_5YR_ANN_CAGR", IQ_LTM, $B$1,$L$4, $L$3, $L$5, $L$6)/100))</f>
        <v>3.1455000000000004E-2</v>
      </c>
      <c r="BO17" s="371">
        <f>IF(_xll.ciqfunctions.udf.CIQ($A17,"IQ_EBITDA_2YR_ANN_CAGR", IQ_LTM,$B$1,$L$4, $L$3, $L$5, $L$6)="NM","n/a",(_xll.ciqfunctions.udf.CIQ($A17,"IQ_EBITDA_2YR_ANN_CAGR", IQ_LTM,$B$1,$L$4, $L$3, $L$5, $L$6)/100))</f>
        <v>2.8154999999999999E-2</v>
      </c>
      <c r="BP17" s="371">
        <f>IF(_xll.ciqfunctions.udf.CIQ($A17,"IQ_EBITDA_3YR_ANN_CAGR", IQ_LTM,$B$1,$L$4, $L$3, $L$5, $L$6)="NM","n/a",(_xll.ciqfunctions.udf.CIQ($A17,"IQ_EBITDA_3YR_ANN_CAGR", IQ_LTM,$B$1,$L$4, $L$3, $L$5, $L$6)/100))</f>
        <v>-7.5760000000000003E-3</v>
      </c>
      <c r="BQ17" s="371">
        <f>IF(_xll.ciqfunctions.udf.CIQ($A17,"IQ_EBITDA_5YR_ANN_CAGR", IQ_LTM,$B$1,$L$4, $L$3, $L$5, $L$6)="NM","n/a",(_xll.ciqfunctions.udf.CIQ($A17,"IQ_EBITDA_5YR_ANN_CAGR", IQ_LTM,$B$1,$L$4, $L$3, $L$5, $L$6)/100))</f>
        <v>0.134964</v>
      </c>
      <c r="BR17" s="375">
        <f>IFERROR((_xll.ciqfunctions.udf.CIQ($A17, "IQ_DA_CF", IQ_LTM, $B$1, $L$4, $L$3, $L$5, $L$6)/Q17),"NM")</f>
        <v>0.114868433059598</v>
      </c>
      <c r="BS17" s="417">
        <f>'Capital IQ Sheet-GPC'!BS18</f>
        <v>0.40902947159122122</v>
      </c>
      <c r="BT17" s="417">
        <f>'Capital IQ Sheet-GPC'!BT18</f>
        <v>0.39486230006289236</v>
      </c>
      <c r="BU17" s="417">
        <f>'Capital IQ Sheet-GPC'!BU18</f>
        <v>0.46352947344646472</v>
      </c>
      <c r="BV17" s="417">
        <f>'Capital IQ Sheet-GPC'!BV18</f>
        <v>0.47650962748142167</v>
      </c>
      <c r="BW17" s="417">
        <f>'Capital IQ Sheet-GPC'!BW18</f>
        <v>0.47634130477978948</v>
      </c>
      <c r="BX17" s="417">
        <f>'Capital IQ Sheet-GPC'!BX18</f>
        <v>0.46252415364888488</v>
      </c>
      <c r="BY17" s="417">
        <f>'Capital IQ Sheet-GPC'!BY18</f>
        <v>0.47679258775889194</v>
      </c>
      <c r="BZ17" s="417">
        <f>'Capital IQ Sheet-GPC'!BZ18</f>
        <v>0.47759702601940823</v>
      </c>
      <c r="CB17" s="371">
        <v>2</v>
      </c>
      <c r="CC17" s="495" t="s">
        <v>150</v>
      </c>
      <c r="CD17" s="495" t="s">
        <v>149</v>
      </c>
      <c r="CE17" s="373">
        <f t="shared" si="0"/>
        <v>42551</v>
      </c>
    </row>
    <row r="18" spans="1:83" s="371" customFormat="1" ht="12.75">
      <c r="A18" s="372" t="str">
        <f>_xll.ciqfunctions.udf.CIQ($B18,"IQ_COMPANY_TICKER")</f>
        <v>NasdaqGM:MNKD</v>
      </c>
      <c r="B18" s="412" t="str">
        <f>'Capital IQ Sheet-GPC'!B20</f>
        <v>IQ9282918</v>
      </c>
      <c r="C18" s="372" t="str">
        <f>_xll.ciqfunctions.udf.CIQ($A18,"IQ_COMPANY_NAME")</f>
        <v>MannKind Corporation</v>
      </c>
      <c r="D18" s="372" t="str">
        <f>_xll.ciqfunctions.udf.CIQ($A18, "IQ_EXCHANGE")</f>
        <v>NasdaqGM</v>
      </c>
      <c r="E18" s="411">
        <f>_xll.ciqfunctions.udf.CIQ($A18, "IQ_PERIODDATE_IS", IQ_FY)</f>
        <v>43100</v>
      </c>
      <c r="F18" s="411">
        <f>_xll.ciqfunctions.udf.CIQ(A18, "IQ_PERIODDATE_IS", IQ_LTM, $B$1,$L$4,$L$3)</f>
        <v>43190</v>
      </c>
      <c r="G18" s="411">
        <f>_xll.ciqfunctions.udf.CIQ($A18, "IQ_FIRSTPRICINGDATE")</f>
        <v>38196</v>
      </c>
      <c r="H18" s="413">
        <f>_xll.ciqfunctions.udf.CIQ($A18, "IQ_TEV", $L$2, $L$5, $L$6)</f>
        <v>379.61124999999998</v>
      </c>
      <c r="I18" s="413">
        <f>_xll.ciqfunctions.udf.CIQ(A18, "IQ_LASTSALEPRICE", $B$1,$L$5)</f>
        <v>1.9</v>
      </c>
      <c r="J18" s="413">
        <f>_xll.ciqfunctions.udf.CIQ($A18, "IQ_MARKETCAP", $L$2, $L$5, $L$6)</f>
        <v>266.04825</v>
      </c>
      <c r="K18" s="413">
        <f>_xll.ciqfunctions.udf.CIQ($A18, "IQ_TOTAL_DEBT", IQ_LTM, $L$2,$L$4, $L$3, $L$5, $L$6)</f>
        <v>140.26900000000001</v>
      </c>
      <c r="L18" s="413">
        <f>_xll.ciqfunctions.udf.CIQ($A18, "IQ_PREF_EQUITY", IQ_LTM, $L$2, $L$4, $L$3, $L$5, $L$6)</f>
        <v>0</v>
      </c>
      <c r="M18" s="413">
        <f>_xll.ciqfunctions.udf.CIQ($A18, "IQ_MINORITY_INTEREST_TOTAL", IQ_LTM, $L$2, $L$4, $L$3, $L$5, $L$6)</f>
        <v>0</v>
      </c>
      <c r="N18" s="413">
        <f>_xll.ciqfunctions.udf.CIQ($A18, "IQ_CASH_ST_INVEST", IQ_LTM, $L$2, $L$4, $L$3, $L$5, $L$6)</f>
        <v>26.706</v>
      </c>
      <c r="O18" s="413">
        <f>_xll.ciqfunctions.udf.CIQ($A18, "IQ_TOTAL_REV", IQ_LTM-8, $L$2, $L$4, $L$3, $L$5, $L$6)</f>
        <v>0</v>
      </c>
      <c r="P18" s="413">
        <f>_xll.ciqfunctions.udf.CIQ($A18, "IQ_TOTAL_REV", IQ_LTM - 4, $L$2, $L$4, $L$3, $L$5,$L$6)</f>
        <v>177.767</v>
      </c>
      <c r="Q18" s="413">
        <f>_xll.ciqfunctions.udf.CIQ($A18, "IQ_TOTAL_REV", IQ_LTM, $L$2, $L$4, $L$3, $L$5, $L$6)</f>
        <v>11.601000000000001</v>
      </c>
      <c r="R18" s="413">
        <f>_xll.ciqfunctions.udf.CIQ($A18, "IQ_TOTAL_REV", $B$2, $L$2, $L$4, $L$3, $L$5, $L$6)</f>
        <v>174.75800000000001</v>
      </c>
      <c r="S18" s="413">
        <f>IF(_xll.ciqfunctions.udf.CIQ($A18, "IQ_TOTAL_REV", $B$3, $L$2,$L$4, $L$3, $L$5, $L$6)=0,Q18,_xll.ciqfunctions.udf.CIQ($A18, "IQ_TOTAL_REV", $B$3, $L$2,$L$4, $L$3, $L$5, $L$6))</f>
        <v>11.145</v>
      </c>
      <c r="T18" s="413">
        <f>IF(_xll.ciqfunctions.udf.CIQ($A18, "IQ_REVENUE_EST",$B$4, $L$2, "CON", $L$3, $L$5, $L$6)=0,"n/a",_xll.ciqfunctions.udf.CIQ($A18, "IQ_REVENUE_EST",$B$4, $L$2, "CON", $L$3, $L$5, $L$6))</f>
        <v>20.834</v>
      </c>
      <c r="U18" s="413">
        <f>IF(_xll.ciqfunctions.udf.CIQ($A18, "IQ_REVENUE_EST",$B$5, $L$2, "CON", $L$3, $L$5, $L$6)=0,"n/a",_xll.ciqfunctions.udf.CIQ($A18, "IQ_REVENUE_EST",$B$5, $L$2, "CON", $L$3, $L$5, $L$6))</f>
        <v>45.429000000000002</v>
      </c>
      <c r="V18" s="413">
        <f>IF(_xll.ciqfunctions.udf.CIQ($A18, "IQ_REVENUE_EST",$B$6, $L$2, "CON", $L$3, $L$5, $L$6)=0,"n/a",_xll.ciqfunctions.udf.CIQ($A18, "IQ_REVENUE_EST",$B$6, $L$2, "CON", $L$3, $L$5, $L$6))</f>
        <v>97.474000000000004</v>
      </c>
      <c r="W18" s="413">
        <f>IF(_xll.ciqfunctions.udf.CIQ($A18, "IQ_REVENUE_EST", $B$7, $L$2, "CON", $L$3, $L$5, $L$6)=0,"n/a",_xll.ciqfunctions.udf.CIQ($A18, "IQ_REVENUE_EST",$B$7, $L$2, "CON", $L$3, $L$5, $L$6))</f>
        <v>208.886</v>
      </c>
      <c r="X18" s="413">
        <f>_xll.ciqfunctions.udf.CIQ($A18, "IQ_EBITDA", IQ_LTM-8, $L$2, $L$4, $L$3, $L$5, $L$6)</f>
        <v>-116.377</v>
      </c>
      <c r="Y18" s="413">
        <f>_xll.ciqfunctions.udf.CIQ($A18, "IQ_EBITDA", IQ_LTM-4, $L$2,$L$4, $L$3, $L$5, $L$6)</f>
        <v>64.426000000000002</v>
      </c>
      <c r="Z18" s="413">
        <f>_xll.ciqfunctions.udf.CIQ($A18, "IQ_EBITDA", IQ_LTM, $L$2, $L$4, $L$3, $L$5, $L$6)</f>
        <v>-99.314999999999998</v>
      </c>
      <c r="AA18" s="413">
        <f>_xll.ciqfunctions.udf.CIQ($A18, "IQ_EBITDA", $B$2, $L$2, $L$4, $L$3, $L$5, $L$6)</f>
        <v>64.921999999999997</v>
      </c>
      <c r="AB18" s="413">
        <f>IF(_xll.ciqfunctions.udf.CIQ($A18, "IQ_EBITDA", $B$3, $L$2,$L$4, $L$3, $L$5, $L$6)=0,Z18,_xll.ciqfunctions.udf.CIQ($A18, "IQ_EBITDA", $B$3, $L$2,$L$4, $L$3, $L$5, $L$6))</f>
        <v>-93.563000000000002</v>
      </c>
      <c r="AC18" s="413" t="str">
        <f>IF(_xll.ciqfunctions.udf.CIQ($A18, "IQ_EBITDA_EST",$B$4, $L$2, "CON", $L$3, $L$5, $L$6)=0,"n/a",_xll.ciqfunctions.udf.CIQ($A18, "IQ_EBITDA_EST",$B$4, $L$2, "CON", $L$3, $L$5, $L$6))</f>
        <v>n/a</v>
      </c>
      <c r="AD18" s="413" t="str">
        <f>IF(_xll.ciqfunctions.udf.CIQ($A18, "IQ_EBITDA_EST",$B$5, $L$2, "CON", $L$3, $L$5, $L$6)=0,"n/a",_xll.ciqfunctions.udf.CIQ($A18, "IQ_EBITDA_EST",$B$5, $L$2, "CON", $L$3, $L$5, $L$6))</f>
        <v>n/a</v>
      </c>
      <c r="AE18" s="413" t="str">
        <f>IF(_xll.ciqfunctions.udf.CIQ($A18, "IQ_EBITDA_EST",$B$6, $L$2, "CON", $L$3, $L$5, $L$6)=0,"n/a",_xll.ciqfunctions.udf.CIQ($A18, "IQ_EBITDA_EST",$B$6, $L$2, "CON", $L$3, $L$5, $L$6))</f>
        <v>n/a</v>
      </c>
      <c r="AF18" s="414">
        <f>IF(ISERROR(_xll.ciqfunctions.udf.CIQ($A18, "IQ_GROSS_MARGIN", IQ_LTM, $L$2,$L$4, $L$3, $L$5, $L$6)/100), "n/a", _xll.ciqfunctions.udf.CIQ($A18,  "IQ_GROSS_MARGIN", IQ_LTM, $L$2, $L$4, $L$3, $L$5, $L$6)/100)</f>
        <v>-0.61089499999999997</v>
      </c>
      <c r="AG18" s="414" t="str">
        <f>IF(ISERROR(_xll.ciqfunctions.udf.CIQ($A18,"IQ_EBITDA_MARGIN", IQ_LTM, $L$2, $L$4, $L$3, $L$5, $L$6)/100), "n/a", _xll.ciqfunctions.udf.CIQ($A18, "IQ_EBITDA_MARGIN", IQ_LTM, $L$2, $L$4, $L$3, $L$5, $L$6)/100)</f>
        <v>n/a</v>
      </c>
      <c r="AH18" s="414" t="str">
        <f>IF(ISERROR(_xll.ciqfunctions.udf.CIQ($A18,"IQ_EBIT_MARGIN", IQ_LTM, $L$2, $L$4, $L$3, $L$5, $L$6)/100), "n/a", _xll.ciqfunctions.udf.CIQ($A18, "IQ_EBIT_MARGIN", IQ_LTM, $L$2, $L$4, $L$3, $L$5, $L$6)/100)</f>
        <v>n/a</v>
      </c>
      <c r="AI18" s="414" t="str">
        <f>IF(ISERROR(_xll.ciqfunctions.udf.CIQ($A18,"IQ_NI_MARGIN", IQ_LTM, $L$2, $L$4, $L$3, $L$5, $L$6)/100), "n/a", _xll.ciqfunctions.udf.CIQ($A18, "IQ_NI_MARGIN", IQ_LTM, $L$2, $L$4, $L$3, $L$5, $L$6)/100)</f>
        <v>n/a</v>
      </c>
      <c r="AJ18" s="413">
        <f>_xll.ciqfunctions.udf.CIQ($A18,"IQ_TOTAL_CA",IQ_LTM-8,$L$2, $L$4, $L$3, $L$5, $L$6)-_xll.ciqfunctions.udf.CIQ($A18,"IQ_TOTAL_CL",IQ_LTM-8,$L$2, $L$4, $L$3, $L$5, $L$6)</f>
        <v>-205.06800000000001</v>
      </c>
      <c r="AK18" s="413">
        <f>_xll.ciqfunctions.udf.CIQ($A18,"IQ_TOTAL_CA",IQ_LTM-4,$L$2, $L$4, $L$3, $L$5, $L$6)-_xll.ciqfunctions.udf.CIQ($A18,"IQ_TOTAL_CL",IQ_LTM-4,$L$2, $L$4, $L$3, $L$5, $L$6)</f>
        <v>-36.955000000000005</v>
      </c>
      <c r="AL18" s="413">
        <f>_xll.ciqfunctions.udf.CIQ($A18,"IQ_TOTAL_CA",IQ_LTM,$L$2, $L$4, $L$3, $L$5, $L$6)-_xll.ciqfunctions.udf.CIQ($A18,"IQ_TOTAL_CL",IQ_LTM,$L$2, $L$4, $L$3, $L$5, $L$6)</f>
        <v>-45.640999999999998</v>
      </c>
      <c r="AM18" s="413">
        <f>IF(ISERROR(_xll.ciqfunctions.udf.CIQ($A18, "IQ_Capex", IQ_LTM-8, $L$2,$L$4, $L$3, $L$5, $L$6)), "n/a", _xll.ciqfunctions.udf.CIQ($A18, "IQ_Capex", IQ_LTM-8, $L$2, $L$4, $L$3, $L$5, $L$6))</f>
        <v>-7.226</v>
      </c>
      <c r="AN18" s="413">
        <f>IF(ISERROR(_xll.ciqfunctions.udf.CIQ($A18, "IQ_Capex", IQ_LTM-4, $L$2,$L$4, $L$3, $L$5, $L$6)), "n/a", _xll.ciqfunctions.udf.CIQ($A18, "IQ_Capex", IQ_LTM-4, $L$2,$L$4, $L$3, $L$5, $L$6))</f>
        <v>0</v>
      </c>
      <c r="AO18" s="413">
        <f>IF(ISERROR(_xll.ciqfunctions.udf.CIQ($A18, "IQ_Capex", IQ_LTM, $L$2, $L$4, $L$3, $L$5, $L$6)), "n/a", _xll.ciqfunctions.udf.CIQ($A18, "IQ_Capex", IQ_LTM, $L$2, $L$4, $L$3, $L$5, $L$6))</f>
        <v>0</v>
      </c>
      <c r="AP18" s="415" t="str">
        <f>_xll.ciqfunctions.udf.CIQ(A18, "IQ_BUSINESS_DESCRIPTION")</f>
        <v>MannKind Corporation, a biopharmaceutical company, focuses on the development and commercialization of inhaled therapeutic products for diabetes and pulmonary arterial hypertension patients. It offers Afrezza, a dry powder formulation of human insulin that controls high blood sugar in adults with type 1 and type 2 diabetes in the United States. The company was founded in 1991 and is headquartered in Westlake Village, California.</v>
      </c>
      <c r="AQ18" s="416">
        <f>_xll.ciqfunctions.udf.CIQ($A18, "IQ_BETA_1YR", $B$1)</f>
        <v>1.8771800000000001</v>
      </c>
      <c r="AR18" s="416">
        <f>_xll.ciqfunctions.udf.CIQ($A18, "IQ_BETA_2YR", $B$1)</f>
        <v>2.7697400000000001</v>
      </c>
      <c r="AS18" s="416">
        <f>_xll.ciqfunctions.udf.CIQ($A18, "IQ_BETA_5YR", $B$1)</f>
        <v>2.7257899999999999</v>
      </c>
      <c r="AT18" s="414">
        <f>_xll.ciqfunctions.udf.CIQ($A18, "IQ_DIVIDEND_YIELD", $B$1)/100</f>
        <v>0</v>
      </c>
      <c r="AU18" s="413">
        <f>_xll.ciqfunctions.udf.CIQ($A18, "IQ_EARNING_CO", IQ_LTM-8, $L$2, $L$4, $L$3, $L$5, $L$6)</f>
        <v>-362.66</v>
      </c>
      <c r="AV18" s="413">
        <f>_xll.ciqfunctions.udf.CIQ($A18, "IQ_EARNING_CO", IQ_LTM-4, $L$2, $L$4, $L$3, $L$5, $L$6)</f>
        <v>134.21299999999999</v>
      </c>
      <c r="AW18" s="413">
        <f>_xll.ciqfunctions.udf.CIQ($A18, "IQ_EARNING_CO", IQ_LTM, $L$2, $L$4, $L$3, $L$5, $L$6)</f>
        <v>-131.39400000000001</v>
      </c>
      <c r="AX18" s="413">
        <f>_xll.ciqfunctions.udf.CIQ($A18, "IQ_EARNING_CO", $B$2, $L$2, $L$4, $L$3, $L$5, $L$6)</f>
        <v>125.664</v>
      </c>
      <c r="AY18" s="413">
        <f>IF(_xll.ciqfunctions.udf.CIQ($A18, "IQ_EARNING_CO", $B$3, $L$2,$L$4, $L$3, $L$5, $L$6)=0,AW18,_xll.ciqfunctions.udf.CIQ($A18, "IQ_EARNING_CO", $B$3, $L$2,$L$4, $L$3, $L$5, $L$6))</f>
        <v>-117.333</v>
      </c>
      <c r="AZ18" s="413">
        <f>_xll.ciqfunctions.udf.CIQ($A18, "IQ_TOTAL_EQUITY", IQ_LTM-8, $L$2, $L$4, $L$3, $L$5, $L$6)</f>
        <v>-373.464</v>
      </c>
      <c r="BA18" s="413">
        <f>_xll.ciqfunctions.udf.CIQ($A18, "IQ_TOTAL_EQUITY", IQ_LTM-4, $L$2, $L$4, $L$3, $L$5, $L$6)</f>
        <v>-198.72499999999999</v>
      </c>
      <c r="BB18" s="413">
        <f>_xll.ciqfunctions.udf.CIQ($A18, "IQ_TOTAL_EQUITY", IQ_LTM, $L$2, $L$4, $L$3, $L$5, $L$6)</f>
        <v>-223.208</v>
      </c>
      <c r="BC18" s="413">
        <f>_xll.ciqfunctions.udf.CIQ($A18, "IQ_TOTAL_EQUITY", $B$2, $L$2, $L$4, $L$3, $L$5, $L$6)</f>
        <v>-183.59299999999999</v>
      </c>
      <c r="BD18" s="413">
        <f>IF(_xll.ciqfunctions.udf.CIQ($A18, "IQ_TOTAL_EQUITY", $B$3, $L$2,$L$4, $L$3, $L$5, $L$6)=0,BB18,_xll.ciqfunctions.udf.CIQ($A18, "IQ_TOTAL_EQUITY", $B$3, $L$2,$L$4, $L$3, $L$5, $L$6))</f>
        <v>-214.732</v>
      </c>
      <c r="BE18" s="413">
        <f>_xll.ciqfunctions.udf.CIQ(A18, "IQ_LASTSALEPRICE", $B$8)</f>
        <v>2.2799999999999998</v>
      </c>
      <c r="BF18" s="413">
        <f>_xll.ciqfunctions.udf.CIQ($A18, "IQ_MARKETCAP", $B$8, $L$5, $L$6)</f>
        <v>280.46589</v>
      </c>
      <c r="BG18" s="413">
        <f>_xll.ciqfunctions.udf.CIQ($A18, "IQ_TOTAL_DEBT", IQ_LTM, $B$8,$L$4, $L$3, $L$5, $L$6)</f>
        <v>156.822</v>
      </c>
      <c r="BH18" s="371">
        <f>_xll.ciqfunctions.udf.CIQ($A18,"IQ_PREF_EQUITY",IQ_LTM,$B$8,$L$4,$L$3,$L$5,$L$6)</f>
        <v>0</v>
      </c>
      <c r="BI18" s="371">
        <f>_xll.ciqfunctions.udf.CIQ($A18, "IQ_MINORITY_INTEREST_TOTAL", IQ_LTM,$B$8,$L$4,$L$3,$L$5,$L$6)</f>
        <v>0</v>
      </c>
      <c r="BJ18" s="413">
        <f>_xll.ciqfunctions.udf.CIQ($A18, "IQ_CASH_ST_INVEST", IQ_LTM, $B$8, $L$4, $L$3, $L$5, $L$6)</f>
        <v>43.945999999999998</v>
      </c>
      <c r="BK18" s="371" t="str">
        <f>_xll.ciqfunctions.udf.CIQ($A18, "IQ_EFFECT_TAX_RATE")</f>
        <v>NM</v>
      </c>
      <c r="BL18" s="371">
        <f>IF(_xll.ciqfunctions.udf.CIQ($A18, "IQ_TOTAL_REV_2YR_ANN_CAGR", IQ_LTM, $B$1,$L$4, $L$3, $L$5, $L$6)="NM","n/a",(_xll.ciqfunctions.udf.CIQ($A18, "IQ_TOTAL_REV_2YR_ANN_CAGR", IQ_LTM, $B$1,$L$4, $L$3, $L$5, $L$6)/100))</f>
        <v>0</v>
      </c>
      <c r="BM18" s="371">
        <f>IF(_xll.ciqfunctions.udf.CIQ($A18, "IQ_TOTAL_REV_3YR_ANN_CAGR", IQ_LTM, $B$1,$L$4, $L$3, $L$5, $L$6)="NM","n/a",(_xll.ciqfunctions.udf.CIQ($A18, "IQ_TOTAL_REV_3YR_ANN_CAGR", IQ_LTM, $B$1,$L$4, $L$3, $L$5, $L$6)/100))</f>
        <v>0</v>
      </c>
      <c r="BN18" s="371">
        <f>IF(_xll.ciqfunctions.udf.CIQ($A18, "IQ_TOTAL_REV_5YR_ANN_CAGR", IQ_LTM, $B$1,$L$4, $L$3, $L$5, $L$6)="NM","n/a",(_xll.ciqfunctions.udf.CIQ($A18, "IQ_TOTAL_REV_5YR_ANN_CAGR", IQ_LTM, $B$1,$L$4, $L$3, $L$5, $L$6)/100))</f>
        <v>2.1921659999999998</v>
      </c>
      <c r="BO18" s="371" t="str">
        <f>IF(_xll.ciqfunctions.udf.CIQ($A18,"IQ_EBITDA_2YR_ANN_CAGR", IQ_LTM,$B$1,$L$4, $L$3, $L$5, $L$6)="NM","n/a",(_xll.ciqfunctions.udf.CIQ($A18,"IQ_EBITDA_2YR_ANN_CAGR", IQ_LTM,$B$1,$L$4, $L$3, $L$5, $L$6)/100))</f>
        <v>n/a</v>
      </c>
      <c r="BP18" s="371" t="str">
        <f>IF(_xll.ciqfunctions.udf.CIQ($A18,"IQ_EBITDA_3YR_ANN_CAGR", IQ_LTM,$B$1,$L$4, $L$3, $L$5, $L$6)="NM","n/a",(_xll.ciqfunctions.udf.CIQ($A18,"IQ_EBITDA_3YR_ANN_CAGR", IQ_LTM,$B$1,$L$4, $L$3, $L$5, $L$6)/100))</f>
        <v>n/a</v>
      </c>
      <c r="BQ18" s="371" t="str">
        <f>IF(_xll.ciqfunctions.udf.CIQ($A18,"IQ_EBITDA_5YR_ANN_CAGR", IQ_LTM,$B$1,$L$4, $L$3, $L$5, $L$6)="NM","n/a",(_xll.ciqfunctions.udf.CIQ($A18,"IQ_EBITDA_5YR_ANN_CAGR", IQ_LTM,$B$1,$L$4, $L$3, $L$5, $L$6)/100))</f>
        <v>n/a</v>
      </c>
      <c r="BR18" s="375">
        <f>IFERROR((_xll.ciqfunctions.udf.CIQ($A18, "IQ_DA_CF", IQ_LTM, $B$1, $L$4, $L$3, $L$5, $L$6)/Q18),"NM")</f>
        <v>0.1373157486423584</v>
      </c>
      <c r="BS18" s="417">
        <f>'Capital IQ Sheet-GPC'!BS20</f>
        <v>1.051397553941015</v>
      </c>
      <c r="BT18" s="417">
        <f>'Capital IQ Sheet-GPC'!BT20</f>
        <v>1.0547039589395328</v>
      </c>
      <c r="BU18" s="417">
        <f>'Capital IQ Sheet-GPC'!BU20</f>
        <v>1.1115187186582705</v>
      </c>
      <c r="BV18" s="417">
        <f>'Capital IQ Sheet-GPC'!BV20</f>
        <v>1.0020862387386444</v>
      </c>
      <c r="BW18" s="417">
        <f>'Capital IQ Sheet-GPC'!BW20</f>
        <v>0.94382524642339161</v>
      </c>
      <c r="BX18" s="417">
        <f>'Capital IQ Sheet-GPC'!BX20</f>
        <v>0.90350097708485821</v>
      </c>
      <c r="BY18" s="417">
        <f>'Capital IQ Sheet-GPC'!BY20</f>
        <v>0.8729069185263002</v>
      </c>
      <c r="BZ18" s="417">
        <f>'Capital IQ Sheet-GPC'!BZ20</f>
        <v>0.85455850010020018</v>
      </c>
      <c r="CB18" s="371">
        <v>2</v>
      </c>
      <c r="CC18" s="495" t="s">
        <v>150</v>
      </c>
      <c r="CD18" s="495" t="s">
        <v>149</v>
      </c>
      <c r="CE18" s="373">
        <f t="shared" si="0"/>
        <v>42551</v>
      </c>
    </row>
    <row r="19" spans="1:83" s="371" customFormat="1" ht="12.75">
      <c r="A19" s="372" t="str">
        <f>_xll.ciqfunctions.udf.CIQ($B19,"IQ_COMPANY_TICKER")</f>
        <v>CPSE:ZEAL</v>
      </c>
      <c r="B19" s="412" t="str">
        <f>'Capital IQ Sheet-GPC'!B21</f>
        <v>IQ1268514</v>
      </c>
      <c r="C19" s="372" t="str">
        <f>_xll.ciqfunctions.udf.CIQ($A19,"IQ_COMPANY_NAME")</f>
        <v>Zealand Pharma A/S</v>
      </c>
      <c r="D19" s="372" t="str">
        <f>_xll.ciqfunctions.udf.CIQ($A19, "IQ_EXCHANGE")</f>
        <v>CPSE</v>
      </c>
      <c r="E19" s="411">
        <f>_xll.ciqfunctions.udf.CIQ($A19, "IQ_PERIODDATE_IS", IQ_FY)</f>
        <v>43100</v>
      </c>
      <c r="F19" s="411">
        <f>_xll.ciqfunctions.udf.CIQ(A19, "IQ_PERIODDATE_IS", IQ_LTM, $B$1,$L$4,$L$3)</f>
        <v>43190</v>
      </c>
      <c r="G19" s="411">
        <f>_xll.ciqfunctions.udf.CIQ($A19, "IQ_FIRSTPRICINGDATE")</f>
        <v>40505</v>
      </c>
      <c r="H19" s="413">
        <f>_xll.ciqfunctions.udf.CIQ($A19, "IQ_TEV", $L$2, $L$5, $L$6)</f>
        <v>336.76713999999998</v>
      </c>
      <c r="I19" s="413">
        <f>_xll.ciqfunctions.udf.CIQ(A19, "IQ_LASTSALEPRICE", $B$1,$L$5)</f>
        <v>13.15272</v>
      </c>
      <c r="J19" s="413">
        <f>_xll.ciqfunctions.udf.CIQ($A19, "IQ_MARKETCAP", $L$2, $L$5, $L$6)</f>
        <v>403.61899</v>
      </c>
      <c r="K19" s="413">
        <f>_xll.ciqfunctions.udf.CIQ($A19, "IQ_TOTAL_DEBT", IQ_LTM, $L$2,$L$4, $L$3, $L$5, $L$6)</f>
        <v>22.171900000000001</v>
      </c>
      <c r="L19" s="413">
        <f>_xll.ciqfunctions.udf.CIQ($A19, "IQ_PREF_EQUITY", IQ_LTM, $L$2, $L$4, $L$3, $L$5, $L$6)</f>
        <v>0</v>
      </c>
      <c r="M19" s="413">
        <f>_xll.ciqfunctions.udf.CIQ($A19, "IQ_MINORITY_INTEREST_TOTAL", IQ_LTM, $L$2, $L$4, $L$3, $L$5, $L$6)</f>
        <v>0</v>
      </c>
      <c r="N19" s="413">
        <f>_xll.ciqfunctions.udf.CIQ($A19, "IQ_CASH_ST_INVEST", IQ_LTM, $L$2, $L$4, $L$3, $L$5, $L$6)</f>
        <v>92.739000000000004</v>
      </c>
      <c r="O19" s="413">
        <f>_xll.ciqfunctions.udf.CIQ($A19, "IQ_TOTAL_REV", IQ_LTM-8, $L$2, $L$4, $L$3, $L$5, $L$6)</f>
        <v>28.79383</v>
      </c>
      <c r="P19" s="413">
        <f>_xll.ciqfunctions.udf.CIQ($A19, "IQ_TOTAL_REV", IQ_LTM - 4, $L$2, $L$4, $L$3, $L$5,$L$6)</f>
        <v>43.950650000000003</v>
      </c>
      <c r="Q19" s="413">
        <f>_xll.ciqfunctions.udf.CIQ($A19, "IQ_TOTAL_REV", IQ_LTM, $L$2, $L$4, $L$3, $L$5, $L$6)</f>
        <v>12.0631</v>
      </c>
      <c r="R19" s="413">
        <f>_xll.ciqfunctions.udf.CIQ($A19, "IQ_TOTAL_REV", $B$2, $L$2, $L$4, $L$3, $L$5, $L$6)</f>
        <v>33.335369999999998</v>
      </c>
      <c r="S19" s="413">
        <f>IF(_xll.ciqfunctions.udf.CIQ($A19, "IQ_TOTAL_REV", $B$3, $L$2,$L$4, $L$3, $L$5, $L$6)=0,Q19,_xll.ciqfunctions.udf.CIQ($A19, "IQ_TOTAL_REV", $B$3, $L$2,$L$4, $L$3, $L$5, $L$6))</f>
        <v>22.542059999999999</v>
      </c>
      <c r="T19" s="413">
        <f>IF(_xll.ciqfunctions.udf.CIQ($A19, "IQ_REVENUE_EST",$B$4, $L$2, "CON", $L$3, $L$5, $L$6)=0,"n/a",_xll.ciqfunctions.udf.CIQ($A19, "IQ_REVENUE_EST",$B$4, $L$2, "CON", $L$3, $L$5, $L$6))</f>
        <v>10.686590000000001</v>
      </c>
      <c r="U19" s="413">
        <f>IF(_xll.ciqfunctions.udf.CIQ($A19, "IQ_REVENUE_EST",$B$5, $L$2, "CON", $L$3, $L$5, $L$6)=0,"n/a",_xll.ciqfunctions.udf.CIQ($A19, "IQ_REVENUE_EST",$B$5, $L$2, "CON", $L$3, $L$5, $L$6))</f>
        <v>60.234870000000001</v>
      </c>
      <c r="V19" s="413">
        <f>IF(_xll.ciqfunctions.udf.CIQ($A19, "IQ_REVENUE_EST",$B$6, $L$2, "CON", $L$3, $L$5, $L$6)=0,"n/a",_xll.ciqfunctions.udf.CIQ($A19, "IQ_REVENUE_EST",$B$6, $L$2, "CON", $L$3, $L$5, $L$6))</f>
        <v>83.694180000000003</v>
      </c>
      <c r="W19" s="413">
        <f>IF(_xll.ciqfunctions.udf.CIQ($A19, "IQ_REVENUE_EST", $B$7, $L$2, "CON", $L$3, $L$5, $L$6)=0,"n/a",_xll.ciqfunctions.udf.CIQ($A19, "IQ_REVENUE_EST",$B$7, $L$2, "CON", $L$3, $L$5, $L$6))</f>
        <v>51.379130000000004</v>
      </c>
      <c r="X19" s="413">
        <f>_xll.ciqfunctions.udf.CIQ($A19, "IQ_EBITDA", IQ_LTM-8, $L$2, $L$4, $L$3, $L$5, $L$6)</f>
        <v>-13.742929999999999</v>
      </c>
      <c r="Y19" s="413">
        <f>_xll.ciqfunctions.udf.CIQ($A19, "IQ_EBITDA", IQ_LTM-4, $L$2,$L$4, $L$3, $L$5, $L$6)</f>
        <v>-7.0728499999999999</v>
      </c>
      <c r="Z19" s="413">
        <f>_xll.ciqfunctions.udf.CIQ($A19, "IQ_EBITDA", IQ_LTM, $L$2, $L$4, $L$3, $L$5, $L$6)</f>
        <v>-53.052549999999997</v>
      </c>
      <c r="AA19" s="413">
        <f>_xll.ciqfunctions.udf.CIQ($A19, "IQ_EBITDA", $B$2, $L$2, $L$4, $L$3, $L$5, $L$6)</f>
        <v>-15.652049999999999</v>
      </c>
      <c r="AB19" s="413">
        <f>IF(_xll.ciqfunctions.udf.CIQ($A19, "IQ_EBITDA", $B$3, $L$2,$L$4, $L$3, $L$5, $L$6)=0,Z19,_xll.ciqfunctions.udf.CIQ($A19, "IQ_EBITDA", $B$3, $L$2,$L$4, $L$3, $L$5, $L$6))</f>
        <v>-38.968139999999998</v>
      </c>
      <c r="AC19" s="413">
        <f>IF(_xll.ciqfunctions.udf.CIQ($A19, "IQ_EBITDA_EST",$B$4, $L$2, "CON", $L$3, $L$5, $L$6)=0,"n/a",_xll.ciqfunctions.udf.CIQ($A19, "IQ_EBITDA_EST",$B$4, $L$2, "CON", $L$3, $L$5, $L$6))</f>
        <v>-63.454059999999998</v>
      </c>
      <c r="AD19" s="413">
        <f>IF(_xll.ciqfunctions.udf.CIQ($A19, "IQ_EBITDA_EST",$B$5, $L$2, "CON", $L$3, $L$5, $L$6)=0,"n/a",_xll.ciqfunctions.udf.CIQ($A19, "IQ_EBITDA_EST",$B$5, $L$2, "CON", $L$3, $L$5, $L$6))</f>
        <v>-27.14631</v>
      </c>
      <c r="AE19" s="413">
        <f>IF(_xll.ciqfunctions.udf.CIQ($A19, "IQ_EBITDA_EST",$B$6, $L$2, "CON", $L$3, $L$5, $L$6)=0,"n/a",_xll.ciqfunctions.udf.CIQ($A19, "IQ_EBITDA_EST",$B$6, $L$2, "CON", $L$3, $L$5, $L$6))</f>
        <v>-2.4671799999999999</v>
      </c>
      <c r="AF19" s="414">
        <f>IF(ISERROR(_xll.ciqfunctions.udf.CIQ($A19, "IQ_GROSS_MARGIN", IQ_LTM, $L$2,$L$4, $L$3, $L$5, $L$6)/100), "n/a", _xll.ciqfunctions.udf.CIQ($A19,  "IQ_GROSS_MARGIN", IQ_LTM, $L$2, $L$4, $L$3, $L$5, $L$6)/100)</f>
        <v>0.92310700000000001</v>
      </c>
      <c r="AG19" s="414" t="str">
        <f>IF(ISERROR(_xll.ciqfunctions.udf.CIQ($A19,"IQ_EBITDA_MARGIN", IQ_LTM, $L$2, $L$4, $L$3, $L$5, $L$6)/100), "n/a", _xll.ciqfunctions.udf.CIQ($A19, "IQ_EBITDA_MARGIN", IQ_LTM, $L$2, $L$4, $L$3, $L$5, $L$6)/100)</f>
        <v>n/a</v>
      </c>
      <c r="AH19" s="414" t="str">
        <f>IF(ISERROR(_xll.ciqfunctions.udf.CIQ($A19,"IQ_EBIT_MARGIN", IQ_LTM, $L$2, $L$4, $L$3, $L$5, $L$6)/100), "n/a", _xll.ciqfunctions.udf.CIQ($A19, "IQ_EBIT_MARGIN", IQ_LTM, $L$2, $L$4, $L$3, $L$5, $L$6)/100)</f>
        <v>n/a</v>
      </c>
      <c r="AI19" s="414" t="str">
        <f>IF(ISERROR(_xll.ciqfunctions.udf.CIQ($A19,"IQ_NI_MARGIN", IQ_LTM, $L$2, $L$4, $L$3, $L$5, $L$6)/100), "n/a", _xll.ciqfunctions.udf.CIQ($A19, "IQ_NI_MARGIN", IQ_LTM, $L$2, $L$4, $L$3, $L$5, $L$6)/100)</f>
        <v>n/a</v>
      </c>
      <c r="AJ19" s="413">
        <f>_xll.ciqfunctions.udf.CIQ($A19,"IQ_TOTAL_CA",IQ_LTM-8,$L$2, $L$4, $L$3, $L$5, $L$6)-_xll.ciqfunctions.udf.CIQ($A19,"IQ_TOTAL_CL",IQ_LTM-8,$L$2, $L$4, $L$3, $L$5, $L$6)</f>
        <v>70.746850000000009</v>
      </c>
      <c r="AK19" s="413">
        <f>_xll.ciqfunctions.udf.CIQ($A19,"IQ_TOTAL_CA",IQ_LTM-4,$L$2, $L$4, $L$3, $L$5, $L$6)-_xll.ciqfunctions.udf.CIQ($A19,"IQ_TOTAL_CL",IQ_LTM-4,$L$2, $L$4, $L$3, $L$5, $L$6)</f>
        <v>52.091369999999998</v>
      </c>
      <c r="AL19" s="413">
        <f>_xll.ciqfunctions.udf.CIQ($A19,"IQ_TOTAL_CA",IQ_LTM,$L$2, $L$4, $L$3, $L$5, $L$6)-_xll.ciqfunctions.udf.CIQ($A19,"IQ_TOTAL_CL",IQ_LTM,$L$2, $L$4, $L$3, $L$5, $L$6)</f>
        <v>88.40894999999999</v>
      </c>
      <c r="AM19" s="413">
        <f>IF(ISERROR(_xll.ciqfunctions.udf.CIQ($A19, "IQ_Capex", IQ_LTM-8, $L$2,$L$4, $L$3, $L$5, $L$6)), "n/a", _xll.ciqfunctions.udf.CIQ($A19, "IQ_Capex", IQ_LTM-8, $L$2, $L$4, $L$3, $L$5, $L$6))</f>
        <v>-0.56020999999999999</v>
      </c>
      <c r="AN19" s="413">
        <f>IF(ISERROR(_xll.ciqfunctions.udf.CIQ($A19, "IQ_Capex", IQ_LTM-4, $L$2,$L$4, $L$3, $L$5, $L$6)), "n/a", _xll.ciqfunctions.udf.CIQ($A19, "IQ_Capex", IQ_LTM-4, $L$2,$L$4, $L$3, $L$5, $L$6))</f>
        <v>-0.62217999999999996</v>
      </c>
      <c r="AO19" s="413">
        <f>IF(ISERROR(_xll.ciqfunctions.udf.CIQ($A19, "IQ_Capex", IQ_LTM, $L$2, $L$4, $L$3, $L$5, $L$6)), "n/a", _xll.ciqfunctions.udf.CIQ($A19, "IQ_Capex", IQ_LTM, $L$2, $L$4, $L$3, $L$5, $L$6))</f>
        <v>-0.98887999999999998</v>
      </c>
      <c r="AP19" s="415" t="str">
        <f>_xll.ciqfunctions.udf.CIQ(A19, "IQ_BUSINESS_DESCRIPTION")</f>
        <v>Zealand Pharma A/S, a biotechnology company, engages in the discovery, design, and development of peptide therapeutics-based medicines in Denmark. It has a portfolio of proprietary medicines in late-stage clinical development focusing on gastrointestinal and metabolic diseases. The company markets lixisenatide for the treatment of type 2 diabetes under the brand names of Adlyxin and Lyxumia; and a combination of lixisenatide and insulin glargine for the treatment of type 2 diabetes under the brand names of Soliqua 100/33 and Suliqua. The company’s product pipeline includes glepaglutide, a long acting GLP-2 analog for the treatment of short bowel syndrome, which has completed Phase 2 clinical trials; and dasiglucagon, a proprietary glucagon analog for various indications comprising as a dual-hormone artificial pancreas for diabetes treatment, rescue treatment for severe hypoglycemia, and congenital hyperinsulinism. The company has collaboration agreements with Sanofi-Aventis Deutschland GmbH and Boehringer Ingelheim GmbH. The company was founded in 1997 and is headquartered in Copenhagen, Denmark.</v>
      </c>
      <c r="AQ19" s="416">
        <f>_xll.ciqfunctions.udf.CIQ($A19, "IQ_BETA_1YR", $B$1)</f>
        <v>0.62039</v>
      </c>
      <c r="AR19" s="416">
        <f>_xll.ciqfunctions.udf.CIQ($A19, "IQ_BETA_2YR", $B$1)</f>
        <v>0.44239000000000001</v>
      </c>
      <c r="AS19" s="416">
        <f>_xll.ciqfunctions.udf.CIQ($A19, "IQ_BETA_5YR", $B$1)</f>
        <v>0.18926999999999999</v>
      </c>
      <c r="AT19" s="414">
        <f>_xll.ciqfunctions.udf.CIQ($A19, "IQ_DIVIDEND_YIELD", $B$1)/100</f>
        <v>0</v>
      </c>
      <c r="AU19" s="413">
        <f>_xll.ciqfunctions.udf.CIQ($A19, "IQ_EARNING_CO", IQ_LTM-8, $L$2, $L$4, $L$3, $L$5, $L$6)</f>
        <v>-21.175450000000001</v>
      </c>
      <c r="AV19" s="413">
        <f>_xll.ciqfunctions.udf.CIQ($A19, "IQ_EARNING_CO", IQ_LTM-4, $L$2, $L$4, $L$3, $L$5, $L$6)</f>
        <v>-14.72791</v>
      </c>
      <c r="AW19" s="413">
        <f>_xll.ciqfunctions.udf.CIQ($A19, "IQ_EARNING_CO", IQ_LTM, $L$2, $L$4, $L$3, $L$5, $L$6)</f>
        <v>-55.757680000000001</v>
      </c>
      <c r="AX19" s="413">
        <f>_xll.ciqfunctions.udf.CIQ($A19, "IQ_EARNING_CO", $B$2, $L$2, $L$4, $L$3, $L$5, $L$6)</f>
        <v>-21.853179999999998</v>
      </c>
      <c r="AY19" s="413">
        <f>IF(_xll.ciqfunctions.udf.CIQ($A19, "IQ_EARNING_CO", $B$3, $L$2,$L$4, $L$3, $L$5, $L$6)=0,AW19,_xll.ciqfunctions.udf.CIQ($A19, "IQ_EARNING_CO", $B$3, $L$2,$L$4, $L$3, $L$5, $L$6))</f>
        <v>-43.910220000000002</v>
      </c>
      <c r="AZ19" s="413">
        <f>_xll.ciqfunctions.udf.CIQ($A19, "IQ_TOTAL_EQUITY", IQ_LTM-8, $L$2, $L$4, $L$3, $L$5, $L$6)</f>
        <v>27.30519</v>
      </c>
      <c r="BA19" s="413">
        <f>_xll.ciqfunctions.udf.CIQ($A19, "IQ_TOTAL_EQUITY", IQ_LTM-4, $L$2, $L$4, $L$3, $L$5, $L$6)</f>
        <v>36.333910000000003</v>
      </c>
      <c r="BB19" s="413">
        <f>_xll.ciqfunctions.udf.CIQ($A19, "IQ_TOTAL_EQUITY", IQ_LTM, $L$2, $L$4, $L$3, $L$5, $L$6)</f>
        <v>72.238590000000002</v>
      </c>
      <c r="BC19" s="413">
        <f>_xll.ciqfunctions.udf.CIQ($A19, "IQ_TOTAL_EQUITY", $B$2, $L$2, $L$4, $L$3, $L$5, $L$6)</f>
        <v>39.499870000000001</v>
      </c>
      <c r="BD19" s="413">
        <f>IF(_xll.ciqfunctions.udf.CIQ($A19, "IQ_TOTAL_EQUITY", $B$3, $L$2,$L$4, $L$3, $L$5, $L$6)=0,BB19,_xll.ciqfunctions.udf.CIQ($A19, "IQ_TOTAL_EQUITY", $B$3, $L$2,$L$4, $L$3, $L$5, $L$6))</f>
        <v>85.228110000000001</v>
      </c>
      <c r="BE19" s="413">
        <f>_xll.ciqfunctions.udf.CIQ(A19, "IQ_LASTSALEPRICE", $B$8)</f>
        <v>15.387740000000001</v>
      </c>
      <c r="BF19" s="413">
        <f>_xll.ciqfunctions.udf.CIQ($A19, "IQ_MARKETCAP", $B$8, $L$5, $L$6)</f>
        <v>472.20526999999998</v>
      </c>
      <c r="BG19" s="413">
        <f>_xll.ciqfunctions.udf.CIQ($A19, "IQ_TOTAL_DEBT", IQ_LTM, $B$8,$L$4, $L$3, $L$5, $L$6)</f>
        <v>21.890360000000001</v>
      </c>
      <c r="BH19" s="371">
        <f>_xll.ciqfunctions.udf.CIQ($A19,"IQ_PREF_EQUITY",IQ_LTM,$B$8,$L$4,$L$3,$L$5,$L$6)</f>
        <v>0</v>
      </c>
      <c r="BI19" s="371">
        <f>_xll.ciqfunctions.udf.CIQ($A19, "IQ_MINORITY_INTEREST_TOTAL", IQ_LTM,$B$8,$L$4,$L$3,$L$5,$L$6)</f>
        <v>0</v>
      </c>
      <c r="BJ19" s="413">
        <f>_xll.ciqfunctions.udf.CIQ($A19, "IQ_CASH_ST_INVEST", IQ_LTM, $B$8, $L$4, $L$3, $L$5, $L$6)</f>
        <v>107.05831999999999</v>
      </c>
      <c r="BK19" s="371" t="str">
        <f>_xll.ciqfunctions.udf.CIQ($A19, "IQ_EFFECT_TAX_RATE")</f>
        <v>NM</v>
      </c>
      <c r="BL19" s="371">
        <f>IF(_xll.ciqfunctions.udf.CIQ($A19, "IQ_TOTAL_REV_2YR_ANN_CAGR", IQ_LTM, $B$1,$L$4, $L$3, $L$5, $L$6)="NM","n/a",(_xll.ciqfunctions.udf.CIQ($A19, "IQ_TOTAL_REV_2YR_ANN_CAGR", IQ_LTM, $B$1,$L$4, $L$3, $L$5, $L$6)/100))</f>
        <v>-0.37754899999999997</v>
      </c>
      <c r="BM19" s="371">
        <f>IF(_xll.ciqfunctions.udf.CIQ($A19, "IQ_TOTAL_REV_3YR_ANN_CAGR", IQ_LTM, $B$1,$L$4, $L$3, $L$5, $L$6)="NM","n/a",(_xll.ciqfunctions.udf.CIQ($A19, "IQ_TOTAL_REV_3YR_ANN_CAGR", IQ_LTM, $B$1,$L$4, $L$3, $L$5, $L$6)/100))</f>
        <v>-8.234E-3</v>
      </c>
      <c r="BN19" s="371">
        <f>IF(_xll.ciqfunctions.udf.CIQ($A19, "IQ_TOTAL_REV_5YR_ANN_CAGR", IQ_LTM, $B$1,$L$4, $L$3, $L$5, $L$6)="NM","n/a",(_xll.ciqfunctions.udf.CIQ($A19, "IQ_TOTAL_REV_5YR_ANN_CAGR", IQ_LTM, $B$1,$L$4, $L$3, $L$5, $L$6)/100))</f>
        <v>-6.7082000000000003E-2</v>
      </c>
      <c r="BO19" s="371" t="str">
        <f>IF(_xll.ciqfunctions.udf.CIQ($A19,"IQ_EBITDA_2YR_ANN_CAGR", IQ_LTM,$B$1,$L$4, $L$3, $L$5, $L$6)="NM","n/a",(_xll.ciqfunctions.udf.CIQ($A19,"IQ_EBITDA_2YR_ANN_CAGR", IQ_LTM,$B$1,$L$4, $L$3, $L$5, $L$6)/100))</f>
        <v>n/a</v>
      </c>
      <c r="BP19" s="371" t="str">
        <f>IF(_xll.ciqfunctions.udf.CIQ($A19,"IQ_EBITDA_3YR_ANN_CAGR", IQ_LTM,$B$1,$L$4, $L$3, $L$5, $L$6)="NM","n/a",(_xll.ciqfunctions.udf.CIQ($A19,"IQ_EBITDA_3YR_ANN_CAGR", IQ_LTM,$B$1,$L$4, $L$3, $L$5, $L$6)/100))</f>
        <v>n/a</v>
      </c>
      <c r="BQ19" s="371" t="str">
        <f>IF(_xll.ciqfunctions.udf.CIQ($A19,"IQ_EBITDA_5YR_ANN_CAGR", IQ_LTM,$B$1,$L$4, $L$3, $L$5, $L$6)="NM","n/a",(_xll.ciqfunctions.udf.CIQ($A19,"IQ_EBITDA_5YR_ANN_CAGR", IQ_LTM,$B$1,$L$4, $L$3, $L$5, $L$6)/100))</f>
        <v>n/a</v>
      </c>
      <c r="BR19" s="375">
        <f>IFERROR((_xll.ciqfunctions.udf.CIQ($A19, "IQ_DA_CF", IQ_LTM, $B$1, $L$4, $L$3, $L$5, $L$6)/Q19),"NM")</f>
        <v>6.517810513052201E-2</v>
      </c>
      <c r="BS19" s="417">
        <f>'Capital IQ Sheet-GPC'!BS21</f>
        <v>0.34590003503636213</v>
      </c>
      <c r="BT19" s="417">
        <f>'Capital IQ Sheet-GPC'!BT21</f>
        <v>0.36099757688110856</v>
      </c>
      <c r="BU19" s="417">
        <f>'Capital IQ Sheet-GPC'!BU21</f>
        <v>0.43428111568006561</v>
      </c>
      <c r="BV19" s="417">
        <f>'Capital IQ Sheet-GPC'!BV21</f>
        <v>0.43422670013311038</v>
      </c>
      <c r="BW19" s="417">
        <f>'Capital IQ Sheet-GPC'!BW21</f>
        <v>0.42877432311291869</v>
      </c>
      <c r="BX19" s="417">
        <f>'Capital IQ Sheet-GPC'!BX21</f>
        <v>0.42220925229151757</v>
      </c>
      <c r="BY19" s="417">
        <f>'Capital IQ Sheet-GPC'!BY21</f>
        <v>0.43355066042918222</v>
      </c>
      <c r="BZ19" s="417">
        <f>'Capital IQ Sheet-GPC'!BZ21</f>
        <v>0.42680518440982129</v>
      </c>
      <c r="CB19" s="371">
        <v>2</v>
      </c>
      <c r="CC19" s="495" t="s">
        <v>150</v>
      </c>
      <c r="CD19" s="495" t="s">
        <v>149</v>
      </c>
      <c r="CE19" s="373">
        <f t="shared" si="0"/>
        <v>42551</v>
      </c>
    </row>
    <row r="20" spans="1:83" s="371" customFormat="1" ht="12.75">
      <c r="A20" s="372" t="str">
        <f>_xll.ciqfunctions.udf.CIQ($B20,"IQ_COMPANY_TICKER")</f>
        <v>SHSE:600867</v>
      </c>
      <c r="B20" s="412" t="str">
        <f>'Capital IQ Sheet-GPC'!B14</f>
        <v>IQ11419352</v>
      </c>
      <c r="C20" s="372" t="str">
        <f>_xll.ciqfunctions.udf.CIQ($A20,"IQ_COMPANY_NAME")</f>
        <v>Tonghua Dongbao Pharmaceutical Co., Ltd.</v>
      </c>
      <c r="D20" s="372" t="str">
        <f>_xll.ciqfunctions.udf.CIQ($A20, "IQ_EXCHANGE")</f>
        <v>SHSE</v>
      </c>
      <c r="E20" s="411">
        <f>_xll.ciqfunctions.udf.CIQ($A20, "IQ_PERIODDATE_IS", IQ_FY)</f>
        <v>43100</v>
      </c>
      <c r="F20" s="411">
        <f>_xll.ciqfunctions.udf.CIQ(A20, "IQ_PERIODDATE_IS", IQ_LTM, $B$1,$L$4,$L$3)</f>
        <v>43190</v>
      </c>
      <c r="G20" s="411">
        <f>_xll.ciqfunctions.udf.CIQ($A20, "IQ_FIRSTPRICINGDATE")</f>
        <v>35244</v>
      </c>
      <c r="H20" s="413">
        <f>_xll.ciqfunctions.udf.CIQ($A20, "IQ_TEV", $L$2, $L$5, $L$6)</f>
        <v>7365.7138199999999</v>
      </c>
      <c r="I20" s="413">
        <f>_xll.ciqfunctions.udf.CIQ(A20, "IQ_LASTSALEPRICE", $B$1,$L$5)</f>
        <v>3.6211700000000002</v>
      </c>
      <c r="J20" s="413">
        <f>_xll.ciqfunctions.udf.CIQ($A20, "IQ_MARKETCAP", $L$2, $L$5, $L$6)</f>
        <v>7436.2830000000004</v>
      </c>
      <c r="K20" s="413">
        <f>_xll.ciqfunctions.udf.CIQ($A20, "IQ_TOTAL_DEBT", IQ_LTM, $L$2,$L$4, $L$3, $L$5, $L$6)</f>
        <v>0</v>
      </c>
      <c r="L20" s="413">
        <f>_xll.ciqfunctions.udf.CIQ($A20, "IQ_PREF_EQUITY", IQ_LTM, $L$2, $L$4, $L$3, $L$5, $L$6)</f>
        <v>0</v>
      </c>
      <c r="M20" s="413">
        <f>_xll.ciqfunctions.udf.CIQ($A20, "IQ_MINORITY_INTEREST_TOTAL", IQ_LTM, $L$2, $L$4, $L$3, $L$5, $L$6)</f>
        <v>1.49579</v>
      </c>
      <c r="N20" s="413">
        <f>_xll.ciqfunctions.udf.CIQ($A20, "IQ_CASH_ST_INVEST", IQ_LTM, $L$2, $L$4, $L$3, $L$5, $L$6)</f>
        <v>75.958299999999994</v>
      </c>
      <c r="O20" s="413">
        <f>_xll.ciqfunctions.udf.CIQ($A20, "IQ_TOTAL_REV", IQ_LTM-8, $L$2, $L$4, $L$3, $L$5, $L$6)</f>
        <v>266.80338999999998</v>
      </c>
      <c r="P20" s="413">
        <f>_xll.ciqfunctions.udf.CIQ($A20, "IQ_TOTAL_REV", IQ_LTM - 4, $L$2, $L$4, $L$3, $L$5,$L$6)</f>
        <v>312.89407</v>
      </c>
      <c r="Q20" s="413">
        <f>_xll.ciqfunctions.udf.CIQ($A20, "IQ_TOTAL_REV", IQ_LTM, $L$2, $L$4, $L$3, $L$5, $L$6)</f>
        <v>430.28374000000002</v>
      </c>
      <c r="R20" s="413">
        <f>_xll.ciqfunctions.udf.CIQ($A20, "IQ_TOTAL_REV", $B$2, $L$2, $L$4, $L$3, $L$5, $L$6)</f>
        <v>293.86101000000002</v>
      </c>
      <c r="S20" s="413">
        <f>IF(_xll.ciqfunctions.udf.CIQ($A20, "IQ_TOTAL_REV", $B$3, $L$2,$L$4, $L$3, $L$5, $L$6)=0,Q20,_xll.ciqfunctions.udf.CIQ($A20, "IQ_TOTAL_REV", $B$3, $L$2,$L$4, $L$3, $L$5, $L$6))</f>
        <v>391.18522999999999</v>
      </c>
      <c r="T20" s="413">
        <f>IF(_xll.ciqfunctions.udf.CIQ($A20, "IQ_REVENUE_EST",$B$4, $L$2, "CON", $L$3, $L$5, $L$6)=0,"n/a",_xll.ciqfunctions.udf.CIQ($A20, "IQ_REVENUE_EST",$B$4, $L$2, "CON", $L$3, $L$5, $L$6))</f>
        <v>464.06795</v>
      </c>
      <c r="U20" s="413">
        <f>IF(_xll.ciqfunctions.udf.CIQ($A20, "IQ_REVENUE_EST",$B$5, $L$2, "CON", $L$3, $L$5, $L$6)=0,"n/a",_xll.ciqfunctions.udf.CIQ($A20, "IQ_REVENUE_EST",$B$5, $L$2, "CON", $L$3, $L$5, $L$6))</f>
        <v>574.01760999999999</v>
      </c>
      <c r="V20" s="413">
        <f>IF(_xll.ciqfunctions.udf.CIQ($A20, "IQ_REVENUE_EST",$B$6, $L$2, "CON", $L$3, $L$5, $L$6)=0,"n/a",_xll.ciqfunctions.udf.CIQ($A20, "IQ_REVENUE_EST",$B$6, $L$2, "CON", $L$3, $L$5, $L$6))</f>
        <v>694.93681000000004</v>
      </c>
      <c r="W20" s="413" t="str">
        <f>IF(_xll.ciqfunctions.udf.CIQ($A20, "IQ_REVENUE_EST", $B$7, $L$2, "CON", $L$3, $L$5, $L$6)=0,"n/a",_xll.ciqfunctions.udf.CIQ($A20, "IQ_REVENUE_EST",$B$7, $L$2, "CON", $L$3, $L$5, $L$6))</f>
        <v>n/a</v>
      </c>
      <c r="X20" s="413">
        <f>_xll.ciqfunctions.udf.CIQ($A20, "IQ_EBITDA", IQ_LTM-8, $L$2, $L$4, $L$3, $L$5, $L$6)</f>
        <v>116.16725</v>
      </c>
      <c r="Y20" s="413">
        <f>_xll.ciqfunctions.udf.CIQ($A20, "IQ_EBITDA", IQ_LTM-4, $L$2,$L$4, $L$3, $L$5, $L$6)</f>
        <v>147.95707999999999</v>
      </c>
      <c r="Z20" s="413">
        <f>_xll.ciqfunctions.udf.CIQ($A20, "IQ_EBITDA", IQ_LTM, $L$2, $L$4, $L$3, $L$5, $L$6)</f>
        <v>192.60059000000001</v>
      </c>
      <c r="AA20" s="413">
        <f>_xll.ciqfunctions.udf.CIQ($A20, "IQ_EBITDA", $B$2, $L$2, $L$4, $L$3, $L$5, $L$6)</f>
        <v>138.30298999999999</v>
      </c>
      <c r="AB20" s="413">
        <f>IF(_xll.ciqfunctions.udf.CIQ($A20, "IQ_EBITDA", $B$3, $L$2,$L$4, $L$3, $L$5, $L$6)=0,Z20,_xll.ciqfunctions.udf.CIQ($A20, "IQ_EBITDA", $B$3, $L$2,$L$4, $L$3, $L$5, $L$6))</f>
        <v>176.11248000000001</v>
      </c>
      <c r="AC20" s="413">
        <f>IF(_xll.ciqfunctions.udf.CIQ($A20, "IQ_EBITDA_EST",$B$4, $L$2, "CON", $L$3, $L$5, $L$6)=0,"n/a",_xll.ciqfunctions.udf.CIQ($A20, "IQ_EBITDA_EST",$B$4, $L$2, "CON", $L$3, $L$5, $L$6))</f>
        <v>213.51394999999999</v>
      </c>
      <c r="AD20" s="413">
        <f>IF(_xll.ciqfunctions.udf.CIQ($A20, "IQ_EBITDA_EST",$B$5, $L$2, "CON", $L$3, $L$5, $L$6)=0,"n/a",_xll.ciqfunctions.udf.CIQ($A20, "IQ_EBITDA_EST",$B$5, $L$2, "CON", $L$3, $L$5, $L$6))</f>
        <v>273.06540000000001</v>
      </c>
      <c r="AE20" s="413">
        <f>IF(_xll.ciqfunctions.udf.CIQ($A20, "IQ_EBITDA_EST",$B$6, $L$2, "CON", $L$3, $L$5, $L$6)=0,"n/a",_xll.ciqfunctions.udf.CIQ($A20, "IQ_EBITDA_EST",$B$6, $L$2, "CON", $L$3, $L$5, $L$6))</f>
        <v>348.25108999999998</v>
      </c>
      <c r="AF20" s="414">
        <f>IF(ISERROR(_xll.ciqfunctions.udf.CIQ($A20, "IQ_GROSS_MARGIN", IQ_LTM, $L$2,$L$4, $L$3, $L$5, $L$6)/100), "n/a", _xll.ciqfunctions.udf.CIQ($A20,  "IQ_GROSS_MARGIN", IQ_LTM, $L$2, $L$4, $L$3, $L$5, $L$6)/100)</f>
        <v>0.73735499999999998</v>
      </c>
      <c r="AG20" s="414">
        <f>IF(ISERROR(_xll.ciqfunctions.udf.CIQ($A20,"IQ_EBITDA_MARGIN", IQ_LTM, $L$2, $L$4, $L$3, $L$5, $L$6)/100), "n/a", _xll.ciqfunctions.udf.CIQ($A20, "IQ_EBITDA_MARGIN", IQ_LTM, $L$2, $L$4, $L$3, $L$5, $L$6)/100)</f>
        <v>0.44761200000000001</v>
      </c>
      <c r="AH20" s="414">
        <f>IF(ISERROR(_xll.ciqfunctions.udf.CIQ($A20,"IQ_EBIT_MARGIN", IQ_LTM, $L$2, $L$4, $L$3, $L$5, $L$6)/100), "n/a", _xll.ciqfunctions.udf.CIQ($A20, "IQ_EBIT_MARGIN", IQ_LTM, $L$2, $L$4, $L$3, $L$5, $L$6)/100)</f>
        <v>0.385986</v>
      </c>
      <c r="AI20" s="414">
        <f>IF(ISERROR(_xll.ciqfunctions.udf.CIQ($A20,"IQ_NI_MARGIN", IQ_LTM, $L$2, $L$4, $L$3, $L$5, $L$6)/100), "n/a", _xll.ciqfunctions.udf.CIQ($A20, "IQ_NI_MARGIN", IQ_LTM, $L$2, $L$4, $L$3, $L$5, $L$6)/100)</f>
        <v>0.33344200000000002</v>
      </c>
      <c r="AJ20" s="413">
        <f>_xll.ciqfunctions.udf.CIQ($A20,"IQ_TOTAL_CA",IQ_LTM-8,$L$2, $L$4, $L$3, $L$5, $L$6)-_xll.ciqfunctions.udf.CIQ($A20,"IQ_TOTAL_CL",IQ_LTM-8,$L$2, $L$4, $L$3, $L$5, $L$6)</f>
        <v>101.57357000000002</v>
      </c>
      <c r="AK20" s="413">
        <f>_xll.ciqfunctions.udf.CIQ($A20,"IQ_TOTAL_CA",IQ_LTM-4,$L$2, $L$4, $L$3, $L$5, $L$6)-_xll.ciqfunctions.udf.CIQ($A20,"IQ_TOTAL_CL",IQ_LTM-4,$L$2, $L$4, $L$3, $L$5, $L$6)</f>
        <v>261.90785</v>
      </c>
      <c r="AL20" s="413">
        <f>_xll.ciqfunctions.udf.CIQ($A20,"IQ_TOTAL_CA",IQ_LTM,$L$2, $L$4, $L$3, $L$5, $L$6)-_xll.ciqfunctions.udf.CIQ($A20,"IQ_TOTAL_CL",IQ_LTM,$L$2, $L$4, $L$3, $L$5, $L$6)</f>
        <v>376.90222</v>
      </c>
      <c r="AM20" s="413">
        <f>IF(ISERROR(_xll.ciqfunctions.udf.CIQ($A20, "IQ_Capex", IQ_LTM-8, $L$2,$L$4, $L$3, $L$5, $L$6)), "n/a", _xll.ciqfunctions.udf.CIQ($A20, "IQ_Capex", IQ_LTM-8, $L$2, $L$4, $L$3, $L$5, $L$6))</f>
        <v>-84.246690000000001</v>
      </c>
      <c r="AN20" s="413">
        <f>IF(ISERROR(_xll.ciqfunctions.udf.CIQ($A20, "IQ_Capex", IQ_LTM-4, $L$2,$L$4, $L$3, $L$5, $L$6)), "n/a", _xll.ciqfunctions.udf.CIQ($A20, "IQ_Capex", IQ_LTM-4, $L$2,$L$4, $L$3, $L$5, $L$6))</f>
        <v>-42.101129999999998</v>
      </c>
      <c r="AO20" s="413">
        <f>IF(ISERROR(_xll.ciqfunctions.udf.CIQ($A20, "IQ_Capex", IQ_LTM, $L$2, $L$4, $L$3, $L$5, $L$6)), "n/a", _xll.ciqfunctions.udf.CIQ($A20, "IQ_Capex", IQ_LTM, $L$2, $L$4, $L$3, $L$5, $L$6))</f>
        <v>-29.843720000000001</v>
      </c>
      <c r="AP20" s="415" t="str">
        <f>_xll.ciqfunctions.udf.CIQ(A20, "IQ_BUSINESS_DESCRIPTION")</f>
        <v>Tonghua Dongbao Pharmaceutical Co., Ltd. researches and develops, manufactures, and sells pharmaceutical products for the treatment of diabetes and cardiovascular-based diseases in China. The company operates through Pharmaceutical Industry and Building Materials Industry segments. It lead product portfolio includes insulin analogues, such as insulin glargine, Insulin aspart, insulin detemir, and insulin lispro; antidiabetic drug agonist products; oral hypoglycemic agents; and Zhen Nao Ning and Nao Xue Kang capsules, as well as Gan Shulin pens, blood glucose meters, and other medical devices. The company is also involved in developing Y-PEG of recombinant human interferon a 2b injection, which has been completed Phase III clinical stage to treat chronic hepatitis C (2,3 gene type) and chronic hepatitis B III; Y-PEG a recombinant human granulocyte colony-stimulating factor injection that is in Phase II clinical stage for the treatment of chemotherapy-induced neutropenia; Y-PEG injection of recombinant human growth hormone, which is in Phase II clinical stage to treat short stature and growth hormone deficiency; and Y-PEG of recombinant human interferon a 2a injection that is in Phase II clinical stage to treat chronic hepatitis B and hepatitis C. It offers building materials comprising plastic windows and sections; and other products. The company has a strategic alliance with Adocia. Tonghua Dongbao Pharmaceutical Co., Ltd. was founded in 1985 and is based in Tonghua, China.</v>
      </c>
      <c r="AQ20" s="416">
        <f>_xll.ciqfunctions.udf.CIQ($A20, "IQ_BETA_1YR", $B$1)</f>
        <v>0.35363</v>
      </c>
      <c r="AR20" s="416">
        <f>_xll.ciqfunctions.udf.CIQ($A20, "IQ_BETA_2YR", $B$1)</f>
        <v>0.28037000000000001</v>
      </c>
      <c r="AS20" s="416">
        <f>_xll.ciqfunctions.udf.CIQ($A20, "IQ_BETA_5YR", $B$1)</f>
        <v>0.76253000000000004</v>
      </c>
      <c r="AT20" s="414">
        <f>_xll.ciqfunctions.udf.CIQ($A20, "IQ_DIVIDEND_YIELD", $B$1)/100</f>
        <v>6.96E-4</v>
      </c>
      <c r="AU20" s="413">
        <f>_xll.ciqfunctions.udf.CIQ($A20, "IQ_EARNING_CO", IQ_LTM-8, $L$2, $L$4, $L$3, $L$5, $L$6)</f>
        <v>82.069850000000002</v>
      </c>
      <c r="AV20" s="413">
        <f>_xll.ciqfunctions.udf.CIQ($A20, "IQ_EARNING_CO", IQ_LTM-4, $L$2, $L$4, $L$3, $L$5, $L$6)</f>
        <v>99.969819999999999</v>
      </c>
      <c r="AW20" s="413">
        <f>_xll.ciqfunctions.udf.CIQ($A20, "IQ_EARNING_CO", IQ_LTM, $L$2, $L$4, $L$3, $L$5, $L$6)</f>
        <v>143.99148</v>
      </c>
      <c r="AX20" s="413">
        <f>_xll.ciqfunctions.udf.CIQ($A20, "IQ_EARNING_CO", $B$2, $L$2, $L$4, $L$3, $L$5, $L$6)</f>
        <v>92.059510000000003</v>
      </c>
      <c r="AY20" s="413">
        <f>IF(_xll.ciqfunctions.udf.CIQ($A20, "IQ_EARNING_CO", $B$3, $L$2,$L$4, $L$3, $L$5, $L$6)=0,AW20,_xll.ciqfunctions.udf.CIQ($A20, "IQ_EARNING_CO", $B$3, $L$2,$L$4, $L$3, $L$5, $L$6))</f>
        <v>129.11276000000001</v>
      </c>
      <c r="AZ20" s="413">
        <f>_xll.ciqfunctions.udf.CIQ($A20, "IQ_TOTAL_EQUITY", IQ_LTM-8, $L$2, $L$4, $L$3, $L$5, $L$6)</f>
        <v>409.01224999999999</v>
      </c>
      <c r="BA20" s="413">
        <f>_xll.ciqfunctions.udf.CIQ($A20, "IQ_TOTAL_EQUITY", IQ_LTM-4, $L$2, $L$4, $L$3, $L$5, $L$6)</f>
        <v>602.43596000000002</v>
      </c>
      <c r="BB20" s="413">
        <f>_xll.ciqfunctions.udf.CIQ($A20, "IQ_TOTAL_EQUITY", IQ_LTM, $L$2, $L$4, $L$3, $L$5, $L$6)</f>
        <v>766.90673000000004</v>
      </c>
      <c r="BC20" s="413">
        <f>_xll.ciqfunctions.udf.CIQ($A20, "IQ_TOTAL_EQUITY", $B$2, $L$2, $L$4, $L$3, $L$5, $L$6)</f>
        <v>568.20081000000005</v>
      </c>
      <c r="BD20" s="413">
        <f>IF(_xll.ciqfunctions.udf.CIQ($A20, "IQ_TOTAL_EQUITY", $B$3, $L$2,$L$4, $L$3, $L$5, $L$6)=0,BB20,_xll.ciqfunctions.udf.CIQ($A20, "IQ_TOTAL_EQUITY", $B$3, $L$2,$L$4, $L$3, $L$5, $L$6))</f>
        <v>697.34590000000003</v>
      </c>
      <c r="BE20" s="413">
        <f>_xll.ciqfunctions.udf.CIQ(A20, "IQ_LASTSALEPRICE", $B$8)</f>
        <v>3.5520900000000002</v>
      </c>
      <c r="BF20" s="413">
        <f>_xll.ciqfunctions.udf.CIQ($A20, "IQ_MARKETCAP", $B$8, $L$5, $L$6)</f>
        <v>7294.4171100000003</v>
      </c>
      <c r="BG20" s="413">
        <f>_xll.ciqfunctions.udf.CIQ($A20, "IQ_TOTAL_DEBT", IQ_LTM, $B$8,$L$4, $L$3, $L$5, $L$6)</f>
        <v>34.270769999999999</v>
      </c>
      <c r="BH20" s="371">
        <f>_xll.ciqfunctions.udf.CIQ($A20,"IQ_PREF_EQUITY",IQ_LTM,$B$8,$L$4,$L$3,$L$5,$L$6)</f>
        <v>0</v>
      </c>
      <c r="BI20" s="371">
        <f>_xll.ciqfunctions.udf.CIQ($A20, "IQ_MINORITY_INTEREST_TOTAL", IQ_LTM,$B$8,$L$4,$L$3,$L$5,$L$6)</f>
        <v>0.90691999999999995</v>
      </c>
      <c r="BJ20" s="413">
        <f>_xll.ciqfunctions.udf.CIQ($A20, "IQ_CASH_ST_INVEST", IQ_LTM, $B$8, $L$4, $L$3, $L$5, $L$6)</f>
        <v>52.994079999999997</v>
      </c>
      <c r="BK20" s="371">
        <f>_xll.ciqfunctions.udf.CIQ($A20, "IQ_EFFECT_TAX_RATE")</f>
        <v>13.654500000000001</v>
      </c>
      <c r="BL20" s="371">
        <f>IF(_xll.ciqfunctions.udf.CIQ($A20, "IQ_TOTAL_REV_2YR_ANN_CAGR", IQ_LTM, $B$1,$L$4, $L$3, $L$5, $L$6)="NM","n/a",(_xll.ciqfunctions.udf.CIQ($A20, "IQ_TOTAL_REV_2YR_ANN_CAGR", IQ_LTM, $B$1,$L$4, $L$3, $L$5, $L$6)/100))</f>
        <v>0.252002</v>
      </c>
      <c r="BM20" s="371">
        <f>IF(_xll.ciqfunctions.udf.CIQ($A20, "IQ_TOTAL_REV_3YR_ANN_CAGR", IQ_LTM, $B$1,$L$4, $L$3, $L$5, $L$6)="NM","n/a",(_xll.ciqfunctions.udf.CIQ($A20, "IQ_TOTAL_REV_3YR_ANN_CAGR", IQ_LTM, $B$1,$L$4, $L$3, $L$5, $L$6)/100))</f>
        <v>0.21064699999999997</v>
      </c>
      <c r="BN20" s="371">
        <f>IF(_xll.ciqfunctions.udf.CIQ($A20, "IQ_TOTAL_REV_5YR_ANN_CAGR", IQ_LTM, $B$1,$L$4, $L$3, $L$5, $L$6)="NM","n/a",(_xll.ciqfunctions.udf.CIQ($A20, "IQ_TOTAL_REV_5YR_ANN_CAGR", IQ_LTM, $B$1,$L$4, $L$3, $L$5, $L$6)/100))</f>
        <v>0.207648</v>
      </c>
      <c r="BO20" s="371">
        <f>IF(_xll.ciqfunctions.udf.CIQ($A20,"IQ_EBITDA_2YR_ANN_CAGR", IQ_LTM,$B$1,$L$4, $L$3, $L$5, $L$6)="NM","n/a",(_xll.ciqfunctions.udf.CIQ($A20,"IQ_EBITDA_2YR_ANN_CAGR", IQ_LTM,$B$1,$L$4, $L$3, $L$5, $L$6)/100))</f>
        <v>0.26943499999999998</v>
      </c>
      <c r="BP20" s="371">
        <f>IF(_xll.ciqfunctions.udf.CIQ($A20,"IQ_EBITDA_3YR_ANN_CAGR", IQ_LTM,$B$1,$L$4, $L$3, $L$5, $L$6)="NM","n/a",(_xll.ciqfunctions.udf.CIQ($A20,"IQ_EBITDA_3YR_ANN_CAGR", IQ_LTM,$B$1,$L$4, $L$3, $L$5, $L$6)/100))</f>
        <v>0.32692599999999999</v>
      </c>
      <c r="BQ20" s="371">
        <f>IF(_xll.ciqfunctions.udf.CIQ($A20,"IQ_EBITDA_5YR_ANN_CAGR", IQ_LTM,$B$1,$L$4, $L$3, $L$5, $L$6)="NM","n/a",(_xll.ciqfunctions.udf.CIQ($A20,"IQ_EBITDA_5YR_ANN_CAGR", IQ_LTM,$B$1,$L$4, $L$3, $L$5, $L$6)/100))</f>
        <v>0.44930999999999999</v>
      </c>
      <c r="BR20" s="375">
        <f>IFERROR((_xll.ciqfunctions.udf.CIQ($A20, "IQ_DA_CF", IQ_LTM, $B$1, $L$4, $L$3, $L$5, $L$6)/Q20),"NM")</f>
        <v>6.1182442078801302E-2</v>
      </c>
      <c r="BS20" s="417">
        <f>'Capital IQ Sheet-GPC'!BS14</f>
        <v>0.3812640752848403</v>
      </c>
      <c r="BT20" s="417">
        <f>'Capital IQ Sheet-GPC'!BT14</f>
        <v>0.30342602923922368</v>
      </c>
      <c r="BU20" s="417">
        <f>'Capital IQ Sheet-GPC'!BU14</f>
        <v>0.36676460309803083</v>
      </c>
      <c r="BV20" s="417">
        <f>'Capital IQ Sheet-GPC'!BV14</f>
        <v>0.39110730772015856</v>
      </c>
      <c r="BW20" s="417">
        <f>'Capital IQ Sheet-GPC'!BW14</f>
        <v>0.38563460568161612</v>
      </c>
      <c r="BX20" s="417">
        <f>'Capital IQ Sheet-GPC'!BX14</f>
        <v>0.38238304339159807</v>
      </c>
      <c r="BY20" s="417">
        <f>'Capital IQ Sheet-GPC'!BY14</f>
        <v>0.38300947116642342</v>
      </c>
      <c r="BZ20" s="417">
        <f>'Capital IQ Sheet-GPC'!BZ14</f>
        <v>0.39344711435708657</v>
      </c>
      <c r="CB20" s="371">
        <v>2</v>
      </c>
      <c r="CC20" s="495" t="s">
        <v>150</v>
      </c>
      <c r="CD20" s="495" t="s">
        <v>149</v>
      </c>
      <c r="CE20" s="373">
        <f t="shared" si="0"/>
        <v>42551</v>
      </c>
    </row>
    <row r="21" spans="1:83" s="371" customFormat="1" ht="12.75">
      <c r="A21" s="372" t="str">
        <f>_xll.ciqfunctions.udf.CIQ($B21,"IQ_COMPANY_TICKER")</f>
        <v>NasdaqCM:CORT</v>
      </c>
      <c r="B21" s="412" t="str">
        <f>'Capital IQ Sheet-GPC'!B19</f>
        <v>IQ1423826</v>
      </c>
      <c r="C21" s="372" t="str">
        <f>_xll.ciqfunctions.udf.CIQ($A21,"IQ_COMPANY_NAME")</f>
        <v>Corcept Therapeutics Incorporated</v>
      </c>
      <c r="D21" s="372" t="str">
        <f>_xll.ciqfunctions.udf.CIQ($A21, "IQ_EXCHANGE")</f>
        <v>NasdaqCM</v>
      </c>
      <c r="E21" s="411">
        <f>_xll.ciqfunctions.udf.CIQ($A21, "IQ_PERIODDATE_IS", IQ_FY)</f>
        <v>43100</v>
      </c>
      <c r="F21" s="411">
        <f>_xll.ciqfunctions.udf.CIQ(A21, "IQ_PERIODDATE_IS", IQ_LTM, $B$1,$L$4,$L$3)</f>
        <v>43190</v>
      </c>
      <c r="G21" s="411">
        <f>_xll.ciqfunctions.udf.CIQ($A21, "IQ_FIRSTPRICINGDATE")</f>
        <v>38091</v>
      </c>
      <c r="H21" s="413">
        <f>_xll.ciqfunctions.udf.CIQ($A21, "IQ_TEV", $L$2, $L$5, $L$6)</f>
        <v>1686.1324</v>
      </c>
      <c r="I21" s="413">
        <f>_xll.ciqfunctions.udf.CIQ(A21, "IQ_LASTSALEPRICE", $B$1,$L$5)</f>
        <v>15.72</v>
      </c>
      <c r="J21" s="413">
        <f>_xll.ciqfunctions.udf.CIQ($A21, "IQ_MARKETCAP", $L$2, $L$5, $L$6)</f>
        <v>1811.4944</v>
      </c>
      <c r="K21" s="413">
        <f>_xll.ciqfunctions.udf.CIQ($A21, "IQ_TOTAL_DEBT", IQ_LTM, $L$2,$L$4, $L$3, $L$5, $L$6)</f>
        <v>0</v>
      </c>
      <c r="L21" s="413">
        <f>_xll.ciqfunctions.udf.CIQ($A21, "IQ_PREF_EQUITY", IQ_LTM, $L$2, $L$4, $L$3, $L$5, $L$6)</f>
        <v>0</v>
      </c>
      <c r="M21" s="413">
        <f>_xll.ciqfunctions.udf.CIQ($A21, "IQ_MINORITY_INTEREST_TOTAL", IQ_LTM, $L$2, $L$4, $L$3, $L$5, $L$6)</f>
        <v>0</v>
      </c>
      <c r="N21" s="413">
        <f>_xll.ciqfunctions.udf.CIQ($A21, "IQ_CASH_ST_INVEST", IQ_LTM, $L$2, $L$4, $L$3, $L$5, $L$6)</f>
        <v>125.36199999999999</v>
      </c>
      <c r="O21" s="413">
        <f>_xll.ciqfunctions.udf.CIQ($A21, "IQ_TOTAL_REV", IQ_LTM-8, $L$2, $L$4, $L$3, $L$5, $L$6)</f>
        <v>56.244999999999997</v>
      </c>
      <c r="P21" s="413">
        <f>_xll.ciqfunctions.udf.CIQ($A21, "IQ_TOTAL_REV", IQ_LTM - 4, $L$2, $L$4, $L$3, $L$5,$L$6)</f>
        <v>92.858999999999995</v>
      </c>
      <c r="Q21" s="413">
        <f>_xll.ciqfunctions.udf.CIQ($A21, "IQ_TOTAL_REV", IQ_LTM, $L$2, $L$4, $L$3, $L$5, $L$6)</f>
        <v>189.261</v>
      </c>
      <c r="R21" s="413">
        <f>_xll.ciqfunctions.udf.CIQ($A21, "IQ_TOTAL_REV", $B$2, $L$2, $L$4, $L$3, $L$5, $L$6)</f>
        <v>81.320999999999998</v>
      </c>
      <c r="S21" s="413">
        <f>IF(_xll.ciqfunctions.udf.CIQ($A21, "IQ_TOTAL_REV", $B$3, $L$2,$L$4, $L$3, $L$5, $L$6)=0,Q21,_xll.ciqfunctions.udf.CIQ($A21, "IQ_TOTAL_REV", $B$3, $L$2,$L$4, $L$3, $L$5, $L$6))</f>
        <v>159.20099999999999</v>
      </c>
      <c r="T21" s="413">
        <f>IF(_xll.ciqfunctions.udf.CIQ($A21, "IQ_REVENUE_EST",$B$4, $L$2, "CON", $L$3, $L$5, $L$6)=0,"n/a",_xll.ciqfunctions.udf.CIQ($A21, "IQ_REVENUE_EST",$B$4, $L$2, "CON", $L$3, $L$5, $L$6))</f>
        <v>291.39585</v>
      </c>
      <c r="U21" s="413">
        <f>IF(_xll.ciqfunctions.udf.CIQ($A21, "IQ_REVENUE_EST",$B$5, $L$2, "CON", $L$3, $L$5, $L$6)=0,"n/a",_xll.ciqfunctions.udf.CIQ($A21, "IQ_REVENUE_EST",$B$5, $L$2, "CON", $L$3, $L$5, $L$6))</f>
        <v>395.32461000000001</v>
      </c>
      <c r="V21" s="413">
        <f>IF(_xll.ciqfunctions.udf.CIQ($A21, "IQ_REVENUE_EST",$B$6, $L$2, "CON", $L$3, $L$5, $L$6)=0,"n/a",_xll.ciqfunctions.udf.CIQ($A21, "IQ_REVENUE_EST",$B$6, $L$2, "CON", $L$3, $L$5, $L$6))</f>
        <v>568.34267</v>
      </c>
      <c r="W21" s="413">
        <f>IF(_xll.ciqfunctions.udf.CIQ($A21, "IQ_REVENUE_EST", $B$7, $L$2, "CON", $L$3, $L$5, $L$6)=0,"n/a",_xll.ciqfunctions.udf.CIQ($A21, "IQ_REVENUE_EST",$B$7, $L$2, "CON", $L$3, $L$5, $L$6))</f>
        <v>607.66432999999995</v>
      </c>
      <c r="X21" s="413">
        <f>_xll.ciqfunctions.udf.CIQ($A21, "IQ_EBITDA", IQ_LTM-8, $L$2, $L$4, $L$3, $L$5, $L$6)</f>
        <v>1.321</v>
      </c>
      <c r="Y21" s="413">
        <f>_xll.ciqfunctions.udf.CIQ($A21, "IQ_EBITDA", IQ_LTM-4, $L$2,$L$4, $L$3, $L$5, $L$6)</f>
        <v>14.4</v>
      </c>
      <c r="Z21" s="413">
        <f>_xll.ciqfunctions.udf.CIQ($A21, "IQ_EBITDA", IQ_LTM, $L$2, $L$4, $L$3, $L$5, $L$6)</f>
        <v>69.251000000000005</v>
      </c>
      <c r="AA21" s="413">
        <f>_xll.ciqfunctions.udf.CIQ($A21, "IQ_EBITDA", $B$2, $L$2, $L$4, $L$3, $L$5, $L$6)</f>
        <v>10.266</v>
      </c>
      <c r="AB21" s="413">
        <f>IF(_xll.ciqfunctions.udf.CIQ($A21, "IQ_EBITDA", $B$3, $L$2,$L$4, $L$3, $L$5, $L$6)=0,Z21,_xll.ciqfunctions.udf.CIQ($A21, "IQ_EBITDA", $B$3, $L$2,$L$4, $L$3, $L$5, $L$6))</f>
        <v>52.960999999999999</v>
      </c>
      <c r="AC21" s="413">
        <f>IF(_xll.ciqfunctions.udf.CIQ($A21, "IQ_EBITDA_EST",$B$4, $L$2, "CON", $L$3, $L$5, $L$6)=0,"n/a",_xll.ciqfunctions.udf.CIQ($A21, "IQ_EBITDA_EST",$B$4, $L$2, "CON", $L$3, $L$5, $L$6))</f>
        <v>134.88560000000001</v>
      </c>
      <c r="AD21" s="413">
        <f>IF(_xll.ciqfunctions.udf.CIQ($A21, "IQ_EBITDA_EST",$B$5, $L$2, "CON", $L$3, $L$5, $L$6)=0,"n/a",_xll.ciqfunctions.udf.CIQ($A21, "IQ_EBITDA_EST",$B$5, $L$2, "CON", $L$3, $L$5, $L$6))</f>
        <v>192.84943999999999</v>
      </c>
      <c r="AE21" s="413">
        <f>IF(_xll.ciqfunctions.udf.CIQ($A21, "IQ_EBITDA_EST",$B$6, $L$2, "CON", $L$3, $L$5, $L$6)=0,"n/a",_xll.ciqfunctions.udf.CIQ($A21, "IQ_EBITDA_EST",$B$6, $L$2, "CON", $L$3, $L$5, $L$6))</f>
        <v>365.52499999999998</v>
      </c>
      <c r="AF21" s="414">
        <f>IF(ISERROR(_xll.ciqfunctions.udf.CIQ($A21, "IQ_GROSS_MARGIN", IQ_LTM, $L$2,$L$4, $L$3, $L$5, $L$6)/100), "n/a", _xll.ciqfunctions.udf.CIQ($A21,  "IQ_GROSS_MARGIN", IQ_LTM, $L$2, $L$4, $L$3, $L$5, $L$6)/100)</f>
        <v>0.97843100000000005</v>
      </c>
      <c r="AG21" s="414">
        <f>IF(ISERROR(_xll.ciqfunctions.udf.CIQ($A21,"IQ_EBITDA_MARGIN", IQ_LTM, $L$2, $L$4, $L$3, $L$5, $L$6)/100), "n/a", _xll.ciqfunctions.udf.CIQ($A21, "IQ_EBITDA_MARGIN", IQ_LTM, $L$2, $L$4, $L$3, $L$5, $L$6)/100)</f>
        <v>0.36590200000000001</v>
      </c>
      <c r="AH21" s="414">
        <f>IF(ISERROR(_xll.ciqfunctions.udf.CIQ($A21,"IQ_EBIT_MARGIN", IQ_LTM, $L$2, $L$4, $L$3, $L$5, $L$6)/100), "n/a", _xll.ciqfunctions.udf.CIQ($A21, "IQ_EBIT_MARGIN", IQ_LTM, $L$2, $L$4, $L$3, $L$5, $L$6)/100)</f>
        <v>0.36515700000000001</v>
      </c>
      <c r="AI21" s="414">
        <f>IF(ISERROR(_xll.ciqfunctions.udf.CIQ($A21,"IQ_NI_MARGIN", IQ_LTM, $L$2, $L$4, $L$3, $L$5, $L$6)/100), "n/a", _xll.ciqfunctions.udf.CIQ($A21, "IQ_NI_MARGIN", IQ_LTM, $L$2, $L$4, $L$3, $L$5, $L$6)/100)</f>
        <v>0.75130600000000003</v>
      </c>
      <c r="AJ21" s="413">
        <f>_xll.ciqfunctions.udf.CIQ($A21,"IQ_TOTAL_CA",IQ_LTM-8,$L$2, $L$4, $L$3, $L$5, $L$6)-_xll.ciqfunctions.udf.CIQ($A21,"IQ_TOTAL_CL",IQ_LTM-8,$L$2, $L$4, $L$3, $L$5, $L$6)</f>
        <v>26.489000000000004</v>
      </c>
      <c r="AK21" s="413">
        <f>_xll.ciqfunctions.udf.CIQ($A21,"IQ_TOTAL_CA",IQ_LTM-4,$L$2, $L$4, $L$3, $L$5, $L$6)-_xll.ciqfunctions.udf.CIQ($A21,"IQ_TOTAL_CL",IQ_LTM-4,$L$2, $L$4, $L$3, $L$5, $L$6)</f>
        <v>40.915999999999997</v>
      </c>
      <c r="AL21" s="413">
        <f>_xll.ciqfunctions.udf.CIQ($A21,"IQ_TOTAL_CA",IQ_LTM,$L$2, $L$4, $L$3, $L$5, $L$6)-_xll.ciqfunctions.udf.CIQ($A21,"IQ_TOTAL_CL",IQ_LTM,$L$2, $L$4, $L$3, $L$5, $L$6)</f>
        <v>123.07400000000001</v>
      </c>
      <c r="AM21" s="413">
        <f>IF(ISERROR(_xll.ciqfunctions.udf.CIQ($A21, "IQ_Capex", IQ_LTM-8, $L$2,$L$4, $L$3, $L$5, $L$6)), "n/a", _xll.ciqfunctions.udf.CIQ($A21, "IQ_Capex", IQ_LTM-8, $L$2, $L$4, $L$3, $L$5, $L$6))</f>
        <v>-5.0000000000000001E-3</v>
      </c>
      <c r="AN21" s="413">
        <f>IF(ISERROR(_xll.ciqfunctions.udf.CIQ($A21, "IQ_Capex", IQ_LTM-4, $L$2,$L$4, $L$3, $L$5, $L$6)), "n/a", _xll.ciqfunctions.udf.CIQ($A21, "IQ_Capex", IQ_LTM-4, $L$2,$L$4, $L$3, $L$5, $L$6))</f>
        <v>-0.28199999999999997</v>
      </c>
      <c r="AO21" s="413">
        <f>IF(ISERROR(_xll.ciqfunctions.udf.CIQ($A21, "IQ_Capex", IQ_LTM, $L$2, $L$4, $L$3, $L$5, $L$6)), "n/a", _xll.ciqfunctions.udf.CIQ($A21, "IQ_Capex", IQ_LTM, $L$2, $L$4, $L$3, $L$5, $L$6))</f>
        <v>-0.38600000000000001</v>
      </c>
      <c r="AP21" s="415" t="str">
        <f>_xll.ciqfunctions.udf.CIQ(A21, "IQ_BUSINESS_DESCRIPTION")</f>
        <v>Corcept Therapeutics Incorporated, a pharmaceutical company, discovers, develops, and commercializes drugs for the treatment of severe metabolic, oncologic, and psychiatric disorders in the United States. The company offers Korlym (mifepristone) tablets as a once-daily oral medication for the treatment of hyperglycemia secondary to hypercortisolism in adult patients with endogenous Cushing’s syndrome, who have type 2 diabetes mellitus or glucose intolerance, and have failed surgery or are not candidates for surgery, as well as develops CLIA-validated assay to measure FKBP5 gene expression. It is developing relacorilant that is in a Phase II trial to treat patients with Cushing’s syndrome; abraxane in combination with relacorilant, which is in Phase I/II open label trial to treat solid tumors; and selective cortisol modulator CORT125281 combined with Xtandi that is in open label Phase I/II trial to treat patients with metastatic castration-resistant prostate cancer. The company is also developing CORT118335 selective cortisol modulator, which is in Phase I/II open label trial for the treatment of antipsychotic-induced weight gain and non-alcoholic steatotic hepatitis. Corcept Therapeutics Incorporated was founded in 1998 and is headquartered in Menlo Park, California.</v>
      </c>
      <c r="AQ21" s="416">
        <f>_xll.ciqfunctions.udf.CIQ($A21, "IQ_BETA_1YR", $B$1)</f>
        <v>2.7013600000000002</v>
      </c>
      <c r="AR21" s="416">
        <f>_xll.ciqfunctions.udf.CIQ($A21, "IQ_BETA_2YR", $B$1)</f>
        <v>2.4050699999999998</v>
      </c>
      <c r="AS21" s="416">
        <f>_xll.ciqfunctions.udf.CIQ($A21, "IQ_BETA_5YR", $B$1)</f>
        <v>1.8480399999999999</v>
      </c>
      <c r="AT21" s="414">
        <f>_xll.ciqfunctions.udf.CIQ($A21, "IQ_DIVIDEND_YIELD", $B$1)/100</f>
        <v>0</v>
      </c>
      <c r="AU21" s="413">
        <f>_xll.ciqfunctions.udf.CIQ($A21, "IQ_EARNING_CO", IQ_LTM-8, $L$2, $L$4, $L$3, $L$5, $L$6)</f>
        <v>-1.597</v>
      </c>
      <c r="AV21" s="413">
        <f>_xll.ciqfunctions.udf.CIQ($A21, "IQ_EARNING_CO", IQ_LTM-4, $L$2, $L$4, $L$3, $L$5, $L$6)</f>
        <v>12.547000000000001</v>
      </c>
      <c r="AW21" s="413">
        <f>_xll.ciqfunctions.udf.CIQ($A21, "IQ_EARNING_CO", IQ_LTM, $L$2, $L$4, $L$3, $L$5, $L$6)</f>
        <v>142.19300000000001</v>
      </c>
      <c r="AX21" s="413">
        <f>_xll.ciqfunctions.udf.CIQ($A21, "IQ_EARNING_CO", $B$2, $L$2, $L$4, $L$3, $L$5, $L$6)</f>
        <v>8.14</v>
      </c>
      <c r="AY21" s="413">
        <f>IF(_xll.ciqfunctions.udf.CIQ($A21, "IQ_EARNING_CO", $B$3, $L$2,$L$4, $L$3, $L$5, $L$6)=0,AW21,_xll.ciqfunctions.udf.CIQ($A21, "IQ_EARNING_CO", $B$3, $L$2,$L$4, $L$3, $L$5, $L$6))</f>
        <v>129.12200000000001</v>
      </c>
      <c r="AZ21" s="413">
        <f>_xll.ciqfunctions.udf.CIQ($A21, "IQ_TOTAL_EQUITY", IQ_LTM-8, $L$2, $L$4, $L$3, $L$5, $L$6)</f>
        <v>20.167999999999999</v>
      </c>
      <c r="BA21" s="413">
        <f>_xll.ciqfunctions.udf.CIQ($A21, "IQ_TOTAL_EQUITY", IQ_LTM-4, $L$2, $L$4, $L$3, $L$5, $L$6)</f>
        <v>49.58</v>
      </c>
      <c r="BB21" s="413">
        <f>_xll.ciqfunctions.udf.CIQ($A21, "IQ_TOTAL_EQUITY", IQ_LTM, $L$2, $L$4, $L$3, $L$5, $L$6)</f>
        <v>215.227</v>
      </c>
      <c r="BC21" s="413">
        <f>_xll.ciqfunctions.udf.CIQ($A21, "IQ_TOTAL_EQUITY", $B$2, $L$2, $L$4, $L$3, $L$5, $L$6)</f>
        <v>41.378999999999998</v>
      </c>
      <c r="BD21" s="413">
        <f>IF(_xll.ciqfunctions.udf.CIQ($A21, "IQ_TOTAL_EQUITY", $B$3, $L$2,$L$4, $L$3, $L$5, $L$6)=0,BB21,_xll.ciqfunctions.udf.CIQ($A21, "IQ_TOTAL_EQUITY", $B$3, $L$2,$L$4, $L$3, $L$5, $L$6))</f>
        <v>190.96799999999999</v>
      </c>
      <c r="BE21" s="413">
        <f>_xll.ciqfunctions.udf.CIQ(A21, "IQ_LASTSALEPRICE", $B$8)</f>
        <v>16.45</v>
      </c>
      <c r="BF21" s="413">
        <f>_xll.ciqfunctions.udf.CIQ($A21, "IQ_MARKETCAP", $B$8, $L$5, $L$6)</f>
        <v>1888.9591800000001</v>
      </c>
      <c r="BG21" s="413">
        <f>_xll.ciqfunctions.udf.CIQ($A21, "IQ_TOTAL_DEBT", IQ_LTM, $B$8,$L$4, $L$3, $L$5, $L$6)</f>
        <v>0</v>
      </c>
      <c r="BH21" s="371">
        <f>_xll.ciqfunctions.udf.CIQ($A21,"IQ_PREF_EQUITY",IQ_LTM,$B$8,$L$4,$L$3,$L$5,$L$6)</f>
        <v>0</v>
      </c>
      <c r="BI21" s="371">
        <f>_xll.ciqfunctions.udf.CIQ($A21, "IQ_MINORITY_INTEREST_TOTAL", IQ_LTM,$B$8,$L$4,$L$3,$L$5,$L$6)</f>
        <v>0</v>
      </c>
      <c r="BJ21" s="413">
        <f>_xll.ciqfunctions.udf.CIQ($A21, "IQ_CASH_ST_INVEST", IQ_LTM, $B$8, $L$4, $L$3, $L$5, $L$6)</f>
        <v>88.744</v>
      </c>
      <c r="BK21" s="371" t="str">
        <f>_xll.ciqfunctions.udf.CIQ($A21, "IQ_EFFECT_TAX_RATE")</f>
        <v>NM</v>
      </c>
      <c r="BL21" s="371">
        <f>IF(_xll.ciqfunctions.udf.CIQ($A21, "IQ_TOTAL_REV_2YR_ANN_CAGR", IQ_LTM, $B$1,$L$4, $L$3, $L$5, $L$6)="NM","n/a",(_xll.ciqfunctions.udf.CIQ($A21, "IQ_TOTAL_REV_2YR_ANN_CAGR", IQ_LTM, $B$1,$L$4, $L$3, $L$5, $L$6)/100))</f>
        <v>0.83437700000000004</v>
      </c>
      <c r="BM21" s="371">
        <f>IF(_xll.ciqfunctions.udf.CIQ($A21, "IQ_TOTAL_REV_3YR_ANN_CAGR", IQ_LTM, $B$1,$L$4, $L$3, $L$5, $L$6)="NM","n/a",(_xll.ciqfunctions.udf.CIQ($A21, "IQ_TOTAL_REV_3YR_ANN_CAGR", IQ_LTM, $B$1,$L$4, $L$3, $L$5, $L$6)/100))</f>
        <v>0.80379099999999992</v>
      </c>
      <c r="BN21" s="371">
        <f>IF(_xll.ciqfunctions.udf.CIQ($A21, "IQ_TOTAL_REV_5YR_ANN_CAGR", IQ_LTM, $B$1,$L$4, $L$3, $L$5, $L$6)="NM","n/a",(_xll.ciqfunctions.udf.CIQ($A21, "IQ_TOTAL_REV_5YR_ANN_CAGR", IQ_LTM, $B$1,$L$4, $L$3, $L$5, $L$6)/100))</f>
        <v>1.0663420000000001</v>
      </c>
      <c r="BO21" s="371">
        <f>IF(_xll.ciqfunctions.udf.CIQ($A21,"IQ_EBITDA_2YR_ANN_CAGR", IQ_LTM,$B$1,$L$4, $L$3, $L$5, $L$6)="NM","n/a",(_xll.ciqfunctions.udf.CIQ($A21,"IQ_EBITDA_2YR_ANN_CAGR", IQ_LTM,$B$1,$L$4, $L$3, $L$5, $L$6)/100))</f>
        <v>6.2403840000000006</v>
      </c>
      <c r="BP21" s="371" t="str">
        <f>IF(_xll.ciqfunctions.udf.CIQ($A21,"IQ_EBITDA_3YR_ANN_CAGR", IQ_LTM,$B$1,$L$4, $L$3, $L$5, $L$6)="NM","n/a",(_xll.ciqfunctions.udf.CIQ($A21,"IQ_EBITDA_3YR_ANN_CAGR", IQ_LTM,$B$1,$L$4, $L$3, $L$5, $L$6)/100))</f>
        <v>n/a</v>
      </c>
      <c r="BQ21" s="371" t="str">
        <f>IF(_xll.ciqfunctions.udf.CIQ($A21,"IQ_EBITDA_5YR_ANN_CAGR", IQ_LTM,$B$1,$L$4, $L$3, $L$5, $L$6)="NM","n/a",(_xll.ciqfunctions.udf.CIQ($A21,"IQ_EBITDA_5YR_ANN_CAGR", IQ_LTM,$B$1,$L$4, $L$3, $L$5, $L$6)/100))</f>
        <v>n/a</v>
      </c>
      <c r="BR21" s="375">
        <f>IFERROR((_xll.ciqfunctions.udf.CIQ($A21, "IQ_DA_CF", IQ_LTM, $B$1, $L$4, $L$3, $L$5, $L$6)/Q21),"NM")</f>
        <v>7.4500293245835113E-4</v>
      </c>
      <c r="BS21" s="417">
        <f>'Capital IQ Sheet-GPC'!BS19</f>
        <v>0.61814359218294024</v>
      </c>
      <c r="BT21" s="417">
        <f>'Capital IQ Sheet-GPC'!BT19</f>
        <v>0.55656194139049708</v>
      </c>
      <c r="BU21" s="417">
        <f>'Capital IQ Sheet-GPC'!BU19</f>
        <v>0.57073646955180102</v>
      </c>
      <c r="BV21" s="417">
        <f>'Capital IQ Sheet-GPC'!BV19</f>
        <v>0.5773424632119396</v>
      </c>
      <c r="BW21" s="417">
        <f>'Capital IQ Sheet-GPC'!BW19</f>
        <v>0.68787185822676966</v>
      </c>
      <c r="BX21" s="417">
        <f>'Capital IQ Sheet-GPC'!BX19</f>
        <v>0.67589586874005481</v>
      </c>
      <c r="BY21" s="417">
        <f>'Capital IQ Sheet-GPC'!BY19</f>
        <v>0.67820609943985266</v>
      </c>
      <c r="BZ21" s="417">
        <f>'Capital IQ Sheet-GPC'!BZ19</f>
        <v>0.65861760749066267</v>
      </c>
      <c r="CB21" s="371">
        <v>2</v>
      </c>
      <c r="CC21" s="495" t="s">
        <v>150</v>
      </c>
      <c r="CD21" s="495" t="s">
        <v>149</v>
      </c>
      <c r="CE21" s="373">
        <f>$B$1-365*CB21</f>
        <v>42551</v>
      </c>
    </row>
    <row r="22" spans="1:83" s="371" customFormat="1" ht="12.75">
      <c r="A22" s="372" t="str">
        <f>_xll.ciqfunctions.udf.CIQ($B22,"IQ_COMPANY_TICKER")</f>
        <v>NasdaqGM:FOLD</v>
      </c>
      <c r="B22" s="412" t="str">
        <f>'Capital IQ Sheet-GPC'!B22</f>
        <v>IQ7009878</v>
      </c>
      <c r="C22" s="372" t="str">
        <f>_xll.ciqfunctions.udf.CIQ($A22,"IQ_COMPANY_NAME")</f>
        <v>Amicus Therapeutics, Inc.</v>
      </c>
      <c r="D22" s="372" t="str">
        <f>_xll.ciqfunctions.udf.CIQ($A22, "IQ_EXCHANGE")</f>
        <v>NasdaqGM</v>
      </c>
      <c r="E22" s="411">
        <f>_xll.ciqfunctions.udf.CIQ($A22, "IQ_PERIODDATE_IS", IQ_FY)</f>
        <v>43100</v>
      </c>
      <c r="F22" s="411">
        <f>_xll.ciqfunctions.udf.CIQ(A22, "IQ_PERIODDATE_IS", IQ_LTM, $B$1,$L$4,$L$3)</f>
        <v>43190</v>
      </c>
      <c r="G22" s="411">
        <f>_xll.ciqfunctions.udf.CIQ($A22, "IQ_FIRSTPRICINGDATE")</f>
        <v>39233</v>
      </c>
      <c r="H22" s="413">
        <f>_xll.ciqfunctions.udf.CIQ($A22, "IQ_TEV", $L$2, $L$5, $L$6)</f>
        <v>2548.1713800000002</v>
      </c>
      <c r="I22" s="413">
        <f>_xll.ciqfunctions.udf.CIQ(A22, "IQ_LASTSALEPRICE", $B$1,$L$5)</f>
        <v>15.62</v>
      </c>
      <c r="J22" s="413">
        <f>_xll.ciqfunctions.udf.CIQ($A22, "IQ_MARKETCAP", $L$2, $L$5, $L$6)</f>
        <v>2943.9233800000002</v>
      </c>
      <c r="K22" s="413">
        <f>_xll.ciqfunctions.udf.CIQ($A22, "IQ_TOTAL_DEBT", IQ_LTM, $L$2,$L$4, $L$3, $L$5, $L$6)</f>
        <v>166.768</v>
      </c>
      <c r="L22" s="413">
        <f>_xll.ciqfunctions.udf.CIQ($A22, "IQ_PREF_EQUITY", IQ_LTM, $L$2, $L$4, $L$3, $L$5, $L$6)</f>
        <v>0</v>
      </c>
      <c r="M22" s="413">
        <f>_xll.ciqfunctions.udf.CIQ($A22, "IQ_MINORITY_INTEREST_TOTAL", IQ_LTM, $L$2, $L$4, $L$3, $L$5, $L$6)</f>
        <v>0</v>
      </c>
      <c r="N22" s="413">
        <f>_xll.ciqfunctions.udf.CIQ($A22, "IQ_CASH_ST_INVEST", IQ_LTM, $L$2, $L$4, $L$3, $L$5, $L$6)</f>
        <v>562.52</v>
      </c>
      <c r="O22" s="413">
        <f>_xll.ciqfunctions.udf.CIQ($A22, "IQ_TOTAL_REV", IQ_LTM-8, $L$2, $L$4, $L$3, $L$5, $L$6)</f>
        <v>0</v>
      </c>
      <c r="P22" s="413">
        <f>_xll.ciqfunctions.udf.CIQ($A22, "IQ_TOTAL_REV", IQ_LTM - 4, $L$2, $L$4, $L$3, $L$5,$L$6)</f>
        <v>9.1270000000000007</v>
      </c>
      <c r="Q22" s="413">
        <f>_xll.ciqfunctions.udf.CIQ($A22, "IQ_TOTAL_REV", IQ_LTM, $L$2, $L$4, $L$3, $L$5, $L$6)</f>
        <v>49.457000000000001</v>
      </c>
      <c r="R22" s="413">
        <f>_xll.ciqfunctions.udf.CIQ($A22, "IQ_TOTAL_REV", $B$2, $L$2, $L$4, $L$3, $L$5, $L$6)</f>
        <v>4.9580000000000002</v>
      </c>
      <c r="S22" s="413">
        <f>IF(_xll.ciqfunctions.udf.CIQ($A22, "IQ_TOTAL_REV", $B$3, $L$2,$L$4, $L$3, $L$5, $L$6)=0,Q22,_xll.ciqfunctions.udf.CIQ($A22, "IQ_TOTAL_REV", $B$3, $L$2,$L$4, $L$3, $L$5, $L$6))</f>
        <v>36.93</v>
      </c>
      <c r="T22" s="413">
        <f>IF(_xll.ciqfunctions.udf.CIQ($A22, "IQ_REVENUE_EST",$B$4, $L$2, "CON", $L$3, $L$5, $L$6)=0,"n/a",_xll.ciqfunctions.udf.CIQ($A22, "IQ_REVENUE_EST",$B$4, $L$2, "CON", $L$3, $L$5, $L$6))</f>
        <v>86.128420000000006</v>
      </c>
      <c r="U22" s="413">
        <f>IF(_xll.ciqfunctions.udf.CIQ($A22, "IQ_REVENUE_EST",$B$5, $L$2, "CON", $L$3, $L$5, $L$6)=0,"n/a",_xll.ciqfunctions.udf.CIQ($A22, "IQ_REVENUE_EST",$B$5, $L$2, "CON", $L$3, $L$5, $L$6))</f>
        <v>171.63927000000001</v>
      </c>
      <c r="V22" s="413">
        <f>IF(_xll.ciqfunctions.udf.CIQ($A22, "IQ_REVENUE_EST",$B$6, $L$2, "CON", $L$3, $L$5, $L$6)=0,"n/a",_xll.ciqfunctions.udf.CIQ($A22, "IQ_REVENUE_EST",$B$6, $L$2, "CON", $L$3, $L$5, $L$6))</f>
        <v>249.64086</v>
      </c>
      <c r="W22" s="413">
        <f>IF(_xll.ciqfunctions.udf.CIQ($A22, "IQ_REVENUE_EST", $B$7, $L$2, "CON", $L$3, $L$5, $L$6)=0,"n/a",_xll.ciqfunctions.udf.CIQ($A22, "IQ_REVENUE_EST",$B$7, $L$2, "CON", $L$3, $L$5, $L$6))</f>
        <v>372.8</v>
      </c>
      <c r="X22" s="413">
        <f>_xll.ciqfunctions.udf.CIQ($A22, "IQ_EBITDA", IQ_LTM-8, $L$2, $L$4, $L$3, $L$5, $L$6)</f>
        <v>-140.798</v>
      </c>
      <c r="Y22" s="413">
        <f>_xll.ciqfunctions.udf.CIQ($A22, "IQ_EBITDA", IQ_LTM-4, $L$2,$L$4, $L$3, $L$5, $L$6)</f>
        <v>-179.30699999999999</v>
      </c>
      <c r="Z22" s="413">
        <f>_xll.ciqfunctions.udf.CIQ($A22, "IQ_EBITDA", IQ_LTM, $L$2, $L$4, $L$3, $L$5, $L$6)</f>
        <v>-206.286</v>
      </c>
      <c r="AA22" s="413">
        <f>_xll.ciqfunctions.udf.CIQ($A22, "IQ_EBITDA", $B$2, $L$2, $L$4, $L$3, $L$5, $L$6)</f>
        <v>-171.81899999999999</v>
      </c>
      <c r="AB22" s="413">
        <f>IF(_xll.ciqfunctions.udf.CIQ($A22, "IQ_EBITDA", $B$3, $L$2,$L$4, $L$3, $L$5, $L$6)=0,Z22,_xll.ciqfunctions.udf.CIQ($A22, "IQ_EBITDA", $B$3, $L$2,$L$4, $L$3, $L$5, $L$6))</f>
        <v>-198.78700000000001</v>
      </c>
      <c r="AC22" s="413">
        <f>IF(_xll.ciqfunctions.udf.CIQ($A22, "IQ_EBITDA_EST",$B$4, $L$2, "CON", $L$3, $L$5, $L$6)=0,"n/a",_xll.ciqfunctions.udf.CIQ($A22, "IQ_EBITDA_EST",$B$4, $L$2, "CON", $L$3, $L$5, $L$6))</f>
        <v>-223.57651999999999</v>
      </c>
      <c r="AD22" s="413">
        <f>IF(_xll.ciqfunctions.udf.CIQ($A22, "IQ_EBITDA_EST",$B$5, $L$2, "CON", $L$3, $L$5, $L$6)=0,"n/a",_xll.ciqfunctions.udf.CIQ($A22, "IQ_EBITDA_EST",$B$5, $L$2, "CON", $L$3, $L$5, $L$6))</f>
        <v>-208.11902000000001</v>
      </c>
      <c r="AE22" s="413">
        <f>IF(_xll.ciqfunctions.udf.CIQ($A22, "IQ_EBITDA_EST",$B$6, $L$2, "CON", $L$3, $L$5, $L$6)=0,"n/a",_xll.ciqfunctions.udf.CIQ($A22, "IQ_EBITDA_EST",$B$6, $L$2, "CON", $L$3, $L$5, $L$6))</f>
        <v>-137.76684</v>
      </c>
      <c r="AF22" s="414">
        <f>IF(ISERROR(_xll.ciqfunctions.udf.CIQ($A22, "IQ_GROSS_MARGIN", IQ_LTM, $L$2,$L$4, $L$3, $L$5, $L$6)/100), "n/a", _xll.ciqfunctions.udf.CIQ($A22,  "IQ_GROSS_MARGIN", IQ_LTM, $L$2, $L$4, $L$3, $L$5, $L$6)/100)</f>
        <v>0.83670599999999995</v>
      </c>
      <c r="AG22" s="414" t="str">
        <f>IF(ISERROR(_xll.ciqfunctions.udf.CIQ($A22,"IQ_EBITDA_MARGIN", IQ_LTM, $L$2, $L$4, $L$3, $L$5, $L$6)/100), "n/a", _xll.ciqfunctions.udf.CIQ($A22, "IQ_EBITDA_MARGIN", IQ_LTM, $L$2, $L$4, $L$3, $L$5, $L$6)/100)</f>
        <v>n/a</v>
      </c>
      <c r="AH22" s="414" t="str">
        <f>IF(ISERROR(_xll.ciqfunctions.udf.CIQ($A22,"IQ_EBIT_MARGIN", IQ_LTM, $L$2, $L$4, $L$3, $L$5, $L$6)/100), "n/a", _xll.ciqfunctions.udf.CIQ($A22, "IQ_EBIT_MARGIN", IQ_LTM, $L$2, $L$4, $L$3, $L$5, $L$6)/100)</f>
        <v>n/a</v>
      </c>
      <c r="AI22" s="414" t="str">
        <f>IF(ISERROR(_xll.ciqfunctions.udf.CIQ($A22,"IQ_NI_MARGIN", IQ_LTM, $L$2, $L$4, $L$3, $L$5, $L$6)/100), "n/a", _xll.ciqfunctions.udf.CIQ($A22, "IQ_NI_MARGIN", IQ_LTM, $L$2, $L$4, $L$3, $L$5, $L$6)/100)</f>
        <v>n/a</v>
      </c>
      <c r="AJ22" s="413">
        <f>_xll.ciqfunctions.udf.CIQ($A22,"IQ_TOTAL_CA",IQ_LTM-8,$L$2, $L$4, $L$3, $L$5, $L$6)-_xll.ciqfunctions.udf.CIQ($A22,"IQ_TOTAL_CL",IQ_LTM-8,$L$2, $L$4, $L$3, $L$5, $L$6)</f>
        <v>104.086</v>
      </c>
      <c r="AK22" s="413">
        <f>_xll.ciqfunctions.udf.CIQ($A22,"IQ_TOTAL_CA",IQ_LTM-4,$L$2, $L$4, $L$3, $L$5, $L$6)-_xll.ciqfunctions.udf.CIQ($A22,"IQ_TOTAL_CL",IQ_LTM-4,$L$2, $L$4, $L$3, $L$5, $L$6)</f>
        <v>186.61099999999999</v>
      </c>
      <c r="AL22" s="413">
        <f>_xll.ciqfunctions.udf.CIQ($A22,"IQ_TOTAL_CA",IQ_LTM,$L$2, $L$4, $L$3, $L$5, $L$6)-_xll.ciqfunctions.udf.CIQ($A22,"IQ_TOTAL_CL",IQ_LTM,$L$2, $L$4, $L$3, $L$5, $L$6)</f>
        <v>451.32799999999997</v>
      </c>
      <c r="AM22" s="413">
        <f>IF(ISERROR(_xll.ciqfunctions.udf.CIQ($A22, "IQ_Capex", IQ_LTM-8, $L$2,$L$4, $L$3, $L$5, $L$6)), "n/a", _xll.ciqfunctions.udf.CIQ($A22, "IQ_Capex", IQ_LTM-8, $L$2, $L$4, $L$3, $L$5, $L$6))</f>
        <v>-6.9420000000000002</v>
      </c>
      <c r="AN22" s="413">
        <f>IF(ISERROR(_xll.ciqfunctions.udf.CIQ($A22, "IQ_Capex", IQ_LTM-4, $L$2,$L$4, $L$3, $L$5, $L$6)), "n/a", _xll.ciqfunctions.udf.CIQ($A22, "IQ_Capex", IQ_LTM-4, $L$2,$L$4, $L$3, $L$5, $L$6))</f>
        <v>-3.8050000000000002</v>
      </c>
      <c r="AO22" s="413">
        <f>IF(ISERROR(_xll.ciqfunctions.udf.CIQ($A22, "IQ_Capex", IQ_LTM, $L$2, $L$4, $L$3, $L$5, $L$6)), "n/a", _xll.ciqfunctions.udf.CIQ($A22, "IQ_Capex", IQ_LTM, $L$2, $L$4, $L$3, $L$5, $L$6))</f>
        <v>-4.6130000000000004</v>
      </c>
      <c r="AP22" s="415" t="str">
        <f>_xll.ciqfunctions.udf.CIQ(A22, "IQ_BUSINESS_DESCRIPTION")</f>
        <v>Amicus Therapeutics, Inc., a biotechnology company, engages in the discovery, development, and commercialization of medicines for various rare and orphan diseases. The company offers migalastat HCl, an orally administered small molecule pharmacological chaperone for the treatment of Fabry disease. It is also conducting a Phase 1/2 clinical study of ATB200-02 to investigate in patients with pompe disease. The company has strategic alliance with GlaxoSmithKline plc to develop and commercialize migalastat as a monotherapy and in combination with ERT for Fabry disease. Amicus Therapeutics, Inc. was founded in 2002 and is headquartered in Cranbury, New Jersey.</v>
      </c>
      <c r="AQ22" s="416">
        <f>_xll.ciqfunctions.udf.CIQ($A22, "IQ_BETA_1YR", $B$1)</f>
        <v>1.40198</v>
      </c>
      <c r="AR22" s="416">
        <f>_xll.ciqfunctions.udf.CIQ($A22, "IQ_BETA_2YR", $B$1)</f>
        <v>2.5157799999999999</v>
      </c>
      <c r="AS22" s="416">
        <f>_xll.ciqfunctions.udf.CIQ($A22, "IQ_BETA_5YR", $B$1)</f>
        <v>1.41713</v>
      </c>
      <c r="AT22" s="414">
        <f>_xll.ciqfunctions.udf.CIQ($A22, "IQ_DIVIDEND_YIELD", $B$1)/100</f>
        <v>0</v>
      </c>
      <c r="AU22" s="413">
        <f>_xll.ciqfunctions.udf.CIQ($A22, "IQ_EARNING_CO", IQ_LTM-8, $L$2, $L$4, $L$3, $L$5, $L$6)</f>
        <v>-151.52099999999999</v>
      </c>
      <c r="AV22" s="413">
        <f>_xll.ciqfunctions.udf.CIQ($A22, "IQ_EARNING_CO", IQ_LTM-4, $L$2, $L$4, $L$3, $L$5, $L$6)</f>
        <v>-211.34299999999999</v>
      </c>
      <c r="AW22" s="413">
        <f>_xll.ciqfunctions.udf.CIQ($A22, "IQ_EARNING_CO", IQ_LTM, $L$2, $L$4, $L$3, $L$5, $L$6)</f>
        <v>-278.92599999999999</v>
      </c>
      <c r="AX22" s="413">
        <f>_xll.ciqfunctions.udf.CIQ($A22, "IQ_EARNING_CO", $B$2, $L$2, $L$4, $L$3, $L$5, $L$6)</f>
        <v>-200.042</v>
      </c>
      <c r="AY22" s="413">
        <f>IF(_xll.ciqfunctions.udf.CIQ($A22, "IQ_EARNING_CO", $B$3, $L$2,$L$4, $L$3, $L$5, $L$6)=0,AW22,_xll.ciqfunctions.udf.CIQ($A22, "IQ_EARNING_CO", $B$3, $L$2,$L$4, $L$3, $L$5, $L$6))</f>
        <v>-284.00200000000001</v>
      </c>
      <c r="AZ22" s="413">
        <f>_xll.ciqfunctions.udf.CIQ($A22, "IQ_TOTAL_EQUITY", IQ_LTM-8, $L$2, $L$4, $L$3, $L$5, $L$6)</f>
        <v>311.63200000000001</v>
      </c>
      <c r="BA22" s="413">
        <f>_xll.ciqfunctions.udf.CIQ($A22, "IQ_TOTAL_EQUITY", IQ_LTM-4, $L$2, $L$4, $L$3, $L$5, $L$6)</f>
        <v>310.77800000000002</v>
      </c>
      <c r="BB22" s="413">
        <f>_xll.ciqfunctions.udf.CIQ($A22, "IQ_TOTAL_EQUITY", IQ_LTM, $L$2, $L$4, $L$3, $L$5, $L$6)</f>
        <v>521.61699999999996</v>
      </c>
      <c r="BC22" s="413">
        <f>_xll.ciqfunctions.udf.CIQ($A22, "IQ_TOTAL_EQUITY", $B$2, $L$2, $L$4, $L$3, $L$5, $L$6)</f>
        <v>360.15100000000001</v>
      </c>
      <c r="BD22" s="413">
        <f>IF(_xll.ciqfunctions.udf.CIQ($A22, "IQ_TOTAL_EQUITY", $B$3, $L$2,$L$4, $L$3, $L$5, $L$6)=0,BB22,_xll.ciqfunctions.udf.CIQ($A22, "IQ_TOTAL_EQUITY", $B$3, $L$2,$L$4, $L$3, $L$5, $L$6))</f>
        <v>352.85</v>
      </c>
      <c r="BE22" s="413">
        <f>_xll.ciqfunctions.udf.CIQ(A22, "IQ_LASTSALEPRICE", $B$8)</f>
        <v>15.04</v>
      </c>
      <c r="BF22" s="413">
        <f>_xll.ciqfunctions.udf.CIQ($A22, "IQ_MARKETCAP", $B$8, $L$5, $L$6)</f>
        <v>2810.8469399999999</v>
      </c>
      <c r="BG22" s="413">
        <f>_xll.ciqfunctions.udf.CIQ($A22, "IQ_TOTAL_DEBT", IQ_LTM, $B$8,$L$4, $L$3, $L$5, $L$6)</f>
        <v>164.47399999999999</v>
      </c>
      <c r="BH22" s="371">
        <f>_xll.ciqfunctions.udf.CIQ($A22,"IQ_PREF_EQUITY",IQ_LTM,$B$8,$L$4,$L$3,$L$5,$L$6)</f>
        <v>0</v>
      </c>
      <c r="BI22" s="371">
        <f>_xll.ciqfunctions.udf.CIQ($A22, "IQ_MINORITY_INTEREST_TOTAL", IQ_LTM,$B$8,$L$4,$L$3,$L$5,$L$6)</f>
        <v>0</v>
      </c>
      <c r="BJ22" s="413">
        <f>_xll.ciqfunctions.udf.CIQ($A22, "IQ_CASH_ST_INVEST", IQ_LTM, $B$8, $L$4, $L$3, $L$5, $L$6)</f>
        <v>358.56200000000001</v>
      </c>
      <c r="BK22" s="371" t="str">
        <f>_xll.ciqfunctions.udf.CIQ($A22, "IQ_EFFECT_TAX_RATE")</f>
        <v>NM</v>
      </c>
      <c r="BL22" s="371">
        <f>IF(_xll.ciqfunctions.udf.CIQ($A22, "IQ_TOTAL_REV_2YR_ANN_CAGR", IQ_LTM, $B$1,$L$4, $L$3, $L$5, $L$6)="NM","n/a",(_xll.ciqfunctions.udf.CIQ($A22, "IQ_TOTAL_REV_2YR_ANN_CAGR", IQ_LTM, $B$1,$L$4, $L$3, $L$5, $L$6)/100))</f>
        <v>0</v>
      </c>
      <c r="BM22" s="371">
        <f>IF(_xll.ciqfunctions.udf.CIQ($A22, "IQ_TOTAL_REV_3YR_ANN_CAGR", IQ_LTM, $B$1,$L$4, $L$3, $L$5, $L$6)="NM","n/a",(_xll.ciqfunctions.udf.CIQ($A22, "IQ_TOTAL_REV_3YR_ANN_CAGR", IQ_LTM, $B$1,$L$4, $L$3, $L$5, $L$6)/100))</f>
        <v>3.008257</v>
      </c>
      <c r="BN22" s="371">
        <f>IF(_xll.ciqfunctions.udf.CIQ($A22, "IQ_TOTAL_REV_5YR_ANN_CAGR", IQ_LTM, $B$1,$L$4, $L$3, $L$5, $L$6)="NM","n/a",(_xll.ciqfunctions.udf.CIQ($A22, "IQ_TOTAL_REV_5YR_ANN_CAGR", IQ_LTM, $B$1,$L$4, $L$3, $L$5, $L$6)/100))</f>
        <v>0.359821</v>
      </c>
      <c r="BO22" s="371" t="str">
        <f>IF(_xll.ciqfunctions.udf.CIQ($A22,"IQ_EBITDA_2YR_ANN_CAGR", IQ_LTM,$B$1,$L$4, $L$3, $L$5, $L$6)="NM","n/a",(_xll.ciqfunctions.udf.CIQ($A22,"IQ_EBITDA_2YR_ANN_CAGR", IQ_LTM,$B$1,$L$4, $L$3, $L$5, $L$6)/100))</f>
        <v>n/a</v>
      </c>
      <c r="BP22" s="371" t="str">
        <f>IF(_xll.ciqfunctions.udf.CIQ($A22,"IQ_EBITDA_3YR_ANN_CAGR", IQ_LTM,$B$1,$L$4, $L$3, $L$5, $L$6)="NM","n/a",(_xll.ciqfunctions.udf.CIQ($A22,"IQ_EBITDA_3YR_ANN_CAGR", IQ_LTM,$B$1,$L$4, $L$3, $L$5, $L$6)/100))</f>
        <v>n/a</v>
      </c>
      <c r="BQ22" s="371" t="str">
        <f>IF(_xll.ciqfunctions.udf.CIQ($A22,"IQ_EBITDA_5YR_ANN_CAGR", IQ_LTM,$B$1,$L$4, $L$3, $L$5, $L$6)="NM","n/a",(_xll.ciqfunctions.udf.CIQ($A22,"IQ_EBITDA_5YR_ANN_CAGR", IQ_LTM,$B$1,$L$4, $L$3, $L$5, $L$6)/100))</f>
        <v>n/a</v>
      </c>
      <c r="BR22" s="375">
        <f>IFERROR((_xll.ciqfunctions.udf.CIQ($A22, "IQ_DA_CF", IQ_LTM, $B$1, $L$4, $L$3, $L$5, $L$6)/Q22),"NM")</f>
        <v>7.5601027154902231E-2</v>
      </c>
      <c r="BS22" s="417">
        <f>'Capital IQ Sheet-GPC'!BS22</f>
        <v>0.55801884982157191</v>
      </c>
      <c r="BT22" s="417">
        <f>'Capital IQ Sheet-GPC'!BT22</f>
        <v>0.62463087489829994</v>
      </c>
      <c r="BU22" s="417">
        <f>'Capital IQ Sheet-GPC'!BU22</f>
        <v>0.81713503666063581</v>
      </c>
      <c r="BV22" s="417">
        <f>'Capital IQ Sheet-GPC'!BV22</f>
        <v>0.78752459862572421</v>
      </c>
      <c r="BW22" s="417">
        <f>'Capital IQ Sheet-GPC'!BW22</f>
        <v>0.74667290845052103</v>
      </c>
      <c r="BX22" s="417">
        <f>'Capital IQ Sheet-GPC'!BX22</f>
        <v>0.78612432866511328</v>
      </c>
      <c r="BY22" s="417">
        <f>'Capital IQ Sheet-GPC'!BY22</f>
        <v>0.79038060209848571</v>
      </c>
      <c r="BZ22" s="417">
        <f>'Capital IQ Sheet-GPC'!BZ22</f>
        <v>0.76631316661183047</v>
      </c>
      <c r="CB22" s="371">
        <v>2</v>
      </c>
      <c r="CC22" s="495" t="s">
        <v>150</v>
      </c>
      <c r="CD22" s="495" t="s">
        <v>149</v>
      </c>
      <c r="CE22" s="373">
        <f t="shared" si="0"/>
        <v>42551</v>
      </c>
    </row>
    <row r="23" spans="1:83" s="371" customFormat="1" ht="12.75">
      <c r="A23" s="372" t="str">
        <f>_xll.ciqfunctions.udf.CIQ($B23,"IQ_COMPANY_TICKER")</f>
        <v>NYSE:MYOV</v>
      </c>
      <c r="B23" s="412" t="str">
        <f>'Capital IQ Sheet-GPC'!B23</f>
        <v>IQ403430039</v>
      </c>
      <c r="C23" s="372" t="str">
        <f>_xll.ciqfunctions.udf.CIQ($A23,"IQ_COMPANY_NAME")</f>
        <v>Myovant Sciences Ltd.</v>
      </c>
      <c r="D23" s="372" t="str">
        <f>_xll.ciqfunctions.udf.CIQ($A23, "IQ_EXCHANGE")</f>
        <v>NYSE</v>
      </c>
      <c r="E23" s="411">
        <f>_xll.ciqfunctions.udf.CIQ($A23, "IQ_PERIODDATE_IS", IQ_FY)</f>
        <v>43190</v>
      </c>
      <c r="F23" s="411">
        <f>_xll.ciqfunctions.udf.CIQ(A23, "IQ_PERIODDATE_IS", IQ_LTM, $B$1,$L$4,$L$3)</f>
        <v>43190</v>
      </c>
      <c r="G23" s="411">
        <f>_xll.ciqfunctions.udf.CIQ($A23, "IQ_FIRSTPRICINGDATE")</f>
        <v>42670</v>
      </c>
      <c r="H23" s="413">
        <f>_xll.ciqfunctions.udf.CIQ($A23, "IQ_TEV", $L$2, $L$5, $L$6)</f>
        <v>1418.6912500000001</v>
      </c>
      <c r="I23" s="413">
        <f>_xll.ciqfunctions.udf.CIQ(A23, "IQ_LASTSALEPRICE", $B$1,$L$5)</f>
        <v>22.87</v>
      </c>
      <c r="J23" s="413">
        <f>_xll.ciqfunctions.udf.CIQ($A23, "IQ_MARKETCAP", $L$2, $L$5, $L$6)</f>
        <v>1483.6912500000001</v>
      </c>
      <c r="K23" s="413">
        <f>_xll.ciqfunctions.udf.CIQ($A23, "IQ_TOTAL_DEBT", IQ_LTM, $L$2,$L$4, $L$3, $L$5, $L$6)</f>
        <v>43.624000000000002</v>
      </c>
      <c r="L23" s="413">
        <f>_xll.ciqfunctions.udf.CIQ($A23, "IQ_PREF_EQUITY", IQ_LTM, $L$2, $L$4, $L$3, $L$5, $L$6)</f>
        <v>0</v>
      </c>
      <c r="M23" s="413">
        <f>_xll.ciqfunctions.udf.CIQ($A23, "IQ_MINORITY_INTEREST_TOTAL", IQ_LTM, $L$2, $L$4, $L$3, $L$5, $L$6)</f>
        <v>0</v>
      </c>
      <c r="N23" s="413">
        <f>_xll.ciqfunctions.udf.CIQ($A23, "IQ_CASH_ST_INVEST", IQ_LTM, $L$2, $L$4, $L$3, $L$5, $L$6)</f>
        <v>108.624</v>
      </c>
      <c r="O23" s="413">
        <f>_xll.ciqfunctions.udf.CIQ($A23, "IQ_TOTAL_REV", IQ_LTM-8, $L$2, $L$4, $L$3, $L$5, $L$6)</f>
        <v>0</v>
      </c>
      <c r="P23" s="413">
        <f>_xll.ciqfunctions.udf.CIQ($A23, "IQ_TOTAL_REV", IQ_LTM - 4, $L$2, $L$4, $L$3, $L$5,$L$6)</f>
        <v>0</v>
      </c>
      <c r="Q23" s="413">
        <f>_xll.ciqfunctions.udf.CIQ($A23, "IQ_TOTAL_REV", IQ_LTM, $L$2, $L$4, $L$3, $L$5, $L$6)</f>
        <v>0</v>
      </c>
      <c r="R23" s="413">
        <f>_xll.ciqfunctions.udf.CIQ($A23, "IQ_TOTAL_REV", $B$2, $L$2, $L$4, $L$3, $L$5, $L$6)</f>
        <v>0</v>
      </c>
      <c r="S23" s="413">
        <f>IF(_xll.ciqfunctions.udf.CIQ($A23, "IQ_TOTAL_REV", $B$3, $L$2,$L$4, $L$3, $L$5, $L$6)=0,Q23,_xll.ciqfunctions.udf.CIQ($A23, "IQ_TOTAL_REV", $B$3, $L$2,$L$4, $L$3, $L$5, $L$6))</f>
        <v>0</v>
      </c>
      <c r="T23" s="413" t="str">
        <f>IF(_xll.ciqfunctions.udf.CIQ($A23, "IQ_REVENUE_EST",$B$4, $L$2, "CON", $L$3, $L$5, $L$6)=0,"n/a",_xll.ciqfunctions.udf.CIQ($A23, "IQ_REVENUE_EST",$B$4, $L$2, "CON", $L$3, $L$5, $L$6))</f>
        <v>n/a</v>
      </c>
      <c r="U23" s="413">
        <f>IF(_xll.ciqfunctions.udf.CIQ($A23, "IQ_REVENUE_EST",$B$5, $L$2, "CON", $L$3, $L$5, $L$6)=0,"n/a",_xll.ciqfunctions.udf.CIQ($A23, "IQ_REVENUE_EST",$B$5, $L$2, "CON", $L$3, $L$5, $L$6))</f>
        <v>28.75</v>
      </c>
      <c r="V23" s="413">
        <f>IF(_xll.ciqfunctions.udf.CIQ($A23, "IQ_REVENUE_EST",$B$6, $L$2, "CON", $L$3, $L$5, $L$6)=0,"n/a",_xll.ciqfunctions.udf.CIQ($A23, "IQ_REVENUE_EST",$B$6, $L$2, "CON", $L$3, $L$5, $L$6))</f>
        <v>10</v>
      </c>
      <c r="W23" s="413">
        <f>IF(_xll.ciqfunctions.udf.CIQ($A23, "IQ_REVENUE_EST", $B$7, $L$2, "CON", $L$3, $L$5, $L$6)=0,"n/a",_xll.ciqfunctions.udf.CIQ($A23, "IQ_REVENUE_EST",$B$7, $L$2, "CON", $L$3, $L$5, $L$6))</f>
        <v>178.75</v>
      </c>
      <c r="X23" s="413">
        <f>_xll.ciqfunctions.udf.CIQ($A23, "IQ_EBITDA", IQ_LTM-8, $L$2, $L$4, $L$3, $L$5, $L$6)</f>
        <v>0</v>
      </c>
      <c r="Y23" s="413">
        <f>_xll.ciqfunctions.udf.CIQ($A23, "IQ_EBITDA", IQ_LTM-4, $L$2,$L$4, $L$3, $L$5, $L$6)</f>
        <v>-55.795999999999999</v>
      </c>
      <c r="Z23" s="413">
        <f>_xll.ciqfunctions.udf.CIQ($A23, "IQ_EBITDA", IQ_LTM, $L$2, $L$4, $L$3, $L$5, $L$6)</f>
        <v>-140.82</v>
      </c>
      <c r="AA23" s="413">
        <f>_xll.ciqfunctions.udf.CIQ($A23, "IQ_EBITDA", $B$2, $L$2, $L$4, $L$3, $L$5, $L$6)</f>
        <v>0</v>
      </c>
      <c r="AB23" s="413">
        <f>IF(_xll.ciqfunctions.udf.CIQ($A23, "IQ_EBITDA", $B$3, $L$2,$L$4, $L$3, $L$5, $L$6)=0,Z23,_xll.ciqfunctions.udf.CIQ($A23, "IQ_EBITDA", $B$3, $L$2,$L$4, $L$3, $L$5, $L$6))</f>
        <v>-116.443</v>
      </c>
      <c r="AC23" s="413" t="str">
        <f>IF(_xll.ciqfunctions.udf.CIQ($A23, "IQ_EBITDA_EST",$B$4, $L$2, "CON", $L$3, $L$5, $L$6)=0,"n/a",_xll.ciqfunctions.udf.CIQ($A23, "IQ_EBITDA_EST",$B$4, $L$2, "CON", $L$3, $L$5, $L$6))</f>
        <v>n/a</v>
      </c>
      <c r="AD23" s="413" t="str">
        <f>IF(_xll.ciqfunctions.udf.CIQ($A23, "IQ_EBITDA_EST",$B$5, $L$2, "CON", $L$3, $L$5, $L$6)=0,"n/a",_xll.ciqfunctions.udf.CIQ($A23, "IQ_EBITDA_EST",$B$5, $L$2, "CON", $L$3, $L$5, $L$6))</f>
        <v>n/a</v>
      </c>
      <c r="AE23" s="413" t="str">
        <f>IF(_xll.ciqfunctions.udf.CIQ($A23, "IQ_EBITDA_EST",$B$6, $L$2, "CON", $L$3, $L$5, $L$6)=0,"n/a",_xll.ciqfunctions.udf.CIQ($A23, "IQ_EBITDA_EST",$B$6, $L$2, "CON", $L$3, $L$5, $L$6))</f>
        <v>n/a</v>
      </c>
      <c r="AF23" s="414">
        <f>IF(ISERROR(_xll.ciqfunctions.udf.CIQ($A23, "IQ_GROSS_MARGIN", IQ_LTM, $L$2,$L$4, $L$3, $L$5, $L$6)/100), "n/a", _xll.ciqfunctions.udf.CIQ($A23,  "IQ_GROSS_MARGIN", IQ_LTM, $L$2, $L$4, $L$3, $L$5, $L$6)/100)</f>
        <v>0</v>
      </c>
      <c r="AG23" s="414">
        <f>IF(ISERROR(_xll.ciqfunctions.udf.CIQ($A23,"IQ_EBITDA_MARGIN", IQ_LTM, $L$2, $L$4, $L$3, $L$5, $L$6)/100), "n/a", _xll.ciqfunctions.udf.CIQ($A23, "IQ_EBITDA_MARGIN", IQ_LTM, $L$2, $L$4, $L$3, $L$5, $L$6)/100)</f>
        <v>0</v>
      </c>
      <c r="AH23" s="414">
        <f>IF(ISERROR(_xll.ciqfunctions.udf.CIQ($A23,"IQ_EBIT_MARGIN", IQ_LTM, $L$2, $L$4, $L$3, $L$5, $L$6)/100), "n/a", _xll.ciqfunctions.udf.CIQ($A23, "IQ_EBIT_MARGIN", IQ_LTM, $L$2, $L$4, $L$3, $L$5, $L$6)/100)</f>
        <v>0</v>
      </c>
      <c r="AI23" s="414">
        <f>IF(ISERROR(_xll.ciqfunctions.udf.CIQ($A23,"IQ_NI_MARGIN", IQ_LTM, $L$2, $L$4, $L$3, $L$5, $L$6)/100), "n/a", _xll.ciqfunctions.udf.CIQ($A23, "IQ_NI_MARGIN", IQ_LTM, $L$2, $L$4, $L$3, $L$5, $L$6)/100)</f>
        <v>0</v>
      </c>
      <c r="AJ23" s="413">
        <f>_xll.ciqfunctions.udf.CIQ($A23,"IQ_TOTAL_CA",IQ_LTM-8,$L$2, $L$4, $L$3, $L$5, $L$6)-_xll.ciqfunctions.udf.CIQ($A23,"IQ_TOTAL_CL",IQ_LTM-8,$L$2, $L$4, $L$3, $L$5, $L$6)</f>
        <v>0</v>
      </c>
      <c r="AK23" s="413">
        <f>_xll.ciqfunctions.udf.CIQ($A23,"IQ_TOTAL_CA",IQ_LTM-4,$L$2, $L$4, $L$3, $L$5, $L$6)-_xll.ciqfunctions.udf.CIQ($A23,"IQ_TOTAL_CL",IQ_LTM-4,$L$2, $L$4, $L$3, $L$5, $L$6)</f>
        <v>165.827</v>
      </c>
      <c r="AL23" s="413">
        <f>_xll.ciqfunctions.udf.CIQ($A23,"IQ_TOTAL_CA",IQ_LTM,$L$2, $L$4, $L$3, $L$5, $L$6)-_xll.ciqfunctions.udf.CIQ($A23,"IQ_TOTAL_CL",IQ_LTM,$L$2, $L$4, $L$3, $L$5, $L$6)</f>
        <v>77.677999999999997</v>
      </c>
      <c r="AM23" s="413">
        <f>IF(ISERROR(_xll.ciqfunctions.udf.CIQ($A23, "IQ_Capex", IQ_LTM-8, $L$2,$L$4, $L$3, $L$5, $L$6)), "n/a", _xll.ciqfunctions.udf.CIQ($A23, "IQ_Capex", IQ_LTM-8, $L$2, $L$4, $L$3, $L$5, $L$6))</f>
        <v>0</v>
      </c>
      <c r="AN23" s="413">
        <f>IF(ISERROR(_xll.ciqfunctions.udf.CIQ($A23, "IQ_Capex", IQ_LTM-4, $L$2,$L$4, $L$3, $L$5, $L$6)), "n/a", _xll.ciqfunctions.udf.CIQ($A23, "IQ_Capex", IQ_LTM-4, $L$2,$L$4, $L$3, $L$5, $L$6))</f>
        <v>-0.96699999999999997</v>
      </c>
      <c r="AO23" s="413">
        <f>IF(ISERROR(_xll.ciqfunctions.udf.CIQ($A23, "IQ_Capex", IQ_LTM, $L$2, $L$4, $L$3, $L$5, $L$6)), "n/a", _xll.ciqfunctions.udf.CIQ($A23, "IQ_Capex", IQ_LTM, $L$2, $L$4, $L$3, $L$5, $L$6))</f>
        <v>-0.60399999999999998</v>
      </c>
      <c r="AP23" s="415" t="str">
        <f>_xll.ciqfunctions.udf.CIQ(A23, "IQ_BUSINESS_DESCRIPTION")</f>
        <v>Myovant Sciences Ltd., a clinical-stage biopharmaceutical company, focuses on developing and commercializing therapies for women’s health and endocrine diseases. The company’s lead product is relugolix, an oral, once-daily, small molecule that acts as a gonadotropin-releasing hormone receptor antagonist for the treatment of heavy menstrual bleeding related with uterine fibroids, endometriosis-associated pain, and advanced prostate cancer. It is also developing MVT-602, an oligopeptide kisspeptin agonist, for the treatment of female infertility as part of the hormonal preparation used in assisted reproduction. The company was formerly known as Roivant Endocrinology Ltd. and changed its name to Myovant Sciences Ltd. in May 2016. The company was founded in 2016 and is based in London, the United Kingdom. Myovant Sciences Ltd. is a subsidiary of Roivant Sciences Ltd.</v>
      </c>
      <c r="AQ23" s="416">
        <f>_xll.ciqfunctions.udf.CIQ($A23, "IQ_BETA_1YR", $B$1)</f>
        <v>0.43552999999999997</v>
      </c>
      <c r="AR23" s="416">
        <f>_xll.ciqfunctions.udf.CIQ($A23, "IQ_BETA_2YR", $B$1)</f>
        <v>0.68572</v>
      </c>
      <c r="AS23" s="416">
        <f>_xll.ciqfunctions.udf.CIQ($A23, "IQ_BETA_5YR", $B$1)</f>
        <v>0</v>
      </c>
      <c r="AT23" s="414">
        <f>_xll.ciqfunctions.udf.CIQ($A23, "IQ_DIVIDEND_YIELD", $B$1)/100</f>
        <v>0</v>
      </c>
      <c r="AU23" s="413">
        <f>_xll.ciqfunctions.udf.CIQ($A23, "IQ_EARNING_CO", IQ_LTM-8, $L$2, $L$4, $L$3, $L$5, $L$6)</f>
        <v>0</v>
      </c>
      <c r="AV23" s="413">
        <f>_xll.ciqfunctions.udf.CIQ($A23, "IQ_EARNING_CO", IQ_LTM-4, $L$2, $L$4, $L$3, $L$5, $L$6)</f>
        <v>-83.44</v>
      </c>
      <c r="AW23" s="413">
        <f>_xll.ciqfunctions.udf.CIQ($A23, "IQ_EARNING_CO", IQ_LTM, $L$2, $L$4, $L$3, $L$5, $L$6)</f>
        <v>-143.255</v>
      </c>
      <c r="AX23" s="413">
        <f>_xll.ciqfunctions.udf.CIQ($A23, "IQ_EARNING_CO", $B$2, $L$2, $L$4, $L$3, $L$5, $L$6)</f>
        <v>0</v>
      </c>
      <c r="AY23" s="413">
        <f>IF(_xll.ciqfunctions.udf.CIQ($A23, "IQ_EARNING_CO", $B$3, $L$2,$L$4, $L$3, $L$5, $L$6)=0,AW23,_xll.ciqfunctions.udf.CIQ($A23, "IQ_EARNING_CO", $B$3, $L$2,$L$4, $L$3, $L$5, $L$6))</f>
        <v>-116.676</v>
      </c>
      <c r="AZ23" s="413">
        <f>_xll.ciqfunctions.udf.CIQ($A23, "IQ_TOTAL_EQUITY", IQ_LTM-8, $L$2, $L$4, $L$3, $L$5, $L$6)</f>
        <v>0</v>
      </c>
      <c r="BA23" s="413">
        <f>_xll.ciqfunctions.udf.CIQ($A23, "IQ_TOTAL_EQUITY", IQ_LTM-4, $L$2, $L$4, $L$3, $L$5, $L$6)</f>
        <v>166.77600000000001</v>
      </c>
      <c r="BB23" s="413">
        <f>_xll.ciqfunctions.udf.CIQ($A23, "IQ_TOTAL_EQUITY", IQ_LTM, $L$2, $L$4, $L$3, $L$5, $L$6)</f>
        <v>37.728999999999999</v>
      </c>
      <c r="BC23" s="413">
        <f>_xll.ciqfunctions.udf.CIQ($A23, "IQ_TOTAL_EQUITY", $B$2, $L$2, $L$4, $L$3, $L$5, $L$6)</f>
        <v>0</v>
      </c>
      <c r="BD23" s="413">
        <f>IF(_xll.ciqfunctions.udf.CIQ($A23, "IQ_TOTAL_EQUITY", $B$3, $L$2,$L$4, $L$3, $L$5, $L$6)=0,BB23,_xll.ciqfunctions.udf.CIQ($A23, "IQ_TOTAL_EQUITY", $B$3, $L$2,$L$4, $L$3, $L$5, $L$6))</f>
        <v>82.197999999999993</v>
      </c>
      <c r="BE23" s="413">
        <f>_xll.ciqfunctions.udf.CIQ(A23, "IQ_LASTSALEPRICE", $B$8)</f>
        <v>21.27</v>
      </c>
      <c r="BF23" s="413">
        <f>_xll.ciqfunctions.udf.CIQ($A23, "IQ_MARKETCAP", $B$8, $L$5, $L$6)</f>
        <v>1297.24443</v>
      </c>
      <c r="BG23" s="413">
        <f>_xll.ciqfunctions.udf.CIQ($A23, "IQ_TOTAL_DEBT", IQ_LTM, $B$8,$L$4, $L$3, $L$5, $L$6)</f>
        <v>28.574999999999999</v>
      </c>
      <c r="BH23" s="371">
        <f>_xll.ciqfunctions.udf.CIQ($A23,"IQ_PREF_EQUITY",IQ_LTM,$B$8,$L$4,$L$3,$L$5,$L$6)</f>
        <v>0</v>
      </c>
      <c r="BI23" s="371">
        <f>_xll.ciqfunctions.udf.CIQ($A23, "IQ_MINORITY_INTEREST_TOTAL", IQ_LTM,$B$8,$L$4,$L$3,$L$5,$L$6)</f>
        <v>0</v>
      </c>
      <c r="BJ23" s="413">
        <f>_xll.ciqfunctions.udf.CIQ($A23, "IQ_CASH_ST_INVEST", IQ_LTM, $B$8, $L$4, $L$3, $L$5, $L$6)</f>
        <v>128.87299999999999</v>
      </c>
      <c r="BK23" s="371" t="str">
        <f>_xll.ciqfunctions.udf.CIQ($A23, "IQ_EFFECT_TAX_RATE")</f>
        <v>NM</v>
      </c>
      <c r="BL23" s="371">
        <f>IF(_xll.ciqfunctions.udf.CIQ($A23, "IQ_TOTAL_REV_2YR_ANN_CAGR", IQ_LTM, $B$1,$L$4, $L$3, $L$5, $L$6)="NM","n/a",(_xll.ciqfunctions.udf.CIQ($A23, "IQ_TOTAL_REV_2YR_ANN_CAGR", IQ_LTM, $B$1,$L$4, $L$3, $L$5, $L$6)/100))</f>
        <v>0</v>
      </c>
      <c r="BM23" s="371">
        <f>IF(_xll.ciqfunctions.udf.CIQ($A23, "IQ_TOTAL_REV_3YR_ANN_CAGR", IQ_LTM, $B$1,$L$4, $L$3, $L$5, $L$6)="NM","n/a",(_xll.ciqfunctions.udf.CIQ($A23, "IQ_TOTAL_REV_3YR_ANN_CAGR", IQ_LTM, $B$1,$L$4, $L$3, $L$5, $L$6)/100))</f>
        <v>0</v>
      </c>
      <c r="BN23" s="371">
        <f>IF(_xll.ciqfunctions.udf.CIQ($A23, "IQ_TOTAL_REV_5YR_ANN_CAGR", IQ_LTM, $B$1,$L$4, $L$3, $L$5, $L$6)="NM","n/a",(_xll.ciqfunctions.udf.CIQ($A23, "IQ_TOTAL_REV_5YR_ANN_CAGR", IQ_LTM, $B$1,$L$4, $L$3, $L$5, $L$6)/100))</f>
        <v>0</v>
      </c>
      <c r="BO23" s="371">
        <f>IF(_xll.ciqfunctions.udf.CIQ($A23,"IQ_EBITDA_2YR_ANN_CAGR", IQ_LTM,$B$1,$L$4, $L$3, $L$5, $L$6)="NM","n/a",(_xll.ciqfunctions.udf.CIQ($A23,"IQ_EBITDA_2YR_ANN_CAGR", IQ_LTM,$B$1,$L$4, $L$3, $L$5, $L$6)/100))</f>
        <v>0</v>
      </c>
      <c r="BP23" s="371">
        <f>IF(_xll.ciqfunctions.udf.CIQ($A23,"IQ_EBITDA_3YR_ANN_CAGR", IQ_LTM,$B$1,$L$4, $L$3, $L$5, $L$6)="NM","n/a",(_xll.ciqfunctions.udf.CIQ($A23,"IQ_EBITDA_3YR_ANN_CAGR", IQ_LTM,$B$1,$L$4, $L$3, $L$5, $L$6)/100))</f>
        <v>0</v>
      </c>
      <c r="BQ23" s="371">
        <f>IF(_xll.ciqfunctions.udf.CIQ($A23,"IQ_EBITDA_5YR_ANN_CAGR", IQ_LTM,$B$1,$L$4, $L$3, $L$5, $L$6)="NM","n/a",(_xll.ciqfunctions.udf.CIQ($A23,"IQ_EBITDA_5YR_ANN_CAGR", IQ_LTM,$B$1,$L$4, $L$3, $L$5, $L$6)/100))</f>
        <v>0</v>
      </c>
      <c r="BR23" s="375" t="str">
        <f>IFERROR((_xll.ciqfunctions.udf.CIQ($A23, "IQ_DA_CF", IQ_LTM, $B$1, $L$4, $L$3, $L$5, $L$6)/Q23),"NM")</f>
        <v>NM</v>
      </c>
      <c r="BS23" s="417">
        <f>'Capital IQ Sheet-GPC'!BS23</f>
        <v>0.56623364830270728</v>
      </c>
      <c r="BT23" s="417">
        <f>'Capital IQ Sheet-GPC'!BT23</f>
        <v>0.58241620249703041</v>
      </c>
      <c r="BU23" s="417" t="str">
        <f>'Capital IQ Sheet-GPC'!BU23</f>
        <v>n/a</v>
      </c>
      <c r="BV23" s="417" t="str">
        <f>'Capital IQ Sheet-GPC'!BV23</f>
        <v>n/a</v>
      </c>
      <c r="BW23" s="417" t="str">
        <f>'Capital IQ Sheet-GPC'!BW23</f>
        <v>n/a</v>
      </c>
      <c r="BX23" s="417" t="str">
        <f>'Capital IQ Sheet-GPC'!BX23</f>
        <v>n/a</v>
      </c>
      <c r="BY23" s="417" t="str">
        <f>'Capital IQ Sheet-GPC'!BY23</f>
        <v>n/a</v>
      </c>
      <c r="BZ23" s="417" t="str">
        <f>'Capital IQ Sheet-GPC'!BZ23</f>
        <v>n/a</v>
      </c>
      <c r="CB23" s="371">
        <v>2</v>
      </c>
      <c r="CC23" s="495" t="s">
        <v>150</v>
      </c>
      <c r="CD23" s="495" t="s">
        <v>149</v>
      </c>
      <c r="CE23" s="373">
        <f t="shared" si="0"/>
        <v>42551</v>
      </c>
    </row>
    <row r="24" spans="1:83" s="371" customFormat="1" ht="12.75">
      <c r="A24" s="372" t="str">
        <f>_xll.ciqfunctions.udf.CIQ($B24,"IQ_COMPANY_TICKER")</f>
        <v>NasdaqGS:LXRX</v>
      </c>
      <c r="B24" s="412" t="str">
        <f>'Capital IQ Sheet-GPC'!B24</f>
        <v>IQ30781</v>
      </c>
      <c r="C24" s="372" t="str">
        <f>_xll.ciqfunctions.udf.CIQ($A24,"IQ_COMPANY_NAME")</f>
        <v>Lexicon Pharmaceuticals, Inc.</v>
      </c>
      <c r="D24" s="372" t="str">
        <f>_xll.ciqfunctions.udf.CIQ($A24, "IQ_EXCHANGE")</f>
        <v>NasdaqGS</v>
      </c>
      <c r="E24" s="411">
        <f>_xll.ciqfunctions.udf.CIQ($A24, "IQ_PERIODDATE_IS", IQ_FY)</f>
        <v>43100</v>
      </c>
      <c r="F24" s="411">
        <f>_xll.ciqfunctions.udf.CIQ(A24, "IQ_PERIODDATE_IS", IQ_LTM, $B$1,$L$4,$L$3)</f>
        <v>43190</v>
      </c>
      <c r="G24" s="411">
        <f>_xll.ciqfunctions.udf.CIQ($A24, "IQ_FIRSTPRICINGDATE")</f>
        <v>36623</v>
      </c>
      <c r="H24" s="413">
        <f>_xll.ciqfunctions.udf.CIQ($A24, "IQ_TEV", $L$2, $L$5, $L$6)</f>
        <v>1253.1064200000001</v>
      </c>
      <c r="I24" s="413">
        <f>_xll.ciqfunctions.udf.CIQ(A24, "IQ_LASTSALEPRICE", $B$1,$L$5)</f>
        <v>12</v>
      </c>
      <c r="J24" s="413">
        <f>_xll.ciqfunctions.udf.CIQ($A24, "IQ_MARKETCAP", $L$2, $L$5, $L$6)</f>
        <v>1269.98242</v>
      </c>
      <c r="K24" s="413">
        <f>_xll.ciqfunctions.udf.CIQ($A24, "IQ_TOTAL_DEBT", IQ_LTM, $L$2,$L$4, $L$3, $L$5, $L$6)</f>
        <v>245.39599999999999</v>
      </c>
      <c r="L24" s="413">
        <f>_xll.ciqfunctions.udf.CIQ($A24, "IQ_PREF_EQUITY", IQ_LTM, $L$2, $L$4, $L$3, $L$5, $L$6)</f>
        <v>0</v>
      </c>
      <c r="M24" s="413">
        <f>_xll.ciqfunctions.udf.CIQ($A24, "IQ_MINORITY_INTEREST_TOTAL", IQ_LTM, $L$2, $L$4, $L$3, $L$5, $L$6)</f>
        <v>0</v>
      </c>
      <c r="N24" s="413">
        <f>_xll.ciqfunctions.udf.CIQ($A24, "IQ_CASH_ST_INVEST", IQ_LTM, $L$2, $L$4, $L$3, $L$5, $L$6)</f>
        <v>262.27199999999999</v>
      </c>
      <c r="O24" s="413">
        <f>_xll.ciqfunctions.udf.CIQ($A24, "IQ_TOTAL_REV", IQ_LTM-8, $L$2, $L$4, $L$3, $L$5, $L$6)</f>
        <v>140.71600000000001</v>
      </c>
      <c r="P24" s="413">
        <f>_xll.ciqfunctions.udf.CIQ($A24, "IQ_TOTAL_REV", IQ_LTM - 4, $L$2, $L$4, $L$3, $L$5,$L$6)</f>
        <v>89.135999999999996</v>
      </c>
      <c r="Q24" s="413">
        <f>_xll.ciqfunctions.udf.CIQ($A24, "IQ_TOTAL_REV", IQ_LTM, $L$2, $L$4, $L$3, $L$5, $L$6)</f>
        <v>97.248999999999995</v>
      </c>
      <c r="R24" s="413">
        <f>_xll.ciqfunctions.udf.CIQ($A24, "IQ_TOTAL_REV", $B$2, $L$2, $L$4, $L$3, $L$5, $L$6)</f>
        <v>83.337000000000003</v>
      </c>
      <c r="S24" s="413">
        <f>IF(_xll.ciqfunctions.udf.CIQ($A24, "IQ_TOTAL_REV", $B$3, $L$2,$L$4, $L$3, $L$5, $L$6)=0,Q24,_xll.ciqfunctions.udf.CIQ($A24, "IQ_TOTAL_REV", $B$3, $L$2,$L$4, $L$3, $L$5, $L$6))</f>
        <v>90.334999999999994</v>
      </c>
      <c r="T24" s="413">
        <f>IF(_xll.ciqfunctions.udf.CIQ($A24, "IQ_REVENUE_EST",$B$4, $L$2, "CON", $L$3, $L$5, $L$6)=0,"n/a",_xll.ciqfunctions.udf.CIQ($A24, "IQ_REVENUE_EST",$B$4, $L$2, "CON", $L$3, $L$5, $L$6))</f>
        <v>71.616</v>
      </c>
      <c r="U24" s="413">
        <f>IF(_xll.ciqfunctions.udf.CIQ($A24, "IQ_REVENUE_EST",$B$5, $L$2, "CON", $L$3, $L$5, $L$6)=0,"n/a",_xll.ciqfunctions.udf.CIQ($A24, "IQ_REVENUE_EST",$B$5, $L$2, "CON", $L$3, $L$5, $L$6))</f>
        <v>206.62008</v>
      </c>
      <c r="V24" s="413">
        <f>IF(_xll.ciqfunctions.udf.CIQ($A24, "IQ_REVENUE_EST",$B$6, $L$2, "CON", $L$3, $L$5, $L$6)=0,"n/a",_xll.ciqfunctions.udf.CIQ($A24, "IQ_REVENUE_EST",$B$6, $L$2, "CON", $L$3, $L$5, $L$6))</f>
        <v>273.62119999999999</v>
      </c>
      <c r="W24" s="413">
        <f>IF(_xll.ciqfunctions.udf.CIQ($A24, "IQ_REVENUE_EST", $B$7, $L$2, "CON", $L$3, $L$5, $L$6)=0,"n/a",_xll.ciqfunctions.udf.CIQ($A24, "IQ_REVENUE_EST",$B$7, $L$2, "CON", $L$3, $L$5, $L$6))</f>
        <v>427.49779999999998</v>
      </c>
      <c r="X24" s="413">
        <f>_xll.ciqfunctions.udf.CIQ($A24, "IQ_EBITDA", IQ_LTM-8, $L$2, $L$4, $L$3, $L$5, $L$6)</f>
        <v>3.7530000000000001</v>
      </c>
      <c r="Y24" s="413">
        <f>_xll.ciqfunctions.udf.CIQ($A24, "IQ_EBITDA", IQ_LTM-4, $L$2,$L$4, $L$3, $L$5, $L$6)</f>
        <v>-143.167</v>
      </c>
      <c r="Z24" s="413">
        <f>_xll.ciqfunctions.udf.CIQ($A24, "IQ_EBITDA", IQ_LTM, $L$2, $L$4, $L$3, $L$5, $L$6)</f>
        <v>-128.47200000000001</v>
      </c>
      <c r="AA24" s="413">
        <f>_xll.ciqfunctions.udf.CIQ($A24, "IQ_EBITDA", $B$2, $L$2, $L$4, $L$3, $L$5, $L$6)</f>
        <v>-135.80199999999999</v>
      </c>
      <c r="AB24" s="413">
        <f>IF(_xll.ciqfunctions.udf.CIQ($A24, "IQ_EBITDA", $B$3, $L$2,$L$4, $L$3, $L$5, $L$6)=0,Z24,_xll.ciqfunctions.udf.CIQ($A24, "IQ_EBITDA", $B$3, $L$2,$L$4, $L$3, $L$5, $L$6))</f>
        <v>-131.18100000000001</v>
      </c>
      <c r="AC24" s="413">
        <f>IF(_xll.ciqfunctions.udf.CIQ($A24, "IQ_EBITDA_EST",$B$4, $L$2, "CON", $L$3, $L$5, $L$6)=0,"n/a",_xll.ciqfunctions.udf.CIQ($A24, "IQ_EBITDA_EST",$B$4, $L$2, "CON", $L$3, $L$5, $L$6))</f>
        <v>-151.5</v>
      </c>
      <c r="AD24" s="413">
        <f>IF(_xll.ciqfunctions.udf.CIQ($A24, "IQ_EBITDA_EST",$B$5, $L$2, "CON", $L$3, $L$5, $L$6)=0,"n/a",_xll.ciqfunctions.udf.CIQ($A24, "IQ_EBITDA_EST",$B$5, $L$2, "CON", $L$3, $L$5, $L$6))</f>
        <v>-24</v>
      </c>
      <c r="AE24" s="413">
        <f>IF(_xll.ciqfunctions.udf.CIQ($A24, "IQ_EBITDA_EST",$B$6, $L$2, "CON", $L$3, $L$5, $L$6)=0,"n/a",_xll.ciqfunctions.udf.CIQ($A24, "IQ_EBITDA_EST",$B$6, $L$2, "CON", $L$3, $L$5, $L$6))</f>
        <v>47</v>
      </c>
      <c r="AF24" s="414">
        <f>IF(ISERROR(_xll.ciqfunctions.udf.CIQ($A24, "IQ_GROSS_MARGIN", IQ_LTM, $L$2,$L$4, $L$3, $L$5, $L$6)/100), "n/a", _xll.ciqfunctions.udf.CIQ($A24,  "IQ_GROSS_MARGIN", IQ_LTM, $L$2, $L$4, $L$3, $L$5, $L$6)/100)</f>
        <v>-0.67839200000000011</v>
      </c>
      <c r="AG24" s="414">
        <f>IF(ISERROR(_xll.ciqfunctions.udf.CIQ($A24,"IQ_EBITDA_MARGIN", IQ_LTM, $L$2, $L$4, $L$3, $L$5, $L$6)/100), "n/a", _xll.ciqfunctions.udf.CIQ($A24, "IQ_EBITDA_MARGIN", IQ_LTM, $L$2, $L$4, $L$3, $L$5, $L$6)/100)</f>
        <v>-1.321062</v>
      </c>
      <c r="AH24" s="414">
        <f>IF(ISERROR(_xll.ciqfunctions.udf.CIQ($A24,"IQ_EBIT_MARGIN", IQ_LTM, $L$2, $L$4, $L$3, $L$5, $L$6)/100), "n/a", _xll.ciqfunctions.udf.CIQ($A24, "IQ_EBIT_MARGIN", IQ_LTM, $L$2, $L$4, $L$3, $L$5, $L$6)/100)</f>
        <v>-1.3590059999999999</v>
      </c>
      <c r="AI24" s="414">
        <f>IF(ISERROR(_xll.ciqfunctions.udf.CIQ($A24,"IQ_NI_MARGIN", IQ_LTM, $L$2, $L$4, $L$3, $L$5, $L$6)/100), "n/a", _xll.ciqfunctions.udf.CIQ($A24, "IQ_NI_MARGIN", IQ_LTM, $L$2, $L$4, $L$3, $L$5, $L$6)/100)</f>
        <v>-1.4008779999999998</v>
      </c>
      <c r="AJ24" s="413">
        <f>_xll.ciqfunctions.udf.CIQ($A24,"IQ_TOTAL_CA",IQ_LTM-8,$L$2, $L$4, $L$3, $L$5, $L$6)-_xll.ciqfunctions.udf.CIQ($A24,"IQ_TOTAL_CL",IQ_LTM-8,$L$2, $L$4, $L$3, $L$5, $L$6)</f>
        <v>370.21500000000003</v>
      </c>
      <c r="AK24" s="413">
        <f>_xll.ciqfunctions.udf.CIQ($A24,"IQ_TOTAL_CA",IQ_LTM-4,$L$2, $L$4, $L$3, $L$5, $L$6)-_xll.ciqfunctions.udf.CIQ($A24,"IQ_TOTAL_CL",IQ_LTM-4,$L$2, $L$4, $L$3, $L$5, $L$6)</f>
        <v>142.02700000000002</v>
      </c>
      <c r="AL24" s="413">
        <f>_xll.ciqfunctions.udf.CIQ($A24,"IQ_TOTAL_CA",IQ_LTM,$L$2, $L$4, $L$3, $L$5, $L$6)-_xll.ciqfunctions.udf.CIQ($A24,"IQ_TOTAL_CL",IQ_LTM,$L$2, $L$4, $L$3, $L$5, $L$6)</f>
        <v>172.77999999999997</v>
      </c>
      <c r="AM24" s="413">
        <f>IF(ISERROR(_xll.ciqfunctions.udf.CIQ($A24, "IQ_Capex", IQ_LTM-8, $L$2,$L$4, $L$3, $L$5, $L$6)), "n/a", _xll.ciqfunctions.udf.CIQ($A24, "IQ_Capex", IQ_LTM-8, $L$2, $L$4, $L$3, $L$5, $L$6))</f>
        <v>-0.94699999999999995</v>
      </c>
      <c r="AN24" s="413">
        <f>IF(ISERROR(_xll.ciqfunctions.udf.CIQ($A24, "IQ_Capex", IQ_LTM-4, $L$2,$L$4, $L$3, $L$5, $L$6)), "n/a", _xll.ciqfunctions.udf.CIQ($A24, "IQ_Capex", IQ_LTM-4, $L$2,$L$4, $L$3, $L$5, $L$6))</f>
        <v>-0.26900000000000002</v>
      </c>
      <c r="AO24" s="413">
        <f>IF(ISERROR(_xll.ciqfunctions.udf.CIQ($A24, "IQ_Capex", IQ_LTM, $L$2, $L$4, $L$3, $L$5, $L$6)), "n/a", _xll.ciqfunctions.udf.CIQ($A24, "IQ_Capex", IQ_LTM, $L$2, $L$4, $L$3, $L$5, $L$6))</f>
        <v>-0.17599999999999999</v>
      </c>
      <c r="AP24" s="415" t="str">
        <f>_xll.ciqfunctions.udf.CIQ(A24, "IQ_BUSINESS_DESCRIPTION")</f>
        <v>Lexicon Pharmaceuticals, Inc., a biopharmaceutical company, focuses on the development and commercialization of pharmaceutical products for the treatment of human diseases. The company offers XERMELO, an orally-delivered small molecule drug candidate for the treatment of carcinoid syndrome diarrhea in combination with somatostatin analog therapy in adults. Its orally-delivered small molecule drug candidates under development comprise Sotagliflozin that is in Phase 3 clinical trials for the treatment of type 1 and type 2 diabetes; LX2761, which is in Phase 1 clinical development for the treatment of diabetes; and LX9211 that is in Phase 1 clinical development for the treatment of neuropathic pain. The company has strategic collaboration and license agreements with Sanofi; Ipsen Pharma SAS; Bristol-Myers Squibb Company; and Genentech, Inc. Lexicon Pharmaceuticals, Inc. was founded in 1995 and is headquartered in The Woodlands, Texas.</v>
      </c>
      <c r="AQ24" s="416">
        <f>_xll.ciqfunctions.udf.CIQ($A24, "IQ_BETA_1YR", $B$1)</f>
        <v>0.63517000000000001</v>
      </c>
      <c r="AR24" s="416">
        <f>_xll.ciqfunctions.udf.CIQ($A24, "IQ_BETA_2YR", $B$1)</f>
        <v>0.86067000000000005</v>
      </c>
      <c r="AS24" s="416">
        <f>_xll.ciqfunctions.udf.CIQ($A24, "IQ_BETA_5YR", $B$1)</f>
        <v>0.32644000000000001</v>
      </c>
      <c r="AT24" s="414">
        <f>_xll.ciqfunctions.udf.CIQ($A24, "IQ_DIVIDEND_YIELD", $B$1)/100</f>
        <v>0</v>
      </c>
      <c r="AU24" s="413">
        <f>_xll.ciqfunctions.udf.CIQ($A24, "IQ_EARNING_CO", IQ_LTM-8, $L$2, $L$4, $L$3, $L$5, $L$6)</f>
        <v>-11.489000000000001</v>
      </c>
      <c r="AV24" s="413">
        <f>_xll.ciqfunctions.udf.CIQ($A24, "IQ_EARNING_CO", IQ_LTM-4, $L$2, $L$4, $L$3, $L$5, $L$6)</f>
        <v>-141.43700000000001</v>
      </c>
      <c r="AW24" s="413">
        <f>_xll.ciqfunctions.udf.CIQ($A24, "IQ_EARNING_CO", IQ_LTM, $L$2, $L$4, $L$3, $L$5, $L$6)</f>
        <v>-136.23400000000001</v>
      </c>
      <c r="AX24" s="413">
        <f>_xll.ciqfunctions.udf.CIQ($A24, "IQ_EARNING_CO", $B$2, $L$2, $L$4, $L$3, $L$5, $L$6)</f>
        <v>-141.429</v>
      </c>
      <c r="AY24" s="413">
        <f>IF(_xll.ciqfunctions.udf.CIQ($A24, "IQ_EARNING_CO", $B$3, $L$2,$L$4, $L$3, $L$5, $L$6)=0,AW24,_xll.ciqfunctions.udf.CIQ($A24, "IQ_EARNING_CO", $B$3, $L$2,$L$4, $L$3, $L$5, $L$6))</f>
        <v>-129.05000000000001</v>
      </c>
      <c r="AZ24" s="413">
        <f>_xll.ciqfunctions.udf.CIQ($A24, "IQ_TOTAL_EQUITY", IQ_LTM-8, $L$2, $L$4, $L$3, $L$5, $L$6)</f>
        <v>252.881</v>
      </c>
      <c r="BA24" s="413">
        <f>_xll.ciqfunctions.udf.CIQ($A24, "IQ_TOTAL_EQUITY", IQ_LTM-4, $L$2, $L$4, $L$3, $L$5, $L$6)</f>
        <v>134.60300000000001</v>
      </c>
      <c r="BB24" s="413">
        <f>_xll.ciqfunctions.udf.CIQ($A24, "IQ_TOTAL_EQUITY", IQ_LTM, $L$2, $L$4, $L$3, $L$5, $L$6)</f>
        <v>26.193999999999999</v>
      </c>
      <c r="BC24" s="413">
        <f>_xll.ciqfunctions.udf.CIQ($A24, "IQ_TOTAL_EQUITY", $B$2, $L$2, $L$4, $L$3, $L$5, $L$6)</f>
        <v>157.40100000000001</v>
      </c>
      <c r="BD24" s="413">
        <f>IF(_xll.ciqfunctions.udf.CIQ($A24, "IQ_TOTAL_EQUITY", $B$3, $L$2,$L$4, $L$3, $L$5, $L$6)=0,BB24,_xll.ciqfunctions.udf.CIQ($A24, "IQ_TOTAL_EQUITY", $B$3, $L$2,$L$4, $L$3, $L$5, $L$6))</f>
        <v>52.101999999999997</v>
      </c>
      <c r="BE24" s="413">
        <f>_xll.ciqfunctions.udf.CIQ(A24, "IQ_LASTSALEPRICE", $B$8)</f>
        <v>8.57</v>
      </c>
      <c r="BF24" s="413">
        <f>_xll.ciqfunctions.udf.CIQ($A24, "IQ_MARKETCAP", $B$8, $L$5, $L$6)</f>
        <v>904.92196999999999</v>
      </c>
      <c r="BG24" s="413">
        <f>_xll.ciqfunctions.udf.CIQ($A24, "IQ_TOTAL_DEBT", IQ_LTM, $B$8,$L$4, $L$3, $L$5, $L$6)</f>
        <v>245.67</v>
      </c>
      <c r="BH24" s="371">
        <f>_xll.ciqfunctions.udf.CIQ($A24,"IQ_PREF_EQUITY",IQ_LTM,$B$8,$L$4,$L$3,$L$5,$L$6)</f>
        <v>0</v>
      </c>
      <c r="BI24" s="371">
        <f>_xll.ciqfunctions.udf.CIQ($A24, "IQ_MINORITY_INTEREST_TOTAL", IQ_LTM,$B$8,$L$4,$L$3,$L$5,$L$6)</f>
        <v>0</v>
      </c>
      <c r="BJ24" s="413">
        <f>_xll.ciqfunctions.udf.CIQ($A24, "IQ_CASH_ST_INVEST", IQ_LTM, $B$8, $L$4, $L$3, $L$5, $L$6)</f>
        <v>310.78800000000001</v>
      </c>
      <c r="BK24" s="371" t="str">
        <f>_xll.ciqfunctions.udf.CIQ($A24, "IQ_EFFECT_TAX_RATE")</f>
        <v>NM</v>
      </c>
      <c r="BL24" s="371">
        <f>IF(_xll.ciqfunctions.udf.CIQ($A24, "IQ_TOTAL_REV_2YR_ANN_CAGR", IQ_LTM, $B$1,$L$4, $L$3, $L$5, $L$6)="NM","n/a",(_xll.ciqfunctions.udf.CIQ($A24, "IQ_TOTAL_REV_2YR_ANN_CAGR", IQ_LTM, $B$1,$L$4, $L$3, $L$5, $L$6)/100))</f>
        <v>-0.16867499999999999</v>
      </c>
      <c r="BM24" s="371">
        <f>IF(_xll.ciqfunctions.udf.CIQ($A24, "IQ_TOTAL_REV_3YR_ANN_CAGR", IQ_LTM, $B$1,$L$4, $L$3, $L$5, $L$6)="NM","n/a",(_xll.ciqfunctions.udf.CIQ($A24, "IQ_TOTAL_REV_3YR_ANN_CAGR", IQ_LTM, $B$1,$L$4, $L$3, $L$5, $L$6)/100))</f>
        <v>0.58616800000000002</v>
      </c>
      <c r="BN24" s="371">
        <f>IF(_xll.ciqfunctions.udf.CIQ($A24, "IQ_TOTAL_REV_5YR_ANN_CAGR", IQ_LTM, $B$1,$L$4, $L$3, $L$5, $L$6)="NM","n/a",(_xll.ciqfunctions.udf.CIQ($A24, "IQ_TOTAL_REV_5YR_ANN_CAGR", IQ_LTM, $B$1,$L$4, $L$3, $L$5, $L$6)/100))</f>
        <v>1.429478</v>
      </c>
      <c r="BO24" s="371" t="str">
        <f>IF(_xll.ciqfunctions.udf.CIQ($A24,"IQ_EBITDA_2YR_ANN_CAGR", IQ_LTM,$B$1,$L$4, $L$3, $L$5, $L$6)="NM","n/a",(_xll.ciqfunctions.udf.CIQ($A24,"IQ_EBITDA_2YR_ANN_CAGR", IQ_LTM,$B$1,$L$4, $L$3, $L$5, $L$6)/100))</f>
        <v>n/a</v>
      </c>
      <c r="BP24" s="371" t="str">
        <f>IF(_xll.ciqfunctions.udf.CIQ($A24,"IQ_EBITDA_3YR_ANN_CAGR", IQ_LTM,$B$1,$L$4, $L$3, $L$5, $L$6)="NM","n/a",(_xll.ciqfunctions.udf.CIQ($A24,"IQ_EBITDA_3YR_ANN_CAGR", IQ_LTM,$B$1,$L$4, $L$3, $L$5, $L$6)/100))</f>
        <v>n/a</v>
      </c>
      <c r="BQ24" s="371" t="str">
        <f>IF(_xll.ciqfunctions.udf.CIQ($A24,"IQ_EBITDA_5YR_ANN_CAGR", IQ_LTM,$B$1,$L$4, $L$3, $L$5, $L$6)="NM","n/a",(_xll.ciqfunctions.udf.CIQ($A24,"IQ_EBITDA_5YR_ANN_CAGR", IQ_LTM,$B$1,$L$4, $L$3, $L$5, $L$6)/100))</f>
        <v>n/a</v>
      </c>
      <c r="BR24" s="375">
        <f>IFERROR((_xll.ciqfunctions.udf.CIQ($A24, "IQ_DA_CF", IQ_LTM, $B$1, $L$4, $L$3, $L$5, $L$6)/Q24),"NM")</f>
        <v>3.7943834898045224E-2</v>
      </c>
      <c r="BS24" s="417">
        <f>'Capital IQ Sheet-GPC'!BS24</f>
        <v>0.47847696610761248</v>
      </c>
      <c r="BT24" s="417">
        <f>'Capital IQ Sheet-GPC'!BT24</f>
        <v>0.46011894801782688</v>
      </c>
      <c r="BU24" s="417">
        <f>'Capital IQ Sheet-GPC'!BU24</f>
        <v>0.6049406608063348</v>
      </c>
      <c r="BV24" s="417">
        <f>'Capital IQ Sheet-GPC'!BV24</f>
        <v>0.59377047190641041</v>
      </c>
      <c r="BW24" s="417">
        <f>'Capital IQ Sheet-GPC'!BW24</f>
        <v>0.58931085772614611</v>
      </c>
      <c r="BX24" s="417">
        <f>'Capital IQ Sheet-GPC'!BX24</f>
        <v>0.58268908094598493</v>
      </c>
      <c r="BY24" s="417">
        <f>'Capital IQ Sheet-GPC'!BY24</f>
        <v>0.61820281445367398</v>
      </c>
      <c r="BZ24" s="417">
        <f>'Capital IQ Sheet-GPC'!BZ24</f>
        <v>0.63024912702689206</v>
      </c>
      <c r="CB24" s="371">
        <v>2</v>
      </c>
      <c r="CC24" s="495" t="s">
        <v>150</v>
      </c>
      <c r="CD24" s="495" t="s">
        <v>149</v>
      </c>
      <c r="CE24" s="373">
        <f t="shared" ref="CE24:CE34" si="1">$B$1-365*CB24</f>
        <v>42551</v>
      </c>
    </row>
    <row r="25" spans="1:83" s="371" customFormat="1" ht="12.75">
      <c r="A25" s="372" t="str">
        <f>_xll.ciqfunctions.udf.CIQ($B25,"IQ_COMPANY_TICKER")</f>
        <v>NasdaqGM:RYTM</v>
      </c>
      <c r="B25" s="412" t="str">
        <f>'Capital IQ Sheet-GPC'!B25</f>
        <v>IQ309184792</v>
      </c>
      <c r="C25" s="372" t="str">
        <f>_xll.ciqfunctions.udf.CIQ($A25,"IQ_COMPANY_NAME")</f>
        <v>Rhythm Pharmaceuticals, Inc.</v>
      </c>
      <c r="D25" s="372" t="str">
        <f>_xll.ciqfunctions.udf.CIQ($A25, "IQ_EXCHANGE")</f>
        <v>NasdaqGM</v>
      </c>
      <c r="E25" s="411">
        <f>_xll.ciqfunctions.udf.CIQ($A25, "IQ_PERIODDATE_IS", IQ_FY)</f>
        <v>43100</v>
      </c>
      <c r="F25" s="411">
        <f>_xll.ciqfunctions.udf.CIQ(A25, "IQ_PERIODDATE_IS", IQ_LTM, $B$1,$L$4,$L$3)</f>
        <v>43190</v>
      </c>
      <c r="G25" s="411">
        <f>_xll.ciqfunctions.udf.CIQ($A25, "IQ_FIRSTPRICINGDATE")</f>
        <v>43013</v>
      </c>
      <c r="H25" s="413">
        <f>_xll.ciqfunctions.udf.CIQ($A25, "IQ_TEV", $L$2, $L$5, $L$6)</f>
        <v>930.20021999999994</v>
      </c>
      <c r="I25" s="413">
        <f>_xll.ciqfunctions.udf.CIQ(A25, "IQ_LASTSALEPRICE", $B$1,$L$5)</f>
        <v>31.26</v>
      </c>
      <c r="J25" s="413">
        <f>_xll.ciqfunctions.udf.CIQ($A25, "IQ_MARKETCAP", $L$2, $L$5, $L$6)</f>
        <v>1066.6532199999999</v>
      </c>
      <c r="K25" s="413">
        <f>_xll.ciqfunctions.udf.CIQ($A25, "IQ_TOTAL_DEBT", IQ_LTM, $L$2,$L$4, $L$3, $L$5, $L$6)</f>
        <v>0</v>
      </c>
      <c r="L25" s="413">
        <f>_xll.ciqfunctions.udf.CIQ($A25, "IQ_PREF_EQUITY", IQ_LTM, $L$2, $L$4, $L$3, $L$5, $L$6)</f>
        <v>0</v>
      </c>
      <c r="M25" s="413">
        <f>_xll.ciqfunctions.udf.CIQ($A25, "IQ_MINORITY_INTEREST_TOTAL", IQ_LTM, $L$2, $L$4, $L$3, $L$5, $L$6)</f>
        <v>0</v>
      </c>
      <c r="N25" s="413">
        <f>_xll.ciqfunctions.udf.CIQ($A25, "IQ_CASH_ST_INVEST", IQ_LTM, $L$2, $L$4, $L$3, $L$5, $L$6)</f>
        <v>136.453</v>
      </c>
      <c r="O25" s="413">
        <f>_xll.ciqfunctions.udf.CIQ($A25, "IQ_TOTAL_REV", IQ_LTM-8, $L$2, $L$4, $L$3, $L$5, $L$6)</f>
        <v>0</v>
      </c>
      <c r="P25" s="413">
        <f>_xll.ciqfunctions.udf.CIQ($A25, "IQ_TOTAL_REV", IQ_LTM - 4, $L$2, $L$4, $L$3, $L$5,$L$6)</f>
        <v>0</v>
      </c>
      <c r="Q25" s="413">
        <f>_xll.ciqfunctions.udf.CIQ($A25, "IQ_TOTAL_REV", IQ_LTM, $L$2, $L$4, $L$3, $L$5, $L$6)</f>
        <v>0</v>
      </c>
      <c r="R25" s="413">
        <f>_xll.ciqfunctions.udf.CIQ($A25, "IQ_TOTAL_REV", $B$2, $L$2, $L$4, $L$3, $L$5, $L$6)</f>
        <v>0</v>
      </c>
      <c r="S25" s="413">
        <f>IF(_xll.ciqfunctions.udf.CIQ($A25, "IQ_TOTAL_REV", $B$3, $L$2,$L$4, $L$3, $L$5, $L$6)=0,Q25,_xll.ciqfunctions.udf.CIQ($A25, "IQ_TOTAL_REV", $B$3, $L$2,$L$4, $L$3, $L$5, $L$6))</f>
        <v>0</v>
      </c>
      <c r="T25" s="413" t="str">
        <f>IF(_xll.ciqfunctions.udf.CIQ($A25, "IQ_REVENUE_EST",$B$4, $L$2, "CON", $L$3, $L$5, $L$6)=0,"n/a",_xll.ciqfunctions.udf.CIQ($A25, "IQ_REVENUE_EST",$B$4, $L$2, "CON", $L$3, $L$5, $L$6))</f>
        <v>n/a</v>
      </c>
      <c r="U25" s="413">
        <f>IF(_xll.ciqfunctions.udf.CIQ($A25, "IQ_REVENUE_EST",$B$5, $L$2, "CON", $L$3, $L$5, $L$6)=0,"n/a",_xll.ciqfunctions.udf.CIQ($A25, "IQ_REVENUE_EST",$B$5, $L$2, "CON", $L$3, $L$5, $L$6))</f>
        <v>0.67901999999999996</v>
      </c>
      <c r="V25" s="413">
        <f>IF(_xll.ciqfunctions.udf.CIQ($A25, "IQ_REVENUE_EST",$B$6, $L$2, "CON", $L$3, $L$5, $L$6)=0,"n/a",_xll.ciqfunctions.udf.CIQ($A25, "IQ_REVENUE_EST",$B$6, $L$2, "CON", $L$3, $L$5, $L$6))</f>
        <v>44</v>
      </c>
      <c r="W25" s="413">
        <f>IF(_xll.ciqfunctions.udf.CIQ($A25, "IQ_REVENUE_EST", $B$7, $L$2, "CON", $L$3, $L$5, $L$6)=0,"n/a",_xll.ciqfunctions.udf.CIQ($A25, "IQ_REVENUE_EST",$B$7, $L$2, "CON", $L$3, $L$5, $L$6))</f>
        <v>142.5</v>
      </c>
      <c r="X25" s="413">
        <f>_xll.ciqfunctions.udf.CIQ($A25, "IQ_EBITDA", IQ_LTM-8, $L$2, $L$4, $L$3, $L$5, $L$6)</f>
        <v>0</v>
      </c>
      <c r="Y25" s="413">
        <f>_xll.ciqfunctions.udf.CIQ($A25, "IQ_EBITDA", IQ_LTM-4, $L$2,$L$4, $L$3, $L$5, $L$6)</f>
        <v>0</v>
      </c>
      <c r="Z25" s="413">
        <f>_xll.ciqfunctions.udf.CIQ($A25, "IQ_EBITDA", IQ_LTM, $L$2, $L$4, $L$3, $L$5, $L$6)</f>
        <v>-42.793999999999997</v>
      </c>
      <c r="AA25" s="413">
        <f>_xll.ciqfunctions.udf.CIQ($A25, "IQ_EBITDA", $B$2, $L$2, $L$4, $L$3, $L$5, $L$6)</f>
        <v>-25.760999999999999</v>
      </c>
      <c r="AB25" s="413">
        <f>IF(_xll.ciqfunctions.udf.CIQ($A25, "IQ_EBITDA", $B$3, $L$2,$L$4, $L$3, $L$5, $L$6)=0,Z25,_xll.ciqfunctions.udf.CIQ($A25, "IQ_EBITDA", $B$3, $L$2,$L$4, $L$3, $L$5, $L$6))</f>
        <v>-32.189</v>
      </c>
      <c r="AC25" s="413">
        <f>IF(_xll.ciqfunctions.udf.CIQ($A25, "IQ_EBITDA_EST",$B$4, $L$2, "CON", $L$3, $L$5, $L$6)=0,"n/a",_xll.ciqfunctions.udf.CIQ($A25, "IQ_EBITDA_EST",$B$4, $L$2, "CON", $L$3, $L$5, $L$6))</f>
        <v>-51.885309999999997</v>
      </c>
      <c r="AD25" s="413">
        <f>IF(_xll.ciqfunctions.udf.CIQ($A25, "IQ_EBITDA_EST",$B$5, $L$2, "CON", $L$3, $L$5, $L$6)=0,"n/a",_xll.ciqfunctions.udf.CIQ($A25, "IQ_EBITDA_EST",$B$5, $L$2, "CON", $L$3, $L$5, $L$6))</f>
        <v>-63.808480000000003</v>
      </c>
      <c r="AE25" s="413" t="str">
        <f>IF(_xll.ciqfunctions.udf.CIQ($A25, "IQ_EBITDA_EST",$B$6, $L$2, "CON", $L$3, $L$5, $L$6)=0,"n/a",_xll.ciqfunctions.udf.CIQ($A25, "IQ_EBITDA_EST",$B$6, $L$2, "CON", $L$3, $L$5, $L$6))</f>
        <v>n/a</v>
      </c>
      <c r="AF25" s="414">
        <f>IF(ISERROR(_xll.ciqfunctions.udf.CIQ($A25, "IQ_GROSS_MARGIN", IQ_LTM, $L$2,$L$4, $L$3, $L$5, $L$6)/100), "n/a", _xll.ciqfunctions.udf.CIQ($A25,  "IQ_GROSS_MARGIN", IQ_LTM, $L$2, $L$4, $L$3, $L$5, $L$6)/100)</f>
        <v>0</v>
      </c>
      <c r="AG25" s="414">
        <f>IF(ISERROR(_xll.ciqfunctions.udf.CIQ($A25,"IQ_EBITDA_MARGIN", IQ_LTM, $L$2, $L$4, $L$3, $L$5, $L$6)/100), "n/a", _xll.ciqfunctions.udf.CIQ($A25, "IQ_EBITDA_MARGIN", IQ_LTM, $L$2, $L$4, $L$3, $L$5, $L$6)/100)</f>
        <v>0</v>
      </c>
      <c r="AH25" s="414">
        <f>IF(ISERROR(_xll.ciqfunctions.udf.CIQ($A25,"IQ_EBIT_MARGIN", IQ_LTM, $L$2, $L$4, $L$3, $L$5, $L$6)/100), "n/a", _xll.ciqfunctions.udf.CIQ($A25, "IQ_EBIT_MARGIN", IQ_LTM, $L$2, $L$4, $L$3, $L$5, $L$6)/100)</f>
        <v>0</v>
      </c>
      <c r="AI25" s="414">
        <f>IF(ISERROR(_xll.ciqfunctions.udf.CIQ($A25,"IQ_NI_MARGIN", IQ_LTM, $L$2, $L$4, $L$3, $L$5, $L$6)/100), "n/a", _xll.ciqfunctions.udf.CIQ($A25, "IQ_NI_MARGIN", IQ_LTM, $L$2, $L$4, $L$3, $L$5, $L$6)/100)</f>
        <v>0</v>
      </c>
      <c r="AJ25" s="413">
        <f>_xll.ciqfunctions.udf.CIQ($A25,"IQ_TOTAL_CA",IQ_LTM-8,$L$2, $L$4, $L$3, $L$5, $L$6)-_xll.ciqfunctions.udf.CIQ($A25,"IQ_TOTAL_CL",IQ_LTM-8,$L$2, $L$4, $L$3, $L$5, $L$6)</f>
        <v>0</v>
      </c>
      <c r="AK25" s="413">
        <f>_xll.ciqfunctions.udf.CIQ($A25,"IQ_TOTAL_CA",IQ_LTM-4,$L$2, $L$4, $L$3, $L$5, $L$6)-_xll.ciqfunctions.udf.CIQ($A25,"IQ_TOTAL_CL",IQ_LTM-4,$L$2, $L$4, $L$3, $L$5, $L$6)</f>
        <v>20.673999999999999</v>
      </c>
      <c r="AL25" s="413">
        <f>_xll.ciqfunctions.udf.CIQ($A25,"IQ_TOTAL_CA",IQ_LTM,$L$2, $L$4, $L$3, $L$5, $L$6)-_xll.ciqfunctions.udf.CIQ($A25,"IQ_TOTAL_CL",IQ_LTM,$L$2, $L$4, $L$3, $L$5, $L$6)</f>
        <v>132.83499999999998</v>
      </c>
      <c r="AM25" s="413">
        <f>IF(ISERROR(_xll.ciqfunctions.udf.CIQ($A25, "IQ_Capex", IQ_LTM-8, $L$2,$L$4, $L$3, $L$5, $L$6)), "n/a", _xll.ciqfunctions.udf.CIQ($A25, "IQ_Capex", IQ_LTM-8, $L$2, $L$4, $L$3, $L$5, $L$6))</f>
        <v>-0.57799999999999996</v>
      </c>
      <c r="AN25" s="413">
        <f>IF(ISERROR(_xll.ciqfunctions.udf.CIQ($A25, "IQ_Capex", IQ_LTM-4, $L$2,$L$4, $L$3, $L$5, $L$6)), "n/a", _xll.ciqfunctions.udf.CIQ($A25, "IQ_Capex", IQ_LTM-4, $L$2,$L$4, $L$3, $L$5, $L$6))</f>
        <v>-0.496</v>
      </c>
      <c r="AO25" s="413">
        <f>IF(ISERROR(_xll.ciqfunctions.udf.CIQ($A25, "IQ_Capex", IQ_LTM, $L$2, $L$4, $L$3, $L$5, $L$6)), "n/a", _xll.ciqfunctions.udf.CIQ($A25, "IQ_Capex", IQ_LTM, $L$2, $L$4, $L$3, $L$5, $L$6))</f>
        <v>-0.13300000000000001</v>
      </c>
      <c r="AP25" s="415" t="str">
        <f>_xll.ciqfunctions.udf.CIQ(A25, "IQ_BUSINESS_DESCRIPTION")</f>
        <v>Rhythm Pharmaceuticals, Inc., a biopharmaceutical company, focuses on the development and commercialization of peptide therapeutics for the treatment of rare genetic disorders of obesity in the United States. Its peptide candidates include Setmelanotide, a melanocortin-4 receptor agonist, which is in Phase III clinical trial to treat POMC and leptin receptor deficiency obesity; and Phase II clinical trial for Bardet-Biedl and Alström syndrome, POMC heterozygous deficiency obesity, and POMC epigenetic disorders. The company was formerly known as Rhythm Metabolic, Inc. and changed its name to Rhythm Pharmaceuticals, Inc. in October 2015. Rhythm Pharmaceuticals, Inc. was founded in 2008 and is headquartered in Boston, Massachusetts. Rhythm Pharmaceuticals, Inc. is a subsidiary of Motus Therapeutics, Inc.</v>
      </c>
      <c r="AQ25" s="416">
        <f>_xll.ciqfunctions.udf.CIQ($A25, "IQ_BETA_1YR", $B$1)</f>
        <v>1.56447</v>
      </c>
      <c r="AR25" s="416">
        <f>_xll.ciqfunctions.udf.CIQ($A25, "IQ_BETA_2YR", $B$1)</f>
        <v>0</v>
      </c>
      <c r="AS25" s="416">
        <f>_xll.ciqfunctions.udf.CIQ($A25, "IQ_BETA_5YR", $B$1)</f>
        <v>0</v>
      </c>
      <c r="AT25" s="414">
        <f>_xll.ciqfunctions.udf.CIQ($A25, "IQ_DIVIDEND_YIELD", $B$1)/100</f>
        <v>0</v>
      </c>
      <c r="AU25" s="413">
        <f>_xll.ciqfunctions.udf.CIQ($A25, "IQ_EARNING_CO", IQ_LTM-8, $L$2, $L$4, $L$3, $L$5, $L$6)</f>
        <v>-15.553000000000001</v>
      </c>
      <c r="AV25" s="413">
        <f>_xll.ciqfunctions.udf.CIQ($A25, "IQ_EARNING_CO", IQ_LTM-4, $L$2, $L$4, $L$3, $L$5, $L$6)</f>
        <v>-26.847000000000001</v>
      </c>
      <c r="AW25" s="413">
        <f>_xll.ciqfunctions.udf.CIQ($A25, "IQ_EARNING_CO", IQ_LTM, $L$2, $L$4, $L$3, $L$5, $L$6)</f>
        <v>-43.808</v>
      </c>
      <c r="AX25" s="413">
        <f>_xll.ciqfunctions.udf.CIQ($A25, "IQ_EARNING_CO", $B$2, $L$2, $L$4, $L$3, $L$5, $L$6)</f>
        <v>-25.872</v>
      </c>
      <c r="AY25" s="413">
        <f>IF(_xll.ciqfunctions.udf.CIQ($A25, "IQ_EARNING_CO", $B$3, $L$2,$L$4, $L$3, $L$5, $L$6)=0,AW25,_xll.ciqfunctions.udf.CIQ($A25, "IQ_EARNING_CO", $B$3, $L$2,$L$4, $L$3, $L$5, $L$6))</f>
        <v>-33.709000000000003</v>
      </c>
      <c r="AZ25" s="413">
        <f>_xll.ciqfunctions.udf.CIQ($A25, "IQ_TOTAL_EQUITY", IQ_LTM-8, $L$2, $L$4, $L$3, $L$5, $L$6)</f>
        <v>32.000999999999998</v>
      </c>
      <c r="BA25" s="413">
        <f>_xll.ciqfunctions.udf.CIQ($A25, "IQ_TOTAL_EQUITY", IQ_LTM-4, $L$2, $L$4, $L$3, $L$5, $L$6)</f>
        <v>21.574999999999999</v>
      </c>
      <c r="BB25" s="413">
        <f>_xll.ciqfunctions.udf.CIQ($A25, "IQ_TOTAL_EQUITY", IQ_LTM, $L$2, $L$4, $L$3, $L$5, $L$6)</f>
        <v>133.65799999999999</v>
      </c>
      <c r="BC25" s="413">
        <f>_xll.ciqfunctions.udf.CIQ($A25, "IQ_TOTAL_EQUITY", $B$2, $L$2, $L$4, $L$3, $L$5, $L$6)</f>
        <v>7.2969999999999997</v>
      </c>
      <c r="BD25" s="413">
        <f>IF(_xll.ciqfunctions.udf.CIQ($A25, "IQ_TOTAL_EQUITY", $B$3, $L$2,$L$4, $L$3, $L$5, $L$6)=0,BB25,_xll.ciqfunctions.udf.CIQ($A25, "IQ_TOTAL_EQUITY", $B$3, $L$2,$L$4, $L$3, $L$5, $L$6))</f>
        <v>144.78800000000001</v>
      </c>
      <c r="BE25" s="413">
        <f>_xll.ciqfunctions.udf.CIQ(A25, "IQ_LASTSALEPRICE", $B$8)</f>
        <v>19.899999999999999</v>
      </c>
      <c r="BF25" s="413">
        <f>_xll.ciqfunctions.udf.CIQ($A25, "IQ_MARKETCAP", $B$8, $L$5, $L$6)</f>
        <v>542.95438999999999</v>
      </c>
      <c r="BG25" s="413">
        <f>_xll.ciqfunctions.udf.CIQ($A25, "IQ_TOTAL_DEBT", IQ_LTM, $B$8,$L$4, $L$3, $L$5, $L$6)</f>
        <v>0</v>
      </c>
      <c r="BH25" s="371">
        <f>_xll.ciqfunctions.udf.CIQ($A25,"IQ_PREF_EQUITY",IQ_LTM,$B$8,$L$4,$L$3,$L$5,$L$6)</f>
        <v>0</v>
      </c>
      <c r="BI25" s="371">
        <f>_xll.ciqfunctions.udf.CIQ($A25, "IQ_MINORITY_INTEREST_TOTAL", IQ_LTM,$B$8,$L$4,$L$3,$L$5,$L$6)</f>
        <v>0</v>
      </c>
      <c r="BJ25" s="413">
        <f>_xll.ciqfunctions.udf.CIQ($A25, "IQ_CASH_ST_INVEST", IQ_LTM, $B$8, $L$4, $L$3, $L$5, $L$6)</f>
        <v>148.08199999999999</v>
      </c>
      <c r="BK25" s="371">
        <f>_xll.ciqfunctions.udf.CIQ($A25, "IQ_EFFECT_TAX_RATE")</f>
        <v>0</v>
      </c>
      <c r="BL25" s="371">
        <f>IF(_xll.ciqfunctions.udf.CIQ($A25, "IQ_TOTAL_REV_2YR_ANN_CAGR", IQ_LTM, $B$1,$L$4, $L$3, $L$5, $L$6)="NM","n/a",(_xll.ciqfunctions.udf.CIQ($A25, "IQ_TOTAL_REV_2YR_ANN_CAGR", IQ_LTM, $B$1,$L$4, $L$3, $L$5, $L$6)/100))</f>
        <v>0</v>
      </c>
      <c r="BM25" s="371">
        <f>IF(_xll.ciqfunctions.udf.CIQ($A25, "IQ_TOTAL_REV_3YR_ANN_CAGR", IQ_LTM, $B$1,$L$4, $L$3, $L$5, $L$6)="NM","n/a",(_xll.ciqfunctions.udf.CIQ($A25, "IQ_TOTAL_REV_3YR_ANN_CAGR", IQ_LTM, $B$1,$L$4, $L$3, $L$5, $L$6)/100))</f>
        <v>0</v>
      </c>
      <c r="BN25" s="371">
        <f>IF(_xll.ciqfunctions.udf.CIQ($A25, "IQ_TOTAL_REV_5YR_ANN_CAGR", IQ_LTM, $B$1,$L$4, $L$3, $L$5, $L$6)="NM","n/a",(_xll.ciqfunctions.udf.CIQ($A25, "IQ_TOTAL_REV_5YR_ANN_CAGR", IQ_LTM, $B$1,$L$4, $L$3, $L$5, $L$6)/100))</f>
        <v>0</v>
      </c>
      <c r="BO25" s="371">
        <f>IF(_xll.ciqfunctions.udf.CIQ($A25,"IQ_EBITDA_2YR_ANN_CAGR", IQ_LTM,$B$1,$L$4, $L$3, $L$5, $L$6)="NM","n/a",(_xll.ciqfunctions.udf.CIQ($A25,"IQ_EBITDA_2YR_ANN_CAGR", IQ_LTM,$B$1,$L$4, $L$3, $L$5, $L$6)/100))</f>
        <v>0</v>
      </c>
      <c r="BP25" s="371">
        <f>IF(_xll.ciqfunctions.udf.CIQ($A25,"IQ_EBITDA_3YR_ANN_CAGR", IQ_LTM,$B$1,$L$4, $L$3, $L$5, $L$6)="NM","n/a",(_xll.ciqfunctions.udf.CIQ($A25,"IQ_EBITDA_3YR_ANN_CAGR", IQ_LTM,$B$1,$L$4, $L$3, $L$5, $L$6)/100))</f>
        <v>0</v>
      </c>
      <c r="BQ25" s="371">
        <f>IF(_xll.ciqfunctions.udf.CIQ($A25,"IQ_EBITDA_5YR_ANN_CAGR", IQ_LTM,$B$1,$L$4, $L$3, $L$5, $L$6)="NM","n/a",(_xll.ciqfunctions.udf.CIQ($A25,"IQ_EBITDA_5YR_ANN_CAGR", IQ_LTM,$B$1,$L$4, $L$3, $L$5, $L$6)/100))</f>
        <v>0</v>
      </c>
      <c r="BR25" s="375" t="str">
        <f>IFERROR((_xll.ciqfunctions.udf.CIQ($A25, "IQ_DA_CF", IQ_LTM, $B$1, $L$4, $L$3, $L$5, $L$6)/Q25),"NM")</f>
        <v>NM</v>
      </c>
      <c r="BS25" s="417">
        <f>'Capital IQ Sheet-GPC'!BS25</f>
        <v>0.75506822835532827</v>
      </c>
      <c r="BT25" s="417" t="str">
        <f>'Capital IQ Sheet-GPC'!BT25</f>
        <v>n/a</v>
      </c>
      <c r="BU25" s="417" t="str">
        <f>'Capital IQ Sheet-GPC'!BU25</f>
        <v>n/a</v>
      </c>
      <c r="BV25" s="417" t="str">
        <f>'Capital IQ Sheet-GPC'!BV25</f>
        <v>n/a</v>
      </c>
      <c r="BW25" s="417" t="str">
        <f>'Capital IQ Sheet-GPC'!BW25</f>
        <v>n/a</v>
      </c>
      <c r="BX25" s="417" t="str">
        <f>'Capital IQ Sheet-GPC'!BX25</f>
        <v>n/a</v>
      </c>
      <c r="BY25" s="417" t="str">
        <f>'Capital IQ Sheet-GPC'!BY25</f>
        <v>n/a</v>
      </c>
      <c r="BZ25" s="417" t="str">
        <f>'Capital IQ Sheet-GPC'!BZ25</f>
        <v>n/a</v>
      </c>
      <c r="CB25" s="371">
        <v>2</v>
      </c>
      <c r="CC25" s="495" t="s">
        <v>150</v>
      </c>
      <c r="CD25" s="495" t="s">
        <v>149</v>
      </c>
      <c r="CE25" s="373">
        <f t="shared" si="1"/>
        <v>42551</v>
      </c>
    </row>
    <row r="26" spans="1:83" s="371" customFormat="1" ht="12.75">
      <c r="A26" s="372" t="str">
        <f>_xll.ciqfunctions.udf.CIQ($B26,"IQ_COMPANY_TICKER")</f>
        <v>NasdaqGS:APTX</v>
      </c>
      <c r="B26" s="412" t="str">
        <f>'Capital IQ Sheet-GPC'!B26</f>
        <v>IQ336341295</v>
      </c>
      <c r="C26" s="372" t="str">
        <f>_xll.ciqfunctions.udf.CIQ($A26,"IQ_COMPANY_NAME")</f>
        <v>Aptinyx Inc.</v>
      </c>
      <c r="D26" s="372" t="str">
        <f>_xll.ciqfunctions.udf.CIQ($A26, "IQ_EXCHANGE")</f>
        <v>NasdaqGS</v>
      </c>
      <c r="E26" s="411">
        <f>_xll.ciqfunctions.udf.CIQ($A26, "IQ_PERIODDATE_IS", IQ_FY)</f>
        <v>43100</v>
      </c>
      <c r="F26" s="411">
        <f>_xll.ciqfunctions.udf.CIQ(A26, "IQ_PERIODDATE_IS", IQ_LTM, $B$1,$L$4,$L$3)</f>
        <v>43190</v>
      </c>
      <c r="G26" s="411">
        <f>_xll.ciqfunctions.udf.CIQ($A26, "IQ_FIRSTPRICINGDATE")</f>
        <v>43272</v>
      </c>
      <c r="H26" s="413">
        <f>_xll.ciqfunctions.udf.CIQ($A26, "IQ_TEV", $L$2, $L$5, $L$6)</f>
        <v>859.63972999999999</v>
      </c>
      <c r="I26" s="413">
        <f>_xll.ciqfunctions.udf.CIQ(A26, "IQ_LASTSALEPRICE", $B$1,$L$5)</f>
        <v>24.17</v>
      </c>
      <c r="J26" s="413">
        <f>_xll.ciqfunctions.udf.CIQ($A26, "IQ_MARKETCAP", $L$2, $L$5, $L$6)</f>
        <v>809.60373000000004</v>
      </c>
      <c r="K26" s="413">
        <f>_xll.ciqfunctions.udf.CIQ($A26, "IQ_TOTAL_DEBT", IQ_LTM, $L$2,$L$4, $L$3, $L$5, $L$6)</f>
        <v>0</v>
      </c>
      <c r="L26" s="413">
        <f>_xll.ciqfunctions.udf.CIQ($A26, "IQ_PREF_EQUITY", IQ_LTM, $L$2, $L$4, $L$3, $L$5, $L$6)</f>
        <v>132.386</v>
      </c>
      <c r="M26" s="413">
        <f>_xll.ciqfunctions.udf.CIQ($A26, "IQ_MINORITY_INTEREST_TOTAL", IQ_LTM, $L$2, $L$4, $L$3, $L$5, $L$6)</f>
        <v>0</v>
      </c>
      <c r="N26" s="413">
        <f>_xll.ciqfunctions.udf.CIQ($A26, "IQ_CASH_ST_INVEST", IQ_LTM, $L$2, $L$4, $L$3, $L$5, $L$6)</f>
        <v>82.35</v>
      </c>
      <c r="O26" s="413">
        <f>_xll.ciqfunctions.udf.CIQ($A26, "IQ_TOTAL_REV", IQ_LTM-8, $L$2, $L$4, $L$3, $L$5, $L$6)</f>
        <v>0</v>
      </c>
      <c r="P26" s="413">
        <f>_xll.ciqfunctions.udf.CIQ($A26, "IQ_TOTAL_REV", IQ_LTM - 4, $L$2, $L$4, $L$3, $L$5,$L$6)</f>
        <v>0</v>
      </c>
      <c r="Q26" s="413">
        <f>_xll.ciqfunctions.udf.CIQ($A26, "IQ_TOTAL_REV", IQ_LTM, $L$2, $L$4, $L$3, $L$5, $L$6)</f>
        <v>6.2809999999999997</v>
      </c>
      <c r="R26" s="413">
        <f>_xll.ciqfunctions.udf.CIQ($A26, "IQ_TOTAL_REV", $B$2, $L$2, $L$4, $L$3, $L$5, $L$6)</f>
        <v>9.7919999999999998</v>
      </c>
      <c r="S26" s="413">
        <f>IF(_xll.ciqfunctions.udf.CIQ($A26, "IQ_TOTAL_REV", $B$3, $L$2,$L$4, $L$3, $L$5, $L$6)=0,Q26,_xll.ciqfunctions.udf.CIQ($A26, "IQ_TOTAL_REV", $B$3, $L$2,$L$4, $L$3, $L$5, $L$6))</f>
        <v>4.9619999999999997</v>
      </c>
      <c r="T26" s="413" t="str">
        <f>IF(_xll.ciqfunctions.udf.CIQ($A26, "IQ_REVENUE_EST",$B$4, $L$2, "CON", $L$3, $L$5, $L$6)=0,"n/a",_xll.ciqfunctions.udf.CIQ($A26, "IQ_REVENUE_EST",$B$4, $L$2, "CON", $L$3, $L$5, $L$6))</f>
        <v>n/a</v>
      </c>
      <c r="U26" s="413" t="str">
        <f>IF(_xll.ciqfunctions.udf.CIQ($A26, "IQ_REVENUE_EST",$B$5, $L$2, "CON", $L$3, $L$5, $L$6)=0,"n/a",_xll.ciqfunctions.udf.CIQ($A26, "IQ_REVENUE_EST",$B$5, $L$2, "CON", $L$3, $L$5, $L$6))</f>
        <v>n/a</v>
      </c>
      <c r="V26" s="413" t="str">
        <f>IF(_xll.ciqfunctions.udf.CIQ($A26, "IQ_REVENUE_EST",$B$6, $L$2, "CON", $L$3, $L$5, $L$6)=0,"n/a",_xll.ciqfunctions.udf.CIQ($A26, "IQ_REVENUE_EST",$B$6, $L$2, "CON", $L$3, $L$5, $L$6))</f>
        <v>n/a</v>
      </c>
      <c r="W26" s="413" t="str">
        <f>IF(_xll.ciqfunctions.udf.CIQ($A26, "IQ_REVENUE_EST", $B$7, $L$2, "CON", $L$3, $L$5, $L$6)=0,"n/a",_xll.ciqfunctions.udf.CIQ($A26, "IQ_REVENUE_EST",$B$7, $L$2, "CON", $L$3, $L$5, $L$6))</f>
        <v>n/a</v>
      </c>
      <c r="X26" s="413">
        <f>_xll.ciqfunctions.udf.CIQ($A26, "IQ_EBITDA", IQ_LTM-8, $L$2, $L$4, $L$3, $L$5, $L$6)</f>
        <v>0</v>
      </c>
      <c r="Y26" s="413">
        <f>_xll.ciqfunctions.udf.CIQ($A26, "IQ_EBITDA", IQ_LTM-4, $L$2,$L$4, $L$3, $L$5, $L$6)</f>
        <v>0</v>
      </c>
      <c r="Z26" s="413">
        <f>_xll.ciqfunctions.udf.CIQ($A26, "IQ_EBITDA", IQ_LTM, $L$2, $L$4, $L$3, $L$5, $L$6)</f>
        <v>-34.843000000000004</v>
      </c>
      <c r="AA26" s="413">
        <f>_xll.ciqfunctions.udf.CIQ($A26, "IQ_EBITDA", $B$2, $L$2, $L$4, $L$3, $L$5, $L$6)</f>
        <v>-17.532</v>
      </c>
      <c r="AB26" s="413">
        <f>IF(_xll.ciqfunctions.udf.CIQ($A26, "IQ_EBITDA", $B$3, $L$2,$L$4, $L$3, $L$5, $L$6)=0,Z26,_xll.ciqfunctions.udf.CIQ($A26, "IQ_EBITDA", $B$3, $L$2,$L$4, $L$3, $L$5, $L$6))</f>
        <v>-31.827999999999999</v>
      </c>
      <c r="AC26" s="413" t="str">
        <f>IF(_xll.ciqfunctions.udf.CIQ($A26, "IQ_EBITDA_EST",$B$4, $L$2, "CON", $L$3, $L$5, $L$6)=0,"n/a",_xll.ciqfunctions.udf.CIQ($A26, "IQ_EBITDA_EST",$B$4, $L$2, "CON", $L$3, $L$5, $L$6))</f>
        <v>n/a</v>
      </c>
      <c r="AD26" s="413" t="str">
        <f>IF(_xll.ciqfunctions.udf.CIQ($A26, "IQ_EBITDA_EST",$B$5, $L$2, "CON", $L$3, $L$5, $L$6)=0,"n/a",_xll.ciqfunctions.udf.CIQ($A26, "IQ_EBITDA_EST",$B$5, $L$2, "CON", $L$3, $L$5, $L$6))</f>
        <v>n/a</v>
      </c>
      <c r="AE26" s="413" t="str">
        <f>IF(_xll.ciqfunctions.udf.CIQ($A26, "IQ_EBITDA_EST",$B$6, $L$2, "CON", $L$3, $L$5, $L$6)=0,"n/a",_xll.ciqfunctions.udf.CIQ($A26, "IQ_EBITDA_EST",$B$6, $L$2, "CON", $L$3, $L$5, $L$6))</f>
        <v>n/a</v>
      </c>
      <c r="AF26" s="414" t="str">
        <f>IF(ISERROR(_xll.ciqfunctions.udf.CIQ($A26, "IQ_GROSS_MARGIN", IQ_LTM, $L$2,$L$4, $L$3, $L$5, $L$6)/100), "n/a", _xll.ciqfunctions.udf.CIQ($A26,  "IQ_GROSS_MARGIN", IQ_LTM, $L$2, $L$4, $L$3, $L$5, $L$6)/100)</f>
        <v>n/a</v>
      </c>
      <c r="AG26" s="414" t="str">
        <f>IF(ISERROR(_xll.ciqfunctions.udf.CIQ($A26,"IQ_EBITDA_MARGIN", IQ_LTM, $L$2, $L$4, $L$3, $L$5, $L$6)/100), "n/a", _xll.ciqfunctions.udf.CIQ($A26, "IQ_EBITDA_MARGIN", IQ_LTM, $L$2, $L$4, $L$3, $L$5, $L$6)/100)</f>
        <v>n/a</v>
      </c>
      <c r="AH26" s="414" t="str">
        <f>IF(ISERROR(_xll.ciqfunctions.udf.CIQ($A26,"IQ_EBIT_MARGIN", IQ_LTM, $L$2, $L$4, $L$3, $L$5, $L$6)/100), "n/a", _xll.ciqfunctions.udf.CIQ($A26, "IQ_EBIT_MARGIN", IQ_LTM, $L$2, $L$4, $L$3, $L$5, $L$6)/100)</f>
        <v>n/a</v>
      </c>
      <c r="AI26" s="414" t="str">
        <f>IF(ISERROR(_xll.ciqfunctions.udf.CIQ($A26,"IQ_NI_MARGIN", IQ_LTM, $L$2, $L$4, $L$3, $L$5, $L$6)/100), "n/a", _xll.ciqfunctions.udf.CIQ($A26, "IQ_NI_MARGIN", IQ_LTM, $L$2, $L$4, $L$3, $L$5, $L$6)/100)</f>
        <v>n/a</v>
      </c>
      <c r="AJ26" s="413">
        <f>_xll.ciqfunctions.udf.CIQ($A26,"IQ_TOTAL_CA",IQ_LTM-8,$L$2, $L$4, $L$3, $L$5, $L$6)-_xll.ciqfunctions.udf.CIQ($A26,"IQ_TOTAL_CL",IQ_LTM-8,$L$2, $L$4, $L$3, $L$5, $L$6)</f>
        <v>0</v>
      </c>
      <c r="AK26" s="413">
        <f>_xll.ciqfunctions.udf.CIQ($A26,"IQ_TOTAL_CA",IQ_LTM-4,$L$2, $L$4, $L$3, $L$5, $L$6)-_xll.ciqfunctions.udf.CIQ($A26,"IQ_TOTAL_CL",IQ_LTM-4,$L$2, $L$4, $L$3, $L$5, $L$6)</f>
        <v>0</v>
      </c>
      <c r="AL26" s="413">
        <f>_xll.ciqfunctions.udf.CIQ($A26,"IQ_TOTAL_CA",IQ_LTM,$L$2, $L$4, $L$3, $L$5, $L$6)-_xll.ciqfunctions.udf.CIQ($A26,"IQ_TOTAL_CL",IQ_LTM,$L$2, $L$4, $L$3, $L$5, $L$6)</f>
        <v>79.477000000000004</v>
      </c>
      <c r="AM26" s="413">
        <f>IF(ISERROR(_xll.ciqfunctions.udf.CIQ($A26, "IQ_Capex", IQ_LTM-8, $L$2,$L$4, $L$3, $L$5, $L$6)), "n/a", _xll.ciqfunctions.udf.CIQ($A26, "IQ_Capex", IQ_LTM-8, $L$2, $L$4, $L$3, $L$5, $L$6))</f>
        <v>0</v>
      </c>
      <c r="AN26" s="413">
        <f>IF(ISERROR(_xll.ciqfunctions.udf.CIQ($A26, "IQ_Capex", IQ_LTM-4, $L$2,$L$4, $L$3, $L$5, $L$6)), "n/a", _xll.ciqfunctions.udf.CIQ($A26, "IQ_Capex", IQ_LTM-4, $L$2,$L$4, $L$3, $L$5, $L$6))</f>
        <v>0</v>
      </c>
      <c r="AO26" s="413">
        <f>IF(ISERROR(_xll.ciqfunctions.udf.CIQ($A26, "IQ_Capex", IQ_LTM, $L$2, $L$4, $L$3, $L$5, $L$6)), "n/a", _xll.ciqfunctions.udf.CIQ($A26, "IQ_Capex", IQ_LTM, $L$2, $L$4, $L$3, $L$5, $L$6))</f>
        <v>-1.36</v>
      </c>
      <c r="AP26" s="415" t="str">
        <f>_xll.ciqfunctions.udf.CIQ(A26, "IQ_BUSINESS_DESCRIPTION")</f>
        <v>Aptinyx Inc., a clinical-stage biopharmaceutical company, focuses on the discovery, development, and commercialization of novel, proprietary, and synthetic small molecules for the treatment of brain and nervous system disorders. It is developing NYX-2925 that is in Phase II clinical trial for the treatment of painful diabetic peripheral neuropathy, as well as in Phase II exploratory clinical trial for fibromyalgia; and NYX-783, an NMDAr receptor that is in Phase I clinical trial for the treatment of post-traumatic stress disorder. The company has a collaboration agreement with Allergan plc. Aptinyx Inc. was founded in 2015 and is headquartered in Evanston, Illinois.</v>
      </c>
      <c r="AQ26" s="416">
        <f>_xll.ciqfunctions.udf.CIQ($A26, "IQ_BETA_1YR", $B$1)</f>
        <v>0</v>
      </c>
      <c r="AR26" s="416">
        <f>_xll.ciqfunctions.udf.CIQ($A26, "IQ_BETA_2YR", $B$1)</f>
        <v>0</v>
      </c>
      <c r="AS26" s="416">
        <f>_xll.ciqfunctions.udf.CIQ($A26, "IQ_BETA_5YR", $B$1)</f>
        <v>0</v>
      </c>
      <c r="AT26" s="414">
        <f>_xll.ciqfunctions.udf.CIQ($A26, "IQ_DIVIDEND_YIELD", $B$1)/100</f>
        <v>0</v>
      </c>
      <c r="AU26" s="413">
        <f>_xll.ciqfunctions.udf.CIQ($A26, "IQ_EARNING_CO", IQ_LTM-8, $L$2, $L$4, $L$3, $L$5, $L$6)</f>
        <v>0</v>
      </c>
      <c r="AV26" s="413">
        <f>_xll.ciqfunctions.udf.CIQ($A26, "IQ_EARNING_CO", IQ_LTM-4, $L$2, $L$4, $L$3, $L$5, $L$6)</f>
        <v>0</v>
      </c>
      <c r="AW26" s="413">
        <f>_xll.ciqfunctions.udf.CIQ($A26, "IQ_EARNING_CO", IQ_LTM, $L$2, $L$4, $L$3, $L$5, $L$6)</f>
        <v>-35.042999999999999</v>
      </c>
      <c r="AX26" s="413">
        <f>_xll.ciqfunctions.udf.CIQ($A26, "IQ_EARNING_CO", $B$2, $L$2, $L$4, $L$3, $L$5, $L$6)</f>
        <v>-15.478</v>
      </c>
      <c r="AY26" s="413">
        <f>IF(_xll.ciqfunctions.udf.CIQ($A26, "IQ_EARNING_CO", $B$3, $L$2,$L$4, $L$3, $L$5, $L$6)=0,AW26,_xll.ciqfunctions.udf.CIQ($A26, "IQ_EARNING_CO", $B$3, $L$2,$L$4, $L$3, $L$5, $L$6))</f>
        <v>-32.067999999999998</v>
      </c>
      <c r="AZ26" s="413">
        <f>_xll.ciqfunctions.udf.CIQ($A26, "IQ_TOTAL_EQUITY", IQ_LTM-8, $L$2, $L$4, $L$3, $L$5, $L$6)</f>
        <v>0</v>
      </c>
      <c r="BA26" s="413">
        <f>_xll.ciqfunctions.udf.CIQ($A26, "IQ_TOTAL_EQUITY", IQ_LTM-4, $L$2, $L$4, $L$3, $L$5, $L$6)</f>
        <v>0</v>
      </c>
      <c r="BB26" s="413">
        <f>_xll.ciqfunctions.udf.CIQ($A26, "IQ_TOTAL_EQUITY", IQ_LTM, $L$2, $L$4, $L$3, $L$5, $L$6)</f>
        <v>81.52</v>
      </c>
      <c r="BC26" s="413">
        <f>_xll.ciqfunctions.udf.CIQ($A26, "IQ_TOTAL_EQUITY", $B$2, $L$2, $L$4, $L$3, $L$5, $L$6)</f>
        <v>14.099</v>
      </c>
      <c r="BD26" s="413">
        <f>IF(_xll.ciqfunctions.udf.CIQ($A26, "IQ_TOTAL_EQUITY", $B$3, $L$2,$L$4, $L$3, $L$5, $L$6)=0,BB26,_xll.ciqfunctions.udf.CIQ($A26, "IQ_TOTAL_EQUITY", $B$3, $L$2,$L$4, $L$3, $L$5, $L$6))</f>
        <v>92.668000000000006</v>
      </c>
      <c r="BE26" s="413">
        <f>_xll.ciqfunctions.udf.CIQ(A26, "IQ_LASTSALEPRICE", $B$8)</f>
        <v>0</v>
      </c>
      <c r="BF26" s="413">
        <f>_xll.ciqfunctions.udf.CIQ($A26, "IQ_MARKETCAP", $B$8, $L$5, $L$6)</f>
        <v>0</v>
      </c>
      <c r="BG26" s="413">
        <f>_xll.ciqfunctions.udf.CIQ($A26, "IQ_TOTAL_DEBT", IQ_LTM, $B$8,$L$4, $L$3, $L$5, $L$6)</f>
        <v>0</v>
      </c>
      <c r="BH26" s="371">
        <f>_xll.ciqfunctions.udf.CIQ($A26,"IQ_PREF_EQUITY",IQ_LTM,$B$8,$L$4,$L$3,$L$5,$L$6)</f>
        <v>0</v>
      </c>
      <c r="BI26" s="371">
        <f>_xll.ciqfunctions.udf.CIQ($A26, "IQ_MINORITY_INTEREST_TOTAL", IQ_LTM,$B$8,$L$4,$L$3,$L$5,$L$6)</f>
        <v>0</v>
      </c>
      <c r="BJ26" s="413">
        <f>_xll.ciqfunctions.udf.CIQ($A26, "IQ_CASH_ST_INVEST", IQ_LTM, $B$8, $L$4, $L$3, $L$5, $L$6)</f>
        <v>0</v>
      </c>
      <c r="BK26" s="371">
        <f>_xll.ciqfunctions.udf.CIQ($A26, "IQ_EFFECT_TAX_RATE")</f>
        <v>0</v>
      </c>
      <c r="BL26" s="371">
        <f>IF(_xll.ciqfunctions.udf.CIQ($A26, "IQ_TOTAL_REV_2YR_ANN_CAGR", IQ_LTM, $B$1,$L$4, $L$3, $L$5, $L$6)="NM","n/a",(_xll.ciqfunctions.udf.CIQ($A26, "IQ_TOTAL_REV_2YR_ANN_CAGR", IQ_LTM, $B$1,$L$4, $L$3, $L$5, $L$6)/100))</f>
        <v>0</v>
      </c>
      <c r="BM26" s="371">
        <f>IF(_xll.ciqfunctions.udf.CIQ($A26, "IQ_TOTAL_REV_3YR_ANN_CAGR", IQ_LTM, $B$1,$L$4, $L$3, $L$5, $L$6)="NM","n/a",(_xll.ciqfunctions.udf.CIQ($A26, "IQ_TOTAL_REV_3YR_ANN_CAGR", IQ_LTM, $B$1,$L$4, $L$3, $L$5, $L$6)/100))</f>
        <v>0</v>
      </c>
      <c r="BN26" s="371">
        <f>IF(_xll.ciqfunctions.udf.CIQ($A26, "IQ_TOTAL_REV_5YR_ANN_CAGR", IQ_LTM, $B$1,$L$4, $L$3, $L$5, $L$6)="NM","n/a",(_xll.ciqfunctions.udf.CIQ($A26, "IQ_TOTAL_REV_5YR_ANN_CAGR", IQ_LTM, $B$1,$L$4, $L$3, $L$5, $L$6)/100))</f>
        <v>0</v>
      </c>
      <c r="BO26" s="371">
        <f>IF(_xll.ciqfunctions.udf.CIQ($A26,"IQ_EBITDA_2YR_ANN_CAGR", IQ_LTM,$B$1,$L$4, $L$3, $L$5, $L$6)="NM","n/a",(_xll.ciqfunctions.udf.CIQ($A26,"IQ_EBITDA_2YR_ANN_CAGR", IQ_LTM,$B$1,$L$4, $L$3, $L$5, $L$6)/100))</f>
        <v>0</v>
      </c>
      <c r="BP26" s="371">
        <f>IF(_xll.ciqfunctions.udf.CIQ($A26,"IQ_EBITDA_3YR_ANN_CAGR", IQ_LTM,$B$1,$L$4, $L$3, $L$5, $L$6)="NM","n/a",(_xll.ciqfunctions.udf.CIQ($A26,"IQ_EBITDA_3YR_ANN_CAGR", IQ_LTM,$B$1,$L$4, $L$3, $L$5, $L$6)/100))</f>
        <v>0</v>
      </c>
      <c r="BQ26" s="371">
        <f>IF(_xll.ciqfunctions.udf.CIQ($A26,"IQ_EBITDA_5YR_ANN_CAGR", IQ_LTM,$B$1,$L$4, $L$3, $L$5, $L$6)="NM","n/a",(_xll.ciqfunctions.udf.CIQ($A26,"IQ_EBITDA_5YR_ANN_CAGR", IQ_LTM,$B$1,$L$4, $L$3, $L$5, $L$6)/100))</f>
        <v>0</v>
      </c>
      <c r="BR26" s="375">
        <f>IFERROR((_xll.ciqfunctions.udf.CIQ($A26, "IQ_DA_CF", IQ_LTM, $B$1, $L$4, $L$3, $L$5, $L$6)/Q26),"NM")</f>
        <v>7.1644642572838729E-2</v>
      </c>
      <c r="BS26" s="417">
        <f>'Capital IQ Sheet-GPC'!BS26</f>
        <v>0.7027346729590529</v>
      </c>
      <c r="BT26" s="417" t="str">
        <f>'Capital IQ Sheet-GPC'!BT26</f>
        <v>n/a</v>
      </c>
      <c r="BU26" s="417" t="str">
        <f>'Capital IQ Sheet-GPC'!BU26</f>
        <v>n/a</v>
      </c>
      <c r="BV26" s="417" t="str">
        <f>'Capital IQ Sheet-GPC'!BV26</f>
        <v>n/a</v>
      </c>
      <c r="BW26" s="417" t="str">
        <f>'Capital IQ Sheet-GPC'!BW26</f>
        <v>n/a</v>
      </c>
      <c r="BX26" s="417" t="str">
        <f>'Capital IQ Sheet-GPC'!BX26</f>
        <v>n/a</v>
      </c>
      <c r="BY26" s="417" t="str">
        <f>'Capital IQ Sheet-GPC'!BY26</f>
        <v>n/a</v>
      </c>
      <c r="BZ26" s="417" t="str">
        <f>'Capital IQ Sheet-GPC'!BZ26</f>
        <v>n/a</v>
      </c>
      <c r="CB26" s="371">
        <v>2</v>
      </c>
      <c r="CC26" s="495" t="s">
        <v>150</v>
      </c>
      <c r="CD26" s="495" t="s">
        <v>149</v>
      </c>
      <c r="CE26" s="373">
        <f t="shared" si="1"/>
        <v>42551</v>
      </c>
    </row>
    <row r="27" spans="1:83" s="371" customFormat="1" ht="12.75">
      <c r="A27" s="372" t="str">
        <f>_xll.ciqfunctions.udf.CIQ($B27,"IQ_COMPANY_TICKER")</f>
        <v>NasdaqCM:BYSI</v>
      </c>
      <c r="B27" s="412" t="str">
        <f>'Capital IQ Sheet-GPC'!B27</f>
        <v>IQ409784135</v>
      </c>
      <c r="C27" s="372" t="str">
        <f>_xll.ciqfunctions.udf.CIQ($A27,"IQ_COMPANY_NAME")</f>
        <v>BeyondSpring Inc.</v>
      </c>
      <c r="D27" s="372" t="str">
        <f>_xll.ciqfunctions.udf.CIQ($A27, "IQ_EXCHANGE")</f>
        <v>NasdaqCM</v>
      </c>
      <c r="E27" s="411">
        <f>_xll.ciqfunctions.udf.CIQ($A27, "IQ_PERIODDATE_IS", IQ_FY)</f>
        <v>43100</v>
      </c>
      <c r="F27" s="411">
        <f>_xll.ciqfunctions.udf.CIQ(A27, "IQ_PERIODDATE_IS", IQ_LTM, $B$1,$L$4,$L$3)</f>
        <v>43190</v>
      </c>
      <c r="G27" s="411">
        <f>_xll.ciqfunctions.udf.CIQ($A27, "IQ_FIRSTPRICINGDATE")</f>
        <v>42803</v>
      </c>
      <c r="H27" s="413">
        <f>_xll.ciqfunctions.udf.CIQ($A27, "IQ_TEV", $L$2, $L$5, $L$6)</f>
        <v>593.39386999999999</v>
      </c>
      <c r="I27" s="413">
        <f>_xll.ciqfunctions.udf.CIQ(A27, "IQ_LASTSALEPRICE", $B$1,$L$5)</f>
        <v>26.51</v>
      </c>
      <c r="J27" s="413">
        <f>_xll.ciqfunctions.udf.CIQ($A27, "IQ_MARKETCAP", $L$2, $L$5, $L$6)</f>
        <v>614.36387000000002</v>
      </c>
      <c r="K27" s="413">
        <f>_xll.ciqfunctions.udf.CIQ($A27, "IQ_TOTAL_DEBT", IQ_LTM, $L$2,$L$4, $L$3, $L$5, $L$6)</f>
        <v>0</v>
      </c>
      <c r="L27" s="413">
        <f>_xll.ciqfunctions.udf.CIQ($A27, "IQ_PREF_EQUITY", IQ_LTM, $L$2, $L$4, $L$3, $L$5, $L$6)</f>
        <v>0</v>
      </c>
      <c r="M27" s="413">
        <f>_xll.ciqfunctions.udf.CIQ($A27, "IQ_MINORITY_INTEREST_TOTAL", IQ_LTM, $L$2, $L$4, $L$3, $L$5, $L$6)</f>
        <v>0.56799999999999995</v>
      </c>
      <c r="N27" s="413">
        <f>_xll.ciqfunctions.udf.CIQ($A27, "IQ_CASH_ST_INVEST", IQ_LTM, $L$2, $L$4, $L$3, $L$5, $L$6)</f>
        <v>21.538</v>
      </c>
      <c r="O27" s="413">
        <f>_xll.ciqfunctions.udf.CIQ($A27, "IQ_TOTAL_REV", IQ_LTM-8, $L$2, $L$4, $L$3, $L$5, $L$6)</f>
        <v>0</v>
      </c>
      <c r="P27" s="413">
        <f>_xll.ciqfunctions.udf.CIQ($A27, "IQ_TOTAL_REV", IQ_LTM - 4, $L$2, $L$4, $L$3, $L$5,$L$6)</f>
        <v>0</v>
      </c>
      <c r="Q27" s="413">
        <f>_xll.ciqfunctions.udf.CIQ($A27, "IQ_TOTAL_REV", IQ_LTM, $L$2, $L$4, $L$3, $L$5, $L$6)</f>
        <v>0</v>
      </c>
      <c r="R27" s="413">
        <f>_xll.ciqfunctions.udf.CIQ($A27, "IQ_TOTAL_REV", $B$2, $L$2, $L$4, $L$3, $L$5, $L$6)</f>
        <v>0</v>
      </c>
      <c r="S27" s="413">
        <f>IF(_xll.ciqfunctions.udf.CIQ($A27, "IQ_TOTAL_REV", $B$3, $L$2,$L$4, $L$3, $L$5, $L$6)=0,Q27,_xll.ciqfunctions.udf.CIQ($A27, "IQ_TOTAL_REV", $B$3, $L$2,$L$4, $L$3, $L$5, $L$6))</f>
        <v>0</v>
      </c>
      <c r="T27" s="413" t="str">
        <f>IF(_xll.ciqfunctions.udf.CIQ($A27, "IQ_REVENUE_EST",$B$4, $L$2, "CON", $L$3, $L$5, $L$6)=0,"n/a",_xll.ciqfunctions.udf.CIQ($A27, "IQ_REVENUE_EST",$B$4, $L$2, "CON", $L$3, $L$5, $L$6))</f>
        <v>n/a</v>
      </c>
      <c r="U27" s="413">
        <f>IF(_xll.ciqfunctions.udf.CIQ($A27, "IQ_REVENUE_EST",$B$5, $L$2, "CON", $L$3, $L$5, $L$6)=0,"n/a",_xll.ciqfunctions.udf.CIQ($A27, "IQ_REVENUE_EST",$B$5, $L$2, "CON", $L$3, $L$5, $L$6))</f>
        <v>15</v>
      </c>
      <c r="V27" s="413">
        <f>IF(_xll.ciqfunctions.udf.CIQ($A27, "IQ_REVENUE_EST",$B$6, $L$2, "CON", $L$3, $L$5, $L$6)=0,"n/a",_xll.ciqfunctions.udf.CIQ($A27, "IQ_REVENUE_EST",$B$6, $L$2, "CON", $L$3, $L$5, $L$6))</f>
        <v>115.9175</v>
      </c>
      <c r="W27" s="413">
        <f>IF(_xll.ciqfunctions.udf.CIQ($A27, "IQ_REVENUE_EST", $B$7, $L$2, "CON", $L$3, $L$5, $L$6)=0,"n/a",_xll.ciqfunctions.udf.CIQ($A27, "IQ_REVENUE_EST",$B$7, $L$2, "CON", $L$3, $L$5, $L$6))</f>
        <v>289.64949999999999</v>
      </c>
      <c r="X27" s="413">
        <f>_xll.ciqfunctions.udf.CIQ($A27, "IQ_EBITDA", IQ_LTM-8, $L$2, $L$4, $L$3, $L$5, $L$6)</f>
        <v>-7.4489999999999998</v>
      </c>
      <c r="Y27" s="413">
        <f>_xll.ciqfunctions.udf.CIQ($A27, "IQ_EBITDA", IQ_LTM-4, $L$2,$L$4, $L$3, $L$5, $L$6)</f>
        <v>-58.225000000000001</v>
      </c>
      <c r="Z27" s="413">
        <f>_xll.ciqfunctions.udf.CIQ($A27, "IQ_EBITDA", IQ_LTM, $L$2, $L$4, $L$3, $L$5, $L$6)</f>
        <v>-64.953999999999994</v>
      </c>
      <c r="AA27" s="413">
        <f>_xll.ciqfunctions.udf.CIQ($A27, "IQ_EBITDA", $B$2, $L$2, $L$4, $L$3, $L$5, $L$6)</f>
        <v>-12.35</v>
      </c>
      <c r="AB27" s="413">
        <f>IF(_xll.ciqfunctions.udf.CIQ($A27, "IQ_EBITDA", $B$3, $L$2,$L$4, $L$3, $L$5, $L$6)=0,Z27,_xll.ciqfunctions.udf.CIQ($A27, "IQ_EBITDA", $B$3, $L$2,$L$4, $L$3, $L$5, $L$6))</f>
        <v>-97.948999999999998</v>
      </c>
      <c r="AC27" s="413">
        <f>IF(_xll.ciqfunctions.udf.CIQ($A27, "IQ_EBITDA_EST",$B$4, $L$2, "CON", $L$3, $L$5, $L$6)=0,"n/a",_xll.ciqfunctions.udf.CIQ($A27, "IQ_EBITDA_EST",$B$4, $L$2, "CON", $L$3, $L$5, $L$6))</f>
        <v>-67</v>
      </c>
      <c r="AD27" s="413">
        <f>IF(_xll.ciqfunctions.udf.CIQ($A27, "IQ_EBITDA_EST",$B$5, $L$2, "CON", $L$3, $L$5, $L$6)=0,"n/a",_xll.ciqfunctions.udf.CIQ($A27, "IQ_EBITDA_EST",$B$5, $L$2, "CON", $L$3, $L$5, $L$6))</f>
        <v>-76.599999999999994</v>
      </c>
      <c r="AE27" s="413">
        <f>IF(_xll.ciqfunctions.udf.CIQ($A27, "IQ_EBITDA_EST",$B$6, $L$2, "CON", $L$3, $L$5, $L$6)=0,"n/a",_xll.ciqfunctions.udf.CIQ($A27, "IQ_EBITDA_EST",$B$6, $L$2, "CON", $L$3, $L$5, $L$6))</f>
        <v>3.9</v>
      </c>
      <c r="AF27" s="414">
        <f>IF(ISERROR(_xll.ciqfunctions.udf.CIQ($A27, "IQ_GROSS_MARGIN", IQ_LTM, $L$2,$L$4, $L$3, $L$5, $L$6)/100), "n/a", _xll.ciqfunctions.udf.CIQ($A27,  "IQ_GROSS_MARGIN", IQ_LTM, $L$2, $L$4, $L$3, $L$5, $L$6)/100)</f>
        <v>0</v>
      </c>
      <c r="AG27" s="414">
        <f>IF(ISERROR(_xll.ciqfunctions.udf.CIQ($A27,"IQ_EBITDA_MARGIN", IQ_LTM, $L$2, $L$4, $L$3, $L$5, $L$6)/100), "n/a", _xll.ciqfunctions.udf.CIQ($A27, "IQ_EBITDA_MARGIN", IQ_LTM, $L$2, $L$4, $L$3, $L$5, $L$6)/100)</f>
        <v>0</v>
      </c>
      <c r="AH27" s="414">
        <f>IF(ISERROR(_xll.ciqfunctions.udf.CIQ($A27,"IQ_EBIT_MARGIN", IQ_LTM, $L$2, $L$4, $L$3, $L$5, $L$6)/100), "n/a", _xll.ciqfunctions.udf.CIQ($A27, "IQ_EBIT_MARGIN", IQ_LTM, $L$2, $L$4, $L$3, $L$5, $L$6)/100)</f>
        <v>0</v>
      </c>
      <c r="AI27" s="414">
        <f>IF(ISERROR(_xll.ciqfunctions.udf.CIQ($A27,"IQ_NI_MARGIN", IQ_LTM, $L$2, $L$4, $L$3, $L$5, $L$6)/100), "n/a", _xll.ciqfunctions.udf.CIQ($A27, "IQ_NI_MARGIN", IQ_LTM, $L$2, $L$4, $L$3, $L$5, $L$6)/100)</f>
        <v>0</v>
      </c>
      <c r="AJ27" s="413">
        <f>_xll.ciqfunctions.udf.CIQ($A27,"IQ_TOTAL_CA",IQ_LTM-8,$L$2, $L$4, $L$3, $L$5, $L$6)-_xll.ciqfunctions.udf.CIQ($A27,"IQ_TOTAL_CL",IQ_LTM-8,$L$2, $L$4, $L$3, $L$5, $L$6)</f>
        <v>0</v>
      </c>
      <c r="AK27" s="413">
        <f>_xll.ciqfunctions.udf.CIQ($A27,"IQ_TOTAL_CA",IQ_LTM-4,$L$2, $L$4, $L$3, $L$5, $L$6)-_xll.ciqfunctions.udf.CIQ($A27,"IQ_TOTAL_CL",IQ_LTM-4,$L$2, $L$4, $L$3, $L$5, $L$6)</f>
        <v>53.734999999999999</v>
      </c>
      <c r="AL27" s="413">
        <f>_xll.ciqfunctions.udf.CIQ($A27,"IQ_TOTAL_CA",IQ_LTM,$L$2, $L$4, $L$3, $L$5, $L$6)-_xll.ciqfunctions.udf.CIQ($A27,"IQ_TOTAL_CL",IQ_LTM,$L$2, $L$4, $L$3, $L$5, $L$6)</f>
        <v>17.484000000000002</v>
      </c>
      <c r="AM27" s="413">
        <f>IF(ISERROR(_xll.ciqfunctions.udf.CIQ($A27, "IQ_Capex", IQ_LTM-8, $L$2,$L$4, $L$3, $L$5, $L$6)), "n/a", _xll.ciqfunctions.udf.CIQ($A27, "IQ_Capex", IQ_LTM-8, $L$2, $L$4, $L$3, $L$5, $L$6))</f>
        <v>-0.04</v>
      </c>
      <c r="AN27" s="413">
        <f>IF(ISERROR(_xll.ciqfunctions.udf.CIQ($A27, "IQ_Capex", IQ_LTM-4, $L$2,$L$4, $L$3, $L$5, $L$6)), "n/a", _xll.ciqfunctions.udf.CIQ($A27, "IQ_Capex", IQ_LTM-4, $L$2,$L$4, $L$3, $L$5, $L$6))</f>
        <v>-7.8E-2</v>
      </c>
      <c r="AO27" s="413">
        <f>IF(ISERROR(_xll.ciqfunctions.udf.CIQ($A27, "IQ_Capex", IQ_LTM, $L$2, $L$4, $L$3, $L$5, $L$6)), "n/a", _xll.ciqfunctions.udf.CIQ($A27, "IQ_Capex", IQ_LTM, $L$2, $L$4, $L$3, $L$5, $L$6))</f>
        <v>-7.4999999999999997E-2</v>
      </c>
      <c r="AP27" s="415" t="str">
        <f>_xll.ciqfunctions.udf.CIQ(A27, "IQ_BUSINESS_DESCRIPTION")</f>
        <v>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 Phase 3 clinical trial as an anticancer agent in combination with docetaxel in advanced non-small cell lung cancer; and Phase 1/2 clinical trials with the immuno-oncology agent nivolumab. BeyondSpring Inc. was founded in 2010 and is headquartered in New York, New York.</v>
      </c>
      <c r="AQ27" s="416">
        <f>_xll.ciqfunctions.udf.CIQ($A27, "IQ_BETA_1YR", $B$1)</f>
        <v>1.18415</v>
      </c>
      <c r="AR27" s="416">
        <f>_xll.ciqfunctions.udf.CIQ($A27, "IQ_BETA_2YR", $B$1)</f>
        <v>1.4369099999999999</v>
      </c>
      <c r="AS27" s="416">
        <f>_xll.ciqfunctions.udf.CIQ($A27, "IQ_BETA_5YR", $B$1)</f>
        <v>0</v>
      </c>
      <c r="AT27" s="414">
        <f>_xll.ciqfunctions.udf.CIQ($A27, "IQ_DIVIDEND_YIELD", $B$1)/100</f>
        <v>0</v>
      </c>
      <c r="AU27" s="413">
        <f>_xll.ciqfunctions.udf.CIQ($A27, "IQ_EARNING_CO", IQ_LTM-8, $L$2, $L$4, $L$3, $L$5, $L$6)</f>
        <v>-7.7750000000000004</v>
      </c>
      <c r="AV27" s="413">
        <f>_xll.ciqfunctions.udf.CIQ($A27, "IQ_EARNING_CO", IQ_LTM-4, $L$2, $L$4, $L$3, $L$5, $L$6)</f>
        <v>-58.347999999999999</v>
      </c>
      <c r="AW27" s="413">
        <f>_xll.ciqfunctions.udf.CIQ($A27, "IQ_EARNING_CO", IQ_LTM, $L$2, $L$4, $L$3, $L$5, $L$6)</f>
        <v>-62.756999999999998</v>
      </c>
      <c r="AX27" s="413">
        <f>_xll.ciqfunctions.udf.CIQ($A27, "IQ_EARNING_CO", $B$2, $L$2, $L$4, $L$3, $L$5, $L$6)</f>
        <v>-12.545</v>
      </c>
      <c r="AY27" s="413">
        <f>IF(_xll.ciqfunctions.udf.CIQ($A27, "IQ_EARNING_CO", $B$3, $L$2,$L$4, $L$3, $L$5, $L$6)=0,AW27,_xll.ciqfunctions.udf.CIQ($A27, "IQ_EARNING_CO", $B$3, $L$2,$L$4, $L$3, $L$5, $L$6))</f>
        <v>-96.388000000000005</v>
      </c>
      <c r="AZ27" s="413">
        <f>_xll.ciqfunctions.udf.CIQ($A27, "IQ_TOTAL_EQUITY", IQ_LTM-8, $L$2, $L$4, $L$3, $L$5, $L$6)</f>
        <v>9.6579999999999995</v>
      </c>
      <c r="BA27" s="413">
        <f>_xll.ciqfunctions.udf.CIQ($A27, "IQ_TOTAL_EQUITY", IQ_LTM-4, $L$2, $L$4, $L$3, $L$5, $L$6)</f>
        <v>54.026000000000003</v>
      </c>
      <c r="BB27" s="413">
        <f>_xll.ciqfunctions.udf.CIQ($A27, "IQ_TOTAL_EQUITY", IQ_LTM, $L$2, $L$4, $L$3, $L$5, $L$6)</f>
        <v>18.091000000000001</v>
      </c>
      <c r="BC27" s="413">
        <f>_xll.ciqfunctions.udf.CIQ($A27, "IQ_TOTAL_EQUITY", $B$2, $L$2, $L$4, $L$3, $L$5, $L$6)</f>
        <v>12.298999999999999</v>
      </c>
      <c r="BD27" s="413">
        <f>IF(_xll.ciqfunctions.udf.CIQ($A27, "IQ_TOTAL_EQUITY", $B$3, $L$2,$L$4, $L$3, $L$5, $L$6)=0,BB27,_xll.ciqfunctions.udf.CIQ($A27, "IQ_TOTAL_EQUITY", $B$3, $L$2,$L$4, $L$3, $L$5, $L$6))</f>
        <v>28.036000000000001</v>
      </c>
      <c r="BE27" s="413">
        <f>_xll.ciqfunctions.udf.CIQ(A27, "IQ_LASTSALEPRICE", $B$8)</f>
        <v>25.62</v>
      </c>
      <c r="BF27" s="413">
        <f>_xll.ciqfunctions.udf.CIQ($A27, "IQ_MARKETCAP", $B$8, $L$5, $L$6)</f>
        <v>585.28792999999996</v>
      </c>
      <c r="BG27" s="413">
        <f>_xll.ciqfunctions.udf.CIQ($A27, "IQ_TOTAL_DEBT", IQ_LTM, $B$8,$L$4, $L$3, $L$5, $L$6)</f>
        <v>0</v>
      </c>
      <c r="BH27" s="371">
        <f>_xll.ciqfunctions.udf.CIQ($A27,"IQ_PREF_EQUITY",IQ_LTM,$B$8,$L$4,$L$3,$L$5,$L$6)</f>
        <v>0</v>
      </c>
      <c r="BI27" s="371">
        <f>_xll.ciqfunctions.udf.CIQ($A27, "IQ_MINORITY_INTEREST_TOTAL", IQ_LTM,$B$8,$L$4,$L$3,$L$5,$L$6)</f>
        <v>1.3560000000000001</v>
      </c>
      <c r="BJ27" s="413">
        <f>_xll.ciqfunctions.udf.CIQ($A27, "IQ_CASH_ST_INVEST", IQ_LTM, $B$8, $L$4, $L$3, $L$5, $L$6)</f>
        <v>40.723999999999997</v>
      </c>
      <c r="BK27" s="371">
        <f>_xll.ciqfunctions.udf.CIQ($A27, "IQ_EFFECT_TAX_RATE")</f>
        <v>0</v>
      </c>
      <c r="BL27" s="371">
        <f>IF(_xll.ciqfunctions.udf.CIQ($A27, "IQ_TOTAL_REV_2YR_ANN_CAGR", IQ_LTM, $B$1,$L$4, $L$3, $L$5, $L$6)="NM","n/a",(_xll.ciqfunctions.udf.CIQ($A27, "IQ_TOTAL_REV_2YR_ANN_CAGR", IQ_LTM, $B$1,$L$4, $L$3, $L$5, $L$6)/100))</f>
        <v>0</v>
      </c>
      <c r="BM27" s="371">
        <f>IF(_xll.ciqfunctions.udf.CIQ($A27, "IQ_TOTAL_REV_3YR_ANN_CAGR", IQ_LTM, $B$1,$L$4, $L$3, $L$5, $L$6)="NM","n/a",(_xll.ciqfunctions.udf.CIQ($A27, "IQ_TOTAL_REV_3YR_ANN_CAGR", IQ_LTM, $B$1,$L$4, $L$3, $L$5, $L$6)/100))</f>
        <v>0</v>
      </c>
      <c r="BN27" s="371">
        <f>IF(_xll.ciqfunctions.udf.CIQ($A27, "IQ_TOTAL_REV_5YR_ANN_CAGR", IQ_LTM, $B$1,$L$4, $L$3, $L$5, $L$6)="NM","n/a",(_xll.ciqfunctions.udf.CIQ($A27, "IQ_TOTAL_REV_5YR_ANN_CAGR", IQ_LTM, $B$1,$L$4, $L$3, $L$5, $L$6)/100))</f>
        <v>0</v>
      </c>
      <c r="BO27" s="371" t="str">
        <f>IF(_xll.ciqfunctions.udf.CIQ($A27,"IQ_EBITDA_2YR_ANN_CAGR", IQ_LTM,$B$1,$L$4, $L$3, $L$5, $L$6)="NM","n/a",(_xll.ciqfunctions.udf.CIQ($A27,"IQ_EBITDA_2YR_ANN_CAGR", IQ_LTM,$B$1,$L$4, $L$3, $L$5, $L$6)/100))</f>
        <v>n/a</v>
      </c>
      <c r="BP27" s="371">
        <f>IF(_xll.ciqfunctions.udf.CIQ($A27,"IQ_EBITDA_3YR_ANN_CAGR", IQ_LTM,$B$1,$L$4, $L$3, $L$5, $L$6)="NM","n/a",(_xll.ciqfunctions.udf.CIQ($A27,"IQ_EBITDA_3YR_ANN_CAGR", IQ_LTM,$B$1,$L$4, $L$3, $L$5, $L$6)/100))</f>
        <v>0</v>
      </c>
      <c r="BQ27" s="371">
        <f>IF(_xll.ciqfunctions.udf.CIQ($A27,"IQ_EBITDA_5YR_ANN_CAGR", IQ_LTM,$B$1,$L$4, $L$3, $L$5, $L$6)="NM","n/a",(_xll.ciqfunctions.udf.CIQ($A27,"IQ_EBITDA_5YR_ANN_CAGR", IQ_LTM,$B$1,$L$4, $L$3, $L$5, $L$6)/100))</f>
        <v>0</v>
      </c>
      <c r="BR27" s="375" t="str">
        <f>IFERROR((_xll.ciqfunctions.udf.CIQ($A27, "IQ_DA_CF", IQ_LTM, $B$1, $L$4, $L$3, $L$5, $L$6)/Q27),"NM")</f>
        <v>NM</v>
      </c>
      <c r="BS27" s="417">
        <f>'Capital IQ Sheet-GPC'!BS27</f>
        <v>0.76402375856046234</v>
      </c>
      <c r="BT27" s="417">
        <f>'Capital IQ Sheet-GPC'!BT27</f>
        <v>0.74997182580919175</v>
      </c>
      <c r="BU27" s="417" t="str">
        <f>'Capital IQ Sheet-GPC'!BU27</f>
        <v>n/a</v>
      </c>
      <c r="BV27" s="417" t="str">
        <f>'Capital IQ Sheet-GPC'!BV27</f>
        <v>n/a</v>
      </c>
      <c r="BW27" s="417" t="str">
        <f>'Capital IQ Sheet-GPC'!BW27</f>
        <v>n/a</v>
      </c>
      <c r="BX27" s="417" t="str">
        <f>'Capital IQ Sheet-GPC'!BX27</f>
        <v>n/a</v>
      </c>
      <c r="BY27" s="417" t="str">
        <f>'Capital IQ Sheet-GPC'!BY27</f>
        <v>n/a</v>
      </c>
      <c r="BZ27" s="417" t="str">
        <f>'Capital IQ Sheet-GPC'!BZ27</f>
        <v>n/a</v>
      </c>
      <c r="CB27" s="371">
        <v>2</v>
      </c>
      <c r="CC27" s="495" t="s">
        <v>150</v>
      </c>
      <c r="CD27" s="495" t="s">
        <v>149</v>
      </c>
      <c r="CE27" s="373">
        <f t="shared" si="1"/>
        <v>42551</v>
      </c>
    </row>
    <row r="28" spans="1:83" s="371" customFormat="1" ht="12.75">
      <c r="A28" s="372" t="str">
        <f>_xll.ciqfunctions.udf.CIQ($B28,"IQ_COMPANY_TICKER")</f>
        <v>NasdaqGS:CBAY</v>
      </c>
      <c r="B28" s="412" t="str">
        <f>'Capital IQ Sheet-GPC'!B28</f>
        <v>IQ31424</v>
      </c>
      <c r="C28" s="372" t="str">
        <f>_xll.ciqfunctions.udf.CIQ($A28,"IQ_COMPANY_NAME")</f>
        <v>CymaBay Therapeutics, Inc.</v>
      </c>
      <c r="D28" s="372" t="str">
        <f>_xll.ciqfunctions.udf.CIQ($A28, "IQ_EXCHANGE")</f>
        <v>NasdaqGS</v>
      </c>
      <c r="E28" s="411">
        <f>_xll.ciqfunctions.udf.CIQ($A28, "IQ_PERIODDATE_IS", IQ_FY)</f>
        <v>43100</v>
      </c>
      <c r="F28" s="411">
        <f>_xll.ciqfunctions.udf.CIQ(A28, "IQ_PERIODDATE_IS", IQ_LTM, $B$1,$L$4,$L$3)</f>
        <v>43190</v>
      </c>
      <c r="G28" s="411">
        <f>_xll.ciqfunctions.udf.CIQ($A28, "IQ_FIRSTPRICINGDATE")</f>
        <v>41663</v>
      </c>
      <c r="H28" s="413">
        <f>_xll.ciqfunctions.udf.CIQ($A28, "IQ_TEV", $L$2, $L$5, $L$6)</f>
        <v>564.50228000000004</v>
      </c>
      <c r="I28" s="413">
        <f>_xll.ciqfunctions.udf.CIQ(A28, "IQ_LASTSALEPRICE", $B$1,$L$5)</f>
        <v>13.42</v>
      </c>
      <c r="J28" s="413">
        <f>_xll.ciqfunctions.udf.CIQ($A28, "IQ_MARKETCAP", $L$2, $L$5, $L$6)</f>
        <v>788.67728</v>
      </c>
      <c r="K28" s="413">
        <f>_xll.ciqfunctions.udf.CIQ($A28, "IQ_TOTAL_DEBT", IQ_LTM, $L$2,$L$4, $L$3, $L$5, $L$6)</f>
        <v>5.3609999999999998</v>
      </c>
      <c r="L28" s="413">
        <f>_xll.ciqfunctions.udf.CIQ($A28, "IQ_PREF_EQUITY", IQ_LTM, $L$2, $L$4, $L$3, $L$5, $L$6)</f>
        <v>0</v>
      </c>
      <c r="M28" s="413">
        <f>_xll.ciqfunctions.udf.CIQ($A28, "IQ_MINORITY_INTEREST_TOTAL", IQ_LTM, $L$2, $L$4, $L$3, $L$5, $L$6)</f>
        <v>0</v>
      </c>
      <c r="N28" s="413">
        <f>_xll.ciqfunctions.udf.CIQ($A28, "IQ_CASH_ST_INVEST", IQ_LTM, $L$2, $L$4, $L$3, $L$5, $L$6)</f>
        <v>229.536</v>
      </c>
      <c r="O28" s="413">
        <f>_xll.ciqfunctions.udf.CIQ($A28, "IQ_TOTAL_REV", IQ_LTM-8, $L$2, $L$4, $L$3, $L$5, $L$6)</f>
        <v>0</v>
      </c>
      <c r="P28" s="413">
        <f>_xll.ciqfunctions.udf.CIQ($A28, "IQ_TOTAL_REV", IQ_LTM - 4, $L$2, $L$4, $L$3, $L$5,$L$6)</f>
        <v>4.7930000000000001</v>
      </c>
      <c r="Q28" s="413">
        <f>_xll.ciqfunctions.udf.CIQ($A28, "IQ_TOTAL_REV", IQ_LTM, $L$2, $L$4, $L$3, $L$5, $L$6)</f>
        <v>5.2069999999999999</v>
      </c>
      <c r="R28" s="413">
        <f>_xll.ciqfunctions.udf.CIQ($A28, "IQ_TOTAL_REV", $B$2, $L$2, $L$4, $L$3, $L$5, $L$6)</f>
        <v>0</v>
      </c>
      <c r="S28" s="413">
        <f>IF(_xll.ciqfunctions.udf.CIQ($A28, "IQ_TOTAL_REV", $B$3, $L$2,$L$4, $L$3, $L$5, $L$6)=0,Q28,_xll.ciqfunctions.udf.CIQ($A28, "IQ_TOTAL_REV", $B$3, $L$2,$L$4, $L$3, $L$5, $L$6))</f>
        <v>10</v>
      </c>
      <c r="T28" s="413">
        <f>IF(_xll.ciqfunctions.udf.CIQ($A28, "IQ_REVENUE_EST",$B$4, $L$2, "CON", $L$3, $L$5, $L$6)=0,"n/a",_xll.ciqfunctions.udf.CIQ($A28, "IQ_REVENUE_EST",$B$4, $L$2, "CON", $L$3, $L$5, $L$6))</f>
        <v>0.71428999999999998</v>
      </c>
      <c r="U28" s="413">
        <f>IF(_xll.ciqfunctions.udf.CIQ($A28, "IQ_REVENUE_EST",$B$5, $L$2, "CON", $L$3, $L$5, $L$6)=0,"n/a",_xll.ciqfunctions.udf.CIQ($A28, "IQ_REVENUE_EST",$B$5, $L$2, "CON", $L$3, $L$5, $L$6))</f>
        <v>2.8571399999999998</v>
      </c>
      <c r="V28" s="413">
        <f>IF(_xll.ciqfunctions.udf.CIQ($A28, "IQ_REVENUE_EST",$B$6, $L$2, "CON", $L$3, $L$5, $L$6)=0,"n/a",_xll.ciqfunctions.udf.CIQ($A28, "IQ_REVENUE_EST",$B$6, $L$2, "CON", $L$3, $L$5, $L$6))</f>
        <v>59.333329999999997</v>
      </c>
      <c r="W28" s="413">
        <f>IF(_xll.ciqfunctions.udf.CIQ($A28, "IQ_REVENUE_EST", $B$7, $L$2, "CON", $L$3, $L$5, $L$6)=0,"n/a",_xll.ciqfunctions.udf.CIQ($A28, "IQ_REVENUE_EST",$B$7, $L$2, "CON", $L$3, $L$5, $L$6))</f>
        <v>23.969249999999999</v>
      </c>
      <c r="X28" s="413">
        <f>_xll.ciqfunctions.udf.CIQ($A28, "IQ_EBITDA", IQ_LTM-8, $L$2, $L$4, $L$3, $L$5, $L$6)</f>
        <v>-25.989000000000001</v>
      </c>
      <c r="Y28" s="413">
        <f>_xll.ciqfunctions.udf.CIQ($A28, "IQ_EBITDA", IQ_LTM-4, $L$2,$L$4, $L$3, $L$5, $L$6)</f>
        <v>-21.613</v>
      </c>
      <c r="Z28" s="413">
        <f>_xll.ciqfunctions.udf.CIQ($A28, "IQ_EBITDA", IQ_LTM, $L$2, $L$4, $L$3, $L$5, $L$6)</f>
        <v>-28.588000000000001</v>
      </c>
      <c r="AA28" s="413">
        <f>_xll.ciqfunctions.udf.CIQ($A28, "IQ_EBITDA", $B$2, $L$2, $L$4, $L$3, $L$5, $L$6)</f>
        <v>-25.556999999999999</v>
      </c>
      <c r="AB28" s="413">
        <f>IF(_xll.ciqfunctions.udf.CIQ($A28, "IQ_EBITDA", $B$3, $L$2,$L$4, $L$3, $L$5, $L$6)=0,Z28,_xll.ciqfunctions.udf.CIQ($A28, "IQ_EBITDA", $B$3, $L$2,$L$4, $L$3, $L$5, $L$6))</f>
        <v>-18.690000000000001</v>
      </c>
      <c r="AC28" s="413">
        <f>IF(_xll.ciqfunctions.udf.CIQ($A28, "IQ_EBITDA_EST",$B$4, $L$2, "CON", $L$3, $L$5, $L$6)=0,"n/a",_xll.ciqfunctions.udf.CIQ($A28, "IQ_EBITDA_EST",$B$4, $L$2, "CON", $L$3, $L$5, $L$6))</f>
        <v>-54.825000000000003</v>
      </c>
      <c r="AD28" s="413">
        <f>IF(_xll.ciqfunctions.udf.CIQ($A28, "IQ_EBITDA_EST",$B$5, $L$2, "CON", $L$3, $L$5, $L$6)=0,"n/a",_xll.ciqfunctions.udf.CIQ($A28, "IQ_EBITDA_EST",$B$5, $L$2, "CON", $L$3, $L$5, $L$6))</f>
        <v>-58.965000000000003</v>
      </c>
      <c r="AE28" s="413">
        <f>IF(_xll.ciqfunctions.udf.CIQ($A28, "IQ_EBITDA_EST",$B$6, $L$2, "CON", $L$3, $L$5, $L$6)=0,"n/a",_xll.ciqfunctions.udf.CIQ($A28, "IQ_EBITDA_EST",$B$6, $L$2, "CON", $L$3, $L$5, $L$6))</f>
        <v>-68.311999999999998</v>
      </c>
      <c r="AF28" s="414">
        <f>IF(ISERROR(_xll.ciqfunctions.udf.CIQ($A28, "IQ_GROSS_MARGIN", IQ_LTM, $L$2,$L$4, $L$3, $L$5, $L$6)/100), "n/a", _xll.ciqfunctions.udf.CIQ($A28,  "IQ_GROSS_MARGIN", IQ_LTM, $L$2, $L$4, $L$3, $L$5, $L$6)/100)</f>
        <v>-2.077779</v>
      </c>
      <c r="AG28" s="414" t="str">
        <f>IF(ISERROR(_xll.ciqfunctions.udf.CIQ($A28,"IQ_EBITDA_MARGIN", IQ_LTM, $L$2, $L$4, $L$3, $L$5, $L$6)/100), "n/a", _xll.ciqfunctions.udf.CIQ($A28, "IQ_EBITDA_MARGIN", IQ_LTM, $L$2, $L$4, $L$3, $L$5, $L$6)/100)</f>
        <v>n/a</v>
      </c>
      <c r="AH28" s="414" t="str">
        <f>IF(ISERROR(_xll.ciqfunctions.udf.CIQ($A28,"IQ_EBIT_MARGIN", IQ_LTM, $L$2, $L$4, $L$3, $L$5, $L$6)/100), "n/a", _xll.ciqfunctions.udf.CIQ($A28, "IQ_EBIT_MARGIN", IQ_LTM, $L$2, $L$4, $L$3, $L$5, $L$6)/100)</f>
        <v>n/a</v>
      </c>
      <c r="AI28" s="414" t="str">
        <f>IF(ISERROR(_xll.ciqfunctions.udf.CIQ($A28,"IQ_NI_MARGIN", IQ_LTM, $L$2, $L$4, $L$3, $L$5, $L$6)/100), "n/a", _xll.ciqfunctions.udf.CIQ($A28, "IQ_NI_MARGIN", IQ_LTM, $L$2, $L$4, $L$3, $L$5, $L$6)/100)</f>
        <v>n/a</v>
      </c>
      <c r="AJ28" s="413">
        <f>_xll.ciqfunctions.udf.CIQ($A28,"IQ_TOTAL_CA",IQ_LTM-8,$L$2, $L$4, $L$3, $L$5, $L$6)-_xll.ciqfunctions.udf.CIQ($A28,"IQ_TOTAL_CL",IQ_LTM-8,$L$2, $L$4, $L$3, $L$5, $L$6)</f>
        <v>29.743000000000002</v>
      </c>
      <c r="AK28" s="413">
        <f>_xll.ciqfunctions.udf.CIQ($A28,"IQ_TOTAL_CA",IQ_LTM-4,$L$2, $L$4, $L$3, $L$5, $L$6)-_xll.ciqfunctions.udf.CIQ($A28,"IQ_TOTAL_CL",IQ_LTM-4,$L$2, $L$4, $L$3, $L$5, $L$6)</f>
        <v>13.776999999999999</v>
      </c>
      <c r="AL28" s="413">
        <f>_xll.ciqfunctions.udf.CIQ($A28,"IQ_TOTAL_CA",IQ_LTM,$L$2, $L$4, $L$3, $L$5, $L$6)-_xll.ciqfunctions.udf.CIQ($A28,"IQ_TOTAL_CL",IQ_LTM,$L$2, $L$4, $L$3, $L$5, $L$6)</f>
        <v>213.25799999999998</v>
      </c>
      <c r="AM28" s="413">
        <f>IF(ISERROR(_xll.ciqfunctions.udf.CIQ($A28, "IQ_Capex", IQ_LTM-8, $L$2,$L$4, $L$3, $L$5, $L$6)), "n/a", _xll.ciqfunctions.udf.CIQ($A28, "IQ_Capex", IQ_LTM-8, $L$2, $L$4, $L$3, $L$5, $L$6))</f>
        <v>0</v>
      </c>
      <c r="AN28" s="413">
        <f>IF(ISERROR(_xll.ciqfunctions.udf.CIQ($A28, "IQ_Capex", IQ_LTM-4, $L$2,$L$4, $L$3, $L$5, $L$6)), "n/a", _xll.ciqfunctions.udf.CIQ($A28, "IQ_Capex", IQ_LTM-4, $L$2,$L$4, $L$3, $L$5, $L$6))</f>
        <v>-4.2000000000000003E-2</v>
      </c>
      <c r="AO28" s="413">
        <f>IF(ISERROR(_xll.ciqfunctions.udf.CIQ($A28, "IQ_Capex", IQ_LTM, $L$2, $L$4, $L$3, $L$5, $L$6)), "n/a", _xll.ciqfunctions.udf.CIQ($A28, "IQ_Capex", IQ_LTM, $L$2, $L$4, $L$3, $L$5, $L$6))</f>
        <v>-7.2999999999999995E-2</v>
      </c>
      <c r="AP28" s="415" t="str">
        <f>_xll.ciqfunctions.udf.CIQ(A28, "IQ_BUSINESS_DESCRIPTION")</f>
        <v>CymaBay Therapeutics, Inc., a clinical-stage biopharmaceutical company, focuses on developing and providing therapies to treat liver and other chronic diseases. Its lead product candidate is seladelpar, a selective agonist of peroxisome proliferator-activated receptor delta, which has completed Phase II clinical study for the treatment of primary biliary cholangitis, as well as patients with nonalcoholic steatohepatitis. The company also develops arhalofenate, which has completed five Phase II clinical trials for the treatment of patients with gout; and MBX-2982, an oral G-protein coupled receptor agonist that has completed one Phase II clinical trial for therapeutic indications. It has licensing agreement with Kowa Pharmaceuticals America, Inc. for the development and commercialization of arhalofenate in the United States; and Janssen Pharmaceuticals, Inc. to develop and discover undisclosed metabolic disease target agonists for the treatment of type II diabetes and other disorders, as well as a license and development agreement with DiaTex, Inc. to develop and commercialize therapeutic products comrprising halofenate and its enantiomers, derivatives, and analogs for the treatment of diseases. The company was formerly known as Metabolex, Inc. CymaBay Therapeutics, Inc. was incorporated in 1988 and is headquartered in Newark, California.</v>
      </c>
      <c r="AQ28" s="416">
        <f>_xll.ciqfunctions.udf.CIQ($A28, "IQ_BETA_1YR", $B$1)</f>
        <v>1.98756</v>
      </c>
      <c r="AR28" s="416">
        <f>_xll.ciqfunctions.udf.CIQ($A28, "IQ_BETA_2YR", $B$1)</f>
        <v>2.4502199999999998</v>
      </c>
      <c r="AS28" s="416">
        <f>_xll.ciqfunctions.udf.CIQ($A28, "IQ_BETA_5YR", $B$1)</f>
        <v>1.8963300000000001</v>
      </c>
      <c r="AT28" s="414">
        <f>_xll.ciqfunctions.udf.CIQ($A28, "IQ_DIVIDEND_YIELD", $B$1)/100</f>
        <v>0</v>
      </c>
      <c r="AU28" s="413">
        <f>_xll.ciqfunctions.udf.CIQ($A28, "IQ_EARNING_CO", IQ_LTM-8, $L$2, $L$4, $L$3, $L$5, $L$6)</f>
        <v>-20.048999999999999</v>
      </c>
      <c r="AV28" s="413">
        <f>_xll.ciqfunctions.udf.CIQ($A28, "IQ_EARNING_CO", IQ_LTM-4, $L$2, $L$4, $L$3, $L$5, $L$6)</f>
        <v>-25.173999999999999</v>
      </c>
      <c r="AW28" s="413">
        <f>_xll.ciqfunctions.udf.CIQ($A28, "IQ_EARNING_CO", IQ_LTM, $L$2, $L$4, $L$3, $L$5, $L$6)</f>
        <v>-39.210999999999999</v>
      </c>
      <c r="AX28" s="413">
        <f>_xll.ciqfunctions.udf.CIQ($A28, "IQ_EARNING_CO", $B$2, $L$2, $L$4, $L$3, $L$5, $L$6)</f>
        <v>-26.670999999999999</v>
      </c>
      <c r="AY28" s="413">
        <f>IF(_xll.ciqfunctions.udf.CIQ($A28, "IQ_EARNING_CO", $B$3, $L$2,$L$4, $L$3, $L$5, $L$6)=0,AW28,_xll.ciqfunctions.udf.CIQ($A28, "IQ_EARNING_CO", $B$3, $L$2,$L$4, $L$3, $L$5, $L$6))</f>
        <v>-27.556999999999999</v>
      </c>
      <c r="AZ28" s="413">
        <f>_xll.ciqfunctions.udf.CIQ($A28, "IQ_TOTAL_EQUITY", IQ_LTM-8, $L$2, $L$4, $L$3, $L$5, $L$6)</f>
        <v>21.846</v>
      </c>
      <c r="BA28" s="413">
        <f>_xll.ciqfunctions.udf.CIQ($A28, "IQ_TOTAL_EQUITY", IQ_LTM-4, $L$2, $L$4, $L$3, $L$5, $L$6)</f>
        <v>9.2270000000000003</v>
      </c>
      <c r="BB28" s="413">
        <f>_xll.ciqfunctions.udf.CIQ($A28, "IQ_TOTAL_EQUITY", IQ_LTM, $L$2, $L$4, $L$3, $L$5, $L$6)</f>
        <v>212.19900000000001</v>
      </c>
      <c r="BC28" s="413">
        <f>_xll.ciqfunctions.udf.CIQ($A28, "IQ_TOTAL_EQUITY", $B$2, $L$2, $L$4, $L$3, $L$5, $L$6)</f>
        <v>3.9369999999999998</v>
      </c>
      <c r="BD28" s="413">
        <f>IF(_xll.ciqfunctions.udf.CIQ($A28, "IQ_TOTAL_EQUITY", $B$3, $L$2,$L$4, $L$3, $L$5, $L$6)=0,BB28,_xll.ciqfunctions.udf.CIQ($A28, "IQ_TOTAL_EQUITY", $B$3, $L$2,$L$4, $L$3, $L$5, $L$6))</f>
        <v>84.947000000000003</v>
      </c>
      <c r="BE28" s="413">
        <f>_xll.ciqfunctions.udf.CIQ(A28, "IQ_LASTSALEPRICE", $B$8)</f>
        <v>12.99</v>
      </c>
      <c r="BF28" s="413">
        <f>_xll.ciqfunctions.udf.CIQ($A28, "IQ_MARKETCAP", $B$8, $L$5, $L$6)</f>
        <v>759.93830000000003</v>
      </c>
      <c r="BG28" s="413">
        <f>_xll.ciqfunctions.udf.CIQ($A28, "IQ_TOTAL_DEBT", IQ_LTM, $B$8,$L$4, $L$3, $L$5, $L$6)</f>
        <v>6.0979999999999999</v>
      </c>
      <c r="BH28" s="371">
        <f>_xll.ciqfunctions.udf.CIQ($A28,"IQ_PREF_EQUITY",IQ_LTM,$B$8,$L$4,$L$3,$L$5,$L$6)</f>
        <v>0</v>
      </c>
      <c r="BI28" s="371">
        <f>_xll.ciqfunctions.udf.CIQ($A28, "IQ_MINORITY_INTEREST_TOTAL", IQ_LTM,$B$8,$L$4,$L$3,$L$5,$L$6)</f>
        <v>0</v>
      </c>
      <c r="BJ28" s="413">
        <f>_xll.ciqfunctions.udf.CIQ($A28, "IQ_CASH_ST_INVEST", IQ_LTM, $B$8, $L$4, $L$3, $L$5, $L$6)</f>
        <v>97.21</v>
      </c>
      <c r="BK28" s="371">
        <f>_xll.ciqfunctions.udf.CIQ($A28, "IQ_EFFECT_TAX_RATE")</f>
        <v>0</v>
      </c>
      <c r="BL28" s="371">
        <f>IF(_xll.ciqfunctions.udf.CIQ($A28, "IQ_TOTAL_REV_2YR_ANN_CAGR", IQ_LTM, $B$1,$L$4, $L$3, $L$5, $L$6)="NM","n/a",(_xll.ciqfunctions.udf.CIQ($A28, "IQ_TOTAL_REV_2YR_ANN_CAGR", IQ_LTM, $B$1,$L$4, $L$3, $L$5, $L$6)/100))</f>
        <v>0</v>
      </c>
      <c r="BM28" s="371">
        <f>IF(_xll.ciqfunctions.udf.CIQ($A28, "IQ_TOTAL_REV_3YR_ANN_CAGR", IQ_LTM, $B$1,$L$4, $L$3, $L$5, $L$6)="NM","n/a",(_xll.ciqfunctions.udf.CIQ($A28, "IQ_TOTAL_REV_3YR_ANN_CAGR", IQ_LTM, $B$1,$L$4, $L$3, $L$5, $L$6)/100))</f>
        <v>0</v>
      </c>
      <c r="BN28" s="371">
        <f>IF(_xll.ciqfunctions.udf.CIQ($A28, "IQ_TOTAL_REV_5YR_ANN_CAGR", IQ_LTM, $B$1,$L$4, $L$3, $L$5, $L$6)="NM","n/a",(_xll.ciqfunctions.udf.CIQ($A28, "IQ_TOTAL_REV_5YR_ANN_CAGR", IQ_LTM, $B$1,$L$4, $L$3, $L$5, $L$6)/100))</f>
        <v>0.121338</v>
      </c>
      <c r="BO28" s="371" t="str">
        <f>IF(_xll.ciqfunctions.udf.CIQ($A28,"IQ_EBITDA_2YR_ANN_CAGR", IQ_LTM,$B$1,$L$4, $L$3, $L$5, $L$6)="NM","n/a",(_xll.ciqfunctions.udf.CIQ($A28,"IQ_EBITDA_2YR_ANN_CAGR", IQ_LTM,$B$1,$L$4, $L$3, $L$5, $L$6)/100))</f>
        <v>n/a</v>
      </c>
      <c r="BP28" s="371" t="str">
        <f>IF(_xll.ciqfunctions.udf.CIQ($A28,"IQ_EBITDA_3YR_ANN_CAGR", IQ_LTM,$B$1,$L$4, $L$3, $L$5, $L$6)="NM","n/a",(_xll.ciqfunctions.udf.CIQ($A28,"IQ_EBITDA_3YR_ANN_CAGR", IQ_LTM,$B$1,$L$4, $L$3, $L$5, $L$6)/100))</f>
        <v>n/a</v>
      </c>
      <c r="BQ28" s="371" t="str">
        <f>IF(_xll.ciqfunctions.udf.CIQ($A28,"IQ_EBITDA_5YR_ANN_CAGR", IQ_LTM,$B$1,$L$4, $L$3, $L$5, $L$6)="NM","n/a",(_xll.ciqfunctions.udf.CIQ($A28,"IQ_EBITDA_5YR_ANN_CAGR", IQ_LTM,$B$1,$L$4, $L$3, $L$5, $L$6)/100))</f>
        <v>n/a</v>
      </c>
      <c r="BR28" s="375">
        <f>IFERROR((_xll.ciqfunctions.udf.CIQ($A28, "IQ_DA_CF", IQ_LTM, $B$1, $L$4, $L$3, $L$5, $L$6)/Q28),"NM")</f>
        <v>7.2978682542730938E-3</v>
      </c>
      <c r="BS28" s="417">
        <f>'Capital IQ Sheet-GPC'!BS28</f>
        <v>0.61574222287267066</v>
      </c>
      <c r="BT28" s="417">
        <f>'Capital IQ Sheet-GPC'!BT28</f>
        <v>0.68436083114667368</v>
      </c>
      <c r="BU28" s="417">
        <f>'Capital IQ Sheet-GPC'!BU28</f>
        <v>0.80159679860663302</v>
      </c>
      <c r="BV28" s="417">
        <f>'Capital IQ Sheet-GPC'!BV28</f>
        <v>0.81333488102131191</v>
      </c>
      <c r="BW28" s="417">
        <f>'Capital IQ Sheet-GPC'!BW28</f>
        <v>0.82185143184977794</v>
      </c>
      <c r="BX28" s="417" t="str">
        <f>'Capital IQ Sheet-GPC'!BX28</f>
        <v>n/a</v>
      </c>
      <c r="BY28" s="417" t="str">
        <f>'Capital IQ Sheet-GPC'!BY28</f>
        <v>n/a</v>
      </c>
      <c r="BZ28" s="417" t="str">
        <f>'Capital IQ Sheet-GPC'!BZ28</f>
        <v>n/a</v>
      </c>
      <c r="CB28" s="371">
        <v>2</v>
      </c>
      <c r="CC28" s="495" t="s">
        <v>150</v>
      </c>
      <c r="CD28" s="495" t="s">
        <v>149</v>
      </c>
      <c r="CE28" s="373">
        <f t="shared" si="1"/>
        <v>42551</v>
      </c>
    </row>
    <row r="29" spans="1:83" s="371" customFormat="1" ht="12.75">
      <c r="A29" s="372" t="str">
        <f>_xll.ciqfunctions.udf.CIQ($B29,"IQ_COMPANY_TICKER")</f>
        <v>NasdaqGS:ITCI</v>
      </c>
      <c r="B29" s="412" t="str">
        <f>'Capital IQ Sheet-GPC'!B29</f>
        <v>IQ9425271</v>
      </c>
      <c r="C29" s="372" t="str">
        <f>_xll.ciqfunctions.udf.CIQ($A29,"IQ_COMPANY_NAME")</f>
        <v>Intra-Cellular Therapies, Inc.</v>
      </c>
      <c r="D29" s="372" t="str">
        <f>_xll.ciqfunctions.udf.CIQ($A29, "IQ_EXCHANGE")</f>
        <v>NasdaqGS</v>
      </c>
      <c r="E29" s="411">
        <f>_xll.ciqfunctions.udf.CIQ($A29, "IQ_PERIODDATE_IS", IQ_FY)</f>
        <v>43100</v>
      </c>
      <c r="F29" s="411">
        <f>_xll.ciqfunctions.udf.CIQ(A29, "IQ_PERIODDATE_IS", IQ_LTM, $B$1,$L$4,$L$3)</f>
        <v>43190</v>
      </c>
      <c r="G29" s="411">
        <f>_xll.ciqfunctions.udf.CIQ($A29, "IQ_FIRSTPRICINGDATE")</f>
        <v>41631</v>
      </c>
      <c r="H29" s="413">
        <f>_xll.ciqfunctions.udf.CIQ($A29, "IQ_TEV", $L$2, $L$5, $L$6)</f>
        <v>529.47951999999998</v>
      </c>
      <c r="I29" s="413">
        <f>_xll.ciqfunctions.udf.CIQ(A29, "IQ_LASTSALEPRICE", $B$1,$L$5)</f>
        <v>17.670000000000002</v>
      </c>
      <c r="J29" s="413">
        <f>_xll.ciqfunctions.udf.CIQ($A29, "IQ_MARKETCAP", $L$2, $L$5, $L$6)</f>
        <v>966.48504000000003</v>
      </c>
      <c r="K29" s="413">
        <f>_xll.ciqfunctions.udf.CIQ($A29, "IQ_TOTAL_DEBT", IQ_LTM, $L$2,$L$4, $L$3, $L$5, $L$6)</f>
        <v>0</v>
      </c>
      <c r="L29" s="413">
        <f>_xll.ciqfunctions.udf.CIQ($A29, "IQ_PREF_EQUITY", IQ_LTM, $L$2, $L$4, $L$3, $L$5, $L$6)</f>
        <v>0</v>
      </c>
      <c r="M29" s="413">
        <f>_xll.ciqfunctions.udf.CIQ($A29, "IQ_MINORITY_INTEREST_TOTAL", IQ_LTM, $L$2, $L$4, $L$3, $L$5, $L$6)</f>
        <v>0</v>
      </c>
      <c r="N29" s="413">
        <f>_xll.ciqfunctions.udf.CIQ($A29, "IQ_CASH_ST_INVEST", IQ_LTM, $L$2, $L$4, $L$3, $L$5, $L$6)</f>
        <v>437.00551000000002</v>
      </c>
      <c r="O29" s="413">
        <f>_xll.ciqfunctions.udf.CIQ($A29, "IQ_TOTAL_REV", IQ_LTM-8, $L$2, $L$4, $L$3, $L$5, $L$6)</f>
        <v>8.8050000000000003E-2</v>
      </c>
      <c r="P29" s="413">
        <f>_xll.ciqfunctions.udf.CIQ($A29, "IQ_TOTAL_REV", IQ_LTM - 4, $L$2, $L$4, $L$3, $L$5,$L$6)</f>
        <v>0.42598999999999998</v>
      </c>
      <c r="Q29" s="413">
        <f>_xll.ciqfunctions.udf.CIQ($A29, "IQ_TOTAL_REV", IQ_LTM, $L$2, $L$4, $L$3, $L$5, $L$6)</f>
        <v>0.15054999999999999</v>
      </c>
      <c r="R29" s="413">
        <f>_xll.ciqfunctions.udf.CIQ($A29, "IQ_TOTAL_REV", $B$2, $L$2, $L$4, $L$3, $L$5, $L$6)</f>
        <v>0.33069999999999999</v>
      </c>
      <c r="S29" s="413">
        <f>IF(_xll.ciqfunctions.udf.CIQ($A29, "IQ_TOTAL_REV", $B$3, $L$2,$L$4, $L$3, $L$5, $L$6)=0,Q29,_xll.ciqfunctions.udf.CIQ($A29, "IQ_TOTAL_REV", $B$3, $L$2,$L$4, $L$3, $L$5, $L$6))</f>
        <v>0.24584</v>
      </c>
      <c r="T29" s="413">
        <f>IF(_xll.ciqfunctions.udf.CIQ($A29, "IQ_REVENUE_EST",$B$4, $L$2, "CON", $L$3, $L$5, $L$6)=0,"n/a",_xll.ciqfunctions.udf.CIQ($A29, "IQ_REVENUE_EST",$B$4, $L$2, "CON", $L$3, $L$5, $L$6))</f>
        <v>9.7100000000000006E-2</v>
      </c>
      <c r="U29" s="413">
        <f>IF(_xll.ciqfunctions.udf.CIQ($A29, "IQ_REVENUE_EST",$B$5, $L$2, "CON", $L$3, $L$5, $L$6)=0,"n/a",_xll.ciqfunctions.udf.CIQ($A29, "IQ_REVENUE_EST",$B$5, $L$2, "CON", $L$3, $L$5, $L$6))</f>
        <v>30.175909999999998</v>
      </c>
      <c r="V29" s="413">
        <f>IF(_xll.ciqfunctions.udf.CIQ($A29, "IQ_REVENUE_EST",$B$6, $L$2, "CON", $L$3, $L$5, $L$6)=0,"n/a",_xll.ciqfunctions.udf.CIQ($A29, "IQ_REVENUE_EST",$B$6, $L$2, "CON", $L$3, $L$5, $L$6))</f>
        <v>144.4684</v>
      </c>
      <c r="W29" s="413">
        <f>IF(_xll.ciqfunctions.udf.CIQ($A29, "IQ_REVENUE_EST", $B$7, $L$2, "CON", $L$3, $L$5, $L$6)=0,"n/a",_xll.ciqfunctions.udf.CIQ($A29, "IQ_REVENUE_EST",$B$7, $L$2, "CON", $L$3, $L$5, $L$6))</f>
        <v>339.03383000000002</v>
      </c>
      <c r="X29" s="413">
        <f>_xll.ciqfunctions.udf.CIQ($A29, "IQ_EBITDA", IQ_LTM-8, $L$2, $L$4, $L$3, $L$5, $L$6)</f>
        <v>-111.73876</v>
      </c>
      <c r="Y29" s="413">
        <f>_xll.ciqfunctions.udf.CIQ($A29, "IQ_EBITDA", IQ_LTM-4, $L$2,$L$4, $L$3, $L$5, $L$6)</f>
        <v>-117.31586</v>
      </c>
      <c r="Z29" s="413">
        <f>_xll.ciqfunctions.udf.CIQ($A29, "IQ_EBITDA", IQ_LTM, $L$2, $L$4, $L$3, $L$5, $L$6)</f>
        <v>-111.92426</v>
      </c>
      <c r="AA29" s="413">
        <f>_xll.ciqfunctions.udf.CIQ($A29, "IQ_EBITDA", $B$2, $L$2, $L$4, $L$3, $L$5, $L$6)</f>
        <v>-118.06202</v>
      </c>
      <c r="AB29" s="413">
        <f>IF(_xll.ciqfunctions.udf.CIQ($A29, "IQ_EBITDA", $B$3, $L$2,$L$4, $L$3, $L$5, $L$6)=0,Z29,_xll.ciqfunctions.udf.CIQ($A29, "IQ_EBITDA", $B$3, $L$2,$L$4, $L$3, $L$5, $L$6))</f>
        <v>-102.62626</v>
      </c>
      <c r="AC29" s="413">
        <f>IF(_xll.ciqfunctions.udf.CIQ($A29, "IQ_EBITDA_EST",$B$4, $L$2, "CON", $L$3, $L$5, $L$6)=0,"n/a",_xll.ciqfunctions.udf.CIQ($A29, "IQ_EBITDA_EST",$B$4, $L$2, "CON", $L$3, $L$5, $L$6))</f>
        <v>-199.56141</v>
      </c>
      <c r="AD29" s="413">
        <f>IF(_xll.ciqfunctions.udf.CIQ($A29, "IQ_EBITDA_EST",$B$5, $L$2, "CON", $L$3, $L$5, $L$6)=0,"n/a",_xll.ciqfunctions.udf.CIQ($A29, "IQ_EBITDA_EST",$B$5, $L$2, "CON", $L$3, $L$5, $L$6))</f>
        <v>-230.16524999999999</v>
      </c>
      <c r="AE29" s="413">
        <f>IF(_xll.ciqfunctions.udf.CIQ($A29, "IQ_EBITDA_EST",$B$6, $L$2, "CON", $L$3, $L$5, $L$6)=0,"n/a",_xll.ciqfunctions.udf.CIQ($A29, "IQ_EBITDA_EST",$B$6, $L$2, "CON", $L$3, $L$5, $L$6))</f>
        <v>-226.6</v>
      </c>
      <c r="AF29" s="414" t="str">
        <f>IF(ISERROR(_xll.ciqfunctions.udf.CIQ($A29, "IQ_GROSS_MARGIN", IQ_LTM, $L$2,$L$4, $L$3, $L$5, $L$6)/100), "n/a", _xll.ciqfunctions.udf.CIQ($A29,  "IQ_GROSS_MARGIN", IQ_LTM, $L$2, $L$4, $L$3, $L$5, $L$6)/100)</f>
        <v>n/a</v>
      </c>
      <c r="AG29" s="414" t="str">
        <f>IF(ISERROR(_xll.ciqfunctions.udf.CIQ($A29,"IQ_EBITDA_MARGIN", IQ_LTM, $L$2, $L$4, $L$3, $L$5, $L$6)/100), "n/a", _xll.ciqfunctions.udf.CIQ($A29, "IQ_EBITDA_MARGIN", IQ_LTM, $L$2, $L$4, $L$3, $L$5, $L$6)/100)</f>
        <v>n/a</v>
      </c>
      <c r="AH29" s="414" t="str">
        <f>IF(ISERROR(_xll.ciqfunctions.udf.CIQ($A29,"IQ_EBIT_MARGIN", IQ_LTM, $L$2, $L$4, $L$3, $L$5, $L$6)/100), "n/a", _xll.ciqfunctions.udf.CIQ($A29, "IQ_EBIT_MARGIN", IQ_LTM, $L$2, $L$4, $L$3, $L$5, $L$6)/100)</f>
        <v>n/a</v>
      </c>
      <c r="AI29" s="414" t="str">
        <f>IF(ISERROR(_xll.ciqfunctions.udf.CIQ($A29,"IQ_NI_MARGIN", IQ_LTM, $L$2, $L$4, $L$3, $L$5, $L$6)/100), "n/a", _xll.ciqfunctions.udf.CIQ($A29, "IQ_NI_MARGIN", IQ_LTM, $L$2, $L$4, $L$3, $L$5, $L$6)/100)</f>
        <v>n/a</v>
      </c>
      <c r="AJ29" s="413">
        <f>_xll.ciqfunctions.udf.CIQ($A29,"IQ_TOTAL_CA",IQ_LTM-8,$L$2, $L$4, $L$3, $L$5, $L$6)-_xll.ciqfunctions.udf.CIQ($A29,"IQ_TOTAL_CL",IQ_LTM-8,$L$2, $L$4, $L$3, $L$5, $L$6)</f>
        <v>453.91187000000002</v>
      </c>
      <c r="AK29" s="413">
        <f>_xll.ciqfunctions.udf.CIQ($A29,"IQ_TOTAL_CA",IQ_LTM-4,$L$2, $L$4, $L$3, $L$5, $L$6)-_xll.ciqfunctions.udf.CIQ($A29,"IQ_TOTAL_CL",IQ_LTM-4,$L$2, $L$4, $L$3, $L$5, $L$6)</f>
        <v>355.29219999999998</v>
      </c>
      <c r="AL29" s="413">
        <f>_xll.ciqfunctions.udf.CIQ($A29,"IQ_TOTAL_CA",IQ_LTM,$L$2, $L$4, $L$3, $L$5, $L$6)-_xll.ciqfunctions.udf.CIQ($A29,"IQ_TOTAL_CL",IQ_LTM,$L$2, $L$4, $L$3, $L$5, $L$6)</f>
        <v>423.50081</v>
      </c>
      <c r="AM29" s="413">
        <f>IF(ISERROR(_xll.ciqfunctions.udf.CIQ($A29, "IQ_Capex", IQ_LTM-8, $L$2,$L$4, $L$3, $L$5, $L$6)), "n/a", _xll.ciqfunctions.udf.CIQ($A29, "IQ_Capex", IQ_LTM-8, $L$2, $L$4, $L$3, $L$5, $L$6))</f>
        <v>-0.34406999999999999</v>
      </c>
      <c r="AN29" s="413">
        <f>IF(ISERROR(_xll.ciqfunctions.udf.CIQ($A29, "IQ_Capex", IQ_LTM-4, $L$2,$L$4, $L$3, $L$5, $L$6)), "n/a", _xll.ciqfunctions.udf.CIQ($A29, "IQ_Capex", IQ_LTM-4, $L$2,$L$4, $L$3, $L$5, $L$6))</f>
        <v>-7.3590000000000003E-2</v>
      </c>
      <c r="AO29" s="413">
        <f>IF(ISERROR(_xll.ciqfunctions.udf.CIQ($A29, "IQ_Capex", IQ_LTM, $L$2, $L$4, $L$3, $L$5, $L$6)), "n/a", _xll.ciqfunctions.udf.CIQ($A29, "IQ_Capex", IQ_LTM, $L$2, $L$4, $L$3, $L$5, $L$6))</f>
        <v>-0.99002000000000001</v>
      </c>
      <c r="AP29" s="415" t="str">
        <f>_xll.ciqfunctions.udf.CIQ(A29, "IQ_BUSINESS_DESCRIPTION")</f>
        <v>Intra-Cellular Therapies, Inc., a biopharmaceutical company, engages in developing novel drugs for the treatment of neuropsychiatric and neurodegenerative diseases. The company is developing its lead drug candidate, lumateperone, known as ITI-007, for the treatment of schizophrenia, bipolar disorder, behavioral disturbances in patients with dementia, and other neuropsychiatric and neurological disorders. Lumateperone, a molecule, is in Phase III clinical development for the treatment of schizophrenia, bipolar depression, and agitation associated with dementia, including Alzheimer's disease. It is also developing ITI-214 for Parkinson’s disease; and ITI-333, for substance use disorders, pain, and psychiatric comorbidities, including depression and anxiety. Intra-Cellular Therapies, Inc. is headquartered in New York, New York.</v>
      </c>
      <c r="AQ29" s="416">
        <f>_xll.ciqfunctions.udf.CIQ($A29, "IQ_BETA_1YR", $B$1)</f>
        <v>1.99055</v>
      </c>
      <c r="AR29" s="416">
        <f>_xll.ciqfunctions.udf.CIQ($A29, "IQ_BETA_2YR", $B$1)</f>
        <v>2.1202700000000001</v>
      </c>
      <c r="AS29" s="416">
        <f>_xll.ciqfunctions.udf.CIQ($A29, "IQ_BETA_5YR", $B$1)</f>
        <v>0.74321999999999999</v>
      </c>
      <c r="AT29" s="414">
        <f>_xll.ciqfunctions.udf.CIQ($A29, "IQ_DIVIDEND_YIELD", $B$1)/100</f>
        <v>0</v>
      </c>
      <c r="AU29" s="413">
        <f>_xll.ciqfunctions.udf.CIQ($A29, "IQ_EARNING_CO", IQ_LTM-8, $L$2, $L$4, $L$3, $L$5, $L$6)</f>
        <v>-110.34777</v>
      </c>
      <c r="AV29" s="413">
        <f>_xll.ciqfunctions.udf.CIQ($A29, "IQ_EARNING_CO", IQ_LTM-4, $L$2, $L$4, $L$3, $L$5, $L$6)</f>
        <v>-115.5184</v>
      </c>
      <c r="AW29" s="413">
        <f>_xll.ciqfunctions.udf.CIQ($A29, "IQ_EARNING_CO", IQ_LTM, $L$2, $L$4, $L$3, $L$5, $L$6)</f>
        <v>-106.31990999999999</v>
      </c>
      <c r="AX29" s="413">
        <f>_xll.ciqfunctions.udf.CIQ($A29, "IQ_EARNING_CO", $B$2, $L$2, $L$4, $L$3, $L$5, $L$6)</f>
        <v>-116.42627</v>
      </c>
      <c r="AY29" s="413">
        <f>IF(_xll.ciqfunctions.udf.CIQ($A29, "IQ_EARNING_CO", $B$3, $L$2,$L$4, $L$3, $L$5, $L$6)=0,AW29,_xll.ciqfunctions.udf.CIQ($A29, "IQ_EARNING_CO", $B$3, $L$2,$L$4, $L$3, $L$5, $L$6))</f>
        <v>-97.773409999999998</v>
      </c>
      <c r="AZ29" s="413">
        <f>_xll.ciqfunctions.udf.CIQ($A29, "IQ_TOTAL_EQUITY", IQ_LTM-8, $L$2, $L$4, $L$3, $L$5, $L$6)</f>
        <v>452.74441999999999</v>
      </c>
      <c r="BA29" s="413">
        <f>_xll.ciqfunctions.udf.CIQ($A29, "IQ_TOTAL_EQUITY", IQ_LTM-4, $L$2, $L$4, $L$3, $L$5, $L$6)</f>
        <v>353.02708000000001</v>
      </c>
      <c r="BB29" s="413">
        <f>_xll.ciqfunctions.udf.CIQ($A29, "IQ_TOTAL_EQUITY", IQ_LTM, $L$2, $L$4, $L$3, $L$5, $L$6)</f>
        <v>423.18896000000001</v>
      </c>
      <c r="BC29" s="413">
        <f>_xll.ciqfunctions.udf.CIQ($A29, "IQ_TOTAL_EQUITY", $B$2, $L$2, $L$4, $L$3, $L$5, $L$6)</f>
        <v>375.50254000000001</v>
      </c>
      <c r="BD29" s="413">
        <f>IF(_xll.ciqfunctions.udf.CIQ($A29, "IQ_TOTAL_EQUITY", $B$3, $L$2,$L$4, $L$3, $L$5, $L$6)=0,BB29,_xll.ciqfunctions.udf.CIQ($A29, "IQ_TOTAL_EQUITY", $B$3, $L$2,$L$4, $L$3, $L$5, $L$6))</f>
        <v>454.43696</v>
      </c>
      <c r="BE29" s="413">
        <f>_xll.ciqfunctions.udf.CIQ(A29, "IQ_LASTSALEPRICE", $B$8)</f>
        <v>21.05</v>
      </c>
      <c r="BF29" s="413">
        <f>_xll.ciqfunctions.udf.CIQ($A29, "IQ_MARKETCAP", $B$8, $L$5, $L$6)</f>
        <v>1151.02352</v>
      </c>
      <c r="BG29" s="413">
        <f>_xll.ciqfunctions.udf.CIQ($A29, "IQ_TOTAL_DEBT", IQ_LTM, $B$8,$L$4, $L$3, $L$5, $L$6)</f>
        <v>0</v>
      </c>
      <c r="BH29" s="371">
        <f>_xll.ciqfunctions.udf.CIQ($A29,"IQ_PREF_EQUITY",IQ_LTM,$B$8,$L$4,$L$3,$L$5,$L$6)</f>
        <v>0</v>
      </c>
      <c r="BI29" s="371">
        <f>_xll.ciqfunctions.udf.CIQ($A29, "IQ_MINORITY_INTEREST_TOTAL", IQ_LTM,$B$8,$L$4,$L$3,$L$5,$L$6)</f>
        <v>0</v>
      </c>
      <c r="BJ29" s="413">
        <f>_xll.ciqfunctions.udf.CIQ($A29, "IQ_CASH_ST_INVEST", IQ_LTM, $B$8, $L$4, $L$3, $L$5, $L$6)</f>
        <v>464.33103999999997</v>
      </c>
      <c r="BK29" s="371" t="str">
        <f>_xll.ciqfunctions.udf.CIQ($A29, "IQ_EFFECT_TAX_RATE")</f>
        <v>NM</v>
      </c>
      <c r="BL29" s="371">
        <f>IF(_xll.ciqfunctions.udf.CIQ($A29, "IQ_TOTAL_REV_2YR_ANN_CAGR", IQ_LTM, $B$1,$L$4, $L$3, $L$5, $L$6)="NM","n/a",(_xll.ciqfunctions.udf.CIQ($A29, "IQ_TOTAL_REV_2YR_ANN_CAGR", IQ_LTM, $B$1,$L$4, $L$3, $L$5, $L$6)/100))</f>
        <v>0.30760999999999999</v>
      </c>
      <c r="BM29" s="371">
        <f>IF(_xll.ciqfunctions.udf.CIQ($A29, "IQ_TOTAL_REV_3YR_ANN_CAGR", IQ_LTM, $B$1,$L$4, $L$3, $L$5, $L$6)="NM","n/a",(_xll.ciqfunctions.udf.CIQ($A29, "IQ_TOTAL_REV_3YR_ANN_CAGR", IQ_LTM, $B$1,$L$4, $L$3, $L$5, $L$6)/100))</f>
        <v>-0.285553</v>
      </c>
      <c r="BN29" s="371">
        <f>IF(_xll.ciqfunctions.udf.CIQ($A29, "IQ_TOTAL_REV_5YR_ANN_CAGR", IQ_LTM, $B$1,$L$4, $L$3, $L$5, $L$6)="NM","n/a",(_xll.ciqfunctions.udf.CIQ($A29, "IQ_TOTAL_REV_5YR_ANN_CAGR", IQ_LTM, $B$1,$L$4, $L$3, $L$5, $L$6)/100))</f>
        <v>-0.43780500000000006</v>
      </c>
      <c r="BO29" s="371" t="str">
        <f>IF(_xll.ciqfunctions.udf.CIQ($A29,"IQ_EBITDA_2YR_ANN_CAGR", IQ_LTM,$B$1,$L$4, $L$3, $L$5, $L$6)="NM","n/a",(_xll.ciqfunctions.udf.CIQ($A29,"IQ_EBITDA_2YR_ANN_CAGR", IQ_LTM,$B$1,$L$4, $L$3, $L$5, $L$6)/100))</f>
        <v>n/a</v>
      </c>
      <c r="BP29" s="371" t="str">
        <f>IF(_xll.ciqfunctions.udf.CIQ($A29,"IQ_EBITDA_3YR_ANN_CAGR", IQ_LTM,$B$1,$L$4, $L$3, $L$5, $L$6)="NM","n/a",(_xll.ciqfunctions.udf.CIQ($A29,"IQ_EBITDA_3YR_ANN_CAGR", IQ_LTM,$B$1,$L$4, $L$3, $L$5, $L$6)/100))</f>
        <v>n/a</v>
      </c>
      <c r="BQ29" s="371" t="str">
        <f>IF(_xll.ciqfunctions.udf.CIQ($A29,"IQ_EBITDA_5YR_ANN_CAGR", IQ_LTM,$B$1,$L$4, $L$3, $L$5, $L$6)="NM","n/a",(_xll.ciqfunctions.udf.CIQ($A29,"IQ_EBITDA_5YR_ANN_CAGR", IQ_LTM,$B$1,$L$4, $L$3, $L$5, $L$6)/100))</f>
        <v>n/a</v>
      </c>
      <c r="BR29" s="375">
        <f>IFERROR((_xll.ciqfunctions.udf.CIQ($A29, "IQ_DA_CF", IQ_LTM, $B$1, $L$4, $L$3, $L$5, $L$6)/Q29),"NM")</f>
        <v>1.6336100963135172</v>
      </c>
      <c r="BS29" s="417">
        <f>'Capital IQ Sheet-GPC'!BS29</f>
        <v>0.61291654484815106</v>
      </c>
      <c r="BT29" s="417">
        <f>'Capital IQ Sheet-GPC'!BT29</f>
        <v>0.93976256879974218</v>
      </c>
      <c r="BU29" s="417">
        <f>'Capital IQ Sheet-GPC'!BU29</f>
        <v>0.95468344999739974</v>
      </c>
      <c r="BV29" s="417">
        <f>'Capital IQ Sheet-GPC'!BV29</f>
        <v>0.87859778643738873</v>
      </c>
      <c r="BW29" s="417">
        <f>'Capital IQ Sheet-GPC'!BW29</f>
        <v>0.85854205399386185</v>
      </c>
      <c r="BX29" s="417" t="str">
        <f>'Capital IQ Sheet-GPC'!BX29</f>
        <v>n/a</v>
      </c>
      <c r="BY29" s="417" t="str">
        <f>'Capital IQ Sheet-GPC'!BY29</f>
        <v>n/a</v>
      </c>
      <c r="BZ29" s="417" t="str">
        <f>'Capital IQ Sheet-GPC'!BZ29</f>
        <v>n/a</v>
      </c>
      <c r="CB29" s="371">
        <v>2</v>
      </c>
      <c r="CC29" s="495" t="s">
        <v>150</v>
      </c>
      <c r="CD29" s="495" t="s">
        <v>149</v>
      </c>
      <c r="CE29" s="373">
        <f t="shared" si="1"/>
        <v>42551</v>
      </c>
    </row>
    <row r="30" spans="1:83" s="371" customFormat="1" ht="12.75">
      <c r="A30" s="372" t="str">
        <f>_xll.ciqfunctions.udf.CIQ($B30,"IQ_COMPANY_TICKER")</f>
        <v>NasdaqCM:VKTX</v>
      </c>
      <c r="B30" s="412" t="str">
        <f>'Capital IQ Sheet-GPC'!B30</f>
        <v>IQ246791410</v>
      </c>
      <c r="C30" s="372" t="str">
        <f>_xll.ciqfunctions.udf.CIQ($A30,"IQ_COMPANY_NAME")</f>
        <v>Viking Therapeutics, Inc.</v>
      </c>
      <c r="D30" s="372" t="str">
        <f>_xll.ciqfunctions.udf.CIQ($A30, "IQ_EXCHANGE")</f>
        <v>NasdaqCM</v>
      </c>
      <c r="E30" s="411">
        <f>_xll.ciqfunctions.udf.CIQ($A30, "IQ_PERIODDATE_IS", IQ_FY)</f>
        <v>43100</v>
      </c>
      <c r="F30" s="411">
        <f>_xll.ciqfunctions.udf.CIQ(A30, "IQ_PERIODDATE_IS", IQ_LTM, $B$1,$L$4,$L$3)</f>
        <v>43190</v>
      </c>
      <c r="G30" s="411">
        <f>_xll.ciqfunctions.udf.CIQ($A30, "IQ_FIRSTPRICINGDATE")</f>
        <v>42123</v>
      </c>
      <c r="H30" s="413">
        <f>_xll.ciqfunctions.udf.CIQ($A30, "IQ_TEV", $L$2, $L$5, $L$6)</f>
        <v>491.46026999999998</v>
      </c>
      <c r="I30" s="413">
        <f>_xll.ciqfunctions.udf.CIQ(A30, "IQ_LASTSALEPRICE", $B$1,$L$5)</f>
        <v>9.49</v>
      </c>
      <c r="J30" s="413">
        <f>_xll.ciqfunctions.udf.CIQ($A30, "IQ_MARKETCAP", $L$2, $L$5, $L$6)</f>
        <v>565.20726999999999</v>
      </c>
      <c r="K30" s="413">
        <f>_xll.ciqfunctions.udf.CIQ($A30, "IQ_TOTAL_DEBT", IQ_LTM, $L$2,$L$4, $L$3, $L$5, $L$6)</f>
        <v>3.7210000000000001</v>
      </c>
      <c r="L30" s="413">
        <f>_xll.ciqfunctions.udf.CIQ($A30, "IQ_PREF_EQUITY", IQ_LTM, $L$2, $L$4, $L$3, $L$5, $L$6)</f>
        <v>0</v>
      </c>
      <c r="M30" s="413">
        <f>_xll.ciqfunctions.udf.CIQ($A30, "IQ_MINORITY_INTEREST_TOTAL", IQ_LTM, $L$2, $L$4, $L$3, $L$5, $L$6)</f>
        <v>0</v>
      </c>
      <c r="N30" s="413">
        <f>_xll.ciqfunctions.udf.CIQ($A30, "IQ_CASH_ST_INVEST", IQ_LTM, $L$2, $L$4, $L$3, $L$5, $L$6)</f>
        <v>77.468000000000004</v>
      </c>
      <c r="O30" s="413">
        <f>_xll.ciqfunctions.udf.CIQ($A30, "IQ_TOTAL_REV", IQ_LTM-8, $L$2, $L$4, $L$3, $L$5, $L$6)</f>
        <v>0</v>
      </c>
      <c r="P30" s="413">
        <f>_xll.ciqfunctions.udf.CIQ($A30, "IQ_TOTAL_REV", IQ_LTM - 4, $L$2, $L$4, $L$3, $L$5,$L$6)</f>
        <v>0</v>
      </c>
      <c r="Q30" s="413">
        <f>_xll.ciqfunctions.udf.CIQ($A30, "IQ_TOTAL_REV", IQ_LTM, $L$2, $L$4, $L$3, $L$5, $L$6)</f>
        <v>0</v>
      </c>
      <c r="R30" s="413">
        <f>_xll.ciqfunctions.udf.CIQ($A30, "IQ_TOTAL_REV", $B$2, $L$2, $L$4, $L$3, $L$5, $L$6)</f>
        <v>0</v>
      </c>
      <c r="S30" s="413">
        <f>IF(_xll.ciqfunctions.udf.CIQ($A30, "IQ_TOTAL_REV", $B$3, $L$2,$L$4, $L$3, $L$5, $L$6)=0,Q30,_xll.ciqfunctions.udf.CIQ($A30, "IQ_TOTAL_REV", $B$3, $L$2,$L$4, $L$3, $L$5, $L$6))</f>
        <v>0</v>
      </c>
      <c r="T30" s="413" t="str">
        <f>IF(_xll.ciqfunctions.udf.CIQ($A30, "IQ_REVENUE_EST",$B$4, $L$2, "CON", $L$3, $L$5, $L$6)=0,"n/a",_xll.ciqfunctions.udf.CIQ($A30, "IQ_REVENUE_EST",$B$4, $L$2, "CON", $L$3, $L$5, $L$6))</f>
        <v>n/a</v>
      </c>
      <c r="U30" s="413" t="str">
        <f>IF(_xll.ciqfunctions.udf.CIQ($A30, "IQ_REVENUE_EST",$B$5, $L$2, "CON", $L$3, $L$5, $L$6)=0,"n/a",_xll.ciqfunctions.udf.CIQ($A30, "IQ_REVENUE_EST",$B$5, $L$2, "CON", $L$3, $L$5, $L$6))</f>
        <v>n/a</v>
      </c>
      <c r="V30" s="413" t="str">
        <f>IF(_xll.ciqfunctions.udf.CIQ($A30, "IQ_REVENUE_EST",$B$6, $L$2, "CON", $L$3, $L$5, $L$6)=0,"n/a",_xll.ciqfunctions.udf.CIQ($A30, "IQ_REVENUE_EST",$B$6, $L$2, "CON", $L$3, $L$5, $L$6))</f>
        <v>n/a</v>
      </c>
      <c r="W30" s="413" t="str">
        <f>IF(_xll.ciqfunctions.udf.CIQ($A30, "IQ_REVENUE_EST", $B$7, $L$2, "CON", $L$3, $L$5, $L$6)=0,"n/a",_xll.ciqfunctions.udf.CIQ($A30, "IQ_REVENUE_EST",$B$7, $L$2, "CON", $L$3, $L$5, $L$6))</f>
        <v>n/a</v>
      </c>
      <c r="X30" s="413">
        <f>_xll.ciqfunctions.udf.CIQ($A30, "IQ_EBITDA", IQ_LTM-8, $L$2, $L$4, $L$3, $L$5, $L$6)</f>
        <v>0</v>
      </c>
      <c r="Y30" s="413">
        <f>_xll.ciqfunctions.udf.CIQ($A30, "IQ_EBITDA", IQ_LTM-4, $L$2,$L$4, $L$3, $L$5, $L$6)</f>
        <v>0</v>
      </c>
      <c r="Z30" s="413">
        <f>_xll.ciqfunctions.udf.CIQ($A30, "IQ_EBITDA", IQ_LTM, $L$2, $L$4, $L$3, $L$5, $L$6)</f>
        <v>0</v>
      </c>
      <c r="AA30" s="413">
        <f>_xll.ciqfunctions.udf.CIQ($A30, "IQ_EBITDA", $B$2, $L$2, $L$4, $L$3, $L$5, $L$6)</f>
        <v>0</v>
      </c>
      <c r="AB30" s="413">
        <f>IF(_xll.ciqfunctions.udf.CIQ($A30, "IQ_EBITDA", $B$3, $L$2,$L$4, $L$3, $L$5, $L$6)=0,Z30,_xll.ciqfunctions.udf.CIQ($A30, "IQ_EBITDA", $B$3, $L$2,$L$4, $L$3, $L$5, $L$6))</f>
        <v>0</v>
      </c>
      <c r="AC30" s="413">
        <f>IF(_xll.ciqfunctions.udf.CIQ($A30, "IQ_EBITDA_EST",$B$4, $L$2, "CON", $L$3, $L$5, $L$6)=0,"n/a",_xll.ciqfunctions.udf.CIQ($A30, "IQ_EBITDA_EST",$B$4, $L$2, "CON", $L$3, $L$5, $L$6))</f>
        <v>-21.8</v>
      </c>
      <c r="AD30" s="413">
        <f>IF(_xll.ciqfunctions.udf.CIQ($A30, "IQ_EBITDA_EST",$B$5, $L$2, "CON", $L$3, $L$5, $L$6)=0,"n/a",_xll.ciqfunctions.udf.CIQ($A30, "IQ_EBITDA_EST",$B$5, $L$2, "CON", $L$3, $L$5, $L$6))</f>
        <v>-26.6</v>
      </c>
      <c r="AE30" s="413">
        <f>IF(_xll.ciqfunctions.udf.CIQ($A30, "IQ_EBITDA_EST",$B$6, $L$2, "CON", $L$3, $L$5, $L$6)=0,"n/a",_xll.ciqfunctions.udf.CIQ($A30, "IQ_EBITDA_EST",$B$6, $L$2, "CON", $L$3, $L$5, $L$6))</f>
        <v>-33.799999999999997</v>
      </c>
      <c r="AF30" s="414">
        <f>IF(ISERROR(_xll.ciqfunctions.udf.CIQ($A30, "IQ_GROSS_MARGIN", IQ_LTM, $L$2,$L$4, $L$3, $L$5, $L$6)/100), "n/a", _xll.ciqfunctions.udf.CIQ($A30,  "IQ_GROSS_MARGIN", IQ_LTM, $L$2, $L$4, $L$3, $L$5, $L$6)/100)</f>
        <v>0</v>
      </c>
      <c r="AG30" s="414">
        <f>IF(ISERROR(_xll.ciqfunctions.udf.CIQ($A30,"IQ_EBITDA_MARGIN", IQ_LTM, $L$2, $L$4, $L$3, $L$5, $L$6)/100), "n/a", _xll.ciqfunctions.udf.CIQ($A30, "IQ_EBITDA_MARGIN", IQ_LTM, $L$2, $L$4, $L$3, $L$5, $L$6)/100)</f>
        <v>0</v>
      </c>
      <c r="AH30" s="414">
        <f>IF(ISERROR(_xll.ciqfunctions.udf.CIQ($A30,"IQ_EBIT_MARGIN", IQ_LTM, $L$2, $L$4, $L$3, $L$5, $L$6)/100), "n/a", _xll.ciqfunctions.udf.CIQ($A30, "IQ_EBIT_MARGIN", IQ_LTM, $L$2, $L$4, $L$3, $L$5, $L$6)/100)</f>
        <v>0</v>
      </c>
      <c r="AI30" s="414">
        <f>IF(ISERROR(_xll.ciqfunctions.udf.CIQ($A30,"IQ_NI_MARGIN", IQ_LTM, $L$2, $L$4, $L$3, $L$5, $L$6)/100), "n/a", _xll.ciqfunctions.udf.CIQ($A30, "IQ_NI_MARGIN", IQ_LTM, $L$2, $L$4, $L$3, $L$5, $L$6)/100)</f>
        <v>0</v>
      </c>
      <c r="AJ30" s="413">
        <f>_xll.ciqfunctions.udf.CIQ($A30,"IQ_TOTAL_CA",IQ_LTM-8,$L$2, $L$4, $L$3, $L$5, $L$6)-_xll.ciqfunctions.udf.CIQ($A30,"IQ_TOTAL_CL",IQ_LTM-8,$L$2, $L$4, $L$3, $L$5, $L$6)</f>
        <v>10.24339</v>
      </c>
      <c r="AK30" s="413">
        <f>_xll.ciqfunctions.udf.CIQ($A30,"IQ_TOTAL_CA",IQ_LTM-4,$L$2, $L$4, $L$3, $L$5, $L$6)-_xll.ciqfunctions.udf.CIQ($A30,"IQ_TOTAL_CL",IQ_LTM-4,$L$2, $L$4, $L$3, $L$5, $L$6)</f>
        <v>11.29175</v>
      </c>
      <c r="AL30" s="413">
        <f>_xll.ciqfunctions.udf.CIQ($A30,"IQ_TOTAL_CA",IQ_LTM,$L$2, $L$4, $L$3, $L$5, $L$6)-_xll.ciqfunctions.udf.CIQ($A30,"IQ_TOTAL_CL",IQ_LTM,$L$2, $L$4, $L$3, $L$5, $L$6)</f>
        <v>72.391999999999996</v>
      </c>
      <c r="AM30" s="413">
        <f>IF(ISERROR(_xll.ciqfunctions.udf.CIQ($A30, "IQ_Capex", IQ_LTM-8, $L$2,$L$4, $L$3, $L$5, $L$6)), "n/a", _xll.ciqfunctions.udf.CIQ($A30, "IQ_Capex", IQ_LTM-8, $L$2, $L$4, $L$3, $L$5, $L$6))</f>
        <v>0</v>
      </c>
      <c r="AN30" s="413">
        <f>IF(ISERROR(_xll.ciqfunctions.udf.CIQ($A30, "IQ_Capex", IQ_LTM-4, $L$2,$L$4, $L$3, $L$5, $L$6)), "n/a", _xll.ciqfunctions.udf.CIQ($A30, "IQ_Capex", IQ_LTM-4, $L$2,$L$4, $L$3, $L$5, $L$6))</f>
        <v>0</v>
      </c>
      <c r="AO30" s="413">
        <f>IF(ISERROR(_xll.ciqfunctions.udf.CIQ($A30, "IQ_Capex", IQ_LTM, $L$2, $L$4, $L$3, $L$5, $L$6)), "n/a", _xll.ciqfunctions.udf.CIQ($A30, "IQ_Capex", IQ_LTM, $L$2, $L$4, $L$3, $L$5, $L$6))</f>
        <v>0</v>
      </c>
      <c r="AP30" s="415" t="str">
        <f>_xll.ciqfunctions.udf.CIQ(A30, "IQ_BUSINESS_DESCRIPTION")</f>
        <v>Viking Therapeutics, Inc., a clinical-stage biopharmaceutical company, focuses on the development of novel therapies for metabolic and endocrine disorders. Its lead clinical program, VK5211, is an orally available, non-steroidal selective androgen receptor modulator in Phase II development for the treatment of patients recovering from non-elective hip fracture surgery; in Phase I clinical trials for improving lean body mass; and in pre-clinical trial for improving bone mineral density, bone mineral content, bone strength, and other measures. The company is also developing VK2809, an orally available, tissue and receptor-subtype selective agonist of the thyroid hormone receptor beta, which is in a Phase II clinical trial for the treatment of patients with hypercholesterolemia and fatty liver disease; and in a Phase I clinical trial to treat patients who suffer from glycogen storage disease type Ia. In addition, it is developing VK0214 for X-linked adrenoleukodystrophy, which is in pre-clinical stage. Viking Therapeutics, Inc. was founded in 2012 and is headquartered in San Diego, California.</v>
      </c>
      <c r="AQ30" s="416">
        <f>_xll.ciqfunctions.udf.CIQ($A30, "IQ_BETA_1YR", $B$1)</f>
        <v>1.38575</v>
      </c>
      <c r="AR30" s="416">
        <f>_xll.ciqfunctions.udf.CIQ($A30, "IQ_BETA_2YR", $B$1)</f>
        <v>1.5939399999999999</v>
      </c>
      <c r="AS30" s="416">
        <f>_xll.ciqfunctions.udf.CIQ($A30, "IQ_BETA_5YR", $B$1)</f>
        <v>2.76172</v>
      </c>
      <c r="AT30" s="414">
        <f>_xll.ciqfunctions.udf.CIQ($A30, "IQ_DIVIDEND_YIELD", $B$1)/100</f>
        <v>0</v>
      </c>
      <c r="AU30" s="413">
        <f>_xll.ciqfunctions.udf.CIQ($A30, "IQ_EARNING_CO", IQ_LTM-8, $L$2, $L$4, $L$3, $L$5, $L$6)</f>
        <v>-21.27956</v>
      </c>
      <c r="AV30" s="413">
        <f>_xll.ciqfunctions.udf.CIQ($A30, "IQ_EARNING_CO", IQ_LTM-4, $L$2, $L$4, $L$3, $L$5, $L$6)</f>
        <v>-16.36683</v>
      </c>
      <c r="AW30" s="413">
        <f>_xll.ciqfunctions.udf.CIQ($A30, "IQ_EARNING_CO", IQ_LTM, $L$2, $L$4, $L$3, $L$5, $L$6)</f>
        <v>-18.906669999999998</v>
      </c>
      <c r="AX30" s="413">
        <f>_xll.ciqfunctions.udf.CIQ($A30, "IQ_EARNING_CO", $B$2, $L$2, $L$4, $L$3, $L$5, $L$6)</f>
        <v>-14.731820000000001</v>
      </c>
      <c r="AY30" s="413">
        <f>IF(_xll.ciqfunctions.udf.CIQ($A30, "IQ_EARNING_CO", $B$3, $L$2,$L$4, $L$3, $L$5, $L$6)=0,AW30,_xll.ciqfunctions.udf.CIQ($A30, "IQ_EARNING_CO", $B$3, $L$2,$L$4, $L$3, $L$5, $L$6))</f>
        <v>-20.577670000000001</v>
      </c>
      <c r="AZ30" s="413">
        <f>_xll.ciqfunctions.udf.CIQ($A30, "IQ_TOTAL_EQUITY", IQ_LTM-8, $L$2, $L$4, $L$3, $L$5, $L$6)</f>
        <v>5.7697399999999996</v>
      </c>
      <c r="BA30" s="413">
        <f>_xll.ciqfunctions.udf.CIQ($A30, "IQ_TOTAL_EQUITY", IQ_LTM-4, $L$2, $L$4, $L$3, $L$5, $L$6)</f>
        <v>7.5460900000000004</v>
      </c>
      <c r="BB30" s="413">
        <f>_xll.ciqfunctions.udf.CIQ($A30, "IQ_TOTAL_EQUITY", IQ_LTM, $L$2, $L$4, $L$3, $L$5, $L$6)</f>
        <v>72.632000000000005</v>
      </c>
      <c r="BC30" s="413">
        <f>_xll.ciqfunctions.udf.CIQ($A30, "IQ_TOTAL_EQUITY", $B$2, $L$2, $L$4, $L$3, $L$5, $L$6)</f>
        <v>8.0428700000000006</v>
      </c>
      <c r="BD30" s="413">
        <f>IF(_xll.ciqfunctions.udf.CIQ($A30, "IQ_TOTAL_EQUITY", $B$3, $L$2,$L$4, $L$3, $L$5, $L$6)=0,BB30,_xll.ciqfunctions.udf.CIQ($A30, "IQ_TOTAL_EQUITY", $B$3, $L$2,$L$4, $L$3, $L$5, $L$6))</f>
        <v>13.464840000000001</v>
      </c>
      <c r="BE30" s="413">
        <f>_xll.ciqfunctions.udf.CIQ(A30, "IQ_LASTSALEPRICE", $B$8)</f>
        <v>4.37</v>
      </c>
      <c r="BF30" s="413">
        <f>_xll.ciqfunctions.udf.CIQ($A30, "IQ_MARKETCAP", $B$8, $L$5, $L$6)</f>
        <v>222.42777000000001</v>
      </c>
      <c r="BG30" s="413">
        <f>_xll.ciqfunctions.udf.CIQ($A30, "IQ_TOTAL_DEBT", IQ_LTM, $B$8,$L$4, $L$3, $L$5, $L$6)</f>
        <v>3.4505400000000002</v>
      </c>
      <c r="BH30" s="371">
        <f>_xll.ciqfunctions.udf.CIQ($A30,"IQ_PREF_EQUITY",IQ_LTM,$B$8,$L$4,$L$3,$L$5,$L$6)</f>
        <v>0</v>
      </c>
      <c r="BI30" s="371">
        <f>_xll.ciqfunctions.udf.CIQ($A30, "IQ_MINORITY_INTEREST_TOTAL", IQ_LTM,$B$8,$L$4,$L$3,$L$5,$L$6)</f>
        <v>0</v>
      </c>
      <c r="BJ30" s="413">
        <f>_xll.ciqfunctions.udf.CIQ($A30, "IQ_CASH_ST_INVEST", IQ_LTM, $B$8, $L$4, $L$3, $L$5, $L$6)</f>
        <v>20.575959999999998</v>
      </c>
      <c r="BK30" s="371">
        <f>_xll.ciqfunctions.udf.CIQ($A30, "IQ_EFFECT_TAX_RATE")</f>
        <v>0</v>
      </c>
      <c r="BL30" s="371">
        <f>IF(_xll.ciqfunctions.udf.CIQ($A30, "IQ_TOTAL_REV_2YR_ANN_CAGR", IQ_LTM, $B$1,$L$4, $L$3, $L$5, $L$6)="NM","n/a",(_xll.ciqfunctions.udf.CIQ($A30, "IQ_TOTAL_REV_2YR_ANN_CAGR", IQ_LTM, $B$1,$L$4, $L$3, $L$5, $L$6)/100))</f>
        <v>0</v>
      </c>
      <c r="BM30" s="371">
        <f>IF(_xll.ciqfunctions.udf.CIQ($A30, "IQ_TOTAL_REV_3YR_ANN_CAGR", IQ_LTM, $B$1,$L$4, $L$3, $L$5, $L$6)="NM","n/a",(_xll.ciqfunctions.udf.CIQ($A30, "IQ_TOTAL_REV_3YR_ANN_CAGR", IQ_LTM, $B$1,$L$4, $L$3, $L$5, $L$6)/100))</f>
        <v>0</v>
      </c>
      <c r="BN30" s="371">
        <f>IF(_xll.ciqfunctions.udf.CIQ($A30, "IQ_TOTAL_REV_5YR_ANN_CAGR", IQ_LTM, $B$1,$L$4, $L$3, $L$5, $L$6)="NM","n/a",(_xll.ciqfunctions.udf.CIQ($A30, "IQ_TOTAL_REV_5YR_ANN_CAGR", IQ_LTM, $B$1,$L$4, $L$3, $L$5, $L$6)/100))</f>
        <v>0</v>
      </c>
      <c r="BO30" s="371">
        <f>IF(_xll.ciqfunctions.udf.CIQ($A30,"IQ_EBITDA_2YR_ANN_CAGR", IQ_LTM,$B$1,$L$4, $L$3, $L$5, $L$6)="NM","n/a",(_xll.ciqfunctions.udf.CIQ($A30,"IQ_EBITDA_2YR_ANN_CAGR", IQ_LTM,$B$1,$L$4, $L$3, $L$5, $L$6)/100))</f>
        <v>0</v>
      </c>
      <c r="BP30" s="371">
        <f>IF(_xll.ciqfunctions.udf.CIQ($A30,"IQ_EBITDA_3YR_ANN_CAGR", IQ_LTM,$B$1,$L$4, $L$3, $L$5, $L$6)="NM","n/a",(_xll.ciqfunctions.udf.CIQ($A30,"IQ_EBITDA_3YR_ANN_CAGR", IQ_LTM,$B$1,$L$4, $L$3, $L$5, $L$6)/100))</f>
        <v>0</v>
      </c>
      <c r="BQ30" s="371">
        <f>IF(_xll.ciqfunctions.udf.CIQ($A30,"IQ_EBITDA_5YR_ANN_CAGR", IQ_LTM,$B$1,$L$4, $L$3, $L$5, $L$6)="NM","n/a",(_xll.ciqfunctions.udf.CIQ($A30,"IQ_EBITDA_5YR_ANN_CAGR", IQ_LTM,$B$1,$L$4, $L$3, $L$5, $L$6)/100))</f>
        <v>0</v>
      </c>
      <c r="BR30" s="375" t="str">
        <f>IFERROR((_xll.ciqfunctions.udf.CIQ($A30, "IQ_DA_CF", IQ_LTM, $B$1, $L$4, $L$3, $L$5, $L$6)/Q30),"NM")</f>
        <v>NM</v>
      </c>
      <c r="BS30" s="417">
        <f>'Capital IQ Sheet-GPC'!BS30</f>
        <v>1.108049474673342</v>
      </c>
      <c r="BT30" s="417">
        <f>'Capital IQ Sheet-GPC'!BT30</f>
        <v>0.90426976033919249</v>
      </c>
      <c r="BU30" s="417">
        <f>'Capital IQ Sheet-GPC'!BU30</f>
        <v>1.0385011747809152</v>
      </c>
      <c r="BV30" s="417">
        <f>'Capital IQ Sheet-GPC'!BV30</f>
        <v>1.018566973519184</v>
      </c>
      <c r="BW30" s="417" t="str">
        <f>'Capital IQ Sheet-GPC'!BW30</f>
        <v>n/a</v>
      </c>
      <c r="BX30" s="417" t="str">
        <f>'Capital IQ Sheet-GPC'!BX30</f>
        <v>n/a</v>
      </c>
      <c r="BY30" s="417" t="str">
        <f>'Capital IQ Sheet-GPC'!BY30</f>
        <v>n/a</v>
      </c>
      <c r="BZ30" s="417" t="str">
        <f>'Capital IQ Sheet-GPC'!BZ30</f>
        <v>n/a</v>
      </c>
      <c r="CB30" s="371">
        <v>2</v>
      </c>
      <c r="CC30" s="495" t="s">
        <v>150</v>
      </c>
      <c r="CD30" s="495" t="s">
        <v>149</v>
      </c>
      <c r="CE30" s="373">
        <f t="shared" si="1"/>
        <v>42551</v>
      </c>
    </row>
    <row r="31" spans="1:83" s="371" customFormat="1" ht="12.75">
      <c r="A31" s="372" t="str">
        <f>_xll.ciqfunctions.udf.CIQ($B31,"IQ_COMPANY_TICKER")</f>
        <v>NasdaqGS:XERS</v>
      </c>
      <c r="B31" s="412" t="str">
        <f>'Capital IQ Sheet-GPC'!B31</f>
        <v>IQ105901792</v>
      </c>
      <c r="C31" s="372" t="str">
        <f>_xll.ciqfunctions.udf.CIQ($A31,"IQ_COMPANY_NAME")</f>
        <v>Xeris Pharmaceuticals, Inc.</v>
      </c>
      <c r="D31" s="372" t="str">
        <f>_xll.ciqfunctions.udf.CIQ($A31, "IQ_EXCHANGE")</f>
        <v>NasdaqGS</v>
      </c>
      <c r="E31" s="411">
        <f>_xll.ciqfunctions.udf.CIQ($A31, "IQ_PERIODDATE_IS", IQ_FY)</f>
        <v>43100</v>
      </c>
      <c r="F31" s="411">
        <f>_xll.ciqfunctions.udf.CIQ(A31, "IQ_PERIODDATE_IS", IQ_LTM, $B$1,$L$4,$L$3)</f>
        <v>43190</v>
      </c>
      <c r="G31" s="411">
        <f>_xll.ciqfunctions.udf.CIQ($A31, "IQ_FIRSTPRICINGDATE")</f>
        <v>43272</v>
      </c>
      <c r="H31" s="413">
        <f>_xll.ciqfunctions.udf.CIQ($A31, "IQ_TEV", $L$2, $L$5, $L$6)</f>
        <v>436.81565999999998</v>
      </c>
      <c r="I31" s="413">
        <f>_xll.ciqfunctions.udf.CIQ(A31, "IQ_LASTSALEPRICE", $B$1,$L$5)</f>
        <v>18.98</v>
      </c>
      <c r="J31" s="413">
        <f>_xll.ciqfunctions.udf.CIQ($A31, "IQ_MARKETCAP", $L$2, $L$5, $L$6)</f>
        <v>374.58265999999998</v>
      </c>
      <c r="K31" s="413">
        <f>_xll.ciqfunctions.udf.CIQ($A31, "IQ_TOTAL_DEBT", IQ_LTM, $L$2,$L$4, $L$3, $L$5, $L$6)</f>
        <v>18.050999999999998</v>
      </c>
      <c r="L31" s="413">
        <f>_xll.ciqfunctions.udf.CIQ($A31, "IQ_PREF_EQUITY", IQ_LTM, $L$2, $L$4, $L$3, $L$5, $L$6)</f>
        <v>102.292</v>
      </c>
      <c r="M31" s="413">
        <f>_xll.ciqfunctions.udf.CIQ($A31, "IQ_MINORITY_INTEREST_TOTAL", IQ_LTM, $L$2, $L$4, $L$3, $L$5, $L$6)</f>
        <v>0</v>
      </c>
      <c r="N31" s="413">
        <f>_xll.ciqfunctions.udf.CIQ($A31, "IQ_CASH_ST_INVEST", IQ_LTM, $L$2, $L$4, $L$3, $L$5, $L$6)</f>
        <v>58.11</v>
      </c>
      <c r="O31" s="413">
        <f>_xll.ciqfunctions.udf.CIQ($A31, "IQ_TOTAL_REV", IQ_LTM-8, $L$2, $L$4, $L$3, $L$5, $L$6)</f>
        <v>0</v>
      </c>
      <c r="P31" s="413">
        <f>_xll.ciqfunctions.udf.CIQ($A31, "IQ_TOTAL_REV", IQ_LTM - 4, $L$2, $L$4, $L$3, $L$5,$L$6)</f>
        <v>0</v>
      </c>
      <c r="Q31" s="413">
        <f>_xll.ciqfunctions.udf.CIQ($A31, "IQ_TOTAL_REV", IQ_LTM, $L$2, $L$4, $L$3, $L$5, $L$6)</f>
        <v>1.4650000000000001</v>
      </c>
      <c r="R31" s="413">
        <f>_xll.ciqfunctions.udf.CIQ($A31, "IQ_TOTAL_REV", $B$2, $L$2, $L$4, $L$3, $L$5, $L$6)</f>
        <v>1.075</v>
      </c>
      <c r="S31" s="413">
        <f>IF(_xll.ciqfunctions.udf.CIQ($A31, "IQ_TOTAL_REV", $B$3, $L$2,$L$4, $L$3, $L$5, $L$6)=0,Q31,_xll.ciqfunctions.udf.CIQ($A31, "IQ_TOTAL_REV", $B$3, $L$2,$L$4, $L$3, $L$5, $L$6))</f>
        <v>1.556</v>
      </c>
      <c r="T31" s="413" t="str">
        <f>IF(_xll.ciqfunctions.udf.CIQ($A31, "IQ_REVENUE_EST",$B$4, $L$2, "CON", $L$3, $L$5, $L$6)=0,"n/a",_xll.ciqfunctions.udf.CIQ($A31, "IQ_REVENUE_EST",$B$4, $L$2, "CON", $L$3, $L$5, $L$6))</f>
        <v>n/a</v>
      </c>
      <c r="U31" s="413" t="str">
        <f>IF(_xll.ciqfunctions.udf.CIQ($A31, "IQ_REVENUE_EST",$B$5, $L$2, "CON", $L$3, $L$5, $L$6)=0,"n/a",_xll.ciqfunctions.udf.CIQ($A31, "IQ_REVENUE_EST",$B$5, $L$2, "CON", $L$3, $L$5, $L$6))</f>
        <v>n/a</v>
      </c>
      <c r="V31" s="413" t="str">
        <f>IF(_xll.ciqfunctions.udf.CIQ($A31, "IQ_REVENUE_EST",$B$6, $L$2, "CON", $L$3, $L$5, $L$6)=0,"n/a",_xll.ciqfunctions.udf.CIQ($A31, "IQ_REVENUE_EST",$B$6, $L$2, "CON", $L$3, $L$5, $L$6))</f>
        <v>n/a</v>
      </c>
      <c r="W31" s="413" t="str">
        <f>IF(_xll.ciqfunctions.udf.CIQ($A31, "IQ_REVENUE_EST", $B$7, $L$2, "CON", $L$3, $L$5, $L$6)=0,"n/a",_xll.ciqfunctions.udf.CIQ($A31, "IQ_REVENUE_EST",$B$7, $L$2, "CON", $L$3, $L$5, $L$6))</f>
        <v>n/a</v>
      </c>
      <c r="X31" s="413">
        <f>_xll.ciqfunctions.udf.CIQ($A31, "IQ_EBITDA", IQ_LTM-8, $L$2, $L$4, $L$3, $L$5, $L$6)</f>
        <v>0</v>
      </c>
      <c r="Y31" s="413">
        <f>_xll.ciqfunctions.udf.CIQ($A31, "IQ_EBITDA", IQ_LTM-4, $L$2,$L$4, $L$3, $L$5, $L$6)</f>
        <v>0</v>
      </c>
      <c r="Z31" s="413">
        <f>_xll.ciqfunctions.udf.CIQ($A31, "IQ_EBITDA", IQ_LTM, $L$2, $L$4, $L$3, $L$5, $L$6)</f>
        <v>-33.508000000000003</v>
      </c>
      <c r="AA31" s="413">
        <f>_xll.ciqfunctions.udf.CIQ($A31, "IQ_EBITDA", $B$2, $L$2, $L$4, $L$3, $L$5, $L$6)</f>
        <v>-13.115</v>
      </c>
      <c r="AB31" s="413">
        <f>IF(_xll.ciqfunctions.udf.CIQ($A31, "IQ_EBITDA", $B$3, $L$2,$L$4, $L$3, $L$5, $L$6)=0,Z31,_xll.ciqfunctions.udf.CIQ($A31, "IQ_EBITDA", $B$3, $L$2,$L$4, $L$3, $L$5, $L$6))</f>
        <v>-26.452000000000002</v>
      </c>
      <c r="AC31" s="413" t="str">
        <f>IF(_xll.ciqfunctions.udf.CIQ($A31, "IQ_EBITDA_EST",$B$4, $L$2, "CON", $L$3, $L$5, $L$6)=0,"n/a",_xll.ciqfunctions.udf.CIQ($A31, "IQ_EBITDA_EST",$B$4, $L$2, "CON", $L$3, $L$5, $L$6))</f>
        <v>n/a</v>
      </c>
      <c r="AD31" s="413" t="str">
        <f>IF(_xll.ciqfunctions.udf.CIQ($A31, "IQ_EBITDA_EST",$B$5, $L$2, "CON", $L$3, $L$5, $L$6)=0,"n/a",_xll.ciqfunctions.udf.CIQ($A31, "IQ_EBITDA_EST",$B$5, $L$2, "CON", $L$3, $L$5, $L$6))</f>
        <v>n/a</v>
      </c>
      <c r="AE31" s="413" t="str">
        <f>IF(_xll.ciqfunctions.udf.CIQ($A31, "IQ_EBITDA_EST",$B$6, $L$2, "CON", $L$3, $L$5, $L$6)=0,"n/a",_xll.ciqfunctions.udf.CIQ($A31, "IQ_EBITDA_EST",$B$6, $L$2, "CON", $L$3, $L$5, $L$6))</f>
        <v>n/a</v>
      </c>
      <c r="AF31" s="414">
        <f>IF(ISERROR(_xll.ciqfunctions.udf.CIQ($A31, "IQ_GROSS_MARGIN", IQ_LTM, $L$2,$L$4, $L$3, $L$5, $L$6)/100), "n/a", _xll.ciqfunctions.udf.CIQ($A31,  "IQ_GROSS_MARGIN", IQ_LTM, $L$2, $L$4, $L$3, $L$5, $L$6)/100)</f>
        <v>0.96860000000000002</v>
      </c>
      <c r="AG31" s="414" t="str">
        <f>IF(ISERROR(_xll.ciqfunctions.udf.CIQ($A31,"IQ_EBITDA_MARGIN", IQ_LTM, $L$2, $L$4, $L$3, $L$5, $L$6)/100), "n/a", _xll.ciqfunctions.udf.CIQ($A31, "IQ_EBITDA_MARGIN", IQ_LTM, $L$2, $L$4, $L$3, $L$5, $L$6)/100)</f>
        <v>n/a</v>
      </c>
      <c r="AH31" s="414" t="str">
        <f>IF(ISERROR(_xll.ciqfunctions.udf.CIQ($A31,"IQ_EBIT_MARGIN", IQ_LTM, $L$2, $L$4, $L$3, $L$5, $L$6)/100), "n/a", _xll.ciqfunctions.udf.CIQ($A31, "IQ_EBIT_MARGIN", IQ_LTM, $L$2, $L$4, $L$3, $L$5, $L$6)/100)</f>
        <v>n/a</v>
      </c>
      <c r="AI31" s="414" t="str">
        <f>IF(ISERROR(_xll.ciqfunctions.udf.CIQ($A31,"IQ_NI_MARGIN", IQ_LTM, $L$2, $L$4, $L$3, $L$5, $L$6)/100), "n/a", _xll.ciqfunctions.udf.CIQ($A31, "IQ_NI_MARGIN", IQ_LTM, $L$2, $L$4, $L$3, $L$5, $L$6)/100)</f>
        <v>n/a</v>
      </c>
      <c r="AJ31" s="413">
        <f>_xll.ciqfunctions.udf.CIQ($A31,"IQ_TOTAL_CA",IQ_LTM-8,$L$2, $L$4, $L$3, $L$5, $L$6)-_xll.ciqfunctions.udf.CIQ($A31,"IQ_TOTAL_CL",IQ_LTM-8,$L$2, $L$4, $L$3, $L$5, $L$6)</f>
        <v>0</v>
      </c>
      <c r="AK31" s="413">
        <f>_xll.ciqfunctions.udf.CIQ($A31,"IQ_TOTAL_CA",IQ_LTM-4,$L$2, $L$4, $L$3, $L$5, $L$6)-_xll.ciqfunctions.udf.CIQ($A31,"IQ_TOTAL_CL",IQ_LTM-4,$L$2, $L$4, $L$3, $L$5, $L$6)</f>
        <v>0</v>
      </c>
      <c r="AL31" s="413">
        <f>_xll.ciqfunctions.udf.CIQ($A31,"IQ_TOTAL_CA",IQ_LTM,$L$2, $L$4, $L$3, $L$5, $L$6)-_xll.ciqfunctions.udf.CIQ($A31,"IQ_TOTAL_CL",IQ_LTM,$L$2, $L$4, $L$3, $L$5, $L$6)</f>
        <v>50.643999999999998</v>
      </c>
      <c r="AM31" s="413">
        <f>IF(ISERROR(_xll.ciqfunctions.udf.CIQ($A31, "IQ_Capex", IQ_LTM-8, $L$2,$L$4, $L$3, $L$5, $L$6)), "n/a", _xll.ciqfunctions.udf.CIQ($A31, "IQ_Capex", IQ_LTM-8, $L$2, $L$4, $L$3, $L$5, $L$6))</f>
        <v>0</v>
      </c>
      <c r="AN31" s="413">
        <f>IF(ISERROR(_xll.ciqfunctions.udf.CIQ($A31, "IQ_Capex", IQ_LTM-4, $L$2,$L$4, $L$3, $L$5, $L$6)), "n/a", _xll.ciqfunctions.udf.CIQ($A31, "IQ_Capex", IQ_LTM-4, $L$2,$L$4, $L$3, $L$5, $L$6))</f>
        <v>0</v>
      </c>
      <c r="AO31" s="413">
        <f>IF(ISERROR(_xll.ciqfunctions.udf.CIQ($A31, "IQ_Capex", IQ_LTM, $L$2, $L$4, $L$3, $L$5, $L$6)), "n/a", _xll.ciqfunctions.udf.CIQ($A31, "IQ_Capex", IQ_LTM, $L$2, $L$4, $L$3, $L$5, $L$6))</f>
        <v>-0.69099999999999995</v>
      </c>
      <c r="AP31" s="415" t="str">
        <f>_xll.ciqfunctions.udf.CIQ(A31, "IQ_BUSINESS_DESCRIPTION")</f>
        <v>Xeris Pharmaceuticals, Inc., a specialty pharmaceutical company, develops and commercializes ready-to-use injectable and infusible drug formulations. Its proprietary XeriSol and XeriJect formulation technologies allow for the subcutaneous and intramuscular delivery of highly-concentrated, ready-to-use formulations of peptides, proteins, antibodies, and small molecules using commercially available syringes, auto-injectors, multi-dose pens, and infusion pumps. The company’s lead product candidate is glucagon rescue pen, which has completed Phase III clinical trials for the treatment of severe hypoglycemia, a potentially life-threatening condition in people with diabetes. Its product candidates also comprise self-administered glucagon that is in Phase IIa clinical trials for the treatment of post-bariatric hypoglycemia; continuous glucagon, which is in Phase II clinical trials for the treatment of congenital hyperinsulinism; continuous glucagon that is in Phase IIa clinical trials for the treatment of hypoglycemia-associated autonomic failure; self-administered glucagon, which is in Phase IIa clinical trials for the treatment of exercise-induced hypoglycemia; and ready-to-use glucagon that is in Phase II clinical trials for use in a bi-hormonal artificial pancreas closed-loop systems. The company’s preclinical programs include ready-to-use diazepam, a ready-to-use diazepam formulation for the treatment of ARS in patients with epilepsy; and pram-insulin, a ready-to-use fixed dose combination of insulin and pramlintide. It serves patients, caregivers, and health practitioners. The company was founded in 2005 and is based in Chicago, Illinois.</v>
      </c>
      <c r="AQ31" s="416">
        <f>_xll.ciqfunctions.udf.CIQ($A31, "IQ_BETA_1YR", $B$1)</f>
        <v>0</v>
      </c>
      <c r="AR31" s="416">
        <f>_xll.ciqfunctions.udf.CIQ($A31, "IQ_BETA_2YR", $B$1)</f>
        <v>0</v>
      </c>
      <c r="AS31" s="416">
        <f>_xll.ciqfunctions.udf.CIQ($A31, "IQ_BETA_5YR", $B$1)</f>
        <v>0</v>
      </c>
      <c r="AT31" s="414">
        <f>_xll.ciqfunctions.udf.CIQ($A31, "IQ_DIVIDEND_YIELD", $B$1)/100</f>
        <v>0</v>
      </c>
      <c r="AU31" s="413">
        <f>_xll.ciqfunctions.udf.CIQ($A31, "IQ_EARNING_CO", IQ_LTM-8, $L$2, $L$4, $L$3, $L$5, $L$6)</f>
        <v>0</v>
      </c>
      <c r="AV31" s="413">
        <f>_xll.ciqfunctions.udf.CIQ($A31, "IQ_EARNING_CO", IQ_LTM-4, $L$2, $L$4, $L$3, $L$5, $L$6)</f>
        <v>0</v>
      </c>
      <c r="AW31" s="413">
        <f>_xll.ciqfunctions.udf.CIQ($A31, "IQ_EARNING_CO", IQ_LTM, $L$2, $L$4, $L$3, $L$5, $L$6)</f>
        <v>-33.811999999999998</v>
      </c>
      <c r="AX31" s="413">
        <f>_xll.ciqfunctions.udf.CIQ($A31, "IQ_EARNING_CO", $B$2, $L$2, $L$4, $L$3, $L$5, $L$6)</f>
        <v>-13.209</v>
      </c>
      <c r="AY31" s="413">
        <f>IF(_xll.ciqfunctions.udf.CIQ($A31, "IQ_EARNING_CO", $B$3, $L$2,$L$4, $L$3, $L$5, $L$6)=0,AW31,_xll.ciqfunctions.udf.CIQ($A31, "IQ_EARNING_CO", $B$3, $L$2,$L$4, $L$3, $L$5, $L$6))</f>
        <v>-26.553999999999998</v>
      </c>
      <c r="AZ31" s="413">
        <f>_xll.ciqfunctions.udf.CIQ($A31, "IQ_TOTAL_EQUITY", IQ_LTM-8, $L$2, $L$4, $L$3, $L$5, $L$6)</f>
        <v>0</v>
      </c>
      <c r="BA31" s="413">
        <f>_xll.ciqfunctions.udf.CIQ($A31, "IQ_TOTAL_EQUITY", IQ_LTM-4, $L$2, $L$4, $L$3, $L$5, $L$6)</f>
        <v>0</v>
      </c>
      <c r="BB31" s="413">
        <f>_xll.ciqfunctions.udf.CIQ($A31, "IQ_TOTAL_EQUITY", IQ_LTM, $L$2, $L$4, $L$3, $L$5, $L$6)</f>
        <v>32.85</v>
      </c>
      <c r="BC31" s="413">
        <f>_xll.ciqfunctions.udf.CIQ($A31, "IQ_TOTAL_EQUITY", $B$2, $L$2, $L$4, $L$3, $L$5, $L$6)</f>
        <v>30.963999999999999</v>
      </c>
      <c r="BD31" s="413">
        <f>IF(_xll.ciqfunctions.udf.CIQ($A31, "IQ_TOTAL_EQUITY", $B$3, $L$2,$L$4, $L$3, $L$5, $L$6)=0,BB31,_xll.ciqfunctions.udf.CIQ($A31, "IQ_TOTAL_EQUITY", $B$3, $L$2,$L$4, $L$3, $L$5, $L$6))</f>
        <v>40.048000000000002</v>
      </c>
      <c r="BE31" s="413">
        <f>_xll.ciqfunctions.udf.CIQ(A31, "IQ_LASTSALEPRICE", $B$8)</f>
        <v>0</v>
      </c>
      <c r="BF31" s="413">
        <f>_xll.ciqfunctions.udf.CIQ($A31, "IQ_MARKETCAP", $B$8, $L$5, $L$6)</f>
        <v>0</v>
      </c>
      <c r="BG31" s="413">
        <f>_xll.ciqfunctions.udf.CIQ($A31, "IQ_TOTAL_DEBT", IQ_LTM, $B$8,$L$4, $L$3, $L$5, $L$6)</f>
        <v>0</v>
      </c>
      <c r="BH31" s="371">
        <f>_xll.ciqfunctions.udf.CIQ($A31,"IQ_PREF_EQUITY",IQ_LTM,$B$8,$L$4,$L$3,$L$5,$L$6)</f>
        <v>97.878</v>
      </c>
      <c r="BI31" s="371">
        <f>_xll.ciqfunctions.udf.CIQ($A31, "IQ_MINORITY_INTEREST_TOTAL", IQ_LTM,$B$8,$L$4,$L$3,$L$5,$L$6)</f>
        <v>0</v>
      </c>
      <c r="BJ31" s="413">
        <f>_xll.ciqfunctions.udf.CIQ($A31, "IQ_CASH_ST_INVEST", IQ_LTM, $B$8, $L$4, $L$3, $L$5, $L$6)</f>
        <v>42.045000000000002</v>
      </c>
      <c r="BK31" s="371">
        <f>_xll.ciqfunctions.udf.CIQ($A31, "IQ_EFFECT_TAX_RATE")</f>
        <v>0</v>
      </c>
      <c r="BL31" s="371">
        <f>IF(_xll.ciqfunctions.udf.CIQ($A31, "IQ_TOTAL_REV_2YR_ANN_CAGR", IQ_LTM, $B$1,$L$4, $L$3, $L$5, $L$6)="NM","n/a",(_xll.ciqfunctions.udf.CIQ($A31, "IQ_TOTAL_REV_2YR_ANN_CAGR", IQ_LTM, $B$1,$L$4, $L$3, $L$5, $L$6)/100))</f>
        <v>0</v>
      </c>
      <c r="BM31" s="371">
        <f>IF(_xll.ciqfunctions.udf.CIQ($A31, "IQ_TOTAL_REV_3YR_ANN_CAGR", IQ_LTM, $B$1,$L$4, $L$3, $L$5, $L$6)="NM","n/a",(_xll.ciqfunctions.udf.CIQ($A31, "IQ_TOTAL_REV_3YR_ANN_CAGR", IQ_LTM, $B$1,$L$4, $L$3, $L$5, $L$6)/100))</f>
        <v>0</v>
      </c>
      <c r="BN31" s="371">
        <f>IF(_xll.ciqfunctions.udf.CIQ($A31, "IQ_TOTAL_REV_5YR_ANN_CAGR", IQ_LTM, $B$1,$L$4, $L$3, $L$5, $L$6)="NM","n/a",(_xll.ciqfunctions.udf.CIQ($A31, "IQ_TOTAL_REV_5YR_ANN_CAGR", IQ_LTM, $B$1,$L$4, $L$3, $L$5, $L$6)/100))</f>
        <v>0</v>
      </c>
      <c r="BO31" s="371">
        <f>IF(_xll.ciqfunctions.udf.CIQ($A31,"IQ_EBITDA_2YR_ANN_CAGR", IQ_LTM,$B$1,$L$4, $L$3, $L$5, $L$6)="NM","n/a",(_xll.ciqfunctions.udf.CIQ($A31,"IQ_EBITDA_2YR_ANN_CAGR", IQ_LTM,$B$1,$L$4, $L$3, $L$5, $L$6)/100))</f>
        <v>0</v>
      </c>
      <c r="BP31" s="371">
        <f>IF(_xll.ciqfunctions.udf.CIQ($A31,"IQ_EBITDA_3YR_ANN_CAGR", IQ_LTM,$B$1,$L$4, $L$3, $L$5, $L$6)="NM","n/a",(_xll.ciqfunctions.udf.CIQ($A31,"IQ_EBITDA_3YR_ANN_CAGR", IQ_LTM,$B$1,$L$4, $L$3, $L$5, $L$6)/100))</f>
        <v>0</v>
      </c>
      <c r="BQ31" s="371">
        <f>IF(_xll.ciqfunctions.udf.CIQ($A31,"IQ_EBITDA_5YR_ANN_CAGR", IQ_LTM,$B$1,$L$4, $L$3, $L$5, $L$6)="NM","n/a",(_xll.ciqfunctions.udf.CIQ($A31,"IQ_EBITDA_5YR_ANN_CAGR", IQ_LTM,$B$1,$L$4, $L$3, $L$5, $L$6)/100))</f>
        <v>0</v>
      </c>
      <c r="BR31" s="375">
        <f>IFERROR((_xll.ciqfunctions.udf.CIQ($A31, "IQ_DA_CF", IQ_LTM, $B$1, $L$4, $L$3, $L$5, $L$6)/Q31),"NM")</f>
        <v>0.13788395904436859</v>
      </c>
      <c r="BS31" s="417">
        <f>'Capital IQ Sheet-GPC'!BS31</f>
        <v>0.62556853488824193</v>
      </c>
      <c r="BT31" s="417" t="str">
        <f>'Capital IQ Sheet-GPC'!BT31</f>
        <v>n/a</v>
      </c>
      <c r="BU31" s="417" t="str">
        <f>'Capital IQ Sheet-GPC'!BU31</f>
        <v>n/a</v>
      </c>
      <c r="BV31" s="417" t="str">
        <f>'Capital IQ Sheet-GPC'!BV31</f>
        <v>n/a</v>
      </c>
      <c r="BW31" s="417" t="str">
        <f>'Capital IQ Sheet-GPC'!BW31</f>
        <v>n/a</v>
      </c>
      <c r="BX31" s="417" t="str">
        <f>'Capital IQ Sheet-GPC'!BX31</f>
        <v>n/a</v>
      </c>
      <c r="BY31" s="417" t="str">
        <f>'Capital IQ Sheet-GPC'!BY31</f>
        <v>n/a</v>
      </c>
      <c r="BZ31" s="417" t="str">
        <f>'Capital IQ Sheet-GPC'!BZ31</f>
        <v>n/a</v>
      </c>
      <c r="CB31" s="371">
        <v>2</v>
      </c>
      <c r="CC31" s="495" t="s">
        <v>150</v>
      </c>
      <c r="CD31" s="495" t="s">
        <v>149</v>
      </c>
      <c r="CE31" s="373">
        <f t="shared" si="1"/>
        <v>42551</v>
      </c>
    </row>
    <row r="32" spans="1:83" s="371" customFormat="1" ht="12.75">
      <c r="A32" s="372" t="str">
        <f>_xll.ciqfunctions.udf.CIQ($B32,"IQ_COMPANY_TICKER")</f>
        <v>NasdaqGS:ODT</v>
      </c>
      <c r="B32" s="412" t="str">
        <f>'Capital IQ Sheet-GPC'!B32</f>
        <v>IQ541399578</v>
      </c>
      <c r="C32" s="372" t="str">
        <f>_xll.ciqfunctions.udf.CIQ($A32,"IQ_COMPANY_NAME")</f>
        <v>Odonate Therapeutics, Inc.</v>
      </c>
      <c r="D32" s="372" t="str">
        <f>_xll.ciqfunctions.udf.CIQ($A32, "IQ_EXCHANGE")</f>
        <v>NasdaqGS</v>
      </c>
      <c r="E32" s="411">
        <f>_xll.ciqfunctions.udf.CIQ($A32, "IQ_PERIODDATE_IS", IQ_FY)</f>
        <v>43100</v>
      </c>
      <c r="F32" s="411">
        <f>_xll.ciqfunctions.udf.CIQ(A32, "IQ_PERIODDATE_IS", IQ_LTM, $B$1,$L$4,$L$3)</f>
        <v>43190</v>
      </c>
      <c r="G32" s="411">
        <f>_xll.ciqfunctions.udf.CIQ($A32, "IQ_FIRSTPRICINGDATE")</f>
        <v>43076</v>
      </c>
      <c r="H32" s="413">
        <f>_xll.ciqfunctions.udf.CIQ($A32, "IQ_TEV", $L$2, $L$5, $L$6)</f>
        <v>398.43880999999999</v>
      </c>
      <c r="I32" s="413">
        <f>_xll.ciqfunctions.udf.CIQ(A32, "IQ_LASTSALEPRICE", $B$1,$L$5)</f>
        <v>22.08</v>
      </c>
      <c r="J32" s="413">
        <f>_xll.ciqfunctions.udf.CIQ($A32, "IQ_MARKETCAP", $L$2, $L$5, $L$6)</f>
        <v>593.68480999999997</v>
      </c>
      <c r="K32" s="413">
        <f>_xll.ciqfunctions.udf.CIQ($A32, "IQ_TOTAL_DEBT", IQ_LTM, $L$2,$L$4, $L$3, $L$5, $L$6)</f>
        <v>0</v>
      </c>
      <c r="L32" s="413">
        <f>_xll.ciqfunctions.udf.CIQ($A32, "IQ_PREF_EQUITY", IQ_LTM, $L$2, $L$4, $L$3, $L$5, $L$6)</f>
        <v>0</v>
      </c>
      <c r="M32" s="413">
        <f>_xll.ciqfunctions.udf.CIQ($A32, "IQ_MINORITY_INTEREST_TOTAL", IQ_LTM, $L$2, $L$4, $L$3, $L$5, $L$6)</f>
        <v>0</v>
      </c>
      <c r="N32" s="413">
        <f>_xll.ciqfunctions.udf.CIQ($A32, "IQ_CASH_ST_INVEST", IQ_LTM, $L$2, $L$4, $L$3, $L$5, $L$6)</f>
        <v>195.24600000000001</v>
      </c>
      <c r="O32" s="413">
        <f>_xll.ciqfunctions.udf.CIQ($A32, "IQ_TOTAL_REV", IQ_LTM-8, $L$2, $L$4, $L$3, $L$5, $L$6)</f>
        <v>0</v>
      </c>
      <c r="P32" s="413">
        <f>_xll.ciqfunctions.udf.CIQ($A32, "IQ_TOTAL_REV", IQ_LTM - 4, $L$2, $L$4, $L$3, $L$5,$L$6)</f>
        <v>0</v>
      </c>
      <c r="Q32" s="413">
        <f>_xll.ciqfunctions.udf.CIQ($A32, "IQ_TOTAL_REV", IQ_LTM, $L$2, $L$4, $L$3, $L$5, $L$6)</f>
        <v>0</v>
      </c>
      <c r="R32" s="413">
        <f>_xll.ciqfunctions.udf.CIQ($A32, "IQ_TOTAL_REV", $B$2, $L$2, $L$4, $L$3, $L$5, $L$6)</f>
        <v>0</v>
      </c>
      <c r="S32" s="413">
        <f>IF(_xll.ciqfunctions.udf.CIQ($A32, "IQ_TOTAL_REV", $B$3, $L$2,$L$4, $L$3, $L$5, $L$6)=0,Q32,_xll.ciqfunctions.udf.CIQ($A32, "IQ_TOTAL_REV", $B$3, $L$2,$L$4, $L$3, $L$5, $L$6))</f>
        <v>0</v>
      </c>
      <c r="T32" s="413" t="str">
        <f>IF(_xll.ciqfunctions.udf.CIQ($A32, "IQ_REVENUE_EST",$B$4, $L$2, "CON", $L$3, $L$5, $L$6)=0,"n/a",_xll.ciqfunctions.udf.CIQ($A32, "IQ_REVENUE_EST",$B$4, $L$2, "CON", $L$3, $L$5, $L$6))</f>
        <v>n/a</v>
      </c>
      <c r="U32" s="413" t="str">
        <f>IF(_xll.ciqfunctions.udf.CIQ($A32, "IQ_REVENUE_EST",$B$5, $L$2, "CON", $L$3, $L$5, $L$6)=0,"n/a",_xll.ciqfunctions.udf.CIQ($A32, "IQ_REVENUE_EST",$B$5, $L$2, "CON", $L$3, $L$5, $L$6))</f>
        <v>n/a</v>
      </c>
      <c r="V32" s="413" t="str">
        <f>IF(_xll.ciqfunctions.udf.CIQ($A32, "IQ_REVENUE_EST",$B$6, $L$2, "CON", $L$3, $L$5, $L$6)=0,"n/a",_xll.ciqfunctions.udf.CIQ($A32, "IQ_REVENUE_EST",$B$6, $L$2, "CON", $L$3, $L$5, $L$6))</f>
        <v>n/a</v>
      </c>
      <c r="W32" s="413">
        <f>IF(_xll.ciqfunctions.udf.CIQ($A32, "IQ_REVENUE_EST", $B$7, $L$2, "CON", $L$3, $L$5, $L$6)=0,"n/a",_xll.ciqfunctions.udf.CIQ($A32, "IQ_REVENUE_EST",$B$7, $L$2, "CON", $L$3, $L$5, $L$6))</f>
        <v>80</v>
      </c>
      <c r="X32" s="413">
        <f>_xll.ciqfunctions.udf.CIQ($A32, "IQ_EBITDA", IQ_LTM-8, $L$2, $L$4, $L$3, $L$5, $L$6)</f>
        <v>0</v>
      </c>
      <c r="Y32" s="413">
        <f>_xll.ciqfunctions.udf.CIQ($A32, "IQ_EBITDA", IQ_LTM-4, $L$2,$L$4, $L$3, $L$5, $L$6)</f>
        <v>0</v>
      </c>
      <c r="Z32" s="413">
        <f>_xll.ciqfunctions.udf.CIQ($A32, "IQ_EBITDA", IQ_LTM, $L$2, $L$4, $L$3, $L$5, $L$6)</f>
        <v>-46.865000000000002</v>
      </c>
      <c r="AA32" s="413">
        <f>_xll.ciqfunctions.udf.CIQ($A32, "IQ_EBITDA", $B$2, $L$2, $L$4, $L$3, $L$5, $L$6)</f>
        <v>0</v>
      </c>
      <c r="AB32" s="413">
        <f>IF(_xll.ciqfunctions.udf.CIQ($A32, "IQ_EBITDA", $B$3, $L$2,$L$4, $L$3, $L$5, $L$6)=0,Z32,_xll.ciqfunctions.udf.CIQ($A32, "IQ_EBITDA", $B$3, $L$2,$L$4, $L$3, $L$5, $L$6))</f>
        <v>-32.723999999999997</v>
      </c>
      <c r="AC32" s="413">
        <f>IF(_xll.ciqfunctions.udf.CIQ($A32, "IQ_EBITDA_EST",$B$4, $L$2, "CON", $L$3, $L$5, $L$6)=0,"n/a",_xll.ciqfunctions.udf.CIQ($A32, "IQ_EBITDA_EST",$B$4, $L$2, "CON", $L$3, $L$5, $L$6))</f>
        <v>-94.513999999999996</v>
      </c>
      <c r="AD32" s="413">
        <f>IF(_xll.ciqfunctions.udf.CIQ($A32, "IQ_EBITDA_EST",$B$5, $L$2, "CON", $L$3, $L$5, $L$6)=0,"n/a",_xll.ciqfunctions.udf.CIQ($A32, "IQ_EBITDA_EST",$B$5, $L$2, "CON", $L$3, $L$5, $L$6))</f>
        <v>-78.200999999999993</v>
      </c>
      <c r="AE32" s="413">
        <f>IF(_xll.ciqfunctions.udf.CIQ($A32, "IQ_EBITDA_EST",$B$6, $L$2, "CON", $L$3, $L$5, $L$6)=0,"n/a",_xll.ciqfunctions.udf.CIQ($A32, "IQ_EBITDA_EST",$B$6, $L$2, "CON", $L$3, $L$5, $L$6))</f>
        <v>-90.662999999999997</v>
      </c>
      <c r="AF32" s="414">
        <f>IF(ISERROR(_xll.ciqfunctions.udf.CIQ($A32, "IQ_GROSS_MARGIN", IQ_LTM, $L$2,$L$4, $L$3, $L$5, $L$6)/100), "n/a", _xll.ciqfunctions.udf.CIQ($A32,  "IQ_GROSS_MARGIN", IQ_LTM, $L$2, $L$4, $L$3, $L$5, $L$6)/100)</f>
        <v>0</v>
      </c>
      <c r="AG32" s="414">
        <f>IF(ISERROR(_xll.ciqfunctions.udf.CIQ($A32,"IQ_EBITDA_MARGIN", IQ_LTM, $L$2, $L$4, $L$3, $L$5, $L$6)/100), "n/a", _xll.ciqfunctions.udf.CIQ($A32, "IQ_EBITDA_MARGIN", IQ_LTM, $L$2, $L$4, $L$3, $L$5, $L$6)/100)</f>
        <v>0</v>
      </c>
      <c r="AH32" s="414">
        <f>IF(ISERROR(_xll.ciqfunctions.udf.CIQ($A32,"IQ_EBIT_MARGIN", IQ_LTM, $L$2, $L$4, $L$3, $L$5, $L$6)/100), "n/a", _xll.ciqfunctions.udf.CIQ($A32, "IQ_EBIT_MARGIN", IQ_LTM, $L$2, $L$4, $L$3, $L$5, $L$6)/100)</f>
        <v>0</v>
      </c>
      <c r="AI32" s="414">
        <f>IF(ISERROR(_xll.ciqfunctions.udf.CIQ($A32,"IQ_NI_MARGIN", IQ_LTM, $L$2, $L$4, $L$3, $L$5, $L$6)/100), "n/a", _xll.ciqfunctions.udf.CIQ($A32, "IQ_NI_MARGIN", IQ_LTM, $L$2, $L$4, $L$3, $L$5, $L$6)/100)</f>
        <v>0</v>
      </c>
      <c r="AJ32" s="413">
        <f>_xll.ciqfunctions.udf.CIQ($A32,"IQ_TOTAL_CA",IQ_LTM-8,$L$2, $L$4, $L$3, $L$5, $L$6)-_xll.ciqfunctions.udf.CIQ($A32,"IQ_TOTAL_CL",IQ_LTM-8,$L$2, $L$4, $L$3, $L$5, $L$6)</f>
        <v>0</v>
      </c>
      <c r="AK32" s="413">
        <f>_xll.ciqfunctions.udf.CIQ($A32,"IQ_TOTAL_CA",IQ_LTM-4,$L$2, $L$4, $L$3, $L$5, $L$6)-_xll.ciqfunctions.udf.CIQ($A32,"IQ_TOTAL_CL",IQ_LTM-4,$L$2, $L$4, $L$3, $L$5, $L$6)</f>
        <v>0</v>
      </c>
      <c r="AL32" s="413">
        <f>_xll.ciqfunctions.udf.CIQ($A32,"IQ_TOTAL_CA",IQ_LTM,$L$2, $L$4, $L$3, $L$5, $L$6)-_xll.ciqfunctions.udf.CIQ($A32,"IQ_TOTAL_CL",IQ_LTM,$L$2, $L$4, $L$3, $L$5, $L$6)</f>
        <v>189.11499999999998</v>
      </c>
      <c r="AM32" s="413">
        <f>IF(ISERROR(_xll.ciqfunctions.udf.CIQ($A32, "IQ_Capex", IQ_LTM-8, $L$2,$L$4, $L$3, $L$5, $L$6)), "n/a", _xll.ciqfunctions.udf.CIQ($A32, "IQ_Capex", IQ_LTM-8, $L$2, $L$4, $L$3, $L$5, $L$6))</f>
        <v>0</v>
      </c>
      <c r="AN32" s="413">
        <f>IF(ISERROR(_xll.ciqfunctions.udf.CIQ($A32, "IQ_Capex", IQ_LTM-4, $L$2,$L$4, $L$3, $L$5, $L$6)), "n/a", _xll.ciqfunctions.udf.CIQ($A32, "IQ_Capex", IQ_LTM-4, $L$2,$L$4, $L$3, $L$5, $L$6))</f>
        <v>0</v>
      </c>
      <c r="AO32" s="413">
        <f>IF(ISERROR(_xll.ciqfunctions.udf.CIQ($A32, "IQ_Capex", IQ_LTM, $L$2, $L$4, $L$3, $L$5, $L$6)), "n/a", _xll.ciqfunctions.udf.CIQ($A32, "IQ_Capex", IQ_LTM, $L$2, $L$4, $L$3, $L$5, $L$6))</f>
        <v>-8.6999999999999994E-2</v>
      </c>
      <c r="AP32" s="415" t="str">
        <f>_xll.ciqfunctions.udf.CIQ(A32, "IQ_BUSINESS_DESCRIPTION")</f>
        <v>Odonate Therapeutics, Inc., a pharmaceutical company, develops therapeutics for the treatment of cancer. It focuses on the development of tesetaxel, an orally administered chemotherapy agent for patients with advanced or metastatic breast cancer (MBC). Odonate Therapeutics, Inc. also conducting a Phase III study in MBC, which is known as CONTESSA. The company was founded in 2013 and is based in San Diego, California.</v>
      </c>
      <c r="AQ32" s="416">
        <f>_xll.ciqfunctions.udf.CIQ($A32, "IQ_BETA_1YR", $B$1)</f>
        <v>3.1049500000000001</v>
      </c>
      <c r="AR32" s="416">
        <f>_xll.ciqfunctions.udf.CIQ($A32, "IQ_BETA_2YR", $B$1)</f>
        <v>0</v>
      </c>
      <c r="AS32" s="416">
        <f>_xll.ciqfunctions.udf.CIQ($A32, "IQ_BETA_5YR", $B$1)</f>
        <v>0</v>
      </c>
      <c r="AT32" s="414">
        <f>_xll.ciqfunctions.udf.CIQ($A32, "IQ_DIVIDEND_YIELD", $B$1)/100</f>
        <v>0</v>
      </c>
      <c r="AU32" s="413">
        <f>_xll.ciqfunctions.udf.CIQ($A32, "IQ_EARNING_CO", IQ_LTM-8, $L$2, $L$4, $L$3, $L$5, $L$6)</f>
        <v>0</v>
      </c>
      <c r="AV32" s="413">
        <f>_xll.ciqfunctions.udf.CIQ($A32, "IQ_EARNING_CO", IQ_LTM-4, $L$2, $L$4, $L$3, $L$5, $L$6)</f>
        <v>-5.726</v>
      </c>
      <c r="AW32" s="413">
        <f>_xll.ciqfunctions.udf.CIQ($A32, "IQ_EARNING_CO", IQ_LTM, $L$2, $L$4, $L$3, $L$5, $L$6)</f>
        <v>-46.899000000000001</v>
      </c>
      <c r="AX32" s="413">
        <f>_xll.ciqfunctions.udf.CIQ($A32, "IQ_EARNING_CO", $B$2, $L$2, $L$4, $L$3, $L$5, $L$6)</f>
        <v>-3.085</v>
      </c>
      <c r="AY32" s="413">
        <f>IF(_xll.ciqfunctions.udf.CIQ($A32, "IQ_EARNING_CO", $B$3, $L$2,$L$4, $L$3, $L$5, $L$6)=0,AW32,_xll.ciqfunctions.udf.CIQ($A32, "IQ_EARNING_CO", $B$3, $L$2,$L$4, $L$3, $L$5, $L$6))</f>
        <v>-32.744</v>
      </c>
      <c r="AZ32" s="413">
        <f>_xll.ciqfunctions.udf.CIQ($A32, "IQ_TOTAL_EQUITY", IQ_LTM-8, $L$2, $L$4, $L$3, $L$5, $L$6)</f>
        <v>0</v>
      </c>
      <c r="BA32" s="413">
        <f>_xll.ciqfunctions.udf.CIQ($A32, "IQ_TOTAL_EQUITY", IQ_LTM-4, $L$2, $L$4, $L$3, $L$5, $L$6)</f>
        <v>2.2829999999999999</v>
      </c>
      <c r="BB32" s="413">
        <f>_xll.ciqfunctions.udf.CIQ($A32, "IQ_TOTAL_EQUITY", IQ_LTM, $L$2, $L$4, $L$3, $L$5, $L$6)</f>
        <v>190.024</v>
      </c>
      <c r="BC32" s="413">
        <f>_xll.ciqfunctions.udf.CIQ($A32, "IQ_TOTAL_EQUITY", $B$2, $L$2, $L$4, $L$3, $L$5, $L$6)</f>
        <v>2.2829999999999999</v>
      </c>
      <c r="BD32" s="413">
        <f>IF(_xll.ciqfunctions.udf.CIQ($A32, "IQ_TOTAL_EQUITY", $B$3, $L$2,$L$4, $L$3, $L$5, $L$6)=0,BB32,_xll.ciqfunctions.udf.CIQ($A32, "IQ_TOTAL_EQUITY", $B$3, $L$2,$L$4, $L$3, $L$5, $L$6))</f>
        <v>195.982</v>
      </c>
      <c r="BE32" s="413">
        <f>_xll.ciqfunctions.udf.CIQ(A32, "IQ_LASTSALEPRICE", $B$8)</f>
        <v>21.18</v>
      </c>
      <c r="BF32" s="413">
        <f>_xll.ciqfunctions.udf.CIQ($A32, "IQ_MARKETCAP", $B$8, $L$5, $L$6)</f>
        <v>578.87967000000003</v>
      </c>
      <c r="BG32" s="413">
        <f>_xll.ciqfunctions.udf.CIQ($A32, "IQ_TOTAL_DEBT", IQ_LTM, $B$8,$L$4, $L$3, $L$5, $L$6)</f>
        <v>0</v>
      </c>
      <c r="BH32" s="371">
        <f>_xll.ciqfunctions.udf.CIQ($A32,"IQ_PREF_EQUITY",IQ_LTM,$B$8,$L$4,$L$3,$L$5,$L$6)</f>
        <v>0</v>
      </c>
      <c r="BI32" s="371">
        <f>_xll.ciqfunctions.udf.CIQ($A32, "IQ_MINORITY_INTEREST_TOTAL", IQ_LTM,$B$8,$L$4,$L$3,$L$5,$L$6)</f>
        <v>0</v>
      </c>
      <c r="BJ32" s="413">
        <f>_xll.ciqfunctions.udf.CIQ($A32, "IQ_CASH_ST_INVEST", IQ_LTM, $B$8, $L$4, $L$3, $L$5, $L$6)</f>
        <v>198.10499999999999</v>
      </c>
      <c r="BK32" s="371">
        <f>_xll.ciqfunctions.udf.CIQ($A32, "IQ_EFFECT_TAX_RATE")</f>
        <v>0</v>
      </c>
      <c r="BL32" s="371">
        <f>IF(_xll.ciqfunctions.udf.CIQ($A32, "IQ_TOTAL_REV_2YR_ANN_CAGR", IQ_LTM, $B$1,$L$4, $L$3, $L$5, $L$6)="NM","n/a",(_xll.ciqfunctions.udf.CIQ($A32, "IQ_TOTAL_REV_2YR_ANN_CAGR", IQ_LTM, $B$1,$L$4, $L$3, $L$5, $L$6)/100))</f>
        <v>0</v>
      </c>
      <c r="BM32" s="371">
        <f>IF(_xll.ciqfunctions.udf.CIQ($A32, "IQ_TOTAL_REV_3YR_ANN_CAGR", IQ_LTM, $B$1,$L$4, $L$3, $L$5, $L$6)="NM","n/a",(_xll.ciqfunctions.udf.CIQ($A32, "IQ_TOTAL_REV_3YR_ANN_CAGR", IQ_LTM, $B$1,$L$4, $L$3, $L$5, $L$6)/100))</f>
        <v>0</v>
      </c>
      <c r="BN32" s="371">
        <f>IF(_xll.ciqfunctions.udf.CIQ($A32, "IQ_TOTAL_REV_5YR_ANN_CAGR", IQ_LTM, $B$1,$L$4, $L$3, $L$5, $L$6)="NM","n/a",(_xll.ciqfunctions.udf.CIQ($A32, "IQ_TOTAL_REV_5YR_ANN_CAGR", IQ_LTM, $B$1,$L$4, $L$3, $L$5, $L$6)/100))</f>
        <v>0</v>
      </c>
      <c r="BO32" s="371">
        <f>IF(_xll.ciqfunctions.udf.CIQ($A32,"IQ_EBITDA_2YR_ANN_CAGR", IQ_LTM,$B$1,$L$4, $L$3, $L$5, $L$6)="NM","n/a",(_xll.ciqfunctions.udf.CIQ($A32,"IQ_EBITDA_2YR_ANN_CAGR", IQ_LTM,$B$1,$L$4, $L$3, $L$5, $L$6)/100))</f>
        <v>0</v>
      </c>
      <c r="BP32" s="371">
        <f>IF(_xll.ciqfunctions.udf.CIQ($A32,"IQ_EBITDA_3YR_ANN_CAGR", IQ_LTM,$B$1,$L$4, $L$3, $L$5, $L$6)="NM","n/a",(_xll.ciqfunctions.udf.CIQ($A32,"IQ_EBITDA_3YR_ANN_CAGR", IQ_LTM,$B$1,$L$4, $L$3, $L$5, $L$6)/100))</f>
        <v>0</v>
      </c>
      <c r="BQ32" s="371">
        <f>IF(_xll.ciqfunctions.udf.CIQ($A32,"IQ_EBITDA_5YR_ANN_CAGR", IQ_LTM,$B$1,$L$4, $L$3, $L$5, $L$6)="NM","n/a",(_xll.ciqfunctions.udf.CIQ($A32,"IQ_EBITDA_5YR_ANN_CAGR", IQ_LTM,$B$1,$L$4, $L$3, $L$5, $L$6)/100))</f>
        <v>0</v>
      </c>
      <c r="BR32" s="375" t="str">
        <f>IFERROR((_xll.ciqfunctions.udf.CIQ($A32, "IQ_DA_CF", IQ_LTM, $B$1, $L$4, $L$3, $L$5, $L$6)/Q32),"NM")</f>
        <v>NM</v>
      </c>
      <c r="BS32" s="417">
        <f>'Capital IQ Sheet-GPC'!BS32</f>
        <v>0.63836989495902519</v>
      </c>
      <c r="BT32" s="417" t="str">
        <f>'Capital IQ Sheet-GPC'!BT32</f>
        <v>n/a</v>
      </c>
      <c r="BU32" s="417" t="str">
        <f>'Capital IQ Sheet-GPC'!BU32</f>
        <v>n/a</v>
      </c>
      <c r="BV32" s="417" t="str">
        <f>'Capital IQ Sheet-GPC'!BV32</f>
        <v>n/a</v>
      </c>
      <c r="BW32" s="417" t="str">
        <f>'Capital IQ Sheet-GPC'!BW32</f>
        <v>n/a</v>
      </c>
      <c r="BX32" s="417" t="str">
        <f>'Capital IQ Sheet-GPC'!BX32</f>
        <v>n/a</v>
      </c>
      <c r="BY32" s="417" t="str">
        <f>'Capital IQ Sheet-GPC'!BY32</f>
        <v>n/a</v>
      </c>
      <c r="BZ32" s="417" t="str">
        <f>'Capital IQ Sheet-GPC'!BZ32</f>
        <v>n/a</v>
      </c>
      <c r="CB32" s="371">
        <v>2</v>
      </c>
      <c r="CC32" s="495" t="s">
        <v>150</v>
      </c>
      <c r="CD32" s="495" t="s">
        <v>149</v>
      </c>
      <c r="CE32" s="373">
        <f t="shared" si="1"/>
        <v>42551</v>
      </c>
    </row>
    <row r="33" spans="1:83" s="371" customFormat="1" ht="12.75">
      <c r="A33" s="372" t="str">
        <f>_xll.ciqfunctions.udf.CIQ($B33,"IQ_COMPANY_TICKER")</f>
        <v>NasdaqGS:NITE</v>
      </c>
      <c r="B33" s="412" t="str">
        <f>'Capital IQ Sheet-GPC'!B33</f>
        <v>IQ270062348</v>
      </c>
      <c r="C33" s="372" t="str">
        <f>_xll.ciqfunctions.udf.CIQ($A33,"IQ_COMPANY_NAME")</f>
        <v>Nightstar Therapeutics plc</v>
      </c>
      <c r="D33" s="372" t="str">
        <f>_xll.ciqfunctions.udf.CIQ($A33, "IQ_EXCHANGE")</f>
        <v>NasdaqGS</v>
      </c>
      <c r="E33" s="411">
        <f>_xll.ciqfunctions.udf.CIQ($A33, "IQ_PERIODDATE_IS", IQ_FY)</f>
        <v>43100</v>
      </c>
      <c r="F33" s="411">
        <f>_xll.ciqfunctions.udf.CIQ(A33, "IQ_PERIODDATE_IS", IQ_LTM, $B$1,$L$4,$L$3)</f>
        <v>43190</v>
      </c>
      <c r="G33" s="411">
        <f>_xll.ciqfunctions.udf.CIQ($A33, "IQ_FIRSTPRICINGDATE")</f>
        <v>43006</v>
      </c>
      <c r="H33" s="413">
        <f>_xll.ciqfunctions.udf.CIQ($A33, "IQ_TEV", $L$2, $L$5, $L$6)</f>
        <v>340.19842</v>
      </c>
      <c r="I33" s="413">
        <f>_xll.ciqfunctions.udf.CIQ(A33, "IQ_LASTSALEPRICE", $B$1,$L$5)</f>
        <v>16</v>
      </c>
      <c r="J33" s="413">
        <f>_xll.ciqfunctions.udf.CIQ($A33, "IQ_MARKETCAP", $L$2, $L$5, $L$6)</f>
        <v>462.47541999999999</v>
      </c>
      <c r="K33" s="413">
        <f>_xll.ciqfunctions.udf.CIQ($A33, "IQ_TOTAL_DEBT", IQ_LTM, $L$2,$L$4, $L$3, $L$5, $L$6)</f>
        <v>0</v>
      </c>
      <c r="L33" s="413">
        <f>_xll.ciqfunctions.udf.CIQ($A33, "IQ_PREF_EQUITY", IQ_LTM, $L$2, $L$4, $L$3, $L$5, $L$6)</f>
        <v>0</v>
      </c>
      <c r="M33" s="413">
        <f>_xll.ciqfunctions.udf.CIQ($A33, "IQ_MINORITY_INTEREST_TOTAL", IQ_LTM, $L$2, $L$4, $L$3, $L$5, $L$6)</f>
        <v>0</v>
      </c>
      <c r="N33" s="413">
        <f>_xll.ciqfunctions.udf.CIQ($A33, "IQ_CASH_ST_INVEST", IQ_LTM, $L$2, $L$4, $L$3, $L$5, $L$6)</f>
        <v>122.277</v>
      </c>
      <c r="O33" s="413">
        <f>_xll.ciqfunctions.udf.CIQ($A33, "IQ_TOTAL_REV", IQ_LTM-8, $L$2, $L$4, $L$3, $L$5, $L$6)</f>
        <v>0</v>
      </c>
      <c r="P33" s="413">
        <f>_xll.ciqfunctions.udf.CIQ($A33, "IQ_TOTAL_REV", IQ_LTM - 4, $L$2, $L$4, $L$3, $L$5,$L$6)</f>
        <v>0</v>
      </c>
      <c r="Q33" s="413">
        <f>_xll.ciqfunctions.udf.CIQ($A33, "IQ_TOTAL_REV", IQ_LTM, $L$2, $L$4, $L$3, $L$5, $L$6)</f>
        <v>0</v>
      </c>
      <c r="R33" s="413">
        <f>_xll.ciqfunctions.udf.CIQ($A33, "IQ_TOTAL_REV", $B$2, $L$2, $L$4, $L$3, $L$5, $L$6)</f>
        <v>0</v>
      </c>
      <c r="S33" s="413">
        <f>IF(_xll.ciqfunctions.udf.CIQ($A33, "IQ_TOTAL_REV", $B$3, $L$2,$L$4, $L$3, $L$5, $L$6)=0,Q33,_xll.ciqfunctions.udf.CIQ($A33, "IQ_TOTAL_REV", $B$3, $L$2,$L$4, $L$3, $L$5, $L$6))</f>
        <v>0</v>
      </c>
      <c r="T33" s="413" t="str">
        <f>IF(_xll.ciqfunctions.udf.CIQ($A33, "IQ_REVENUE_EST",$B$4, $L$2, "CON", $L$3, $L$5, $L$6)=0,"n/a",_xll.ciqfunctions.udf.CIQ($A33, "IQ_REVENUE_EST",$B$4, $L$2, "CON", $L$3, $L$5, $L$6))</f>
        <v>n/a</v>
      </c>
      <c r="U33" s="413" t="str">
        <f>IF(_xll.ciqfunctions.udf.CIQ($A33, "IQ_REVENUE_EST",$B$5, $L$2, "CON", $L$3, $L$5, $L$6)=0,"n/a",_xll.ciqfunctions.udf.CIQ($A33, "IQ_REVENUE_EST",$B$5, $L$2, "CON", $L$3, $L$5, $L$6))</f>
        <v>n/a</v>
      </c>
      <c r="V33" s="413">
        <f>IF(_xll.ciqfunctions.udf.CIQ($A33, "IQ_REVENUE_EST",$B$6, $L$2, "CON", $L$3, $L$5, $L$6)=0,"n/a",_xll.ciqfunctions.udf.CIQ($A33, "IQ_REVENUE_EST",$B$6, $L$2, "CON", $L$3, $L$5, $L$6))</f>
        <v>0.78983000000000003</v>
      </c>
      <c r="W33" s="413">
        <f>IF(_xll.ciqfunctions.udf.CIQ($A33, "IQ_REVENUE_EST", $B$7, $L$2, "CON", $L$3, $L$5, $L$6)=0,"n/a",_xll.ciqfunctions.udf.CIQ($A33, "IQ_REVENUE_EST",$B$7, $L$2, "CON", $L$3, $L$5, $L$6))</f>
        <v>145.66249999999999</v>
      </c>
      <c r="X33" s="413">
        <f>_xll.ciqfunctions.udf.CIQ($A33, "IQ_EBITDA", IQ_LTM-8, $L$2, $L$4, $L$3, $L$5, $L$6)</f>
        <v>-9.2840000000000007</v>
      </c>
      <c r="Y33" s="413">
        <f>_xll.ciqfunctions.udf.CIQ($A33, "IQ_EBITDA", IQ_LTM-4, $L$2,$L$4, $L$3, $L$5, $L$6)</f>
        <v>-12.585000000000001</v>
      </c>
      <c r="Z33" s="413">
        <f>_xll.ciqfunctions.udf.CIQ($A33, "IQ_EBITDA", IQ_LTM, $L$2, $L$4, $L$3, $L$5, $L$6)</f>
        <v>-32.640999999999998</v>
      </c>
      <c r="AA33" s="413">
        <f>_xll.ciqfunctions.udf.CIQ($A33, "IQ_EBITDA", $B$2, $L$2, $L$4, $L$3, $L$5, $L$6)</f>
        <v>-12.082000000000001</v>
      </c>
      <c r="AB33" s="413">
        <f>IF(_xll.ciqfunctions.udf.CIQ($A33, "IQ_EBITDA", $B$3, $L$2,$L$4, $L$3, $L$5, $L$6)=0,Z33,_xll.ciqfunctions.udf.CIQ($A33, "IQ_EBITDA", $B$3, $L$2,$L$4, $L$3, $L$5, $L$6))</f>
        <v>-27.297000000000001</v>
      </c>
      <c r="AC33" s="413" t="str">
        <f>IF(_xll.ciqfunctions.udf.CIQ($A33, "IQ_EBITDA_EST",$B$4, $L$2, "CON", $L$3, $L$5, $L$6)=0,"n/a",_xll.ciqfunctions.udf.CIQ($A33, "IQ_EBITDA_EST",$B$4, $L$2, "CON", $L$3, $L$5, $L$6))</f>
        <v>n/a</v>
      </c>
      <c r="AD33" s="413" t="str">
        <f>IF(_xll.ciqfunctions.udf.CIQ($A33, "IQ_EBITDA_EST",$B$5, $L$2, "CON", $L$3, $L$5, $L$6)=0,"n/a",_xll.ciqfunctions.udf.CIQ($A33, "IQ_EBITDA_EST",$B$5, $L$2, "CON", $L$3, $L$5, $L$6))</f>
        <v>n/a</v>
      </c>
      <c r="AE33" s="413" t="str">
        <f>IF(_xll.ciqfunctions.udf.CIQ($A33, "IQ_EBITDA_EST",$B$6, $L$2, "CON", $L$3, $L$5, $L$6)=0,"n/a",_xll.ciqfunctions.udf.CIQ($A33, "IQ_EBITDA_EST",$B$6, $L$2, "CON", $L$3, $L$5, $L$6))</f>
        <v>n/a</v>
      </c>
      <c r="AF33" s="414">
        <f>IF(ISERROR(_xll.ciqfunctions.udf.CIQ($A33, "IQ_GROSS_MARGIN", IQ_LTM, $L$2,$L$4, $L$3, $L$5, $L$6)/100), "n/a", _xll.ciqfunctions.udf.CIQ($A33,  "IQ_GROSS_MARGIN", IQ_LTM, $L$2, $L$4, $L$3, $L$5, $L$6)/100)</f>
        <v>0</v>
      </c>
      <c r="AG33" s="414">
        <f>IF(ISERROR(_xll.ciqfunctions.udf.CIQ($A33,"IQ_EBITDA_MARGIN", IQ_LTM, $L$2, $L$4, $L$3, $L$5, $L$6)/100), "n/a", _xll.ciqfunctions.udf.CIQ($A33, "IQ_EBITDA_MARGIN", IQ_LTM, $L$2, $L$4, $L$3, $L$5, $L$6)/100)</f>
        <v>0</v>
      </c>
      <c r="AH33" s="414">
        <f>IF(ISERROR(_xll.ciqfunctions.udf.CIQ($A33,"IQ_EBIT_MARGIN", IQ_LTM, $L$2, $L$4, $L$3, $L$5, $L$6)/100), "n/a", _xll.ciqfunctions.udf.CIQ($A33, "IQ_EBIT_MARGIN", IQ_LTM, $L$2, $L$4, $L$3, $L$5, $L$6)/100)</f>
        <v>0</v>
      </c>
      <c r="AI33" s="414">
        <f>IF(ISERROR(_xll.ciqfunctions.udf.CIQ($A33,"IQ_NI_MARGIN", IQ_LTM, $L$2, $L$4, $L$3, $L$5, $L$6)/100), "n/a", _xll.ciqfunctions.udf.CIQ($A33, "IQ_NI_MARGIN", IQ_LTM, $L$2, $L$4, $L$3, $L$5, $L$6)/100)</f>
        <v>0</v>
      </c>
      <c r="AJ33" s="413">
        <f>_xll.ciqfunctions.udf.CIQ($A33,"IQ_TOTAL_CA",IQ_LTM-8,$L$2, $L$4, $L$3, $L$5, $L$6)-_xll.ciqfunctions.udf.CIQ($A33,"IQ_TOTAL_CL",IQ_LTM-8,$L$2, $L$4, $L$3, $L$5, $L$6)</f>
        <v>10.849</v>
      </c>
      <c r="AK33" s="413">
        <f>_xll.ciqfunctions.udf.CIQ($A33,"IQ_TOTAL_CA",IQ_LTM-4,$L$2, $L$4, $L$3, $L$5, $L$6)-_xll.ciqfunctions.udf.CIQ($A33,"IQ_TOTAL_CL",IQ_LTM-4,$L$2, $L$4, $L$3, $L$5, $L$6)</f>
        <v>0</v>
      </c>
      <c r="AL33" s="413">
        <f>_xll.ciqfunctions.udf.CIQ($A33,"IQ_TOTAL_CA",IQ_LTM,$L$2, $L$4, $L$3, $L$5, $L$6)-_xll.ciqfunctions.udf.CIQ($A33,"IQ_TOTAL_CL",IQ_LTM,$L$2, $L$4, $L$3, $L$5, $L$6)</f>
        <v>118.28400000000001</v>
      </c>
      <c r="AM33" s="413">
        <f>IF(ISERROR(_xll.ciqfunctions.udf.CIQ($A33, "IQ_Capex", IQ_LTM-8, $L$2,$L$4, $L$3, $L$5, $L$6)), "n/a", _xll.ciqfunctions.udf.CIQ($A33, "IQ_Capex", IQ_LTM-8, $L$2, $L$4, $L$3, $L$5, $L$6))</f>
        <v>-0.28899999999999998</v>
      </c>
      <c r="AN33" s="413">
        <f>IF(ISERROR(_xll.ciqfunctions.udf.CIQ($A33, "IQ_Capex", IQ_LTM-4, $L$2,$L$4, $L$3, $L$5, $L$6)), "n/a", _xll.ciqfunctions.udf.CIQ($A33, "IQ_Capex", IQ_LTM-4, $L$2,$L$4, $L$3, $L$5, $L$6))</f>
        <v>-0.223</v>
      </c>
      <c r="AO33" s="413">
        <f>IF(ISERROR(_xll.ciqfunctions.udf.CIQ($A33, "IQ_Capex", IQ_LTM, $L$2, $L$4, $L$3, $L$5, $L$6)), "n/a", _xll.ciqfunctions.udf.CIQ($A33, "IQ_Capex", IQ_LTM, $L$2, $L$4, $L$3, $L$5, $L$6))</f>
        <v>-0.19900000000000001</v>
      </c>
      <c r="AP33" s="415" t="str">
        <f>_xll.ciqfunctions.udf.CIQ(A33, "IQ_BUSINESS_DESCRIPTION")</f>
        <v>Nightstar Therapeutics plc, a clinical-stage gene therapy company, focuses on developing and commercializing novel one-time treatments for patients suffering from rare inherited retinal diseases in the United Kingdom. The company’s lead product candidate is NSR-REP1, a candidate that is in phase 3 clinical development for the treatment of patients with choroideremia. It is also developing NSR-RPGR, a candidate that is in Phase 1/2 clinical trials for the treatment of patients with X-linked retinitis pigmentosa, an inherited X-linked recessive retinal disease; and NSR-BEST1, a candidate that is in preclinical development stage for the treatment of best vitelliform macular dystrophy. In addition, the company is developing NSR-ABCA4, a candidate that is in preclinical development stage for the treatment of Stargardt disease. The company was founded in 2013 and is headquartered in London, the United Kingdom.</v>
      </c>
      <c r="AQ33" s="416">
        <f>_xll.ciqfunctions.udf.CIQ($A33, "IQ_BETA_1YR", $B$1)</f>
        <v>0.13217999999999999</v>
      </c>
      <c r="AR33" s="416">
        <f>_xll.ciqfunctions.udf.CIQ($A33, "IQ_BETA_2YR", $B$1)</f>
        <v>0</v>
      </c>
      <c r="AS33" s="416">
        <f>_xll.ciqfunctions.udf.CIQ($A33, "IQ_BETA_5YR", $B$1)</f>
        <v>0</v>
      </c>
      <c r="AT33" s="414">
        <f>_xll.ciqfunctions.udf.CIQ($A33, "IQ_DIVIDEND_YIELD", $B$1)/100</f>
        <v>0</v>
      </c>
      <c r="AU33" s="413">
        <f>_xll.ciqfunctions.udf.CIQ($A33, "IQ_EARNING_CO", IQ_LTM-8, $L$2, $L$4, $L$3, $L$5, $L$6)</f>
        <v>-13.648</v>
      </c>
      <c r="AV33" s="413">
        <f>_xll.ciqfunctions.udf.CIQ($A33, "IQ_EARNING_CO", IQ_LTM-4, $L$2, $L$4, $L$3, $L$5, $L$6)</f>
        <v>-12.723000000000001</v>
      </c>
      <c r="AW33" s="413">
        <f>_xll.ciqfunctions.udf.CIQ($A33, "IQ_EARNING_CO", IQ_LTM, $L$2, $L$4, $L$3, $L$5, $L$6)</f>
        <v>-40.572000000000003</v>
      </c>
      <c r="AX33" s="413">
        <f>_xll.ciqfunctions.udf.CIQ($A33, "IQ_EARNING_CO", $B$2, $L$2, $L$4, $L$3, $L$5, $L$6)</f>
        <v>-12.198</v>
      </c>
      <c r="AY33" s="413">
        <f>IF(_xll.ciqfunctions.udf.CIQ($A33, "IQ_EARNING_CO", $B$3, $L$2,$L$4, $L$3, $L$5, $L$6)=0,AW33,_xll.ciqfunctions.udf.CIQ($A33, "IQ_EARNING_CO", $B$3, $L$2,$L$4, $L$3, $L$5, $L$6))</f>
        <v>-29.686</v>
      </c>
      <c r="AZ33" s="413">
        <f>_xll.ciqfunctions.udf.CIQ($A33, "IQ_TOTAL_EQUITY", IQ_LTM-8, $L$2, $L$4, $L$3, $L$5, $L$6)</f>
        <v>11.102</v>
      </c>
      <c r="BA33" s="413">
        <f>_xll.ciqfunctions.udf.CIQ($A33, "IQ_TOTAL_EQUITY", IQ_LTM-4, $L$2, $L$4, $L$3, $L$5, $L$6)</f>
        <v>9.0440000000000005</v>
      </c>
      <c r="BB33" s="413">
        <f>_xll.ciqfunctions.udf.CIQ($A33, "IQ_TOTAL_EQUITY", IQ_LTM, $L$2, $L$4, $L$3, $L$5, $L$6)</f>
        <v>118.636</v>
      </c>
      <c r="BC33" s="413">
        <f>_xll.ciqfunctions.udf.CIQ($A33, "IQ_TOTAL_EQUITY", $B$2, $L$2, $L$4, $L$3, $L$5, $L$6)</f>
        <v>9.0440000000000005</v>
      </c>
      <c r="BD33" s="413">
        <f>IF(_xll.ciqfunctions.udf.CIQ($A33, "IQ_TOTAL_EQUITY", $B$3, $L$2,$L$4, $L$3, $L$5, $L$6)=0,BB33,_xll.ciqfunctions.udf.CIQ($A33, "IQ_TOTAL_EQUITY", $B$3, $L$2,$L$4, $L$3, $L$5, $L$6))</f>
        <v>125.812</v>
      </c>
      <c r="BE33" s="413">
        <f>_xll.ciqfunctions.udf.CIQ(A33, "IQ_LASTSALEPRICE", $B$8)</f>
        <v>14.31</v>
      </c>
      <c r="BF33" s="413">
        <f>_xll.ciqfunctions.udf.CIQ($A33, "IQ_MARKETCAP", $B$8, $L$5, $L$6)</f>
        <v>413.62646000000001</v>
      </c>
      <c r="BG33" s="413">
        <f>_xll.ciqfunctions.udf.CIQ($A33, "IQ_TOTAL_DEBT", IQ_LTM, $B$8,$L$4, $L$3, $L$5, $L$6)</f>
        <v>0</v>
      </c>
      <c r="BH33" s="371">
        <f>_xll.ciqfunctions.udf.CIQ($A33,"IQ_PREF_EQUITY",IQ_LTM,$B$8,$L$4,$L$3,$L$5,$L$6)</f>
        <v>0</v>
      </c>
      <c r="BI33" s="371">
        <f>_xll.ciqfunctions.udf.CIQ($A33, "IQ_MINORITY_INTEREST_TOTAL", IQ_LTM,$B$8,$L$4,$L$3,$L$5,$L$6)</f>
        <v>0</v>
      </c>
      <c r="BJ33" s="413">
        <f>_xll.ciqfunctions.udf.CIQ($A33, "IQ_CASH_ST_INVEST", IQ_LTM, $B$8, $L$4, $L$3, $L$5, $L$6)</f>
        <v>69.584000000000003</v>
      </c>
      <c r="BK33" s="371" t="str">
        <f>_xll.ciqfunctions.udf.CIQ($A33, "IQ_EFFECT_TAX_RATE")</f>
        <v>NM</v>
      </c>
      <c r="BL33" s="371">
        <f>IF(_xll.ciqfunctions.udf.CIQ($A33, "IQ_TOTAL_REV_2YR_ANN_CAGR", IQ_LTM, $B$1,$L$4, $L$3, $L$5, $L$6)="NM","n/a",(_xll.ciqfunctions.udf.CIQ($A33, "IQ_TOTAL_REV_2YR_ANN_CAGR", IQ_LTM, $B$1,$L$4, $L$3, $L$5, $L$6)/100))</f>
        <v>0</v>
      </c>
      <c r="BM33" s="371">
        <f>IF(_xll.ciqfunctions.udf.CIQ($A33, "IQ_TOTAL_REV_3YR_ANN_CAGR", IQ_LTM, $B$1,$L$4, $L$3, $L$5, $L$6)="NM","n/a",(_xll.ciqfunctions.udf.CIQ($A33, "IQ_TOTAL_REV_3YR_ANN_CAGR", IQ_LTM, $B$1,$L$4, $L$3, $L$5, $L$6)/100))</f>
        <v>0</v>
      </c>
      <c r="BN33" s="371">
        <f>IF(_xll.ciqfunctions.udf.CIQ($A33, "IQ_TOTAL_REV_5YR_ANN_CAGR", IQ_LTM, $B$1,$L$4, $L$3, $L$5, $L$6)="NM","n/a",(_xll.ciqfunctions.udf.CIQ($A33, "IQ_TOTAL_REV_5YR_ANN_CAGR", IQ_LTM, $B$1,$L$4, $L$3, $L$5, $L$6)/100))</f>
        <v>0</v>
      </c>
      <c r="BO33" s="371">
        <f>IF(_xll.ciqfunctions.udf.CIQ($A33,"IQ_EBITDA_2YR_ANN_CAGR", IQ_LTM,$B$1,$L$4, $L$3, $L$5, $L$6)="NM","n/a",(_xll.ciqfunctions.udf.CIQ($A33,"IQ_EBITDA_2YR_ANN_CAGR", IQ_LTM,$B$1,$L$4, $L$3, $L$5, $L$6)/100))</f>
        <v>0</v>
      </c>
      <c r="BP33" s="371">
        <f>IF(_xll.ciqfunctions.udf.CIQ($A33,"IQ_EBITDA_3YR_ANN_CAGR", IQ_LTM,$B$1,$L$4, $L$3, $L$5, $L$6)="NM","n/a",(_xll.ciqfunctions.udf.CIQ($A33,"IQ_EBITDA_3YR_ANN_CAGR", IQ_LTM,$B$1,$L$4, $L$3, $L$5, $L$6)/100))</f>
        <v>0</v>
      </c>
      <c r="BQ33" s="371">
        <f>IF(_xll.ciqfunctions.udf.CIQ($A33,"IQ_EBITDA_5YR_ANN_CAGR", IQ_LTM,$B$1,$L$4, $L$3, $L$5, $L$6)="NM","n/a",(_xll.ciqfunctions.udf.CIQ($A33,"IQ_EBITDA_5YR_ANN_CAGR", IQ_LTM,$B$1,$L$4, $L$3, $L$5, $L$6)/100))</f>
        <v>0</v>
      </c>
      <c r="BR33" s="375" t="str">
        <f>IFERROR((_xll.ciqfunctions.udf.CIQ($A33, "IQ_DA_CF", IQ_LTM, $B$1, $L$4, $L$3, $L$5, $L$6)/Q33),"NM")</f>
        <v>NM</v>
      </c>
      <c r="BS33" s="417">
        <f>'Capital IQ Sheet-GPC'!BS33</f>
        <v>0.70879391390974333</v>
      </c>
      <c r="BT33" s="417" t="str">
        <f>'Capital IQ Sheet-GPC'!BT33</f>
        <v>n/a</v>
      </c>
      <c r="BU33" s="417" t="str">
        <f>'Capital IQ Sheet-GPC'!BU33</f>
        <v>n/a</v>
      </c>
      <c r="BV33" s="417" t="str">
        <f>'Capital IQ Sheet-GPC'!BV33</f>
        <v>n/a</v>
      </c>
      <c r="BW33" s="417" t="str">
        <f>'Capital IQ Sheet-GPC'!BW33</f>
        <v>n/a</v>
      </c>
      <c r="BX33" s="417" t="str">
        <f>'Capital IQ Sheet-GPC'!BX33</f>
        <v>n/a</v>
      </c>
      <c r="BY33" s="417" t="str">
        <f>'Capital IQ Sheet-GPC'!BY33</f>
        <v>n/a</v>
      </c>
      <c r="BZ33" s="417" t="str">
        <f>'Capital IQ Sheet-GPC'!BZ33</f>
        <v>n/a</v>
      </c>
      <c r="CB33" s="371">
        <v>2</v>
      </c>
      <c r="CC33" s="495" t="s">
        <v>150</v>
      </c>
      <c r="CD33" s="495" t="s">
        <v>149</v>
      </c>
      <c r="CE33" s="373">
        <f t="shared" si="1"/>
        <v>42551</v>
      </c>
    </row>
    <row r="34" spans="1:83" s="371" customFormat="1" ht="12.75">
      <c r="A34" s="372" t="str">
        <f>_xll.ciqfunctions.udf.CIQ($B34,"IQ_COMPANY_TICKER")</f>
        <v>NasdaqGS:ZFGN</v>
      </c>
      <c r="B34" s="412" t="str">
        <f>'Capital IQ Sheet-GPC'!B34</f>
        <v>IQ29016215</v>
      </c>
      <c r="C34" s="372" t="str">
        <f>_xll.ciqfunctions.udf.CIQ($A34,"IQ_COMPANY_NAME")</f>
        <v>Zafgen, Inc.</v>
      </c>
      <c r="D34" s="372" t="str">
        <f>_xll.ciqfunctions.udf.CIQ($A34, "IQ_EXCHANGE")</f>
        <v>NasdaqGS</v>
      </c>
      <c r="E34" s="411">
        <f>_xll.ciqfunctions.udf.CIQ($A34, "IQ_PERIODDATE_IS", IQ_FY)</f>
        <v>43100</v>
      </c>
      <c r="F34" s="411">
        <f>_xll.ciqfunctions.udf.CIQ(A34, "IQ_PERIODDATE_IS", IQ_LTM, $B$1,$L$4,$L$3)</f>
        <v>43190</v>
      </c>
      <c r="G34" s="411">
        <f>_xll.ciqfunctions.udf.CIQ($A34, "IQ_FIRSTPRICINGDATE")</f>
        <v>41810</v>
      </c>
      <c r="H34" s="413">
        <f>_xll.ciqfunctions.udf.CIQ($A34, "IQ_TEV", $L$2, $L$5, $L$6)</f>
        <v>294.85737</v>
      </c>
      <c r="I34" s="413">
        <f>_xll.ciqfunctions.udf.CIQ(A34, "IQ_LASTSALEPRICE", $B$1,$L$5)</f>
        <v>10.23</v>
      </c>
      <c r="J34" s="413">
        <f>_xll.ciqfunctions.udf.CIQ($A34, "IQ_MARKETCAP", $L$2, $L$5, $L$6)</f>
        <v>363.76737000000003</v>
      </c>
      <c r="K34" s="413">
        <f>_xll.ciqfunctions.udf.CIQ($A34, "IQ_TOTAL_DEBT", IQ_LTM, $L$2,$L$4, $L$3, $L$5, $L$6)</f>
        <v>20.16</v>
      </c>
      <c r="L34" s="413">
        <f>_xll.ciqfunctions.udf.CIQ($A34, "IQ_PREF_EQUITY", IQ_LTM, $L$2, $L$4, $L$3, $L$5, $L$6)</f>
        <v>0</v>
      </c>
      <c r="M34" s="413">
        <f>_xll.ciqfunctions.udf.CIQ($A34, "IQ_MINORITY_INTEREST_TOTAL", IQ_LTM, $L$2, $L$4, $L$3, $L$5, $L$6)</f>
        <v>0</v>
      </c>
      <c r="N34" s="413">
        <f>_xll.ciqfunctions.udf.CIQ($A34, "IQ_CASH_ST_INVEST", IQ_LTM, $L$2, $L$4, $L$3, $L$5, $L$6)</f>
        <v>89.07</v>
      </c>
      <c r="O34" s="413">
        <f>_xll.ciqfunctions.udf.CIQ($A34, "IQ_TOTAL_REV", IQ_LTM-8, $L$2, $L$4, $L$3, $L$5, $L$6)</f>
        <v>0</v>
      </c>
      <c r="P34" s="413">
        <f>_xll.ciqfunctions.udf.CIQ($A34, "IQ_TOTAL_REV", IQ_LTM - 4, $L$2, $L$4, $L$3, $L$5,$L$6)</f>
        <v>0</v>
      </c>
      <c r="Q34" s="413">
        <f>_xll.ciqfunctions.udf.CIQ($A34, "IQ_TOTAL_REV", IQ_LTM, $L$2, $L$4, $L$3, $L$5, $L$6)</f>
        <v>0</v>
      </c>
      <c r="R34" s="413">
        <f>_xll.ciqfunctions.udf.CIQ($A34, "IQ_TOTAL_REV", $B$2, $L$2, $L$4, $L$3, $L$5, $L$6)</f>
        <v>0</v>
      </c>
      <c r="S34" s="413">
        <f>IF(_xll.ciqfunctions.udf.CIQ($A34, "IQ_TOTAL_REV", $B$3, $L$2,$L$4, $L$3, $L$5, $L$6)=0,Q34,_xll.ciqfunctions.udf.CIQ($A34, "IQ_TOTAL_REV", $B$3, $L$2,$L$4, $L$3, $L$5, $L$6))</f>
        <v>0</v>
      </c>
      <c r="T34" s="413" t="str">
        <f>IF(_xll.ciqfunctions.udf.CIQ($A34, "IQ_REVENUE_EST",$B$4, $L$2, "CON", $L$3, $L$5, $L$6)=0,"n/a",_xll.ciqfunctions.udf.CIQ($A34, "IQ_REVENUE_EST",$B$4, $L$2, "CON", $L$3, $L$5, $L$6))</f>
        <v>n/a</v>
      </c>
      <c r="U34" s="413">
        <f>IF(_xll.ciqfunctions.udf.CIQ($A34, "IQ_REVENUE_EST",$B$5, $L$2, "CON", $L$3, $L$5, $L$6)=0,"n/a",_xll.ciqfunctions.udf.CIQ($A34, "IQ_REVENUE_EST",$B$5, $L$2, "CON", $L$3, $L$5, $L$6))</f>
        <v>3.3333300000000001</v>
      </c>
      <c r="V34" s="413" t="str">
        <f>IF(_xll.ciqfunctions.udf.CIQ($A34, "IQ_REVENUE_EST",$B$6, $L$2, "CON", $L$3, $L$5, $L$6)=0,"n/a",_xll.ciqfunctions.udf.CIQ($A34, "IQ_REVENUE_EST",$B$6, $L$2, "CON", $L$3, $L$5, $L$6))</f>
        <v>n/a</v>
      </c>
      <c r="W34" s="413" t="str">
        <f>IF(_xll.ciqfunctions.udf.CIQ($A34, "IQ_REVENUE_EST", $B$7, $L$2, "CON", $L$3, $L$5, $L$6)=0,"n/a",_xll.ciqfunctions.udf.CIQ($A34, "IQ_REVENUE_EST",$B$7, $L$2, "CON", $L$3, $L$5, $L$6))</f>
        <v>n/a</v>
      </c>
      <c r="X34" s="413">
        <f>_xll.ciqfunctions.udf.CIQ($A34, "IQ_EBITDA", IQ_LTM-8, $L$2, $L$4, $L$3, $L$5, $L$6)</f>
        <v>-78.314999999999998</v>
      </c>
      <c r="Y34" s="413">
        <f>_xll.ciqfunctions.udf.CIQ($A34, "IQ_EBITDA", IQ_LTM-4, $L$2,$L$4, $L$3, $L$5, $L$6)</f>
        <v>-52.027000000000001</v>
      </c>
      <c r="Z34" s="413">
        <f>_xll.ciqfunctions.udf.CIQ($A34, "IQ_EBITDA", IQ_LTM, $L$2, $L$4, $L$3, $L$5, $L$6)</f>
        <v>-55.238999999999997</v>
      </c>
      <c r="AA34" s="413">
        <f>_xll.ciqfunctions.udf.CIQ($A34, "IQ_EBITDA", $B$2, $L$2, $L$4, $L$3, $L$5, $L$6)</f>
        <v>-56.61</v>
      </c>
      <c r="AB34" s="413">
        <f>IF(_xll.ciqfunctions.udf.CIQ($A34, "IQ_EBITDA", $B$3, $L$2,$L$4, $L$3, $L$5, $L$6)=0,Z34,_xll.ciqfunctions.udf.CIQ($A34, "IQ_EBITDA", $B$3, $L$2,$L$4, $L$3, $L$5, $L$6))</f>
        <v>-52.811</v>
      </c>
      <c r="AC34" s="413" t="str">
        <f>IF(_xll.ciqfunctions.udf.CIQ($A34, "IQ_EBITDA_EST",$B$4, $L$2, "CON", $L$3, $L$5, $L$6)=0,"n/a",_xll.ciqfunctions.udf.CIQ($A34, "IQ_EBITDA_EST",$B$4, $L$2, "CON", $L$3, $L$5, $L$6))</f>
        <v>n/a</v>
      </c>
      <c r="AD34" s="413" t="str">
        <f>IF(_xll.ciqfunctions.udf.CIQ($A34, "IQ_EBITDA_EST",$B$5, $L$2, "CON", $L$3, $L$5, $L$6)=0,"n/a",_xll.ciqfunctions.udf.CIQ($A34, "IQ_EBITDA_EST",$B$5, $L$2, "CON", $L$3, $L$5, $L$6))</f>
        <v>n/a</v>
      </c>
      <c r="AE34" s="413" t="str">
        <f>IF(_xll.ciqfunctions.udf.CIQ($A34, "IQ_EBITDA_EST",$B$6, $L$2, "CON", $L$3, $L$5, $L$6)=0,"n/a",_xll.ciqfunctions.udf.CIQ($A34, "IQ_EBITDA_EST",$B$6, $L$2, "CON", $L$3, $L$5, $L$6))</f>
        <v>n/a</v>
      </c>
      <c r="AF34" s="414">
        <f>IF(ISERROR(_xll.ciqfunctions.udf.CIQ($A34, "IQ_GROSS_MARGIN", IQ_LTM, $L$2,$L$4, $L$3, $L$5, $L$6)/100), "n/a", _xll.ciqfunctions.udf.CIQ($A34,  "IQ_GROSS_MARGIN", IQ_LTM, $L$2, $L$4, $L$3, $L$5, $L$6)/100)</f>
        <v>0</v>
      </c>
      <c r="AG34" s="414">
        <f>IF(ISERROR(_xll.ciqfunctions.udf.CIQ($A34,"IQ_EBITDA_MARGIN", IQ_LTM, $L$2, $L$4, $L$3, $L$5, $L$6)/100), "n/a", _xll.ciqfunctions.udf.CIQ($A34, "IQ_EBITDA_MARGIN", IQ_LTM, $L$2, $L$4, $L$3, $L$5, $L$6)/100)</f>
        <v>0</v>
      </c>
      <c r="AH34" s="414">
        <f>IF(ISERROR(_xll.ciqfunctions.udf.CIQ($A34,"IQ_EBIT_MARGIN", IQ_LTM, $L$2, $L$4, $L$3, $L$5, $L$6)/100), "n/a", _xll.ciqfunctions.udf.CIQ($A34, "IQ_EBIT_MARGIN", IQ_LTM, $L$2, $L$4, $L$3, $L$5, $L$6)/100)</f>
        <v>0</v>
      </c>
      <c r="AI34" s="414">
        <f>IF(ISERROR(_xll.ciqfunctions.udf.CIQ($A34,"IQ_NI_MARGIN", IQ_LTM, $L$2, $L$4, $L$3, $L$5, $L$6)/100), "n/a", _xll.ciqfunctions.udf.CIQ($A34, "IQ_NI_MARGIN", IQ_LTM, $L$2, $L$4, $L$3, $L$5, $L$6)/100)</f>
        <v>0</v>
      </c>
      <c r="AJ34" s="413">
        <f>_xll.ciqfunctions.udf.CIQ($A34,"IQ_TOTAL_CA",IQ_LTM-8,$L$2, $L$4, $L$3, $L$5, $L$6)-_xll.ciqfunctions.udf.CIQ($A34,"IQ_TOTAL_CL",IQ_LTM-8,$L$2, $L$4, $L$3, $L$5, $L$6)</f>
        <v>155.96299999999999</v>
      </c>
      <c r="AK34" s="413">
        <f>_xll.ciqfunctions.udf.CIQ($A34,"IQ_TOTAL_CA",IQ_LTM-4,$L$2, $L$4, $L$3, $L$5, $L$6)-_xll.ciqfunctions.udf.CIQ($A34,"IQ_TOTAL_CL",IQ_LTM-4,$L$2, $L$4, $L$3, $L$5, $L$6)</f>
        <v>110.08500000000001</v>
      </c>
      <c r="AL34" s="413">
        <f>_xll.ciqfunctions.udf.CIQ($A34,"IQ_TOTAL_CA",IQ_LTM,$L$2, $L$4, $L$3, $L$5, $L$6)-_xll.ciqfunctions.udf.CIQ($A34,"IQ_TOTAL_CL",IQ_LTM,$L$2, $L$4, $L$3, $L$5, $L$6)</f>
        <v>83.965000000000003</v>
      </c>
      <c r="AM34" s="413">
        <f>IF(ISERROR(_xll.ciqfunctions.udf.CIQ($A34, "IQ_Capex", IQ_LTM-8, $L$2,$L$4, $L$3, $L$5, $L$6)), "n/a", _xll.ciqfunctions.udf.CIQ($A34, "IQ_Capex", IQ_LTM-8, $L$2, $L$4, $L$3, $L$5, $L$6))</f>
        <v>-0.96799999999999997</v>
      </c>
      <c r="AN34" s="413">
        <f>IF(ISERROR(_xll.ciqfunctions.udf.CIQ($A34, "IQ_Capex", IQ_LTM-4, $L$2,$L$4, $L$3, $L$5, $L$6)), "n/a", _xll.ciqfunctions.udf.CIQ($A34, "IQ_Capex", IQ_LTM-4, $L$2,$L$4, $L$3, $L$5, $L$6))</f>
        <v>-0.27</v>
      </c>
      <c r="AO34" s="413">
        <f>IF(ISERROR(_xll.ciqfunctions.udf.CIQ($A34, "IQ_Capex", IQ_LTM, $L$2, $L$4, $L$3, $L$5, $L$6)), "n/a", _xll.ciqfunctions.udf.CIQ($A34, "IQ_Capex", IQ_LTM, $L$2, $L$4, $L$3, $L$5, $L$6))</f>
        <v>-4.5999999999999999E-2</v>
      </c>
      <c r="AP34" s="415" t="str">
        <f>_xll.ciqfunctions.udf.CIQ(A34, "IQ_BUSINESS_DESCRIPTION")</f>
        <v>Zafgen, Inc., a clinical-stage biopharmaceutical company, develops therapies for patients suffering from metabolic diseases comprising type 2 diabetes, Prader-Willi syndrome (PWS), and other metabolically related disorders. The company’s lead product candidate is ZGN-1061, a fumagillin-class methionine aminopeptidase 2 (MetAP2) inhibitor administered by subcutaneous injection, which is in Phase 2 clinical trial and profiled for its utility in the treatment of type 2 diabetes and other related metabolic disorders. It also develops ZGN-1258, a MetAP2 inhibitor for treatment of PWS. Zafgen, Inc. was founded in 2005 and is headquartered in Boston, Massachusetts.</v>
      </c>
      <c r="AQ34" s="416">
        <f>_xll.ciqfunctions.udf.CIQ($A34, "IQ_BETA_1YR", $B$1)</f>
        <v>-1.17459</v>
      </c>
      <c r="AR34" s="416">
        <f>_xll.ciqfunctions.udf.CIQ($A34, "IQ_BETA_2YR", $B$1)</f>
        <v>-0.30192999999999998</v>
      </c>
      <c r="AS34" s="416">
        <f>_xll.ciqfunctions.udf.CIQ($A34, "IQ_BETA_5YR", $B$1)</f>
        <v>-0.58462000000000003</v>
      </c>
      <c r="AT34" s="414">
        <f>_xll.ciqfunctions.udf.CIQ($A34, "IQ_DIVIDEND_YIELD", $B$1)/100</f>
        <v>0</v>
      </c>
      <c r="AU34" s="413">
        <f>_xll.ciqfunctions.udf.CIQ($A34, "IQ_EARNING_CO", IQ_LTM-8, $L$2, $L$4, $L$3, $L$5, $L$6)</f>
        <v>-78.55</v>
      </c>
      <c r="AV34" s="413">
        <f>_xll.ciqfunctions.udf.CIQ($A34, "IQ_EARNING_CO", IQ_LTM-4, $L$2, $L$4, $L$3, $L$5, $L$6)</f>
        <v>-53.152999999999999</v>
      </c>
      <c r="AW34" s="413">
        <f>_xll.ciqfunctions.udf.CIQ($A34, "IQ_EARNING_CO", IQ_LTM, $L$2, $L$4, $L$3, $L$5, $L$6)</f>
        <v>-54.972999999999999</v>
      </c>
      <c r="AX34" s="413">
        <f>_xll.ciqfunctions.udf.CIQ($A34, "IQ_EARNING_CO", $B$2, $L$2, $L$4, $L$3, $L$5, $L$6)</f>
        <v>-57.878</v>
      </c>
      <c r="AY34" s="413">
        <f>IF(_xll.ciqfunctions.udf.CIQ($A34, "IQ_EARNING_CO", $B$3, $L$2,$L$4, $L$3, $L$5, $L$6)=0,AW34,_xll.ciqfunctions.udf.CIQ($A34, "IQ_EARNING_CO", $B$3, $L$2,$L$4, $L$3, $L$5, $L$6))</f>
        <v>-52.027999999999999</v>
      </c>
      <c r="AZ34" s="413">
        <f>_xll.ciqfunctions.udf.CIQ($A34, "IQ_TOTAL_EQUITY", IQ_LTM-8, $L$2, $L$4, $L$3, $L$5, $L$6)</f>
        <v>154.428</v>
      </c>
      <c r="BA34" s="413">
        <f>_xll.ciqfunctions.udf.CIQ($A34, "IQ_TOTAL_EQUITY", IQ_LTM-4, $L$2, $L$4, $L$3, $L$5, $L$6)</f>
        <v>110.774</v>
      </c>
      <c r="BB34" s="413">
        <f>_xll.ciqfunctions.udf.CIQ($A34, "IQ_TOTAL_EQUITY", IQ_LTM, $L$2, $L$4, $L$3, $L$5, $L$6)</f>
        <v>64.997</v>
      </c>
      <c r="BC34" s="413">
        <f>_xll.ciqfunctions.udf.CIQ($A34, "IQ_TOTAL_EQUITY", $B$2, $L$2, $L$4, $L$3, $L$5, $L$6)</f>
        <v>121.727</v>
      </c>
      <c r="BD34" s="413">
        <f>IF(_xll.ciqfunctions.udf.CIQ($A34, "IQ_TOTAL_EQUITY", $B$3, $L$2,$L$4, $L$3, $L$5, $L$6)=0,BB34,_xll.ciqfunctions.udf.CIQ($A34, "IQ_TOTAL_EQUITY", $B$3, $L$2,$L$4, $L$3, $L$5, $L$6))</f>
        <v>78.216999999999999</v>
      </c>
      <c r="BE34" s="413">
        <f>_xll.ciqfunctions.udf.CIQ(A34, "IQ_LASTSALEPRICE", $B$8)</f>
        <v>7.45</v>
      </c>
      <c r="BF34" s="413">
        <f>_xll.ciqfunctions.udf.CIQ($A34, "IQ_MARKETCAP", $B$8, $L$5, $L$6)</f>
        <v>205.31368000000001</v>
      </c>
      <c r="BG34" s="413">
        <f>_xll.ciqfunctions.udf.CIQ($A34, "IQ_TOTAL_DEBT", IQ_LTM, $B$8,$L$4, $L$3, $L$5, $L$6)</f>
        <v>20</v>
      </c>
      <c r="BH34" s="371">
        <f>_xll.ciqfunctions.udf.CIQ($A34,"IQ_PREF_EQUITY",IQ_LTM,$B$8,$L$4,$L$3,$L$5,$L$6)</f>
        <v>0</v>
      </c>
      <c r="BI34" s="371">
        <f>_xll.ciqfunctions.udf.CIQ($A34, "IQ_MINORITY_INTEREST_TOTAL", IQ_LTM,$B$8,$L$4,$L$3,$L$5,$L$6)</f>
        <v>0</v>
      </c>
      <c r="BJ34" s="413">
        <f>_xll.ciqfunctions.udf.CIQ($A34, "IQ_CASH_ST_INVEST", IQ_LTM, $B$8, $L$4, $L$3, $L$5, $L$6)</f>
        <v>102.05200000000001</v>
      </c>
      <c r="BK34" s="371">
        <f>_xll.ciqfunctions.udf.CIQ($A34, "IQ_EFFECT_TAX_RATE")</f>
        <v>0</v>
      </c>
      <c r="BL34" s="371">
        <f>IF(_xll.ciqfunctions.udf.CIQ($A34, "IQ_TOTAL_REV_2YR_ANN_CAGR", IQ_LTM, $B$1,$L$4, $L$3, $L$5, $L$6)="NM","n/a",(_xll.ciqfunctions.udf.CIQ($A34, "IQ_TOTAL_REV_2YR_ANN_CAGR", IQ_LTM, $B$1,$L$4, $L$3, $L$5, $L$6)/100))</f>
        <v>0</v>
      </c>
      <c r="BM34" s="371">
        <f>IF(_xll.ciqfunctions.udf.CIQ($A34, "IQ_TOTAL_REV_3YR_ANN_CAGR", IQ_LTM, $B$1,$L$4, $L$3, $L$5, $L$6)="NM","n/a",(_xll.ciqfunctions.udf.CIQ($A34, "IQ_TOTAL_REV_3YR_ANN_CAGR", IQ_LTM, $B$1,$L$4, $L$3, $L$5, $L$6)/100))</f>
        <v>0</v>
      </c>
      <c r="BN34" s="371">
        <f>IF(_xll.ciqfunctions.udf.CIQ($A34, "IQ_TOTAL_REV_5YR_ANN_CAGR", IQ_LTM, $B$1,$L$4, $L$3, $L$5, $L$6)="NM","n/a",(_xll.ciqfunctions.udf.CIQ($A34, "IQ_TOTAL_REV_5YR_ANN_CAGR", IQ_LTM, $B$1,$L$4, $L$3, $L$5, $L$6)/100))</f>
        <v>0</v>
      </c>
      <c r="BO34" s="371" t="str">
        <f>IF(_xll.ciqfunctions.udf.CIQ($A34,"IQ_EBITDA_2YR_ANN_CAGR", IQ_LTM,$B$1,$L$4, $L$3, $L$5, $L$6)="NM","n/a",(_xll.ciqfunctions.udf.CIQ($A34,"IQ_EBITDA_2YR_ANN_CAGR", IQ_LTM,$B$1,$L$4, $L$3, $L$5, $L$6)/100))</f>
        <v>n/a</v>
      </c>
      <c r="BP34" s="371" t="str">
        <f>IF(_xll.ciqfunctions.udf.CIQ($A34,"IQ_EBITDA_3YR_ANN_CAGR", IQ_LTM,$B$1,$L$4, $L$3, $L$5, $L$6)="NM","n/a",(_xll.ciqfunctions.udf.CIQ($A34,"IQ_EBITDA_3YR_ANN_CAGR", IQ_LTM,$B$1,$L$4, $L$3, $L$5, $L$6)/100))</f>
        <v>n/a</v>
      </c>
      <c r="BQ34" s="371">
        <f>IF(_xll.ciqfunctions.udf.CIQ($A34,"IQ_EBITDA_5YR_ANN_CAGR", IQ_LTM,$B$1,$L$4, $L$3, $L$5, $L$6)="NM","n/a",(_xll.ciqfunctions.udf.CIQ($A34,"IQ_EBITDA_5YR_ANN_CAGR", IQ_LTM,$B$1,$L$4, $L$3, $L$5, $L$6)/100))</f>
        <v>0</v>
      </c>
      <c r="BR34" s="375" t="str">
        <f>IFERROR((_xll.ciqfunctions.udf.CIQ($A34, "IQ_DA_CF", IQ_LTM, $B$1, $L$4, $L$3, $L$5, $L$6)/Q34),"NM")</f>
        <v>NM</v>
      </c>
      <c r="BS34" s="417">
        <f>'Capital IQ Sheet-GPC'!BS34</f>
        <v>0.62800291493254212</v>
      </c>
      <c r="BT34" s="417">
        <f>'Capital IQ Sheet-GPC'!BT34</f>
        <v>0.78226227350182032</v>
      </c>
      <c r="BU34" s="417">
        <f>'Capital IQ Sheet-GPC'!BU34</f>
        <v>1.1302394832325817</v>
      </c>
      <c r="BV34" s="417">
        <f>'Capital IQ Sheet-GPC'!BV34</f>
        <v>1.020360192619892</v>
      </c>
      <c r="BW34" s="417">
        <f>'Capital IQ Sheet-GPC'!BW34</f>
        <v>1.0178372234009103</v>
      </c>
      <c r="BX34" s="417" t="str">
        <f>'Capital IQ Sheet-GPC'!BX34</f>
        <v>n/a</v>
      </c>
      <c r="BY34" s="417" t="str">
        <f>'Capital IQ Sheet-GPC'!BY34</f>
        <v>n/a</v>
      </c>
      <c r="BZ34" s="417" t="str">
        <f>'Capital IQ Sheet-GPC'!BZ34</f>
        <v>n/a</v>
      </c>
      <c r="CB34" s="371">
        <v>2</v>
      </c>
      <c r="CC34" s="495" t="s">
        <v>150</v>
      </c>
      <c r="CD34" s="495" t="s">
        <v>149</v>
      </c>
      <c r="CE34" s="373">
        <f t="shared" si="1"/>
        <v>42551</v>
      </c>
    </row>
    <row r="35" spans="1:83" s="371" customFormat="1" ht="12.75">
      <c r="A35" s="372" t="str">
        <f>_xll.ciqfunctions.udf.CIQ($B35,"IQ_COMPANY_TICKER")</f>
        <v>NasdaqGM:MNOV</v>
      </c>
      <c r="B35" s="412" t="str">
        <f>'Capital IQ Sheet-GPC'!B35</f>
        <v>IQ9262264</v>
      </c>
      <c r="C35" s="372" t="str">
        <f>_xll.ciqfunctions.udf.CIQ($A35,"IQ_COMPANY_NAME")</f>
        <v>MediciNova, Inc.</v>
      </c>
      <c r="D35" s="372" t="str">
        <f>_xll.ciqfunctions.udf.CIQ($A35, "IQ_EXCHANGE")</f>
        <v>NasdaqGM</v>
      </c>
      <c r="E35" s="411">
        <f>_xll.ciqfunctions.udf.CIQ($A35, "IQ_PERIODDATE_IS", IQ_FY)</f>
        <v>43100</v>
      </c>
      <c r="F35" s="411">
        <f>_xll.ciqfunctions.udf.CIQ(A35, "IQ_PERIODDATE_IS", IQ_LTM, $B$1,$L$4,$L$3)</f>
        <v>43190</v>
      </c>
      <c r="G35" s="411">
        <f>_xll.ciqfunctions.udf.CIQ($A35, "IQ_FIRSTPRICINGDATE")</f>
        <v>39058</v>
      </c>
      <c r="H35" s="413">
        <f>_xll.ciqfunctions.udf.CIQ($A35, "IQ_TEV", $L$2, $L$5, $L$6)</f>
        <v>264.44821999999999</v>
      </c>
      <c r="I35" s="413">
        <f>_xll.ciqfunctions.udf.CIQ(A35, "IQ_LASTSALEPRICE", $B$1,$L$5)</f>
        <v>7.96</v>
      </c>
      <c r="J35" s="413">
        <f>_xll.ciqfunctions.udf.CIQ($A35, "IQ_MARKETCAP", $L$2, $L$5, $L$6)</f>
        <v>327.38742000000002</v>
      </c>
      <c r="K35" s="413">
        <f>_xll.ciqfunctions.udf.CIQ($A35, "IQ_TOTAL_DEBT", IQ_LTM, $L$2,$L$4, $L$3, $L$5, $L$6)</f>
        <v>0</v>
      </c>
      <c r="L35" s="413">
        <f>_xll.ciqfunctions.udf.CIQ($A35, "IQ_PREF_EQUITY", IQ_LTM, $L$2, $L$4, $L$3, $L$5, $L$6)</f>
        <v>0</v>
      </c>
      <c r="M35" s="413">
        <f>_xll.ciqfunctions.udf.CIQ($A35, "IQ_MINORITY_INTEREST_TOTAL", IQ_LTM, $L$2, $L$4, $L$3, $L$5, $L$6)</f>
        <v>0</v>
      </c>
      <c r="N35" s="413">
        <f>_xll.ciqfunctions.udf.CIQ($A35, "IQ_CASH_ST_INVEST", IQ_LTM, $L$2, $L$4, $L$3, $L$5, $L$6)</f>
        <v>62.9392</v>
      </c>
      <c r="O35" s="413">
        <f>_xll.ciqfunctions.udf.CIQ($A35, "IQ_TOTAL_REV", IQ_LTM-8, $L$2, $L$4, $L$3, $L$5, $L$6)</f>
        <v>0</v>
      </c>
      <c r="P35" s="413">
        <f>_xll.ciqfunctions.udf.CIQ($A35, "IQ_TOTAL_REV", IQ_LTM - 4, $L$2, $L$4, $L$3, $L$5,$L$6)</f>
        <v>0</v>
      </c>
      <c r="Q35" s="413">
        <f>_xll.ciqfunctions.udf.CIQ($A35, "IQ_TOTAL_REV", IQ_LTM, $L$2, $L$4, $L$3, $L$5, $L$6)</f>
        <v>0</v>
      </c>
      <c r="R35" s="413">
        <f>_xll.ciqfunctions.udf.CIQ($A35, "IQ_TOTAL_REV", $B$2, $L$2, $L$4, $L$3, $L$5, $L$6)</f>
        <v>0</v>
      </c>
      <c r="S35" s="413">
        <f>IF(_xll.ciqfunctions.udf.CIQ($A35, "IQ_TOTAL_REV", $B$3, $L$2,$L$4, $L$3, $L$5, $L$6)=0,Q35,_xll.ciqfunctions.udf.CIQ($A35, "IQ_TOTAL_REV", $B$3, $L$2,$L$4, $L$3, $L$5, $L$6))</f>
        <v>0</v>
      </c>
      <c r="T35" s="413" t="str">
        <f>IF(_xll.ciqfunctions.udf.CIQ($A35, "IQ_REVENUE_EST",$B$4, $L$2, "CON", $L$3, $L$5, $L$6)=0,"n/a",_xll.ciqfunctions.udf.CIQ($A35, "IQ_REVENUE_EST",$B$4, $L$2, "CON", $L$3, $L$5, $L$6))</f>
        <v>n/a</v>
      </c>
      <c r="U35" s="413" t="str">
        <f>IF(_xll.ciqfunctions.udf.CIQ($A35, "IQ_REVENUE_EST",$B$5, $L$2, "CON", $L$3, $L$5, $L$6)=0,"n/a",_xll.ciqfunctions.udf.CIQ($A35, "IQ_REVENUE_EST",$B$5, $L$2, "CON", $L$3, $L$5, $L$6))</f>
        <v>n/a</v>
      </c>
      <c r="V35" s="413" t="str">
        <f>IF(_xll.ciqfunctions.udf.CIQ($A35, "IQ_REVENUE_EST",$B$6, $L$2, "CON", $L$3, $L$5, $L$6)=0,"n/a",_xll.ciqfunctions.udf.CIQ($A35, "IQ_REVENUE_EST",$B$6, $L$2, "CON", $L$3, $L$5, $L$6))</f>
        <v>n/a</v>
      </c>
      <c r="W35" s="413" t="str">
        <f>IF(_xll.ciqfunctions.udf.CIQ($A35, "IQ_REVENUE_EST", $B$7, $L$2, "CON", $L$3, $L$5, $L$6)=0,"n/a",_xll.ciqfunctions.udf.CIQ($A35, "IQ_REVENUE_EST",$B$7, $L$2, "CON", $L$3, $L$5, $L$6))</f>
        <v>n/a</v>
      </c>
      <c r="X35" s="413">
        <f>_xll.ciqfunctions.udf.CIQ($A35, "IQ_EBITDA", IQ_LTM-8, $L$2, $L$4, $L$3, $L$5, $L$6)</f>
        <v>-9.9773800000000001</v>
      </c>
      <c r="Y35" s="413">
        <f>_xll.ciqfunctions.udf.CIQ($A35, "IQ_EBITDA", IQ_LTM-4, $L$2,$L$4, $L$3, $L$5, $L$6)</f>
        <v>-10.49654</v>
      </c>
      <c r="Z35" s="413">
        <f>_xll.ciqfunctions.udf.CIQ($A35, "IQ_EBITDA", IQ_LTM, $L$2, $L$4, $L$3, $L$5, $L$6)</f>
        <v>-14.642580000000001</v>
      </c>
      <c r="AA35" s="413">
        <f>_xll.ciqfunctions.udf.CIQ($A35, "IQ_EBITDA", $B$2, $L$2, $L$4, $L$3, $L$5, $L$6)</f>
        <v>-10.867710000000001</v>
      </c>
      <c r="AB35" s="413">
        <f>IF(_xll.ciqfunctions.udf.CIQ($A35, "IQ_EBITDA", $B$3, $L$2,$L$4, $L$3, $L$5, $L$6)=0,Z35,_xll.ciqfunctions.udf.CIQ($A35, "IQ_EBITDA", $B$3, $L$2,$L$4, $L$3, $L$5, $L$6))</f>
        <v>-12.999000000000001</v>
      </c>
      <c r="AC35" s="413">
        <f>IF(_xll.ciqfunctions.udf.CIQ($A35, "IQ_EBITDA_EST",$B$4, $L$2, "CON", $L$3, $L$5, $L$6)=0,"n/a",_xll.ciqfunctions.udf.CIQ($A35, "IQ_EBITDA_EST",$B$4, $L$2, "CON", $L$3, $L$5, $L$6))</f>
        <v>-22</v>
      </c>
      <c r="AD35" s="413">
        <f>IF(_xll.ciqfunctions.udf.CIQ($A35, "IQ_EBITDA_EST",$B$5, $L$2, "CON", $L$3, $L$5, $L$6)=0,"n/a",_xll.ciqfunctions.udf.CIQ($A35, "IQ_EBITDA_EST",$B$5, $L$2, "CON", $L$3, $L$5, $L$6))</f>
        <v>-29.46</v>
      </c>
      <c r="AE35" s="413">
        <f>IF(_xll.ciqfunctions.udf.CIQ($A35, "IQ_EBITDA_EST",$B$6, $L$2, "CON", $L$3, $L$5, $L$6)=0,"n/a",_xll.ciqfunctions.udf.CIQ($A35, "IQ_EBITDA_EST",$B$6, $L$2, "CON", $L$3, $L$5, $L$6))</f>
        <v>-17.79</v>
      </c>
      <c r="AF35" s="414">
        <f>IF(ISERROR(_xll.ciqfunctions.udf.CIQ($A35, "IQ_GROSS_MARGIN", IQ_LTM, $L$2,$L$4, $L$3, $L$5, $L$6)/100), "n/a", _xll.ciqfunctions.udf.CIQ($A35,  "IQ_GROSS_MARGIN", IQ_LTM, $L$2, $L$4, $L$3, $L$5, $L$6)/100)</f>
        <v>0</v>
      </c>
      <c r="AG35" s="414">
        <f>IF(ISERROR(_xll.ciqfunctions.udf.CIQ($A35,"IQ_EBITDA_MARGIN", IQ_LTM, $L$2, $L$4, $L$3, $L$5, $L$6)/100), "n/a", _xll.ciqfunctions.udf.CIQ($A35, "IQ_EBITDA_MARGIN", IQ_LTM, $L$2, $L$4, $L$3, $L$5, $L$6)/100)</f>
        <v>0</v>
      </c>
      <c r="AH35" s="414">
        <f>IF(ISERROR(_xll.ciqfunctions.udf.CIQ($A35,"IQ_EBIT_MARGIN", IQ_LTM, $L$2, $L$4, $L$3, $L$5, $L$6)/100), "n/a", _xll.ciqfunctions.udf.CIQ($A35, "IQ_EBIT_MARGIN", IQ_LTM, $L$2, $L$4, $L$3, $L$5, $L$6)/100)</f>
        <v>0</v>
      </c>
      <c r="AI35" s="414">
        <f>IF(ISERROR(_xll.ciqfunctions.udf.CIQ($A35,"IQ_NI_MARGIN", IQ_LTM, $L$2, $L$4, $L$3, $L$5, $L$6)/100), "n/a", _xll.ciqfunctions.udf.CIQ($A35, "IQ_NI_MARGIN", IQ_LTM, $L$2, $L$4, $L$3, $L$5, $L$6)/100)</f>
        <v>0</v>
      </c>
      <c r="AJ35" s="413">
        <f>_xll.ciqfunctions.udf.CIQ($A35,"IQ_TOTAL_CA",IQ_LTM-8,$L$2, $L$4, $L$3, $L$5, $L$6)-_xll.ciqfunctions.udf.CIQ($A35,"IQ_TOTAL_CL",IQ_LTM-8,$L$2, $L$4, $L$3, $L$5, $L$6)</f>
        <v>27.637699999999999</v>
      </c>
      <c r="AK35" s="413">
        <f>_xll.ciqfunctions.udf.CIQ($A35,"IQ_TOTAL_CA",IQ_LTM-4,$L$2, $L$4, $L$3, $L$5, $L$6)-_xll.ciqfunctions.udf.CIQ($A35,"IQ_TOTAL_CL",IQ_LTM-4,$L$2, $L$4, $L$3, $L$5, $L$6)</f>
        <v>21.302389999999999</v>
      </c>
      <c r="AL35" s="413">
        <f>_xll.ciqfunctions.udf.CIQ($A35,"IQ_TOTAL_CA",IQ_LTM,$L$2, $L$4, $L$3, $L$5, $L$6)-_xll.ciqfunctions.udf.CIQ($A35,"IQ_TOTAL_CL",IQ_LTM,$L$2, $L$4, $L$3, $L$5, $L$6)</f>
        <v>62.372900000000001</v>
      </c>
      <c r="AM35" s="413">
        <f>IF(ISERROR(_xll.ciqfunctions.udf.CIQ($A35, "IQ_Capex", IQ_LTM-8, $L$2,$L$4, $L$3, $L$5, $L$6)), "n/a", _xll.ciqfunctions.udf.CIQ($A35, "IQ_Capex", IQ_LTM-8, $L$2, $L$4, $L$3, $L$5, $L$6))</f>
        <v>-2.4330000000000001E-2</v>
      </c>
      <c r="AN35" s="413">
        <f>IF(ISERROR(_xll.ciqfunctions.udf.CIQ($A35, "IQ_Capex", IQ_LTM-4, $L$2,$L$4, $L$3, $L$5, $L$6)), "n/a", _xll.ciqfunctions.udf.CIQ($A35, "IQ_Capex", IQ_LTM-4, $L$2,$L$4, $L$3, $L$5, $L$6))</f>
        <v>-6.2480000000000001E-2</v>
      </c>
      <c r="AO35" s="413">
        <f>IF(ISERROR(_xll.ciqfunctions.udf.CIQ($A35, "IQ_Capex", IQ_LTM, $L$2, $L$4, $L$3, $L$5, $L$6)), "n/a", _xll.ciqfunctions.udf.CIQ($A35, "IQ_Capex", IQ_LTM, $L$2, $L$4, $L$3, $L$5, $L$6))</f>
        <v>-8.5800000000000008E-3</v>
      </c>
      <c r="AP35" s="415" t="str">
        <f>_xll.ciqfunctions.udf.CIQ(A35, "IQ_BUSINESS_DESCRIPTION")</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c r="AQ35" s="416">
        <f>_xll.ciqfunctions.udf.CIQ($A35, "IQ_BETA_1YR", $B$1)</f>
        <v>1.0388599999999999</v>
      </c>
      <c r="AR35" s="416">
        <f>_xll.ciqfunctions.udf.CIQ($A35, "IQ_BETA_2YR", $B$1)</f>
        <v>1.3481099999999999</v>
      </c>
      <c r="AS35" s="416">
        <f>_xll.ciqfunctions.udf.CIQ($A35, "IQ_BETA_5YR", $B$1)</f>
        <v>0.24084</v>
      </c>
      <c r="AT35" s="414">
        <f>_xll.ciqfunctions.udf.CIQ($A35, "IQ_DIVIDEND_YIELD", $B$1)/100</f>
        <v>0</v>
      </c>
      <c r="AU35" s="413">
        <f>_xll.ciqfunctions.udf.CIQ($A35, "IQ_EARNING_CO", IQ_LTM-8, $L$2, $L$4, $L$3, $L$5, $L$6)</f>
        <v>-10.011609999999999</v>
      </c>
      <c r="AV35" s="413">
        <f>_xll.ciqfunctions.udf.CIQ($A35, "IQ_EARNING_CO", IQ_LTM-4, $L$2, $L$4, $L$3, $L$5, $L$6)</f>
        <v>-10.500909999999999</v>
      </c>
      <c r="AW35" s="413">
        <f>_xll.ciqfunctions.udf.CIQ($A35, "IQ_EARNING_CO", IQ_LTM, $L$2, $L$4, $L$3, $L$5, $L$6)</f>
        <v>-12.68966</v>
      </c>
      <c r="AX35" s="413">
        <f>_xll.ciqfunctions.udf.CIQ($A35, "IQ_EARNING_CO", $B$2, $L$2, $L$4, $L$3, $L$5, $L$6)</f>
        <v>-10.86598</v>
      </c>
      <c r="AY35" s="413">
        <f>IF(_xll.ciqfunctions.udf.CIQ($A35, "IQ_EARNING_CO", $B$3, $L$2,$L$4, $L$3, $L$5, $L$6)=0,AW35,_xll.ciqfunctions.udf.CIQ($A35, "IQ_EARNING_CO", $B$3, $L$2,$L$4, $L$3, $L$5, $L$6))</f>
        <v>-11.16314</v>
      </c>
      <c r="AZ35" s="413">
        <f>_xll.ciqfunctions.udf.CIQ($A35, "IQ_TOTAL_EQUITY", IQ_LTM-8, $L$2, $L$4, $L$3, $L$5, $L$6)</f>
        <v>39.140140000000002</v>
      </c>
      <c r="BA35" s="413">
        <f>_xll.ciqfunctions.udf.CIQ($A35, "IQ_TOTAL_EQUITY", IQ_LTM-4, $L$2, $L$4, $L$3, $L$5, $L$6)</f>
        <v>32.751429999999999</v>
      </c>
      <c r="BB35" s="413">
        <f>_xll.ciqfunctions.udf.CIQ($A35, "IQ_TOTAL_EQUITY", IQ_LTM, $L$2, $L$4, $L$3, $L$5, $L$6)</f>
        <v>75.569810000000004</v>
      </c>
      <c r="BC35" s="413">
        <f>_xll.ciqfunctions.udf.CIQ($A35, "IQ_TOTAL_EQUITY", $B$2, $L$2, $L$4, $L$3, $L$5, $L$6)</f>
        <v>34.531930000000003</v>
      </c>
      <c r="BD35" s="413">
        <f>IF(_xll.ciqfunctions.udf.CIQ($A35, "IQ_TOTAL_EQUITY", $B$3, $L$2,$L$4, $L$3, $L$5, $L$6)=0,BB35,_xll.ciqfunctions.udf.CIQ($A35, "IQ_TOTAL_EQUITY", $B$3, $L$2,$L$4, $L$3, $L$5, $L$6))</f>
        <v>38.642139999999998</v>
      </c>
      <c r="BE35" s="413">
        <f>_xll.ciqfunctions.udf.CIQ(A35, "IQ_LASTSALEPRICE", $B$8)</f>
        <v>10.220000000000001</v>
      </c>
      <c r="BF35" s="413">
        <f>_xll.ciqfunctions.udf.CIQ($A35, "IQ_MARKETCAP", $B$8, $L$5, $L$6)</f>
        <v>418.28973999999999</v>
      </c>
      <c r="BG35" s="413">
        <f>_xll.ciqfunctions.udf.CIQ($A35, "IQ_TOTAL_DEBT", IQ_LTM, $B$8,$L$4, $L$3, $L$5, $L$6)</f>
        <v>0</v>
      </c>
      <c r="BH35" s="371">
        <f>_xll.ciqfunctions.udf.CIQ($A35,"IQ_PREF_EQUITY",IQ_LTM,$B$8,$L$4,$L$3,$L$5,$L$6)</f>
        <v>0</v>
      </c>
      <c r="BI35" s="371">
        <f>_xll.ciqfunctions.udf.CIQ($A35, "IQ_MINORITY_INTEREST_TOTAL", IQ_LTM,$B$8,$L$4,$L$3,$L$5,$L$6)</f>
        <v>0</v>
      </c>
      <c r="BJ35" s="413">
        <f>_xll.ciqfunctions.udf.CIQ($A35, "IQ_CASH_ST_INVEST", IQ_LTM, $B$8, $L$4, $L$3, $L$5, $L$6)</f>
        <v>27.99174</v>
      </c>
      <c r="BK35" s="371" t="str">
        <f>_xll.ciqfunctions.udf.CIQ($A35, "IQ_EFFECT_TAX_RATE")</f>
        <v>NM</v>
      </c>
      <c r="BL35" s="371">
        <f>IF(_xll.ciqfunctions.udf.CIQ($A35, "IQ_TOTAL_REV_2YR_ANN_CAGR", IQ_LTM, $B$1,$L$4, $L$3, $L$5, $L$6)="NM","n/a",(_xll.ciqfunctions.udf.CIQ($A35, "IQ_TOTAL_REV_2YR_ANN_CAGR", IQ_LTM, $B$1,$L$4, $L$3, $L$5, $L$6)/100))</f>
        <v>0</v>
      </c>
      <c r="BM35" s="371">
        <f>IF(_xll.ciqfunctions.udf.CIQ($A35, "IQ_TOTAL_REV_3YR_ANN_CAGR", IQ_LTM, $B$1,$L$4, $L$3, $L$5, $L$6)="NM","n/a",(_xll.ciqfunctions.udf.CIQ($A35, "IQ_TOTAL_REV_3YR_ANN_CAGR", IQ_LTM, $B$1,$L$4, $L$3, $L$5, $L$6)/100))</f>
        <v>0</v>
      </c>
      <c r="BN35" s="371">
        <f>IF(_xll.ciqfunctions.udf.CIQ($A35, "IQ_TOTAL_REV_5YR_ANN_CAGR", IQ_LTM, $B$1,$L$4, $L$3, $L$5, $L$6)="NM","n/a",(_xll.ciqfunctions.udf.CIQ($A35, "IQ_TOTAL_REV_5YR_ANN_CAGR", IQ_LTM, $B$1,$L$4, $L$3, $L$5, $L$6)/100))</f>
        <v>0</v>
      </c>
      <c r="BO35" s="371" t="str">
        <f>IF(_xll.ciqfunctions.udf.CIQ($A35,"IQ_EBITDA_2YR_ANN_CAGR", IQ_LTM,$B$1,$L$4, $L$3, $L$5, $L$6)="NM","n/a",(_xll.ciqfunctions.udf.CIQ($A35,"IQ_EBITDA_2YR_ANN_CAGR", IQ_LTM,$B$1,$L$4, $L$3, $L$5, $L$6)/100))</f>
        <v>n/a</v>
      </c>
      <c r="BP35" s="371" t="str">
        <f>IF(_xll.ciqfunctions.udf.CIQ($A35,"IQ_EBITDA_3YR_ANN_CAGR", IQ_LTM,$B$1,$L$4, $L$3, $L$5, $L$6)="NM","n/a",(_xll.ciqfunctions.udf.CIQ($A35,"IQ_EBITDA_3YR_ANN_CAGR", IQ_LTM,$B$1,$L$4, $L$3, $L$5, $L$6)/100))</f>
        <v>n/a</v>
      </c>
      <c r="BQ35" s="371" t="str">
        <f>IF(_xll.ciqfunctions.udf.CIQ($A35,"IQ_EBITDA_5YR_ANN_CAGR", IQ_LTM,$B$1,$L$4, $L$3, $L$5, $L$6)="NM","n/a",(_xll.ciqfunctions.udf.CIQ($A35,"IQ_EBITDA_5YR_ANN_CAGR", IQ_LTM,$B$1,$L$4, $L$3, $L$5, $L$6)/100))</f>
        <v>n/a</v>
      </c>
      <c r="BR35" s="375" t="str">
        <f>IFERROR((_xll.ciqfunctions.udf.CIQ($A35, "IQ_DA_CF", IQ_LTM, $B$1, $L$4, $L$3, $L$5, $L$6)/Q35),"NM")</f>
        <v>NM</v>
      </c>
      <c r="BS35" s="417">
        <f>'Capital IQ Sheet-GPC'!BS35</f>
        <v>0.61146508834167079</v>
      </c>
      <c r="BT35" s="417">
        <f>'Capital IQ Sheet-GPC'!BT35</f>
        <v>0.51145301585206249</v>
      </c>
      <c r="BU35" s="417">
        <f>'Capital IQ Sheet-GPC'!BU35</f>
        <v>0.53341465176244662</v>
      </c>
      <c r="BV35" s="417">
        <f>'Capital IQ Sheet-GPC'!BV35</f>
        <v>0.60761715593783316</v>
      </c>
      <c r="BW35" s="417">
        <f>'Capital IQ Sheet-GPC'!BW35</f>
        <v>0.59885102392555545</v>
      </c>
      <c r="BX35" s="417">
        <f>'Capital IQ Sheet-GPC'!BX35</f>
        <v>0.65589200493632394</v>
      </c>
      <c r="BY35" s="417">
        <f>'Capital IQ Sheet-GPC'!BY35</f>
        <v>0.70481835225978662</v>
      </c>
      <c r="BZ35" s="417">
        <f>'Capital IQ Sheet-GPC'!BZ35</f>
        <v>0.722839947982026</v>
      </c>
      <c r="CB35" s="371">
        <v>2</v>
      </c>
      <c r="CC35" s="495" t="s">
        <v>150</v>
      </c>
      <c r="CD35" s="495" t="s">
        <v>149</v>
      </c>
      <c r="CE35" s="373">
        <f t="shared" si="0"/>
        <v>42551</v>
      </c>
    </row>
    <row r="36" spans="1:83" s="371" customFormat="1" ht="12.75">
      <c r="A36" s="372" t="str">
        <f>_xll.ciqfunctions.udf.CIQ($B36,"IQ_COMPANY_TICKER")</f>
        <v>NasdaqCM:AVEO</v>
      </c>
      <c r="B36" s="412" t="str">
        <f>'Capital IQ Sheet-GPC'!B36</f>
        <v>IQ1906420</v>
      </c>
      <c r="C36" s="372" t="str">
        <f>_xll.ciqfunctions.udf.CIQ($A36,"IQ_COMPANY_NAME")</f>
        <v>AVEO Pharmaceuticals, Inc.</v>
      </c>
      <c r="D36" s="372" t="str">
        <f>_xll.ciqfunctions.udf.CIQ($A36, "IQ_EXCHANGE")</f>
        <v>NasdaqCM</v>
      </c>
      <c r="E36" s="411">
        <f>_xll.ciqfunctions.udf.CIQ($A36, "IQ_PERIODDATE_IS", IQ_FY)</f>
        <v>43100</v>
      </c>
      <c r="F36" s="411">
        <f>_xll.ciqfunctions.udf.CIQ(A36, "IQ_PERIODDATE_IS", IQ_LTM, $B$1,$L$4,$L$3)</f>
        <v>43190</v>
      </c>
      <c r="G36" s="411">
        <f>_xll.ciqfunctions.udf.CIQ($A36, "IQ_FIRSTPRICINGDATE")</f>
        <v>40249</v>
      </c>
      <c r="H36" s="413">
        <f>_xll.ciqfunctions.udf.CIQ($A36, "IQ_TEV", $L$2, $L$5, $L$6)</f>
        <v>260.23347999999999</v>
      </c>
      <c r="I36" s="413">
        <f>_xll.ciqfunctions.udf.CIQ(A36, "IQ_LASTSALEPRICE", $B$1,$L$5)</f>
        <v>2.2599999999999998</v>
      </c>
      <c r="J36" s="413">
        <f>_xll.ciqfunctions.udf.CIQ($A36, "IQ_MARKETCAP", $L$2, $L$5, $L$6)</f>
        <v>268.64048000000003</v>
      </c>
      <c r="K36" s="413">
        <f>_xll.ciqfunctions.udf.CIQ($A36, "IQ_TOTAL_DEBT", IQ_LTM, $L$2,$L$4, $L$3, $L$5, $L$6)</f>
        <v>18.588000000000001</v>
      </c>
      <c r="L36" s="413">
        <f>_xll.ciqfunctions.udf.CIQ($A36, "IQ_PREF_EQUITY", IQ_LTM, $L$2, $L$4, $L$3, $L$5, $L$6)</f>
        <v>0</v>
      </c>
      <c r="M36" s="413">
        <f>_xll.ciqfunctions.udf.CIQ($A36, "IQ_MINORITY_INTEREST_TOTAL", IQ_LTM, $L$2, $L$4, $L$3, $L$5, $L$6)</f>
        <v>0</v>
      </c>
      <c r="N36" s="413">
        <f>_xll.ciqfunctions.udf.CIQ($A36, "IQ_CASH_ST_INVEST", IQ_LTM, $L$2, $L$4, $L$3, $L$5, $L$6)</f>
        <v>26.995000000000001</v>
      </c>
      <c r="O36" s="413">
        <f>_xll.ciqfunctions.udf.CIQ($A36, "IQ_TOTAL_REV", IQ_LTM-8, $L$2, $L$4, $L$3, $L$5, $L$6)</f>
        <v>20.093</v>
      </c>
      <c r="P36" s="413">
        <f>_xll.ciqfunctions.udf.CIQ($A36, "IQ_TOTAL_REV", IQ_LTM - 4, $L$2, $L$4, $L$3, $L$5,$L$6)</f>
        <v>3.8439999999999999</v>
      </c>
      <c r="Q36" s="413">
        <f>_xll.ciqfunctions.udf.CIQ($A36, "IQ_TOTAL_REV", IQ_LTM, $L$2, $L$4, $L$3, $L$5, $L$6)</f>
        <v>6.0730000000000004</v>
      </c>
      <c r="R36" s="413">
        <f>_xll.ciqfunctions.udf.CIQ($A36, "IQ_TOTAL_REV", $B$2, $L$2, $L$4, $L$3, $L$5, $L$6)</f>
        <v>2.5150000000000001</v>
      </c>
      <c r="S36" s="413">
        <f>IF(_xll.ciqfunctions.udf.CIQ($A36, "IQ_TOTAL_REV", $B$3, $L$2,$L$4, $L$3, $L$5, $L$6)=0,Q36,_xll.ciqfunctions.udf.CIQ($A36, "IQ_TOTAL_REV", $B$3, $L$2,$L$4, $L$3, $L$5, $L$6))</f>
        <v>7.5789999999999997</v>
      </c>
      <c r="T36" s="413">
        <f>IF(_xll.ciqfunctions.udf.CIQ($A36, "IQ_REVENUE_EST",$B$4, $L$2, "CON", $L$3, $L$5, $L$6)=0,"n/a",_xll.ciqfunctions.udf.CIQ($A36, "IQ_REVENUE_EST",$B$4, $L$2, "CON", $L$3, $L$5, $L$6))</f>
        <v>6.1336700000000004</v>
      </c>
      <c r="U36" s="413">
        <f>IF(_xll.ciqfunctions.udf.CIQ($A36, "IQ_REVENUE_EST",$B$5, $L$2, "CON", $L$3, $L$5, $L$6)=0,"n/a",_xll.ciqfunctions.udf.CIQ($A36, "IQ_REVENUE_EST",$B$5, $L$2, "CON", $L$3, $L$5, $L$6))</f>
        <v>19.423500000000001</v>
      </c>
      <c r="V36" s="413">
        <f>IF(_xll.ciqfunctions.udf.CIQ($A36, "IQ_REVENUE_EST",$B$6, $L$2, "CON", $L$3, $L$5, $L$6)=0,"n/a",_xll.ciqfunctions.udf.CIQ($A36, "IQ_REVENUE_EST",$B$6, $L$2, "CON", $L$3, $L$5, $L$6))</f>
        <v>71.5</v>
      </c>
      <c r="W36" s="413">
        <f>IF(_xll.ciqfunctions.udf.CIQ($A36, "IQ_REVENUE_EST", $B$7, $L$2, "CON", $L$3, $L$5, $L$6)=0,"n/a",_xll.ciqfunctions.udf.CIQ($A36, "IQ_REVENUE_EST",$B$7, $L$2, "CON", $L$3, $L$5, $L$6))</f>
        <v>118.3</v>
      </c>
      <c r="X36" s="413">
        <f>_xll.ciqfunctions.udf.CIQ($A36, "IQ_EBITDA", IQ_LTM-8, $L$2, $L$4, $L$3, $L$5, $L$6)</f>
        <v>-4.2</v>
      </c>
      <c r="Y36" s="413">
        <f>_xll.ciqfunctions.udf.CIQ($A36, "IQ_EBITDA", IQ_LTM-4, $L$2,$L$4, $L$3, $L$5, $L$6)</f>
        <v>-29.883500000000002</v>
      </c>
      <c r="Z36" s="413">
        <f>_xll.ciqfunctions.udf.CIQ($A36, "IQ_EBITDA", IQ_LTM, $L$2, $L$4, $L$3, $L$5, $L$6)</f>
        <v>0</v>
      </c>
      <c r="AA36" s="413">
        <f>_xll.ciqfunctions.udf.CIQ($A36, "IQ_EBITDA", $B$2, $L$2, $L$4, $L$3, $L$5, $L$6)</f>
        <v>-29.363</v>
      </c>
      <c r="AB36" s="413">
        <f>IF(_xll.ciqfunctions.udf.CIQ($A36, "IQ_EBITDA", $B$3, $L$2,$L$4, $L$3, $L$5, $L$6)=0,Z36,_xll.ciqfunctions.udf.CIQ($A36, "IQ_EBITDA", $B$3, $L$2,$L$4, $L$3, $L$5, $L$6))</f>
        <v>-26.707999999999998</v>
      </c>
      <c r="AC36" s="413" t="str">
        <f>IF(_xll.ciqfunctions.udf.CIQ($A36, "IQ_EBITDA_EST",$B$4, $L$2, "CON", $L$3, $L$5, $L$6)=0,"n/a",_xll.ciqfunctions.udf.CIQ($A36, "IQ_EBITDA_EST",$B$4, $L$2, "CON", $L$3, $L$5, $L$6))</f>
        <v>n/a</v>
      </c>
      <c r="AD36" s="413">
        <f>IF(_xll.ciqfunctions.udf.CIQ($A36, "IQ_EBITDA_EST",$B$5, $L$2, "CON", $L$3, $L$5, $L$6)=0,"n/a",_xll.ciqfunctions.udf.CIQ($A36, "IQ_EBITDA_EST",$B$5, $L$2, "CON", $L$3, $L$5, $L$6))</f>
        <v>-55.5</v>
      </c>
      <c r="AE36" s="413" t="str">
        <f>IF(_xll.ciqfunctions.udf.CIQ($A36, "IQ_EBITDA_EST",$B$6, $L$2, "CON", $L$3, $L$5, $L$6)=0,"n/a",_xll.ciqfunctions.udf.CIQ($A36, "IQ_EBITDA_EST",$B$6, $L$2, "CON", $L$3, $L$5, $L$6))</f>
        <v>n/a</v>
      </c>
      <c r="AF36" s="414">
        <f>IF(ISERROR(_xll.ciqfunctions.udf.CIQ($A36, "IQ_GROSS_MARGIN", IQ_LTM, $L$2,$L$4, $L$3, $L$5, $L$6)/100), "n/a", _xll.ciqfunctions.udf.CIQ($A36,  "IQ_GROSS_MARGIN", IQ_LTM, $L$2, $L$4, $L$3, $L$5, $L$6)/100)</f>
        <v>-2.725835</v>
      </c>
      <c r="AG36" s="414">
        <f>IF(ISERROR(_xll.ciqfunctions.udf.CIQ($A36,"IQ_EBITDA_MARGIN", IQ_LTM, $L$2, $L$4, $L$3, $L$5, $L$6)/100), "n/a", _xll.ciqfunctions.udf.CIQ($A36, "IQ_EBITDA_MARGIN", IQ_LTM, $L$2, $L$4, $L$3, $L$5, $L$6)/100)</f>
        <v>0</v>
      </c>
      <c r="AH36" s="414" t="str">
        <f>IF(ISERROR(_xll.ciqfunctions.udf.CIQ($A36,"IQ_EBIT_MARGIN", IQ_LTM, $L$2, $L$4, $L$3, $L$5, $L$6)/100), "n/a", _xll.ciqfunctions.udf.CIQ($A36, "IQ_EBIT_MARGIN", IQ_LTM, $L$2, $L$4, $L$3, $L$5, $L$6)/100)</f>
        <v>n/a</v>
      </c>
      <c r="AI36" s="414" t="str">
        <f>IF(ISERROR(_xll.ciqfunctions.udf.CIQ($A36,"IQ_NI_MARGIN", IQ_LTM, $L$2, $L$4, $L$3, $L$5, $L$6)/100), "n/a", _xll.ciqfunctions.udf.CIQ($A36, "IQ_NI_MARGIN", IQ_LTM, $L$2, $L$4, $L$3, $L$5, $L$6)/100)</f>
        <v>n/a</v>
      </c>
      <c r="AJ36" s="413">
        <f>_xll.ciqfunctions.udf.CIQ($A36,"IQ_TOTAL_CA",IQ_LTM-8,$L$2, $L$4, $L$3, $L$5, $L$6)-_xll.ciqfunctions.udf.CIQ($A36,"IQ_TOTAL_CL",IQ_LTM-8,$L$2, $L$4, $L$3, $L$5, $L$6)</f>
        <v>19.802</v>
      </c>
      <c r="AK36" s="413">
        <f>_xll.ciqfunctions.udf.CIQ($A36,"IQ_TOTAL_CA",IQ_LTM-4,$L$2, $L$4, $L$3, $L$5, $L$6)-_xll.ciqfunctions.udf.CIQ($A36,"IQ_TOTAL_CL",IQ_LTM-4,$L$2, $L$4, $L$3, $L$5, $L$6)</f>
        <v>21.65</v>
      </c>
      <c r="AL36" s="413">
        <f>_xll.ciqfunctions.udf.CIQ($A36,"IQ_TOTAL_CA",IQ_LTM,$L$2, $L$4, $L$3, $L$5, $L$6)-_xll.ciqfunctions.udf.CIQ($A36,"IQ_TOTAL_CL",IQ_LTM,$L$2, $L$4, $L$3, $L$5, $L$6)</f>
        <v>11.173999999999999</v>
      </c>
      <c r="AM36" s="413">
        <f>IF(ISERROR(_xll.ciqfunctions.udf.CIQ($A36, "IQ_Capex", IQ_LTM-8, $L$2,$L$4, $L$3, $L$5, $L$6)), "n/a", _xll.ciqfunctions.udf.CIQ($A36, "IQ_Capex", IQ_LTM-8, $L$2, $L$4, $L$3, $L$5, $L$6))</f>
        <v>-2.1999999999999999E-2</v>
      </c>
      <c r="AN36" s="413">
        <f>IF(ISERROR(_xll.ciqfunctions.udf.CIQ($A36, "IQ_Capex", IQ_LTM-4, $L$2,$L$4, $L$3, $L$5, $L$6)), "n/a", _xll.ciqfunctions.udf.CIQ($A36, "IQ_Capex", IQ_LTM-4, $L$2,$L$4, $L$3, $L$5, $L$6))</f>
        <v>-7.0000000000000001E-3</v>
      </c>
      <c r="AO36" s="413">
        <f>IF(ISERROR(_xll.ciqfunctions.udf.CIQ($A36, "IQ_Capex", IQ_LTM, $L$2, $L$4, $L$3, $L$5, $L$6)), "n/a", _xll.ciqfunctions.udf.CIQ($A36, "IQ_Capex", IQ_LTM, $L$2, $L$4, $L$3, $L$5, $L$6))</f>
        <v>0</v>
      </c>
      <c r="AP36" s="415" t="str">
        <f>_xll.ciqfunctions.udf.CIQ(A36, "IQ_BUSINESS_DESCRIPTION")</f>
        <v>AVEO Pharmaceuticals, Inc., a biopharmaceutical company, develops and commercializes a portfolio of targeted medicines for oncology and other areas of unmet medical need. It markets its lead candidate, tivozanib, an oral, once-daily, vascular endothelial growth factor receptor tyrosine kinase inhibitor, which is used for the treatment of renal cell carcinoma (RCC). The company has also completed a Phase 3 TIVO-3 trial of tivozanib for the treatment of advanced RCC; and initiated enrollment in a phase Ib/II clinical trial of tivozanib in combination with Opdivo (nivolumab), an immune checkpoint (PD-1) inhibitor, for the treatment of advanced RCC. In addition, it is developing Ficlatuzumab, a potent hepatocyte growth factor inhibitory antibody, in Phase I and Phase II clinical trials in squamous cell carcinoma of the head and neck, metastatic pancreatic ductal cancer, and acute myeloid leukemia; and AV-203, a potent anti-ErbB3 specific monoclonal antibody, which has completed Phase I clinical trial for treating esophageal cancer. The company’s preclinical stage products include AV-380, a potent humanized IgG1 inhibitory monoclonal antibody for the treatment or prevention of cachexia; and AV-353 for the treatment of pulmonary arterial hypertension. It has strategic partnerships with CANbridge Life Sciences Ltd.; EUSA Pharma (UK) Limited; Novartis International Pharmaceutical Ltd.; Biodesix, Inc.; St. Vincent’s Hospital Sydney Limited; Biogen Idec; and Kyowa Hakko Kirin Co., Ltd. The company was formerly known as GenPath Pharmaceuticals, Inc. and changed its name to AVEO Pharmaceuticals, Inc. in March 2005. AVEO Pharmaceuticals, Inc. was incorporated in 2001 and is based in Cambridge, Massachusetts.</v>
      </c>
      <c r="AQ36" s="416">
        <f>_xll.ciqfunctions.udf.CIQ($A36, "IQ_BETA_1YR", $B$1)</f>
        <v>-0.14817</v>
      </c>
      <c r="AR36" s="416">
        <f>_xll.ciqfunctions.udf.CIQ($A36, "IQ_BETA_2YR", $B$1)</f>
        <v>0.37068000000000001</v>
      </c>
      <c r="AS36" s="416">
        <f>_xll.ciqfunctions.udf.CIQ($A36, "IQ_BETA_5YR", $B$1)</f>
        <v>1.61704</v>
      </c>
      <c r="AT36" s="414">
        <f>_xll.ciqfunctions.udf.CIQ($A36, "IQ_DIVIDEND_YIELD", $B$1)/100</f>
        <v>0</v>
      </c>
      <c r="AU36" s="413">
        <f>_xll.ciqfunctions.udf.CIQ($A36, "IQ_EARNING_CO", IQ_LTM-8, $L$2, $L$4, $L$3, $L$5, $L$6)</f>
        <v>-11.837</v>
      </c>
      <c r="AV36" s="413">
        <f>_xll.ciqfunctions.udf.CIQ($A36, "IQ_EARNING_CO", IQ_LTM-4, $L$2, $L$4, $L$3, $L$5, $L$6)</f>
        <v>-28.016999999999999</v>
      </c>
      <c r="AW36" s="413">
        <f>_xll.ciqfunctions.udf.CIQ($A36, "IQ_EARNING_CO", IQ_LTM, $L$2, $L$4, $L$3, $L$5, $L$6)</f>
        <v>-65.173000000000002</v>
      </c>
      <c r="AX36" s="413">
        <f>_xll.ciqfunctions.udf.CIQ($A36, "IQ_EARNING_CO", $B$2, $L$2, $L$4, $L$3, $L$5, $L$6)</f>
        <v>-26.887</v>
      </c>
      <c r="AY36" s="413">
        <f>IF(_xll.ciqfunctions.udf.CIQ($A36, "IQ_EARNING_CO", $B$3, $L$2,$L$4, $L$3, $L$5, $L$6)=0,AW36,_xll.ciqfunctions.udf.CIQ($A36, "IQ_EARNING_CO", $B$3, $L$2,$L$4, $L$3, $L$5, $L$6))</f>
        <v>-65.025000000000006</v>
      </c>
      <c r="AZ36" s="413">
        <f>_xll.ciqfunctions.udf.CIQ($A36, "IQ_TOTAL_EQUITY", IQ_LTM-8, $L$2, $L$4, $L$3, $L$5, $L$6)</f>
        <v>9.9149999999999991</v>
      </c>
      <c r="BA36" s="413">
        <f>_xll.ciqfunctions.udf.CIQ($A36, "IQ_TOTAL_EQUITY", IQ_LTM-4, $L$2, $L$4, $L$3, $L$5, $L$6)</f>
        <v>4.9109999999999996</v>
      </c>
      <c r="BB36" s="413">
        <f>_xll.ciqfunctions.udf.CIQ($A36, "IQ_TOTAL_EQUITY", IQ_LTM, $L$2, $L$4, $L$3, $L$5, $L$6)</f>
        <v>-50.244999999999997</v>
      </c>
      <c r="BC36" s="413">
        <f>_xll.ciqfunctions.udf.CIQ($A36, "IQ_TOTAL_EQUITY", $B$2, $L$2, $L$4, $L$3, $L$5, $L$6)</f>
        <v>-1.923</v>
      </c>
      <c r="BD36" s="413">
        <f>IF(_xll.ciqfunctions.udf.CIQ($A36, "IQ_TOTAL_EQUITY", $B$3, $L$2,$L$4, $L$3, $L$5, $L$6)=0,BB36,_xll.ciqfunctions.udf.CIQ($A36, "IQ_TOTAL_EQUITY", $B$3, $L$2,$L$4, $L$3, $L$5, $L$6))</f>
        <v>-40.762999999999998</v>
      </c>
      <c r="BE36" s="413">
        <f>_xll.ciqfunctions.udf.CIQ(A36, "IQ_LASTSALEPRICE", $B$8)</f>
        <v>2.9</v>
      </c>
      <c r="BF36" s="413">
        <f>_xll.ciqfunctions.udf.CIQ($A36, "IQ_MARKETCAP", $B$8, $L$5, $L$6)</f>
        <v>344.71566999999999</v>
      </c>
      <c r="BG36" s="413">
        <f>_xll.ciqfunctions.udf.CIQ($A36, "IQ_TOTAL_DEBT", IQ_LTM, $B$8,$L$4, $L$3, $L$5, $L$6)</f>
        <v>18.477</v>
      </c>
      <c r="BH36" s="371">
        <f>_xll.ciqfunctions.udf.CIQ($A36,"IQ_PREF_EQUITY",IQ_LTM,$B$8,$L$4,$L$3,$L$5,$L$6)</f>
        <v>0</v>
      </c>
      <c r="BI36" s="371">
        <f>_xll.ciqfunctions.udf.CIQ($A36, "IQ_MINORITY_INTEREST_TOTAL", IQ_LTM,$B$8,$L$4,$L$3,$L$5,$L$6)</f>
        <v>0</v>
      </c>
      <c r="BJ36" s="413">
        <f>_xll.ciqfunctions.udf.CIQ($A36, "IQ_CASH_ST_INVEST", IQ_LTM, $B$8, $L$4, $L$3, $L$5, $L$6)</f>
        <v>33.524999999999999</v>
      </c>
      <c r="BK36" s="371" t="str">
        <f>_xll.ciqfunctions.udf.CIQ($A36, "IQ_EFFECT_TAX_RATE")</f>
        <v>NM</v>
      </c>
      <c r="BL36" s="371">
        <f>IF(_xll.ciqfunctions.udf.CIQ($A36, "IQ_TOTAL_REV_2YR_ANN_CAGR", IQ_LTM, $B$1,$L$4, $L$3, $L$5, $L$6)="NM","n/a",(_xll.ciqfunctions.udf.CIQ($A36, "IQ_TOTAL_REV_2YR_ANN_CAGR", IQ_LTM, $B$1,$L$4, $L$3, $L$5, $L$6)/100))</f>
        <v>-0.45023299999999999</v>
      </c>
      <c r="BM36" s="371">
        <f>IF(_xll.ciqfunctions.udf.CIQ($A36, "IQ_TOTAL_REV_3YR_ANN_CAGR", IQ_LTM, $B$1,$L$4, $L$3, $L$5, $L$6)="NM","n/a",(_xll.ciqfunctions.udf.CIQ($A36, "IQ_TOTAL_REV_3YR_ANN_CAGR", IQ_LTM, $B$1,$L$4, $L$3, $L$5, $L$6)/100))</f>
        <v>0.26954</v>
      </c>
      <c r="BN36" s="371">
        <f>IF(_xll.ciqfunctions.udf.CIQ($A36, "IQ_TOTAL_REV_5YR_ANN_CAGR", IQ_LTM, $B$1,$L$4, $L$3, $L$5, $L$6)="NM","n/a",(_xll.ciqfunctions.udf.CIQ($A36, "IQ_TOTAL_REV_5YR_ANN_CAGR", IQ_LTM, $B$1,$L$4, $L$3, $L$5, $L$6)/100))</f>
        <v>-0.201849</v>
      </c>
      <c r="BO36" s="371">
        <f>IF(_xll.ciqfunctions.udf.CIQ($A36,"IQ_EBITDA_2YR_ANN_CAGR", IQ_LTM,$B$1,$L$4, $L$3, $L$5, $L$6)="NM","n/a",(_xll.ciqfunctions.udf.CIQ($A36,"IQ_EBITDA_2YR_ANN_CAGR", IQ_LTM,$B$1,$L$4, $L$3, $L$5, $L$6)/100))</f>
        <v>0</v>
      </c>
      <c r="BP36" s="371">
        <f>IF(_xll.ciqfunctions.udf.CIQ($A36,"IQ_EBITDA_3YR_ANN_CAGR", IQ_LTM,$B$1,$L$4, $L$3, $L$5, $L$6)="NM","n/a",(_xll.ciqfunctions.udf.CIQ($A36,"IQ_EBITDA_3YR_ANN_CAGR", IQ_LTM,$B$1,$L$4, $L$3, $L$5, $L$6)/100))</f>
        <v>0</v>
      </c>
      <c r="BQ36" s="371">
        <f>IF(_xll.ciqfunctions.udf.CIQ($A36,"IQ_EBITDA_5YR_ANN_CAGR", IQ_LTM,$B$1,$L$4, $L$3, $L$5, $L$6)="NM","n/a",(_xll.ciqfunctions.udf.CIQ($A36,"IQ_EBITDA_5YR_ANN_CAGR", IQ_LTM,$B$1,$L$4, $L$3, $L$5, $L$6)/100))</f>
        <v>0</v>
      </c>
      <c r="BR36" s="375">
        <f>IFERROR((_xll.ciqfunctions.udf.CIQ($A36, "IQ_DA_CF", IQ_LTM, $B$1, $L$4, $L$3, $L$5, $L$6)/Q36),"NM")</f>
        <v>0</v>
      </c>
      <c r="BS36" s="417">
        <f>'Capital IQ Sheet-GPC'!BS36</f>
        <v>0.64238582139805211</v>
      </c>
      <c r="BT36" s="417">
        <f>'Capital IQ Sheet-GPC'!BT36</f>
        <v>0.80569706584351064</v>
      </c>
      <c r="BU36" s="417">
        <f>'Capital IQ Sheet-GPC'!BU36</f>
        <v>0.78126941231523839</v>
      </c>
      <c r="BV36" s="417">
        <f>'Capital IQ Sheet-GPC'!BV36</f>
        <v>0.81853123590133092</v>
      </c>
      <c r="BW36" s="417">
        <f>'Capital IQ Sheet-GPC'!BW36</f>
        <v>0.7640873487153691</v>
      </c>
      <c r="BX36" s="417">
        <f>'Capital IQ Sheet-GPC'!BX36</f>
        <v>0.81245388350940684</v>
      </c>
      <c r="BY36" s="417">
        <f>'Capital IQ Sheet-GPC'!BY36</f>
        <v>0.77490205003981816</v>
      </c>
      <c r="BZ36" s="417">
        <f>'Capital IQ Sheet-GPC'!BZ36</f>
        <v>0.75339036861295994</v>
      </c>
      <c r="CB36" s="371">
        <v>2</v>
      </c>
      <c r="CC36" s="495" t="s">
        <v>150</v>
      </c>
      <c r="CD36" s="495" t="s">
        <v>149</v>
      </c>
      <c r="CE36" s="373">
        <f t="shared" si="0"/>
        <v>42551</v>
      </c>
    </row>
    <row r="37" spans="1:83" s="371" customFormat="1" ht="12.75">
      <c r="A37" s="372" t="str">
        <f>_xll.ciqfunctions.udf.CIQ($B37,"IQ_COMPANY_TICKER")</f>
        <v>AMEX:BTX</v>
      </c>
      <c r="B37" s="412" t="str">
        <f>'Capital IQ Sheet-GPC'!B37</f>
        <v>IQ25622</v>
      </c>
      <c r="C37" s="372" t="str">
        <f>_xll.ciqfunctions.udf.CIQ($A37,"IQ_COMPANY_NAME")</f>
        <v>BioTime, Inc.</v>
      </c>
      <c r="D37" s="372" t="str">
        <f>_xll.ciqfunctions.udf.CIQ($A37, "IQ_EXCHANGE")</f>
        <v>AMEX</v>
      </c>
      <c r="E37" s="411">
        <f>_xll.ciqfunctions.udf.CIQ($A37, "IQ_PERIODDATE_IS", IQ_FY)</f>
        <v>43100</v>
      </c>
      <c r="F37" s="411">
        <f>_xll.ciqfunctions.udf.CIQ(A37, "IQ_PERIODDATE_IS", IQ_LTM, $B$1,$L$4,$L$3)</f>
        <v>43190</v>
      </c>
      <c r="G37" s="411">
        <f>_xll.ciqfunctions.udf.CIQ($A37, "IQ_FIRSTPRICINGDATE")</f>
        <v>33668</v>
      </c>
      <c r="H37" s="413">
        <f>_xll.ciqfunctions.udf.CIQ($A37, "IQ_TEV", $L$2, $L$5, $L$6)</f>
        <v>233.89886999999999</v>
      </c>
      <c r="I37" s="413">
        <f>_xll.ciqfunctions.udf.CIQ(A37, "IQ_LASTSALEPRICE", $B$1,$L$5)</f>
        <v>2.06</v>
      </c>
      <c r="J37" s="413">
        <f>_xll.ciqfunctions.udf.CIQ($A37, "IQ_MARKETCAP", $L$2, $L$5, $L$6)</f>
        <v>261.35887000000002</v>
      </c>
      <c r="K37" s="413">
        <f>_xll.ciqfunctions.udf.CIQ($A37, "IQ_TOTAL_DEBT", IQ_LTM, $L$2,$L$4, $L$3, $L$5, $L$6)</f>
        <v>1.4319999999999999</v>
      </c>
      <c r="L37" s="413">
        <f>_xll.ciqfunctions.udf.CIQ($A37, "IQ_PREF_EQUITY", IQ_LTM, $L$2, $L$4, $L$3, $L$5, $L$6)</f>
        <v>0</v>
      </c>
      <c r="M37" s="413">
        <f>_xll.ciqfunctions.udf.CIQ($A37, "IQ_MINORITY_INTEREST_TOTAL", IQ_LTM, $L$2, $L$4, $L$3, $L$5, $L$6)</f>
        <v>2.4870000000000001</v>
      </c>
      <c r="N37" s="413">
        <f>_xll.ciqfunctions.udf.CIQ($A37, "IQ_CASH_ST_INVEST", IQ_LTM, $L$2, $L$4, $L$3, $L$5, $L$6)</f>
        <v>31.379000000000001</v>
      </c>
      <c r="O37" s="413">
        <f>_xll.ciqfunctions.udf.CIQ($A37, "IQ_TOTAL_REV", IQ_LTM-8, $L$2, $L$4, $L$3, $L$5, $L$6)</f>
        <v>7.8449999999999998</v>
      </c>
      <c r="P37" s="413">
        <f>_xll.ciqfunctions.udf.CIQ($A37, "IQ_TOTAL_REV", IQ_LTM - 4, $L$2, $L$4, $L$3, $L$5,$L$6)</f>
        <v>4.24</v>
      </c>
      <c r="Q37" s="413">
        <f>_xll.ciqfunctions.udf.CIQ($A37, "IQ_TOTAL_REV", IQ_LTM, $L$2, $L$4, $L$3, $L$5, $L$6)</f>
        <v>3.7690000000000001</v>
      </c>
      <c r="R37" s="413">
        <f>_xll.ciqfunctions.udf.CIQ($A37, "IQ_TOTAL_REV", $B$2, $L$2, $L$4, $L$3, $L$5, $L$6)</f>
        <v>5.923</v>
      </c>
      <c r="S37" s="413">
        <f>IF(_xll.ciqfunctions.udf.CIQ($A37, "IQ_TOTAL_REV", $B$3, $L$2,$L$4, $L$3, $L$5, $L$6)=0,Q37,_xll.ciqfunctions.udf.CIQ($A37, "IQ_TOTAL_REV", $B$3, $L$2,$L$4, $L$3, $L$5, $L$6))</f>
        <v>3.4580000000000002</v>
      </c>
      <c r="T37" s="413">
        <f>IF(_xll.ciqfunctions.udf.CIQ($A37, "IQ_REVENUE_EST",$B$4, $L$2, "CON", $L$3, $L$5, $L$6)=0,"n/a",_xll.ciqfunctions.udf.CIQ($A37, "IQ_REVENUE_EST",$B$4, $L$2, "CON", $L$3, $L$5, $L$6))</f>
        <v>2.3733300000000002</v>
      </c>
      <c r="U37" s="413">
        <f>IF(_xll.ciqfunctions.udf.CIQ($A37, "IQ_REVENUE_EST",$B$5, $L$2, "CON", $L$3, $L$5, $L$6)=0,"n/a",_xll.ciqfunctions.udf.CIQ($A37, "IQ_REVENUE_EST",$B$5, $L$2, "CON", $L$3, $L$5, $L$6))</f>
        <v>6.3353299999999999</v>
      </c>
      <c r="V37" s="413">
        <f>IF(_xll.ciqfunctions.udf.CIQ($A37, "IQ_REVENUE_EST",$B$6, $L$2, "CON", $L$3, $L$5, $L$6)=0,"n/a",_xll.ciqfunctions.udf.CIQ($A37, "IQ_REVENUE_EST",$B$6, $L$2, "CON", $L$3, $L$5, $L$6))</f>
        <v>8.0020000000000007</v>
      </c>
      <c r="W37" s="413">
        <f>IF(_xll.ciqfunctions.udf.CIQ($A37, "IQ_REVENUE_EST", $B$7, $L$2, "CON", $L$3, $L$5, $L$6)=0,"n/a",_xll.ciqfunctions.udf.CIQ($A37, "IQ_REVENUE_EST",$B$7, $L$2, "CON", $L$3, $L$5, $L$6))</f>
        <v>15.234999999999999</v>
      </c>
      <c r="X37" s="413">
        <f>_xll.ciqfunctions.udf.CIQ($A37, "IQ_EBITDA", IQ_LTM-8, $L$2, $L$4, $L$3, $L$5, $L$6)</f>
        <v>-69.564999999999998</v>
      </c>
      <c r="Y37" s="413">
        <f>_xll.ciqfunctions.udf.CIQ($A37, "IQ_EBITDA", IQ_LTM-4, $L$2,$L$4, $L$3, $L$5, $L$6)</f>
        <v>-42.639000000000003</v>
      </c>
      <c r="Z37" s="413">
        <f>_xll.ciqfunctions.udf.CIQ($A37, "IQ_EBITDA", IQ_LTM, $L$2, $L$4, $L$3, $L$5, $L$6)</f>
        <v>-36.64</v>
      </c>
      <c r="AA37" s="413">
        <f>_xll.ciqfunctions.udf.CIQ($A37, "IQ_EBITDA", $B$2, $L$2, $L$4, $L$3, $L$5, $L$6)</f>
        <v>-54.21</v>
      </c>
      <c r="AB37" s="413">
        <f>IF(_xll.ciqfunctions.udf.CIQ($A37, "IQ_EBITDA", $B$3, $L$2,$L$4, $L$3, $L$5, $L$6)=0,Z37,_xll.ciqfunctions.udf.CIQ($A37, "IQ_EBITDA", $B$3, $L$2,$L$4, $L$3, $L$5, $L$6))</f>
        <v>-37.36</v>
      </c>
      <c r="AC37" s="413" t="str">
        <f>IF(_xll.ciqfunctions.udf.CIQ($A37, "IQ_EBITDA_EST",$B$4, $L$2, "CON", $L$3, $L$5, $L$6)=0,"n/a",_xll.ciqfunctions.udf.CIQ($A37, "IQ_EBITDA_EST",$B$4, $L$2, "CON", $L$3, $L$5, $L$6))</f>
        <v>n/a</v>
      </c>
      <c r="AD37" s="413" t="str">
        <f>IF(_xll.ciqfunctions.udf.CIQ($A37, "IQ_EBITDA_EST",$B$5, $L$2, "CON", $L$3, $L$5, $L$6)=0,"n/a",_xll.ciqfunctions.udf.CIQ($A37, "IQ_EBITDA_EST",$B$5, $L$2, "CON", $L$3, $L$5, $L$6))</f>
        <v>n/a</v>
      </c>
      <c r="AE37" s="413" t="str">
        <f>IF(_xll.ciqfunctions.udf.CIQ($A37, "IQ_EBITDA_EST",$B$6, $L$2, "CON", $L$3, $L$5, $L$6)=0,"n/a",_xll.ciqfunctions.udf.CIQ($A37, "IQ_EBITDA_EST",$B$6, $L$2, "CON", $L$3, $L$5, $L$6))</f>
        <v>n/a</v>
      </c>
      <c r="AF37" s="414">
        <f>IF(ISERROR(_xll.ciqfunctions.udf.CIQ($A37, "IQ_GROSS_MARGIN", IQ_LTM, $L$2,$L$4, $L$3, $L$5, $L$6)/100), "n/a", _xll.ciqfunctions.udf.CIQ($A37,  "IQ_GROSS_MARGIN", IQ_LTM, $L$2, $L$4, $L$3, $L$5, $L$6)/100)</f>
        <v>0.94162899999999994</v>
      </c>
      <c r="AG37" s="414" t="str">
        <f>IF(ISERROR(_xll.ciqfunctions.udf.CIQ($A37,"IQ_EBITDA_MARGIN", IQ_LTM, $L$2, $L$4, $L$3, $L$5, $L$6)/100), "n/a", _xll.ciqfunctions.udf.CIQ($A37, "IQ_EBITDA_MARGIN", IQ_LTM, $L$2, $L$4, $L$3, $L$5, $L$6)/100)</f>
        <v>n/a</v>
      </c>
      <c r="AH37" s="414" t="str">
        <f>IF(ISERROR(_xll.ciqfunctions.udf.CIQ($A37,"IQ_EBIT_MARGIN", IQ_LTM, $L$2, $L$4, $L$3, $L$5, $L$6)/100), "n/a", _xll.ciqfunctions.udf.CIQ($A37, "IQ_EBIT_MARGIN", IQ_LTM, $L$2, $L$4, $L$3, $L$5, $L$6)/100)</f>
        <v>n/a</v>
      </c>
      <c r="AI37" s="414" t="str">
        <f>IF(ISERROR(_xll.ciqfunctions.udf.CIQ($A37,"IQ_NI_MARGIN", IQ_LTM, $L$2, $L$4, $L$3, $L$5, $L$6)/100), "n/a", _xll.ciqfunctions.udf.CIQ($A37, "IQ_NI_MARGIN", IQ_LTM, $L$2, $L$4, $L$3, $L$5, $L$6)/100)</f>
        <v>n/a</v>
      </c>
      <c r="AJ37" s="413">
        <f>_xll.ciqfunctions.udf.CIQ($A37,"IQ_TOTAL_CA",IQ_LTM-8,$L$2, $L$4, $L$3, $L$5, $L$6)-_xll.ciqfunctions.udf.CIQ($A37,"IQ_TOTAL_CL",IQ_LTM-8,$L$2, $L$4, $L$3, $L$5, $L$6)</f>
        <v>19.237999999999996</v>
      </c>
      <c r="AK37" s="413">
        <f>_xll.ciqfunctions.udf.CIQ($A37,"IQ_TOTAL_CA",IQ_LTM-4,$L$2, $L$4, $L$3, $L$5, $L$6)-_xll.ciqfunctions.udf.CIQ($A37,"IQ_TOTAL_CL",IQ_LTM-4,$L$2, $L$4, $L$3, $L$5, $L$6)</f>
        <v>20.437000000000001</v>
      </c>
      <c r="AL37" s="413">
        <f>_xll.ciqfunctions.udf.CIQ($A37,"IQ_TOTAL_CA",IQ_LTM,$L$2, $L$4, $L$3, $L$5, $L$6)-_xll.ciqfunctions.udf.CIQ($A37,"IQ_TOTAL_CL",IQ_LTM,$L$2, $L$4, $L$3, $L$5, $L$6)</f>
        <v>30.315999999999999</v>
      </c>
      <c r="AM37" s="413">
        <f>IF(ISERROR(_xll.ciqfunctions.udf.CIQ($A37, "IQ_Capex", IQ_LTM-8, $L$2,$L$4, $L$3, $L$5, $L$6)), "n/a", _xll.ciqfunctions.udf.CIQ($A37, "IQ_Capex", IQ_LTM-8, $L$2, $L$4, $L$3, $L$5, $L$6))</f>
        <v>-5.8109999999999999</v>
      </c>
      <c r="AN37" s="413">
        <f>IF(ISERROR(_xll.ciqfunctions.udf.CIQ($A37, "IQ_Capex", IQ_LTM-4, $L$2,$L$4, $L$3, $L$5, $L$6)), "n/a", _xll.ciqfunctions.udf.CIQ($A37, "IQ_Capex", IQ_LTM-4, $L$2,$L$4, $L$3, $L$5, $L$6))</f>
        <v>-1.891</v>
      </c>
      <c r="AO37" s="413">
        <f>IF(ISERROR(_xll.ciqfunctions.udf.CIQ($A37, "IQ_Capex", IQ_LTM, $L$2, $L$4, $L$3, $L$5, $L$6)), "n/a", _xll.ciqfunctions.udf.CIQ($A37, "IQ_Capex", IQ_LTM, $L$2, $L$4, $L$3, $L$5, $L$6))</f>
        <v>-1.3089999999999999</v>
      </c>
      <c r="AP37" s="415" t="str">
        <f>_xll.ciqfunctions.udf.CIQ(A37, "IQ_BUSINESS_DESCRIPTION")</f>
        <v>BioTime, Inc., a clinical-stage biotechnology company, focuses on developing and commercializing products addressing degenerative diseases based on pluripotent stem cells and HyStem cell/drug delivery platform technologies primarily in the United States and Israel. The company’s lead product candidates include OpRegen, a retinal pigment epithelium cell replacement therapy, which is in Phase I/IIa multicenter trial for the treatment of the dry age-related macular degeneration; and Renevia, a facial aesthetics product that is in pivotal clinical trial for the treatment of HIV-associated facial lipoatrophy. It also develops Premvia, a HyStem hydrogel formulation for use in the treatment of age-related facial lipoatrophy, as well as for the management of wounds, including partial and full-thickness wounds, ulcers, tunneled/undermined wounds, surgical wounds, and burns; and ReGlyde, a HyStem product in preclinical development as a device for viscosupplementation, and as a platform for intraarticular drug delivery in osteoarthritis. In addition, the company through its subsidiary, AgeX Therapeutics, Inc., develops AGEX-BAT1 that consists of pluripotent stem cell-derived brown adipocytes for the treatment of type 2 diabetes; AGEX-VASC1, which consists of vascular progenitors targeting cardiac ischemia; and induced tissue regeneration, a systemic therapy for inducing the scar less regeneration of tissues. Further, it markets GeneCards, a human gene database; MalaCards, a human disease database; and Hextend, a plasma volume expander used to treat or prevent hypovolemia, including albumin, generic 6% hetastarch solutions, and crystalloid solutions. BioTime, Inc. was founded in 1990 and is based in Alameda, California.</v>
      </c>
      <c r="AQ37" s="416">
        <f>_xll.ciqfunctions.udf.CIQ($A37, "IQ_BETA_1YR", $B$1)</f>
        <v>1.39717</v>
      </c>
      <c r="AR37" s="416">
        <f>_xll.ciqfunctions.udf.CIQ($A37, "IQ_BETA_2YR", $B$1)</f>
        <v>1.6478699999999999</v>
      </c>
      <c r="AS37" s="416">
        <f>_xll.ciqfunctions.udf.CIQ($A37, "IQ_BETA_5YR", $B$1)</f>
        <v>2.0350600000000001</v>
      </c>
      <c r="AT37" s="414">
        <f>_xll.ciqfunctions.udf.CIQ($A37, "IQ_DIVIDEND_YIELD", $B$1)/100</f>
        <v>0</v>
      </c>
      <c r="AU37" s="413">
        <f>_xll.ciqfunctions.udf.CIQ($A37, "IQ_EARNING_CO", IQ_LTM-8, $L$2, $L$4, $L$3, $L$5, $L$6)</f>
        <v>-69.540999999999997</v>
      </c>
      <c r="AV37" s="413">
        <f>_xll.ciqfunctions.udf.CIQ($A37, "IQ_EARNING_CO", IQ_LTM-4, $L$2, $L$4, $L$3, $L$5, $L$6)</f>
        <v>89.641999999999996</v>
      </c>
      <c r="AW37" s="413">
        <f>_xll.ciqfunctions.udf.CIQ($A37, "IQ_EARNING_CO", IQ_LTM, $L$2, $L$4, $L$3, $L$5, $L$6)</f>
        <v>-134.011</v>
      </c>
      <c r="AX37" s="413">
        <f>_xll.ciqfunctions.udf.CIQ($A37, "IQ_EARNING_CO", $B$2, $L$2, $L$4, $L$3, $L$5, $L$6)</f>
        <v>18.620999999999999</v>
      </c>
      <c r="AY37" s="413">
        <f>IF(_xll.ciqfunctions.udf.CIQ($A37, "IQ_EARNING_CO", $B$3, $L$2,$L$4, $L$3, $L$5, $L$6)=0,AW37,_xll.ciqfunctions.udf.CIQ($A37, "IQ_EARNING_CO", $B$3, $L$2,$L$4, $L$3, $L$5, $L$6))</f>
        <v>-23.289000000000001</v>
      </c>
      <c r="AZ37" s="413">
        <f>_xll.ciqfunctions.udf.CIQ($A37, "IQ_TOTAL_EQUITY", IQ_LTM-8, $L$2, $L$4, $L$3, $L$5, $L$6)</f>
        <v>59.591999999999999</v>
      </c>
      <c r="BA37" s="413">
        <f>_xll.ciqfunctions.udf.CIQ($A37, "IQ_TOTAL_EQUITY", IQ_LTM-4, $L$2, $L$4, $L$3, $L$5, $L$6)</f>
        <v>189.697</v>
      </c>
      <c r="BB37" s="413">
        <f>_xll.ciqfunctions.udf.CIQ($A37, "IQ_TOTAL_EQUITY", IQ_LTM, $L$2, $L$4, $L$3, $L$5, $L$6)</f>
        <v>102.455</v>
      </c>
      <c r="BC37" s="413">
        <f>_xll.ciqfunctions.udf.CIQ($A37, "IQ_TOTAL_EQUITY", $B$2, $L$2, $L$4, $L$3, $L$5, $L$6)</f>
        <v>130.50800000000001</v>
      </c>
      <c r="BD37" s="413">
        <f>IF(_xll.ciqfunctions.udf.CIQ($A37, "IQ_TOTAL_EQUITY", $B$3, $L$2,$L$4, $L$3, $L$5, $L$6)=0,BB37,_xll.ciqfunctions.udf.CIQ($A37, "IQ_TOTAL_EQUITY", $B$3, $L$2,$L$4, $L$3, $L$5, $L$6))</f>
        <v>164.26300000000001</v>
      </c>
      <c r="BE37" s="413">
        <f>_xll.ciqfunctions.udf.CIQ(A37, "IQ_LASTSALEPRICE", $B$8)</f>
        <v>2.69</v>
      </c>
      <c r="BF37" s="413">
        <f>_xll.ciqfunctions.udf.CIQ($A37, "IQ_MARKETCAP", $B$8, $L$5, $L$6)</f>
        <v>341.27802000000003</v>
      </c>
      <c r="BG37" s="413">
        <f>_xll.ciqfunctions.udf.CIQ($A37, "IQ_TOTAL_DEBT", IQ_LTM, $B$8,$L$4, $L$3, $L$5, $L$6)</f>
        <v>1.5329999999999999</v>
      </c>
      <c r="BH37" s="371">
        <f>_xll.ciqfunctions.udf.CIQ($A37,"IQ_PREF_EQUITY",IQ_LTM,$B$8,$L$4,$L$3,$L$5,$L$6)</f>
        <v>0</v>
      </c>
      <c r="BI37" s="371">
        <f>_xll.ciqfunctions.udf.CIQ($A37, "IQ_MINORITY_INTEREST_TOTAL", IQ_LTM,$B$8,$L$4,$L$3,$L$5,$L$6)</f>
        <v>1.6220000000000001</v>
      </c>
      <c r="BJ37" s="413">
        <f>_xll.ciqfunctions.udf.CIQ($A37, "IQ_CASH_ST_INVEST", IQ_LTM, $B$8, $L$4, $L$3, $L$5, $L$6)</f>
        <v>38.174999999999997</v>
      </c>
      <c r="BK37" s="371">
        <f>_xll.ciqfunctions.udf.CIQ($A37, "IQ_EFFECT_TAX_RATE")</f>
        <v>0</v>
      </c>
      <c r="BL37" s="371">
        <f>IF(_xll.ciqfunctions.udf.CIQ($A37, "IQ_TOTAL_REV_2YR_ANN_CAGR", IQ_LTM, $B$1,$L$4, $L$3, $L$5, $L$6)="NM","n/a",(_xll.ciqfunctions.udf.CIQ($A37, "IQ_TOTAL_REV_2YR_ANN_CAGR", IQ_LTM, $B$1,$L$4, $L$3, $L$5, $L$6)/100))</f>
        <v>-0.306867</v>
      </c>
      <c r="BM37" s="371">
        <f>IF(_xll.ciqfunctions.udf.CIQ($A37, "IQ_TOTAL_REV_3YR_ANN_CAGR", IQ_LTM, $B$1,$L$4, $L$3, $L$5, $L$6)="NM","n/a",(_xll.ciqfunctions.udf.CIQ($A37, "IQ_TOTAL_REV_3YR_ANN_CAGR", IQ_LTM, $B$1,$L$4, $L$3, $L$5, $L$6)/100))</f>
        <v>-0.11521200000000001</v>
      </c>
      <c r="BN37" s="371">
        <f>IF(_xll.ciqfunctions.udf.CIQ($A37, "IQ_TOTAL_REV_5YR_ANN_CAGR", IQ_LTM, $B$1,$L$4, $L$3, $L$5, $L$6)="NM","n/a",(_xll.ciqfunctions.udf.CIQ($A37, "IQ_TOTAL_REV_5YR_ANN_CAGR", IQ_LTM, $B$1,$L$4, $L$3, $L$5, $L$6)/100))</f>
        <v>-5.6649999999999999E-3</v>
      </c>
      <c r="BO37" s="371" t="str">
        <f>IF(_xll.ciqfunctions.udf.CIQ($A37,"IQ_EBITDA_2YR_ANN_CAGR", IQ_LTM,$B$1,$L$4, $L$3, $L$5, $L$6)="NM","n/a",(_xll.ciqfunctions.udf.CIQ($A37,"IQ_EBITDA_2YR_ANN_CAGR", IQ_LTM,$B$1,$L$4, $L$3, $L$5, $L$6)/100))</f>
        <v>n/a</v>
      </c>
      <c r="BP37" s="371" t="str">
        <f>IF(_xll.ciqfunctions.udf.CIQ($A37,"IQ_EBITDA_3YR_ANN_CAGR", IQ_LTM,$B$1,$L$4, $L$3, $L$5, $L$6)="NM","n/a",(_xll.ciqfunctions.udf.CIQ($A37,"IQ_EBITDA_3YR_ANN_CAGR", IQ_LTM,$B$1,$L$4, $L$3, $L$5, $L$6)/100))</f>
        <v>n/a</v>
      </c>
      <c r="BQ37" s="371" t="str">
        <f>IF(_xll.ciqfunctions.udf.CIQ($A37,"IQ_EBITDA_5YR_ANN_CAGR", IQ_LTM,$B$1,$L$4, $L$3, $L$5, $L$6)="NM","n/a",(_xll.ciqfunctions.udf.CIQ($A37,"IQ_EBITDA_5YR_ANN_CAGR", IQ_LTM,$B$1,$L$4, $L$3, $L$5, $L$6)/100))</f>
        <v>n/a</v>
      </c>
      <c r="BR37" s="375">
        <f>IFERROR((_xll.ciqfunctions.udf.CIQ($A37, "IQ_DA_CF", IQ_LTM, $B$1, $L$4, $L$3, $L$5, $L$6)/Q37),"NM")</f>
        <v>0.88644202706288144</v>
      </c>
      <c r="BS37" s="417">
        <f>'Capital IQ Sheet-GPC'!BS37</f>
        <v>0.4733738040280821</v>
      </c>
      <c r="BT37" s="417">
        <f>'Capital IQ Sheet-GPC'!BT37</f>
        <v>0.49807450607799941</v>
      </c>
      <c r="BU37" s="417">
        <f>'Capital IQ Sheet-GPC'!BU37</f>
        <v>0.5704375475118042</v>
      </c>
      <c r="BV37" s="417">
        <f>'Capital IQ Sheet-GPC'!BV37</f>
        <v>0.57622206874852833</v>
      </c>
      <c r="BW37" s="417">
        <f>'Capital IQ Sheet-GPC'!BW37</f>
        <v>0.55991745269550841</v>
      </c>
      <c r="BX37" s="417">
        <f>'Capital IQ Sheet-GPC'!BX37</f>
        <v>0.55652423222443714</v>
      </c>
      <c r="BY37" s="417">
        <f>'Capital IQ Sheet-GPC'!BY37</f>
        <v>0.57819565801864048</v>
      </c>
      <c r="BZ37" s="417">
        <f>'Capital IQ Sheet-GPC'!BZ37</f>
        <v>0.58388735351943744</v>
      </c>
      <c r="CB37" s="371">
        <v>2</v>
      </c>
      <c r="CC37" s="495" t="s">
        <v>150</v>
      </c>
      <c r="CD37" s="495" t="s">
        <v>149</v>
      </c>
      <c r="CE37" s="373">
        <f t="shared" si="0"/>
        <v>42551</v>
      </c>
    </row>
    <row r="38" spans="1:83" s="371" customFormat="1" ht="12.75">
      <c r="A38" s="372" t="str">
        <f>_xll.ciqfunctions.udf.CIQ($B38,"IQ_COMPANY_TICKER")</f>
        <v>NasdaqGS:CYTK</v>
      </c>
      <c r="B38" s="412" t="str">
        <f>'Capital IQ Sheet-GPC'!B38</f>
        <v>IQ27315</v>
      </c>
      <c r="C38" s="372" t="str">
        <f>_xll.ciqfunctions.udf.CIQ($A38,"IQ_COMPANY_NAME")</f>
        <v>Cytokinetics, Incorporated</v>
      </c>
      <c r="D38" s="372" t="str">
        <f>_xll.ciqfunctions.udf.CIQ($A38, "IQ_EXCHANGE")</f>
        <v>NasdaqGS</v>
      </c>
      <c r="E38" s="411">
        <f>_xll.ciqfunctions.udf.CIQ($A38, "IQ_PERIODDATE_IS", IQ_FY)</f>
        <v>43100</v>
      </c>
      <c r="F38" s="411">
        <f>_xll.ciqfunctions.udf.CIQ(A38, "IQ_PERIODDATE_IS", IQ_LTM, $B$1,$L$4,$L$3)</f>
        <v>43190</v>
      </c>
      <c r="G38" s="411">
        <f>_xll.ciqfunctions.udf.CIQ($A38, "IQ_FIRSTPRICINGDATE")</f>
        <v>38106</v>
      </c>
      <c r="H38" s="413">
        <f>_xll.ciqfunctions.udf.CIQ($A38, "IQ_TEV", $L$2, $L$5, $L$6)</f>
        <v>230.33963</v>
      </c>
      <c r="I38" s="413">
        <f>_xll.ciqfunctions.udf.CIQ(A38, "IQ_LASTSALEPRICE", $B$1,$L$5)</f>
        <v>8.3000000000000007</v>
      </c>
      <c r="J38" s="413">
        <f>_xll.ciqfunctions.udf.CIQ($A38, "IQ_MARKETCAP", $L$2, $L$5, $L$6)</f>
        <v>449.83963</v>
      </c>
      <c r="K38" s="413">
        <f>_xll.ciqfunctions.udf.CIQ($A38, "IQ_TOTAL_DEBT", IQ_LTM, $L$2,$L$4, $L$3, $L$5, $L$6)</f>
        <v>31.954000000000001</v>
      </c>
      <c r="L38" s="413">
        <f>_xll.ciqfunctions.udf.CIQ($A38, "IQ_PREF_EQUITY", IQ_LTM, $L$2, $L$4, $L$3, $L$5, $L$6)</f>
        <v>0</v>
      </c>
      <c r="M38" s="413">
        <f>_xll.ciqfunctions.udf.CIQ($A38, "IQ_MINORITY_INTEREST_TOTAL", IQ_LTM, $L$2, $L$4, $L$3, $L$5, $L$6)</f>
        <v>0</v>
      </c>
      <c r="N38" s="413">
        <f>_xll.ciqfunctions.udf.CIQ($A38, "IQ_CASH_ST_INVEST", IQ_LTM, $L$2, $L$4, $L$3, $L$5, $L$6)</f>
        <v>251.45400000000001</v>
      </c>
      <c r="O38" s="413">
        <f>_xll.ciqfunctions.udf.CIQ($A38, "IQ_TOTAL_REV", IQ_LTM-8, $L$2, $L$4, $L$3, $L$5, $L$6)</f>
        <v>32.664999999999999</v>
      </c>
      <c r="P38" s="413">
        <f>_xll.ciqfunctions.udf.CIQ($A38, "IQ_TOTAL_REV", IQ_LTM - 4, $L$2, $L$4, $L$3, $L$5,$L$6)</f>
        <v>102.139</v>
      </c>
      <c r="Q38" s="413">
        <f>_xll.ciqfunctions.udf.CIQ($A38, "IQ_TOTAL_REV", IQ_LTM, $L$2, $L$4, $L$3, $L$5, $L$6)</f>
        <v>14.483000000000001</v>
      </c>
      <c r="R38" s="413">
        <f>_xll.ciqfunctions.udf.CIQ($A38, "IQ_TOTAL_REV", $B$2, $L$2, $L$4, $L$3, $L$5, $L$6)</f>
        <v>106.407</v>
      </c>
      <c r="S38" s="413">
        <f>IF(_xll.ciqfunctions.udf.CIQ($A38, "IQ_TOTAL_REV", $B$3, $L$2,$L$4, $L$3, $L$5, $L$6)=0,Q38,_xll.ciqfunctions.udf.CIQ($A38, "IQ_TOTAL_REV", $B$3, $L$2,$L$4, $L$3, $L$5, $L$6))</f>
        <v>13.368</v>
      </c>
      <c r="T38" s="413">
        <f>IF(_xll.ciqfunctions.udf.CIQ($A38, "IQ_REVENUE_EST",$B$4, $L$2, "CON", $L$3, $L$5, $L$6)=0,"n/a",_xll.ciqfunctions.udf.CIQ($A38, "IQ_REVENUE_EST",$B$4, $L$2, "CON", $L$3, $L$5, $L$6))</f>
        <v>22.119420000000002</v>
      </c>
      <c r="U38" s="413">
        <f>IF(_xll.ciqfunctions.udf.CIQ($A38, "IQ_REVENUE_EST",$B$5, $L$2, "CON", $L$3, $L$5, $L$6)=0,"n/a",_xll.ciqfunctions.udf.CIQ($A38, "IQ_REVENUE_EST",$B$5, $L$2, "CON", $L$3, $L$5, $L$6))</f>
        <v>22.95</v>
      </c>
      <c r="V38" s="413">
        <f>IF(_xll.ciqfunctions.udf.CIQ($A38, "IQ_REVENUE_EST",$B$6, $L$2, "CON", $L$3, $L$5, $L$6)=0,"n/a",_xll.ciqfunctions.udf.CIQ($A38, "IQ_REVENUE_EST",$B$6, $L$2, "CON", $L$3, $L$5, $L$6))</f>
        <v>35.9</v>
      </c>
      <c r="W38" s="413" t="str">
        <f>IF(_xll.ciqfunctions.udf.CIQ($A38, "IQ_REVENUE_EST", $B$7, $L$2, "CON", $L$3, $L$5, $L$6)=0,"n/a",_xll.ciqfunctions.udf.CIQ($A38, "IQ_REVENUE_EST",$B$7, $L$2, "CON", $L$3, $L$5, $L$6))</f>
        <v>n/a</v>
      </c>
      <c r="X38" s="413">
        <f>_xll.ciqfunctions.udf.CIQ($A38, "IQ_EBITDA", IQ_LTM-8, $L$2, $L$4, $L$3, $L$5, $L$6)</f>
        <v>-39.838000000000001</v>
      </c>
      <c r="Y38" s="413">
        <f>_xll.ciqfunctions.udf.CIQ($A38, "IQ_EBITDA", IQ_LTM-4, $L$2,$L$4, $L$3, $L$5, $L$6)</f>
        <v>3.8820000000000001</v>
      </c>
      <c r="Z38" s="413">
        <f>_xll.ciqfunctions.udf.CIQ($A38, "IQ_EBITDA", IQ_LTM, $L$2, $L$4, $L$3, $L$5, $L$6)</f>
        <v>-114.104</v>
      </c>
      <c r="AA38" s="413">
        <f>_xll.ciqfunctions.udf.CIQ($A38, "IQ_EBITDA", $B$2, $L$2, $L$4, $L$3, $L$5, $L$6)</f>
        <v>14.928000000000001</v>
      </c>
      <c r="AB38" s="413">
        <f>IF(_xll.ciqfunctions.udf.CIQ($A38, "IQ_EBITDA", $B$3, $L$2,$L$4, $L$3, $L$5, $L$6)=0,Z38,_xll.ciqfunctions.udf.CIQ($A38, "IQ_EBITDA", $B$3, $L$2,$L$4, $L$3, $L$5, $L$6))</f>
        <v>-111.476</v>
      </c>
      <c r="AC38" s="413">
        <f>IF(_xll.ciqfunctions.udf.CIQ($A38, "IQ_EBITDA_EST",$B$4, $L$2, "CON", $L$3, $L$5, $L$6)=0,"n/a",_xll.ciqfunctions.udf.CIQ($A38, "IQ_EBITDA_EST",$B$4, $L$2, "CON", $L$3, $L$5, $L$6))</f>
        <v>-91.118759999999995</v>
      </c>
      <c r="AD38" s="413">
        <f>IF(_xll.ciqfunctions.udf.CIQ($A38, "IQ_EBITDA_EST",$B$5, $L$2, "CON", $L$3, $L$5, $L$6)=0,"n/a",_xll.ciqfunctions.udf.CIQ($A38, "IQ_EBITDA_EST",$B$5, $L$2, "CON", $L$3, $L$5, $L$6))</f>
        <v>120.3793</v>
      </c>
      <c r="AE38" s="413">
        <f>IF(_xll.ciqfunctions.udf.CIQ($A38, "IQ_EBITDA_EST",$B$6, $L$2, "CON", $L$3, $L$5, $L$6)=0,"n/a",_xll.ciqfunctions.udf.CIQ($A38, "IQ_EBITDA_EST",$B$6, $L$2, "CON", $L$3, $L$5, $L$6))</f>
        <v>127.89953</v>
      </c>
      <c r="AF38" s="414" t="str">
        <f>IF(ISERROR(_xll.ciqfunctions.udf.CIQ($A38, "IQ_GROSS_MARGIN", IQ_LTM, $L$2,$L$4, $L$3, $L$5, $L$6)/100), "n/a", _xll.ciqfunctions.udf.CIQ($A38,  "IQ_GROSS_MARGIN", IQ_LTM, $L$2, $L$4, $L$3, $L$5, $L$6)/100)</f>
        <v>n/a</v>
      </c>
      <c r="AG38" s="414" t="str">
        <f>IF(ISERROR(_xll.ciqfunctions.udf.CIQ($A38,"IQ_EBITDA_MARGIN", IQ_LTM, $L$2, $L$4, $L$3, $L$5, $L$6)/100), "n/a", _xll.ciqfunctions.udf.CIQ($A38, "IQ_EBITDA_MARGIN", IQ_LTM, $L$2, $L$4, $L$3, $L$5, $L$6)/100)</f>
        <v>n/a</v>
      </c>
      <c r="AH38" s="414" t="str">
        <f>IF(ISERROR(_xll.ciqfunctions.udf.CIQ($A38,"IQ_EBIT_MARGIN", IQ_LTM, $L$2, $L$4, $L$3, $L$5, $L$6)/100), "n/a", _xll.ciqfunctions.udf.CIQ($A38, "IQ_EBIT_MARGIN", IQ_LTM, $L$2, $L$4, $L$3, $L$5, $L$6)/100)</f>
        <v>n/a</v>
      </c>
      <c r="AI38" s="414" t="str">
        <f>IF(ISERROR(_xll.ciqfunctions.udf.CIQ($A38,"IQ_NI_MARGIN", IQ_LTM, $L$2, $L$4, $L$3, $L$5, $L$6)/100), "n/a", _xll.ciqfunctions.udf.CIQ($A38, "IQ_NI_MARGIN", IQ_LTM, $L$2, $L$4, $L$3, $L$5, $L$6)/100)</f>
        <v>n/a</v>
      </c>
      <c r="AJ38" s="413">
        <f>_xll.ciqfunctions.udf.CIQ($A38,"IQ_TOTAL_CA",IQ_LTM-8,$L$2, $L$4, $L$3, $L$5, $L$6)-_xll.ciqfunctions.udf.CIQ($A38,"IQ_TOTAL_CL",IQ_LTM-8,$L$2, $L$4, $L$3, $L$5, $L$6)</f>
        <v>81.435000000000002</v>
      </c>
      <c r="AK38" s="413">
        <f>_xll.ciqfunctions.udf.CIQ($A38,"IQ_TOTAL_CA",IQ_LTM-4,$L$2, $L$4, $L$3, $L$5, $L$6)-_xll.ciqfunctions.udf.CIQ($A38,"IQ_TOTAL_CL",IQ_LTM-4,$L$2, $L$4, $L$3, $L$5, $L$6)</f>
        <v>174.227</v>
      </c>
      <c r="AL38" s="413">
        <f>_xll.ciqfunctions.udf.CIQ($A38,"IQ_TOTAL_CA",IQ_LTM,$L$2, $L$4, $L$3, $L$5, $L$6)-_xll.ciqfunctions.udf.CIQ($A38,"IQ_TOTAL_CL",IQ_LTM,$L$2, $L$4, $L$3, $L$5, $L$6)</f>
        <v>233.79300000000001</v>
      </c>
      <c r="AM38" s="413">
        <f>IF(ISERROR(_xll.ciqfunctions.udf.CIQ($A38, "IQ_Capex", IQ_LTM-8, $L$2,$L$4, $L$3, $L$5, $L$6)), "n/a", _xll.ciqfunctions.udf.CIQ($A38, "IQ_Capex", IQ_LTM-8, $L$2, $L$4, $L$3, $L$5, $L$6))</f>
        <v>-0.85199999999999998</v>
      </c>
      <c r="AN38" s="413">
        <f>IF(ISERROR(_xll.ciqfunctions.udf.CIQ($A38, "IQ_Capex", IQ_LTM-4, $L$2,$L$4, $L$3, $L$5, $L$6)), "n/a", _xll.ciqfunctions.udf.CIQ($A38, "IQ_Capex", IQ_LTM-4, $L$2,$L$4, $L$3, $L$5, $L$6))</f>
        <v>-2.5640000000000001</v>
      </c>
      <c r="AO38" s="413">
        <f>IF(ISERROR(_xll.ciqfunctions.udf.CIQ($A38, "IQ_Capex", IQ_LTM, $L$2, $L$4, $L$3, $L$5, $L$6)), "n/a", _xll.ciqfunctions.udf.CIQ($A38, "IQ_Capex", IQ_LTM, $L$2, $L$4, $L$3, $L$5, $L$6))</f>
        <v>-1.75</v>
      </c>
      <c r="AP38" s="415" t="str">
        <f>_xll.ciqfunctions.udf.CIQ(A38, "IQ_BUSINESS_DESCRIPTION")</f>
        <v>Cytokinetics, Incorporated, a late-stage biopharmaceutical company, focuses on discovering, developing, and commercializing muscle activators as potential treatments for debilitating diseases in which muscle performance is compromised and/or declining. It is developing small molecule drug candidates primarily engineered to increase muscle function and contractility. The company’s drug candidates include omecamtiv mecarbil, a novel cardiac myosin activator that is in phase III clinical trials in patients with heart failure; and reldesemtiv, a fast skeletal muscle activator, which is in two phase II clinical trials in patients with spinal muscular atrophy and amyotrophic lateral sclerosis. It also develops reldesemtiv that is in phase II clinical trials in patients with chronic obstructive pulmonary disease, as well as in phase Ib clinical trials in elderly subjects with limited mobility. The company has strategic alliances with Astellas Pharma Inc. and Amgen Inc. The company was founded in 1997 and is headquartered in South San Francisco, California.</v>
      </c>
      <c r="AQ38" s="416">
        <f>_xll.ciqfunctions.udf.CIQ($A38, "IQ_BETA_1YR", $B$1)</f>
        <v>0.84896000000000005</v>
      </c>
      <c r="AR38" s="416">
        <f>_xll.ciqfunctions.udf.CIQ($A38, "IQ_BETA_2YR", $B$1)</f>
        <v>1.42587</v>
      </c>
      <c r="AS38" s="416">
        <f>_xll.ciqfunctions.udf.CIQ($A38, "IQ_BETA_5YR", $B$1)</f>
        <v>1.47993</v>
      </c>
      <c r="AT38" s="414">
        <f>_xll.ciqfunctions.udf.CIQ($A38, "IQ_DIVIDEND_YIELD", $B$1)/100</f>
        <v>0</v>
      </c>
      <c r="AU38" s="413">
        <f>_xll.ciqfunctions.udf.CIQ($A38, "IQ_EARNING_CO", IQ_LTM-8, $L$2, $L$4, $L$3, $L$5, $L$6)</f>
        <v>-41.084000000000003</v>
      </c>
      <c r="AV38" s="413">
        <f>_xll.ciqfunctions.udf.CIQ($A38, "IQ_EARNING_CO", IQ_LTM-4, $L$2, $L$4, $L$3, $L$5, $L$6)</f>
        <v>3.0409999999999999</v>
      </c>
      <c r="AW38" s="413">
        <f>_xll.ciqfunctions.udf.CIQ($A38, "IQ_EARNING_CO", IQ_LTM, $L$2, $L$4, $L$3, $L$5, $L$6)</f>
        <v>-132.20400000000001</v>
      </c>
      <c r="AX38" s="413">
        <f>_xll.ciqfunctions.udf.CIQ($A38, "IQ_EARNING_CO", $B$2, $L$2, $L$4, $L$3, $L$5, $L$6)</f>
        <v>16.452999999999999</v>
      </c>
      <c r="AY38" s="413">
        <f>IF(_xll.ciqfunctions.udf.CIQ($A38, "IQ_EARNING_CO", $B$3, $L$2,$L$4, $L$3, $L$5, $L$6)=0,AW38,_xll.ciqfunctions.udf.CIQ($A38, "IQ_EARNING_CO", $B$3, $L$2,$L$4, $L$3, $L$5, $L$6))</f>
        <v>-127.79</v>
      </c>
      <c r="AZ38" s="413">
        <f>_xll.ciqfunctions.udf.CIQ($A38, "IQ_TOTAL_EQUITY", IQ_LTM-8, $L$2, $L$4, $L$3, $L$5, $L$6)</f>
        <v>57.905999999999999</v>
      </c>
      <c r="BA38" s="413">
        <f>_xll.ciqfunctions.udf.CIQ($A38, "IQ_TOTAL_EQUITY", IQ_LTM-4, $L$2, $L$4, $L$3, $L$5, $L$6)</f>
        <v>95.382999999999996</v>
      </c>
      <c r="BB38" s="413">
        <f>_xll.ciqfunctions.udf.CIQ($A38, "IQ_TOTAL_EQUITY", IQ_LTM, $L$2, $L$4, $L$3, $L$5, $L$6)</f>
        <v>99.599000000000004</v>
      </c>
      <c r="BC38" s="413">
        <f>_xll.ciqfunctions.udf.CIQ($A38, "IQ_TOTAL_EQUITY", $B$2, $L$2, $L$4, $L$3, $L$5, $L$6)</f>
        <v>94.361000000000004</v>
      </c>
      <c r="BD38" s="413">
        <f>IF(_xll.ciqfunctions.udf.CIQ($A38, "IQ_TOTAL_EQUITY", $B$3, $L$2,$L$4, $L$3, $L$5, $L$6)=0,BB38,_xll.ciqfunctions.udf.CIQ($A38, "IQ_TOTAL_EQUITY", $B$3, $L$2,$L$4, $L$3, $L$5, $L$6))</f>
        <v>109.842</v>
      </c>
      <c r="BE38" s="413">
        <f>_xll.ciqfunctions.udf.CIQ(A38, "IQ_LASTSALEPRICE", $B$8)</f>
        <v>7.2</v>
      </c>
      <c r="BF38" s="413">
        <f>_xll.ciqfunctions.udf.CIQ($A38, "IQ_MARKETCAP", $B$8, $L$5, $L$6)</f>
        <v>388.85840999999999</v>
      </c>
      <c r="BG38" s="413">
        <f>_xll.ciqfunctions.udf.CIQ($A38, "IQ_TOTAL_DEBT", IQ_LTM, $B$8,$L$4, $L$3, $L$5, $L$6)</f>
        <v>31.777000000000001</v>
      </c>
      <c r="BH38" s="371">
        <f>_xll.ciqfunctions.udf.CIQ($A38,"IQ_PREF_EQUITY",IQ_LTM,$B$8,$L$4,$L$3,$L$5,$L$6)</f>
        <v>0</v>
      </c>
      <c r="BI38" s="371">
        <f>_xll.ciqfunctions.udf.CIQ($A38, "IQ_MINORITY_INTEREST_TOTAL", IQ_LTM,$B$8,$L$4,$L$3,$L$5,$L$6)</f>
        <v>0</v>
      </c>
      <c r="BJ38" s="413">
        <f>_xll.ciqfunctions.udf.CIQ($A38, "IQ_CASH_ST_INVEST", IQ_LTM, $B$8, $L$4, $L$3, $L$5, $L$6)</f>
        <v>268.89100000000002</v>
      </c>
      <c r="BK38" s="371">
        <f>_xll.ciqfunctions.udf.CIQ($A38, "IQ_EFFECT_TAX_RATE")</f>
        <v>0</v>
      </c>
      <c r="BL38" s="371">
        <f>IF(_xll.ciqfunctions.udf.CIQ($A38, "IQ_TOTAL_REV_2YR_ANN_CAGR", IQ_LTM, $B$1,$L$4, $L$3, $L$5, $L$6)="NM","n/a",(_xll.ciqfunctions.udf.CIQ($A38, "IQ_TOTAL_REV_2YR_ANN_CAGR", IQ_LTM, $B$1,$L$4, $L$3, $L$5, $L$6)/100))</f>
        <v>-0.33413300000000001</v>
      </c>
      <c r="BM38" s="371">
        <f>IF(_xll.ciqfunctions.udf.CIQ($A38, "IQ_TOTAL_REV_3YR_ANN_CAGR", IQ_LTM, $B$1,$L$4, $L$3, $L$5, $L$6)="NM","n/a",(_xll.ciqfunctions.udf.CIQ($A38, "IQ_TOTAL_REV_3YR_ANN_CAGR", IQ_LTM, $B$1,$L$4, $L$3, $L$5, $L$6)/100))</f>
        <v>-0.30624499999999999</v>
      </c>
      <c r="BN38" s="371">
        <f>IF(_xll.ciqfunctions.udf.CIQ($A38, "IQ_TOTAL_REV_5YR_ANN_CAGR", IQ_LTM, $B$1,$L$4, $L$3, $L$5, $L$6)="NM","n/a",(_xll.ciqfunctions.udf.CIQ($A38, "IQ_TOTAL_REV_5YR_ANN_CAGR", IQ_LTM, $B$1,$L$4, $L$3, $L$5, $L$6)/100))</f>
        <v>0.17163100000000001</v>
      </c>
      <c r="BO38" s="371" t="str">
        <f>IF(_xll.ciqfunctions.udf.CIQ($A38,"IQ_EBITDA_2YR_ANN_CAGR", IQ_LTM,$B$1,$L$4, $L$3, $L$5, $L$6)="NM","n/a",(_xll.ciqfunctions.udf.CIQ($A38,"IQ_EBITDA_2YR_ANN_CAGR", IQ_LTM,$B$1,$L$4, $L$3, $L$5, $L$6)/100))</f>
        <v>n/a</v>
      </c>
      <c r="BP38" s="371" t="str">
        <f>IF(_xll.ciqfunctions.udf.CIQ($A38,"IQ_EBITDA_3YR_ANN_CAGR", IQ_LTM,$B$1,$L$4, $L$3, $L$5, $L$6)="NM","n/a",(_xll.ciqfunctions.udf.CIQ($A38,"IQ_EBITDA_3YR_ANN_CAGR", IQ_LTM,$B$1,$L$4, $L$3, $L$5, $L$6)/100))</f>
        <v>n/a</v>
      </c>
      <c r="BQ38" s="371" t="str">
        <f>IF(_xll.ciqfunctions.udf.CIQ($A38,"IQ_EBITDA_5YR_ANN_CAGR", IQ_LTM,$B$1,$L$4, $L$3, $L$5, $L$6)="NM","n/a",(_xll.ciqfunctions.udf.CIQ($A38,"IQ_EBITDA_5YR_ANN_CAGR", IQ_LTM,$B$1,$L$4, $L$3, $L$5, $L$6)/100))</f>
        <v>n/a</v>
      </c>
      <c r="BR38" s="375">
        <f>IFERROR((_xll.ciqfunctions.udf.CIQ($A38, "IQ_DA_CF", IQ_LTM, $B$1, $L$4, $L$3, $L$5, $L$6)/Q38),"NM")</f>
        <v>0.14996892908927709</v>
      </c>
      <c r="BS38" s="417">
        <f>'Capital IQ Sheet-GPC'!BS38</f>
        <v>0.63990529213013903</v>
      </c>
      <c r="BT38" s="417">
        <f>'Capital IQ Sheet-GPC'!BT38</f>
        <v>0.57025368499276863</v>
      </c>
      <c r="BU38" s="417">
        <f>'Capital IQ Sheet-GPC'!BU38</f>
        <v>0.58226071681264757</v>
      </c>
      <c r="BV38" s="417">
        <f>'Capital IQ Sheet-GPC'!BV38</f>
        <v>0.59048079054178071</v>
      </c>
      <c r="BW38" s="417">
        <f>'Capital IQ Sheet-GPC'!BW38</f>
        <v>0.77261302070781535</v>
      </c>
      <c r="BX38" s="417">
        <f>'Capital IQ Sheet-GPC'!BX38</f>
        <v>0.76369409644724728</v>
      </c>
      <c r="BY38" s="417">
        <f>'Capital IQ Sheet-GPC'!BY38</f>
        <v>0.73878952913576046</v>
      </c>
      <c r="BZ38" s="417">
        <f>'Capital IQ Sheet-GPC'!BZ38</f>
        <v>0.71859779538897817</v>
      </c>
      <c r="CB38" s="371">
        <v>2</v>
      </c>
      <c r="CC38" s="495" t="s">
        <v>150</v>
      </c>
      <c r="CD38" s="495" t="s">
        <v>149</v>
      </c>
      <c r="CE38" s="373">
        <f t="shared" si="0"/>
        <v>42551</v>
      </c>
    </row>
    <row r="39" spans="1:83" s="371" customFormat="1" ht="12.75">
      <c r="A39" s="372" t="str">
        <f>_xll.ciqfunctions.udf.CIQ($B39,"IQ_COMPANY_TICKER")</f>
        <v>OTCPK:EMIS</v>
      </c>
      <c r="B39" s="412" t="str">
        <f>'Capital IQ Sheet-GPC'!B39</f>
        <v>IQ261438</v>
      </c>
      <c r="C39" s="372" t="str">
        <f>_xll.ciqfunctions.udf.CIQ($A39,"IQ_COMPANY_NAME")</f>
        <v>Emisphere Technologies, Inc.</v>
      </c>
      <c r="D39" s="372" t="str">
        <f>_xll.ciqfunctions.udf.CIQ($A39, "IQ_EXCHANGE")</f>
        <v>OTCPK</v>
      </c>
      <c r="E39" s="411">
        <f>_xll.ciqfunctions.udf.CIQ($A39, "IQ_PERIODDATE_IS", IQ_FY)</f>
        <v>42735</v>
      </c>
      <c r="F39" s="411">
        <f>_xll.ciqfunctions.udf.CIQ(A39, "IQ_PERIODDATE_IS", IQ_LTM, $B$1,$L$4,$L$3)</f>
        <v>42825</v>
      </c>
      <c r="G39" s="411">
        <f>_xll.ciqfunctions.udf.CIQ($A39, "IQ_FIRSTPRICINGDATE")</f>
        <v>32548</v>
      </c>
      <c r="H39" s="413">
        <f>_xll.ciqfunctions.udf.CIQ($A39, "IQ_TEV", $L$2, $L$5, $L$6)</f>
        <v>209.49594999999999</v>
      </c>
      <c r="I39" s="413">
        <f>_xll.ciqfunctions.udf.CIQ(A39, "IQ_LASTSALEPRICE", $B$1,$L$5)</f>
        <v>2.4</v>
      </c>
      <c r="J39" s="413">
        <f>_xll.ciqfunctions.udf.CIQ($A39, "IQ_MARKETCAP", $L$2, $L$5, $L$6)</f>
        <v>146.04595</v>
      </c>
      <c r="K39" s="413">
        <f>_xll.ciqfunctions.udf.CIQ($A39, "IQ_TOTAL_DEBT", IQ_LTM, $L$2,$L$4, $L$3, $L$5, $L$6)</f>
        <v>68.088999999999999</v>
      </c>
      <c r="L39" s="413">
        <f>_xll.ciqfunctions.udf.CIQ($A39, "IQ_PREF_EQUITY", IQ_LTM, $L$2, $L$4, $L$3, $L$5, $L$6)</f>
        <v>0</v>
      </c>
      <c r="M39" s="413">
        <f>_xll.ciqfunctions.udf.CIQ($A39, "IQ_MINORITY_INTEREST_TOTAL", IQ_LTM, $L$2, $L$4, $L$3, $L$5, $L$6)</f>
        <v>0</v>
      </c>
      <c r="N39" s="413">
        <f>_xll.ciqfunctions.udf.CIQ($A39, "IQ_CASH_ST_INVEST", IQ_LTM, $L$2, $L$4, $L$3, $L$5, $L$6)</f>
        <v>4.6390000000000002</v>
      </c>
      <c r="O39" s="413">
        <f>_xll.ciqfunctions.udf.CIQ($A39, "IQ_TOTAL_REV", IQ_LTM-8, $L$2, $L$4, $L$3, $L$5, $L$6)</f>
        <v>6.0000000000000001E-3</v>
      </c>
      <c r="P39" s="413">
        <f>_xll.ciqfunctions.udf.CIQ($A39, "IQ_TOTAL_REV", IQ_LTM - 4, $L$2, $L$4, $L$3, $L$5,$L$6)</f>
        <v>0.77800000000000002</v>
      </c>
      <c r="Q39" s="413">
        <f>_xll.ciqfunctions.udf.CIQ($A39, "IQ_TOTAL_REV", IQ_LTM, $L$2, $L$4, $L$3, $L$5, $L$6)</f>
        <v>1.044</v>
      </c>
      <c r="R39" s="413">
        <f>_xll.ciqfunctions.udf.CIQ($A39, "IQ_TOTAL_REV", $B$2, $L$2, $L$4, $L$3, $L$5, $L$6)</f>
        <v>1.1950000000000001</v>
      </c>
      <c r="S39" s="413">
        <f>IF(_xll.ciqfunctions.udf.CIQ($A39, "IQ_TOTAL_REV", $B$3, $L$2,$L$4, $L$3, $L$5, $L$6)=0,Q39,_xll.ciqfunctions.udf.CIQ($A39, "IQ_TOTAL_REV", $B$3, $L$2,$L$4, $L$3, $L$5, $L$6))</f>
        <v>1.044</v>
      </c>
      <c r="T39" s="413" t="str">
        <f>IF(_xll.ciqfunctions.udf.CIQ($A39, "IQ_REVENUE_EST",$B$4, $L$2, "CON", $L$3, $L$5, $L$6)=0,"n/a",_xll.ciqfunctions.udf.CIQ($A39, "IQ_REVENUE_EST",$B$4, $L$2, "CON", $L$3, $L$5, $L$6))</f>
        <v>n/a</v>
      </c>
      <c r="U39" s="413" t="str">
        <f>IF(_xll.ciqfunctions.udf.CIQ($A39, "IQ_REVENUE_EST",$B$5, $L$2, "CON", $L$3, $L$5, $L$6)=0,"n/a",_xll.ciqfunctions.udf.CIQ($A39, "IQ_REVENUE_EST",$B$5, $L$2, "CON", $L$3, $L$5, $L$6))</f>
        <v>n/a</v>
      </c>
      <c r="V39" s="413" t="str">
        <f>IF(_xll.ciqfunctions.udf.CIQ($A39, "IQ_REVENUE_EST",$B$6, $L$2, "CON", $L$3, $L$5, $L$6)=0,"n/a",_xll.ciqfunctions.udf.CIQ($A39, "IQ_REVENUE_EST",$B$6, $L$2, "CON", $L$3, $L$5, $L$6))</f>
        <v>n/a</v>
      </c>
      <c r="W39" s="413" t="str">
        <f>IF(_xll.ciqfunctions.udf.CIQ($A39, "IQ_REVENUE_EST", $B$7, $L$2, "CON", $L$3, $L$5, $L$6)=0,"n/a",_xll.ciqfunctions.udf.CIQ($A39, "IQ_REVENUE_EST",$B$7, $L$2, "CON", $L$3, $L$5, $L$6))</f>
        <v>n/a</v>
      </c>
      <c r="X39" s="413">
        <f>_xll.ciqfunctions.udf.CIQ($A39, "IQ_EBITDA", IQ_LTM-8, $L$2, $L$4, $L$3, $L$5, $L$6)</f>
        <v>-11.614000000000001</v>
      </c>
      <c r="Y39" s="413">
        <f>_xll.ciqfunctions.udf.CIQ($A39, "IQ_EBITDA", IQ_LTM-4, $L$2,$L$4, $L$3, $L$5, $L$6)</f>
        <v>-16.122</v>
      </c>
      <c r="Z39" s="413">
        <f>_xll.ciqfunctions.udf.CIQ($A39, "IQ_EBITDA", IQ_LTM, $L$2, $L$4, $L$3, $L$5, $L$6)</f>
        <v>-6.2069999999999999</v>
      </c>
      <c r="AA39" s="413">
        <f>_xll.ciqfunctions.udf.CIQ($A39, "IQ_EBITDA", $B$2, $L$2, $L$4, $L$3, $L$5, $L$6)</f>
        <v>-7.8289999999999997</v>
      </c>
      <c r="AB39" s="413">
        <f>IF(_xll.ciqfunctions.udf.CIQ($A39, "IQ_EBITDA", $B$3, $L$2,$L$4, $L$3, $L$5, $L$6)=0,Z39,_xll.ciqfunctions.udf.CIQ($A39, "IQ_EBITDA", $B$3, $L$2,$L$4, $L$3, $L$5, $L$6))</f>
        <v>-6.2069999999999999</v>
      </c>
      <c r="AC39" s="413" t="str">
        <f>IF(_xll.ciqfunctions.udf.CIQ($A39, "IQ_EBITDA_EST",$B$4, $L$2, "CON", $L$3, $L$5, $L$6)=0,"n/a",_xll.ciqfunctions.udf.CIQ($A39, "IQ_EBITDA_EST",$B$4, $L$2, "CON", $L$3, $L$5, $L$6))</f>
        <v>n/a</v>
      </c>
      <c r="AD39" s="413" t="str">
        <f>IF(_xll.ciqfunctions.udf.CIQ($A39, "IQ_EBITDA_EST",$B$5, $L$2, "CON", $L$3, $L$5, $L$6)=0,"n/a",_xll.ciqfunctions.udf.CIQ($A39, "IQ_EBITDA_EST",$B$5, $L$2, "CON", $L$3, $L$5, $L$6))</f>
        <v>n/a</v>
      </c>
      <c r="AE39" s="413" t="str">
        <f>IF(_xll.ciqfunctions.udf.CIQ($A39, "IQ_EBITDA_EST",$B$6, $L$2, "CON", $L$3, $L$5, $L$6)=0,"n/a",_xll.ciqfunctions.udf.CIQ($A39, "IQ_EBITDA_EST",$B$6, $L$2, "CON", $L$3, $L$5, $L$6))</f>
        <v>n/a</v>
      </c>
      <c r="AF39" s="414">
        <f>IF(ISERROR(_xll.ciqfunctions.udf.CIQ($A39, "IQ_GROSS_MARGIN", IQ_LTM, $L$2,$L$4, $L$3, $L$5, $L$6)/100), "n/a", _xll.ciqfunctions.udf.CIQ($A39,  "IQ_GROSS_MARGIN", IQ_LTM, $L$2, $L$4, $L$3, $L$5, $L$6)/100)</f>
        <v>-0.43199199999999999</v>
      </c>
      <c r="AG39" s="414" t="str">
        <f>IF(ISERROR(_xll.ciqfunctions.udf.CIQ($A39,"IQ_EBITDA_MARGIN", IQ_LTM, $L$2, $L$4, $L$3, $L$5, $L$6)/100), "n/a", _xll.ciqfunctions.udf.CIQ($A39, "IQ_EBITDA_MARGIN", IQ_LTM, $L$2, $L$4, $L$3, $L$5, $L$6)/100)</f>
        <v>n/a</v>
      </c>
      <c r="AH39" s="414" t="str">
        <f>IF(ISERROR(_xll.ciqfunctions.udf.CIQ($A39,"IQ_EBIT_MARGIN", IQ_LTM, $L$2, $L$4, $L$3, $L$5, $L$6)/100), "n/a", _xll.ciqfunctions.udf.CIQ($A39, "IQ_EBIT_MARGIN", IQ_LTM, $L$2, $L$4, $L$3, $L$5, $L$6)/100)</f>
        <v>n/a</v>
      </c>
      <c r="AI39" s="414">
        <f>IF(ISERROR(_xll.ciqfunctions.udf.CIQ($A39,"IQ_NI_MARGIN", IQ_LTM, $L$2, $L$4, $L$3, $L$5, $L$6)/100), "n/a", _xll.ciqfunctions.udf.CIQ($A39, "IQ_NI_MARGIN", IQ_LTM, $L$2, $L$4, $L$3, $L$5, $L$6)/100)</f>
        <v>-2.057471</v>
      </c>
      <c r="AJ39" s="413">
        <f>_xll.ciqfunctions.udf.CIQ($A39,"IQ_TOTAL_CA",IQ_LTM-8,$L$2, $L$4, $L$3, $L$5, $L$6)-_xll.ciqfunctions.udf.CIQ($A39,"IQ_TOTAL_CL",IQ_LTM-8,$L$2, $L$4, $L$3, $L$5, $L$6)</f>
        <v>-9.9680000000000017</v>
      </c>
      <c r="AK39" s="413">
        <f>_xll.ciqfunctions.udf.CIQ($A39,"IQ_TOTAL_CA",IQ_LTM-4,$L$2, $L$4, $L$3, $L$5, $L$6)-_xll.ciqfunctions.udf.CIQ($A39,"IQ_TOTAL_CL",IQ_LTM-4,$L$2, $L$4, $L$3, $L$5, $L$6)</f>
        <v>-8.9419999999999984</v>
      </c>
      <c r="AL39" s="413">
        <f>_xll.ciqfunctions.udf.CIQ($A39,"IQ_TOTAL_CA",IQ_LTM,$L$2, $L$4, $L$3, $L$5, $L$6)-_xll.ciqfunctions.udf.CIQ($A39,"IQ_TOTAL_CL",IQ_LTM,$L$2, $L$4, $L$3, $L$5, $L$6)</f>
        <v>-1.42</v>
      </c>
      <c r="AM39" s="413">
        <f>IF(ISERROR(_xll.ciqfunctions.udf.CIQ($A39, "IQ_Capex", IQ_LTM-8, $L$2,$L$4, $L$3, $L$5, $L$6)), "n/a", _xll.ciqfunctions.udf.CIQ($A39, "IQ_Capex", IQ_LTM-8, $L$2, $L$4, $L$3, $L$5, $L$6))</f>
        <v>0</v>
      </c>
      <c r="AN39" s="413">
        <f>IF(ISERROR(_xll.ciqfunctions.udf.CIQ($A39, "IQ_Capex", IQ_LTM-4, $L$2,$L$4, $L$3, $L$5, $L$6)), "n/a", _xll.ciqfunctions.udf.CIQ($A39, "IQ_Capex", IQ_LTM-4, $L$2,$L$4, $L$3, $L$5, $L$6))</f>
        <v>0</v>
      </c>
      <c r="AO39" s="413">
        <f>IF(ISERROR(_xll.ciqfunctions.udf.CIQ($A39, "IQ_Capex", IQ_LTM, $L$2, $L$4, $L$3, $L$5, $L$6)), "n/a", _xll.ciqfunctions.udf.CIQ($A39, "IQ_Capex", IQ_LTM, $L$2, $L$4, $L$3, $L$5, $L$6))</f>
        <v>0</v>
      </c>
      <c r="AP39" s="415" t="str">
        <f>_xll.ciqfunctions.udf.CIQ(A39, "IQ_BUSINESS_DESCRIPTION")</f>
        <v>Emisphere Technologies, Inc. operates as a commercial stage pharmaceutical and drug delivery company in the United States. The company offers oral Eligen B12 Rx, an oral formulation prescription medical food for use by B12 deficient individuals. It is also developing GLP-1, which is in Phase III clinical trial for the treatment of type 2 diabetes and related conditions. The company’s preclinical programs focus on the development of oral formulations for the treatment of diabetes; and products in the areas of cardiovascular, appetite suppression, and pain, as well as in the development and expansion of nutritional supplement products. It has license agreements with Novo Nordisk A/S to develop and commercialize oral formulations of GLP-1 receptor agonists in combination with Emisphere carriers, as well as to develop and commercialize oral formulations of Novo Nordisk’s insulin using the company’s Eligen Technology. The company was formerly known as Clinical Technologies Associates, Inc. and changed its name to Emisphere Technologies, Inc. in 1991. Emisphere Technologies, Inc. was founded in 1986 and is based in Roseland, New Jersey.</v>
      </c>
      <c r="AQ39" s="416">
        <f>_xll.ciqfunctions.udf.CIQ($A39, "IQ_BETA_1YR", $B$1)</f>
        <v>1.6578999999999999</v>
      </c>
      <c r="AR39" s="416">
        <f>_xll.ciqfunctions.udf.CIQ($A39, "IQ_BETA_2YR", $B$1)</f>
        <v>1.09487</v>
      </c>
      <c r="AS39" s="416">
        <f>_xll.ciqfunctions.udf.CIQ($A39, "IQ_BETA_5YR", $B$1)</f>
        <v>2.19746</v>
      </c>
      <c r="AT39" s="414">
        <f>_xll.ciqfunctions.udf.CIQ($A39, "IQ_DIVIDEND_YIELD", $B$1)/100</f>
        <v>0</v>
      </c>
      <c r="AU39" s="413">
        <f>_xll.ciqfunctions.udf.CIQ($A39, "IQ_EARNING_CO", IQ_LTM-8, $L$2, $L$4, $L$3, $L$5, $L$6)</f>
        <v>-54.99</v>
      </c>
      <c r="AV39" s="413">
        <f>_xll.ciqfunctions.udf.CIQ($A39, "IQ_EARNING_CO", IQ_LTM-4, $L$2, $L$4, $L$3, $L$5, $L$6)</f>
        <v>-9.2420000000000009</v>
      </c>
      <c r="AW39" s="413">
        <f>_xll.ciqfunctions.udf.CIQ($A39, "IQ_EARNING_CO", IQ_LTM, $L$2, $L$4, $L$3, $L$5, $L$6)</f>
        <v>-2.1480000000000001</v>
      </c>
      <c r="AX39" s="413">
        <f>_xll.ciqfunctions.udf.CIQ($A39, "IQ_EARNING_CO", $B$2, $L$2, $L$4, $L$3, $L$5, $L$6)</f>
        <v>-10.041</v>
      </c>
      <c r="AY39" s="413">
        <f>IF(_xll.ciqfunctions.udf.CIQ($A39, "IQ_EARNING_CO", $B$3, $L$2,$L$4, $L$3, $L$5, $L$6)=0,AW39,_xll.ciqfunctions.udf.CIQ($A39, "IQ_EARNING_CO", $B$3, $L$2,$L$4, $L$3, $L$5, $L$6))</f>
        <v>-2.1480000000000001</v>
      </c>
      <c r="AZ39" s="413">
        <f>_xll.ciqfunctions.udf.CIQ($A39, "IQ_TOTAL_EQUITY", IQ_LTM-8, $L$2, $L$4, $L$3, $L$5, $L$6)</f>
        <v>-144.87299999999999</v>
      </c>
      <c r="BA39" s="413">
        <f>_xll.ciqfunctions.udf.CIQ($A39, "IQ_TOTAL_EQUITY", IQ_LTM-4, $L$2, $L$4, $L$3, $L$5, $L$6)</f>
        <v>-153.65199999999999</v>
      </c>
      <c r="BB39" s="413">
        <f>_xll.ciqfunctions.udf.CIQ($A39, "IQ_TOTAL_EQUITY", IQ_LTM, $L$2, $L$4, $L$3, $L$5, $L$6)</f>
        <v>-155.25899999999999</v>
      </c>
      <c r="BC39" s="413">
        <f>_xll.ciqfunctions.udf.CIQ($A39, "IQ_TOTAL_EQUITY", $B$2, $L$2, $L$4, $L$3, $L$5, $L$6)</f>
        <v>-161.40799999999999</v>
      </c>
      <c r="BD39" s="413">
        <f>IF(_xll.ciqfunctions.udf.CIQ($A39, "IQ_TOTAL_EQUITY", $B$3, $L$2,$L$4, $L$3, $L$5, $L$6)=0,BB39,_xll.ciqfunctions.udf.CIQ($A39, "IQ_TOTAL_EQUITY", $B$3, $L$2,$L$4, $L$3, $L$5, $L$6))</f>
        <v>-155.25899999999999</v>
      </c>
      <c r="BE39" s="413">
        <f>_xll.ciqfunctions.udf.CIQ(A39, "IQ_LASTSALEPRICE", $B$8)</f>
        <v>0.38990000000000002</v>
      </c>
      <c r="BF39" s="413">
        <f>_xll.ciqfunctions.udf.CIQ($A39, "IQ_MARKETCAP", $B$8, $L$5, $L$6)</f>
        <v>23.726379999999999</v>
      </c>
      <c r="BG39" s="413">
        <f>_xll.ciqfunctions.udf.CIQ($A39, "IQ_TOTAL_DEBT", IQ_LTM, $B$8,$L$4, $L$3, $L$5, $L$6)</f>
        <v>68.088999999999999</v>
      </c>
      <c r="BH39" s="371">
        <f>_xll.ciqfunctions.udf.CIQ($A39,"IQ_PREF_EQUITY",IQ_LTM,$B$8,$L$4,$L$3,$L$5,$L$6)</f>
        <v>0</v>
      </c>
      <c r="BI39" s="371">
        <f>_xll.ciqfunctions.udf.CIQ($A39, "IQ_MINORITY_INTEREST_TOTAL", IQ_LTM,$B$8,$L$4,$L$3,$L$5,$L$6)</f>
        <v>0</v>
      </c>
      <c r="BJ39" s="413">
        <f>_xll.ciqfunctions.udf.CIQ($A39, "IQ_CASH_ST_INVEST", IQ_LTM, $B$8, $L$4, $L$3, $L$5, $L$6)</f>
        <v>4.6390000000000002</v>
      </c>
      <c r="BK39" s="371">
        <f>_xll.ciqfunctions.udf.CIQ($A39, "IQ_EFFECT_TAX_RATE")</f>
        <v>0</v>
      </c>
      <c r="BL39" s="371">
        <f>IF(_xll.ciqfunctions.udf.CIQ($A39, "IQ_TOTAL_REV_2YR_ANN_CAGR", IQ_LTM, $B$1,$L$4, $L$3, $L$5, $L$6)="NM","n/a",(_xll.ciqfunctions.udf.CIQ($A39, "IQ_TOTAL_REV_2YR_ANN_CAGR", IQ_LTM, $B$1,$L$4, $L$3, $L$5, $L$6)/100))</f>
        <v>12.190906</v>
      </c>
      <c r="BM39" s="371">
        <f>IF(_xll.ciqfunctions.udf.CIQ($A39, "IQ_TOTAL_REV_3YR_ANN_CAGR", IQ_LTM, $B$1,$L$4, $L$3, $L$5, $L$6)="NM","n/a",(_xll.ciqfunctions.udf.CIQ($A39, "IQ_TOTAL_REV_3YR_ANN_CAGR", IQ_LTM, $B$1,$L$4, $L$3, $L$5, $L$6)/100))</f>
        <v>0</v>
      </c>
      <c r="BN39" s="371">
        <f>IF(_xll.ciqfunctions.udf.CIQ($A39, "IQ_TOTAL_REV_5YR_ANN_CAGR", IQ_LTM, $B$1,$L$4, $L$3, $L$5, $L$6)="NM","n/a",(_xll.ciqfunctions.udf.CIQ($A39, "IQ_TOTAL_REV_5YR_ANN_CAGR", IQ_LTM, $B$1,$L$4, $L$3, $L$5, $L$6)/100))</f>
        <v>0</v>
      </c>
      <c r="BO39" s="371" t="str">
        <f>IF(_xll.ciqfunctions.udf.CIQ($A39,"IQ_EBITDA_2YR_ANN_CAGR", IQ_LTM,$B$1,$L$4, $L$3, $L$5, $L$6)="NM","n/a",(_xll.ciqfunctions.udf.CIQ($A39,"IQ_EBITDA_2YR_ANN_CAGR", IQ_LTM,$B$1,$L$4, $L$3, $L$5, $L$6)/100))</f>
        <v>n/a</v>
      </c>
      <c r="BP39" s="371" t="str">
        <f>IF(_xll.ciqfunctions.udf.CIQ($A39,"IQ_EBITDA_3YR_ANN_CAGR", IQ_LTM,$B$1,$L$4, $L$3, $L$5, $L$6)="NM","n/a",(_xll.ciqfunctions.udf.CIQ($A39,"IQ_EBITDA_3YR_ANN_CAGR", IQ_LTM,$B$1,$L$4, $L$3, $L$5, $L$6)/100))</f>
        <v>n/a</v>
      </c>
      <c r="BQ39" s="371" t="str">
        <f>IF(_xll.ciqfunctions.udf.CIQ($A39,"IQ_EBITDA_5YR_ANN_CAGR", IQ_LTM,$B$1,$L$4, $L$3, $L$5, $L$6)="NM","n/a",(_xll.ciqfunctions.udf.CIQ($A39,"IQ_EBITDA_5YR_ANN_CAGR", IQ_LTM,$B$1,$L$4, $L$3, $L$5, $L$6)/100))</f>
        <v>n/a</v>
      </c>
      <c r="BR39" s="375">
        <f>IFERROR((_xll.ciqfunctions.udf.CIQ($A39, "IQ_DA_CF", IQ_LTM, $B$1, $L$4, $L$3, $L$5, $L$6)/Q39),"NM")</f>
        <v>7.6628352490421452E-3</v>
      </c>
      <c r="BS39" s="417">
        <f>'Capital IQ Sheet-GPC'!BS39</f>
        <v>1.2800194974145538</v>
      </c>
      <c r="BT39" s="417">
        <f>'Capital IQ Sheet-GPC'!BT39</f>
        <v>1.0359651399937104</v>
      </c>
      <c r="BU39" s="417">
        <f>'Capital IQ Sheet-GPC'!BU39</f>
        <v>0.98986301930255416</v>
      </c>
      <c r="BV39" s="417">
        <f>'Capital IQ Sheet-GPC'!BV39</f>
        <v>1.0778242537289762</v>
      </c>
      <c r="BW39" s="417">
        <f>'Capital IQ Sheet-GPC'!BW39</f>
        <v>1.1176246792128453</v>
      </c>
      <c r="BX39" s="417">
        <f>'Capital IQ Sheet-GPC'!BX39</f>
        <v>1.2518996258855848</v>
      </c>
      <c r="BY39" s="417">
        <f>'Capital IQ Sheet-GPC'!BY39</f>
        <v>1.3847166058126055</v>
      </c>
      <c r="BZ39" s="417">
        <f>'Capital IQ Sheet-GPC'!BZ39</f>
        <v>1.3964970037121729</v>
      </c>
      <c r="CB39" s="371">
        <v>2</v>
      </c>
      <c r="CC39" s="495" t="s">
        <v>150</v>
      </c>
      <c r="CD39" s="495" t="s">
        <v>149</v>
      </c>
      <c r="CE39" s="373">
        <f t="shared" si="0"/>
        <v>42551</v>
      </c>
    </row>
    <row r="40" spans="1:83" s="371" customFormat="1" ht="12.75">
      <c r="A40" s="372" t="str">
        <f>_xll.ciqfunctions.udf.CIQ($B40,"IQ_COMPANY_TICKER")</f>
        <v>TSXV:COB.U</v>
      </c>
      <c r="B40" s="412" t="str">
        <f>'Capital IQ Sheet-GPC'!B40</f>
        <v>IQ134282175</v>
      </c>
      <c r="C40" s="372" t="str">
        <f>_xll.ciqfunctions.udf.CIQ($A40,"IQ_COMPANY_NAME")</f>
        <v>CohBar, Inc.</v>
      </c>
      <c r="D40" s="372" t="str">
        <f>_xll.ciqfunctions.udf.CIQ($A40, "IQ_EXCHANGE")</f>
        <v>TSXV</v>
      </c>
      <c r="E40" s="411">
        <f>_xll.ciqfunctions.udf.CIQ($A40, "IQ_PERIODDATE_IS", IQ_FY)</f>
        <v>43100</v>
      </c>
      <c r="F40" s="411">
        <f>_xll.ciqfunctions.udf.CIQ(A40, "IQ_PERIODDATE_IS", IQ_LTM, $B$1,$L$4,$L$3)</f>
        <v>43190</v>
      </c>
      <c r="G40" s="411">
        <f>_xll.ciqfunctions.udf.CIQ($A40, "IQ_FIRSTPRICINGDATE")</f>
        <v>42012</v>
      </c>
      <c r="H40" s="413">
        <f>_xll.ciqfunctions.udf.CIQ($A40, "IQ_TEV", $L$2, $L$5, $L$6)</f>
        <v>204.76295999999999</v>
      </c>
      <c r="I40" s="413">
        <f>_xll.ciqfunctions.udf.CIQ(A40, "IQ_LASTSALEPRICE", $B$1,$L$5)</f>
        <v>5</v>
      </c>
      <c r="J40" s="413">
        <f>_xll.ciqfunctions.udf.CIQ($A40, "IQ_MARKETCAP", $L$2, $L$5, $L$6)</f>
        <v>211.81835000000001</v>
      </c>
      <c r="K40" s="413">
        <f>_xll.ciqfunctions.udf.CIQ($A40, "IQ_TOTAL_DEBT", IQ_LTM, $L$2,$L$4, $L$3, $L$5, $L$6)</f>
        <v>1.40126</v>
      </c>
      <c r="L40" s="413">
        <f>_xll.ciqfunctions.udf.CIQ($A40, "IQ_PREF_EQUITY", IQ_LTM, $L$2, $L$4, $L$3, $L$5, $L$6)</f>
        <v>0</v>
      </c>
      <c r="M40" s="413">
        <f>_xll.ciqfunctions.udf.CIQ($A40, "IQ_MINORITY_INTEREST_TOTAL", IQ_LTM, $L$2, $L$4, $L$3, $L$5, $L$6)</f>
        <v>0</v>
      </c>
      <c r="N40" s="413">
        <f>_xll.ciqfunctions.udf.CIQ($A40, "IQ_CASH_ST_INVEST", IQ_LTM, $L$2, $L$4, $L$3, $L$5, $L$6)</f>
        <v>8.4566599999999994</v>
      </c>
      <c r="O40" s="413">
        <f>_xll.ciqfunctions.udf.CIQ($A40, "IQ_TOTAL_REV", IQ_LTM-8, $L$2, $L$4, $L$3, $L$5, $L$6)</f>
        <v>0</v>
      </c>
      <c r="P40" s="413">
        <f>_xll.ciqfunctions.udf.CIQ($A40, "IQ_TOTAL_REV", IQ_LTM - 4, $L$2, $L$4, $L$3, $L$5,$L$6)</f>
        <v>0</v>
      </c>
      <c r="Q40" s="413">
        <f>_xll.ciqfunctions.udf.CIQ($A40, "IQ_TOTAL_REV", IQ_LTM, $L$2, $L$4, $L$3, $L$5, $L$6)</f>
        <v>0</v>
      </c>
      <c r="R40" s="413">
        <f>_xll.ciqfunctions.udf.CIQ($A40, "IQ_TOTAL_REV", $B$2, $L$2, $L$4, $L$3, $L$5, $L$6)</f>
        <v>0</v>
      </c>
      <c r="S40" s="413">
        <f>IF(_xll.ciqfunctions.udf.CIQ($A40, "IQ_TOTAL_REV", $B$3, $L$2,$L$4, $L$3, $L$5, $L$6)=0,Q40,_xll.ciqfunctions.udf.CIQ($A40, "IQ_TOTAL_REV", $B$3, $L$2,$L$4, $L$3, $L$5, $L$6))</f>
        <v>0</v>
      </c>
      <c r="T40" s="413" t="str">
        <f>IF(_xll.ciqfunctions.udf.CIQ($A40, "IQ_REVENUE_EST",$B$4, $L$2, "CON", $L$3, $L$5, $L$6)=0,"n/a",_xll.ciqfunctions.udf.CIQ($A40, "IQ_REVENUE_EST",$B$4, $L$2, "CON", $L$3, $L$5, $L$6))</f>
        <v>n/a</v>
      </c>
      <c r="U40" s="413" t="str">
        <f>IF(_xll.ciqfunctions.udf.CIQ($A40, "IQ_REVENUE_EST",$B$5, $L$2, "CON", $L$3, $L$5, $L$6)=0,"n/a",_xll.ciqfunctions.udf.CIQ($A40, "IQ_REVENUE_EST",$B$5, $L$2, "CON", $L$3, $L$5, $L$6))</f>
        <v>n/a</v>
      </c>
      <c r="V40" s="413" t="str">
        <f>IF(_xll.ciqfunctions.udf.CIQ($A40, "IQ_REVENUE_EST",$B$6, $L$2, "CON", $L$3, $L$5, $L$6)=0,"n/a",_xll.ciqfunctions.udf.CIQ($A40, "IQ_REVENUE_EST",$B$6, $L$2, "CON", $L$3, $L$5, $L$6))</f>
        <v>n/a</v>
      </c>
      <c r="W40" s="413" t="str">
        <f>IF(_xll.ciqfunctions.udf.CIQ($A40, "IQ_REVENUE_EST", $B$7, $L$2, "CON", $L$3, $L$5, $L$6)=0,"n/a",_xll.ciqfunctions.udf.CIQ($A40, "IQ_REVENUE_EST",$B$7, $L$2, "CON", $L$3, $L$5, $L$6))</f>
        <v>n/a</v>
      </c>
      <c r="X40" s="413">
        <f>_xll.ciqfunctions.udf.CIQ($A40, "IQ_EBITDA", IQ_LTM-8, $L$2, $L$4, $L$3, $L$5, $L$6)</f>
        <v>-4.2691400000000002</v>
      </c>
      <c r="Y40" s="413">
        <f>_xll.ciqfunctions.udf.CIQ($A40, "IQ_EBITDA", IQ_LTM-4, $L$2,$L$4, $L$3, $L$5, $L$6)</f>
        <v>-7.0307199999999996</v>
      </c>
      <c r="Z40" s="413">
        <f>_xll.ciqfunctions.udf.CIQ($A40, "IQ_EBITDA", IQ_LTM, $L$2, $L$4, $L$3, $L$5, $L$6)</f>
        <v>-11.161670000000001</v>
      </c>
      <c r="AA40" s="413">
        <f>_xll.ciqfunctions.udf.CIQ($A40, "IQ_EBITDA", $B$2, $L$2, $L$4, $L$3, $L$5, $L$6)</f>
        <v>-6.0186000000000002</v>
      </c>
      <c r="AB40" s="413">
        <f>IF(_xll.ciqfunctions.udf.CIQ($A40, "IQ_EBITDA", $B$3, $L$2,$L$4, $L$3, $L$5, $L$6)=0,Z40,_xll.ciqfunctions.udf.CIQ($A40, "IQ_EBITDA", $B$3, $L$2,$L$4, $L$3, $L$5, $L$6))</f>
        <v>-9.8017199999999995</v>
      </c>
      <c r="AC40" s="413" t="str">
        <f>IF(_xll.ciqfunctions.udf.CIQ($A40, "IQ_EBITDA_EST",$B$4, $L$2, "CON", $L$3, $L$5, $L$6)=0,"n/a",_xll.ciqfunctions.udf.CIQ($A40, "IQ_EBITDA_EST",$B$4, $L$2, "CON", $L$3, $L$5, $L$6))</f>
        <v>n/a</v>
      </c>
      <c r="AD40" s="413" t="str">
        <f>IF(_xll.ciqfunctions.udf.CIQ($A40, "IQ_EBITDA_EST",$B$5, $L$2, "CON", $L$3, $L$5, $L$6)=0,"n/a",_xll.ciqfunctions.udf.CIQ($A40, "IQ_EBITDA_EST",$B$5, $L$2, "CON", $L$3, $L$5, $L$6))</f>
        <v>n/a</v>
      </c>
      <c r="AE40" s="413" t="str">
        <f>IF(_xll.ciqfunctions.udf.CIQ($A40, "IQ_EBITDA_EST",$B$6, $L$2, "CON", $L$3, $L$5, $L$6)=0,"n/a",_xll.ciqfunctions.udf.CIQ($A40, "IQ_EBITDA_EST",$B$6, $L$2, "CON", $L$3, $L$5, $L$6))</f>
        <v>n/a</v>
      </c>
      <c r="AF40" s="414">
        <f>IF(ISERROR(_xll.ciqfunctions.udf.CIQ($A40, "IQ_GROSS_MARGIN", IQ_LTM, $L$2,$L$4, $L$3, $L$5, $L$6)/100), "n/a", _xll.ciqfunctions.udf.CIQ($A40,  "IQ_GROSS_MARGIN", IQ_LTM, $L$2, $L$4, $L$3, $L$5, $L$6)/100)</f>
        <v>0</v>
      </c>
      <c r="AG40" s="414">
        <f>IF(ISERROR(_xll.ciqfunctions.udf.CIQ($A40,"IQ_EBITDA_MARGIN", IQ_LTM, $L$2, $L$4, $L$3, $L$5, $L$6)/100), "n/a", _xll.ciqfunctions.udf.CIQ($A40, "IQ_EBITDA_MARGIN", IQ_LTM, $L$2, $L$4, $L$3, $L$5, $L$6)/100)</f>
        <v>0</v>
      </c>
      <c r="AH40" s="414">
        <f>IF(ISERROR(_xll.ciqfunctions.udf.CIQ($A40,"IQ_EBIT_MARGIN", IQ_LTM, $L$2, $L$4, $L$3, $L$5, $L$6)/100), "n/a", _xll.ciqfunctions.udf.CIQ($A40, "IQ_EBIT_MARGIN", IQ_LTM, $L$2, $L$4, $L$3, $L$5, $L$6)/100)</f>
        <v>0</v>
      </c>
      <c r="AI40" s="414">
        <f>IF(ISERROR(_xll.ciqfunctions.udf.CIQ($A40,"IQ_NI_MARGIN", IQ_LTM, $L$2, $L$4, $L$3, $L$5, $L$6)/100), "n/a", _xll.ciqfunctions.udf.CIQ($A40, "IQ_NI_MARGIN", IQ_LTM, $L$2, $L$4, $L$3, $L$5, $L$6)/100)</f>
        <v>0</v>
      </c>
      <c r="AJ40" s="413">
        <f>_xll.ciqfunctions.udf.CIQ($A40,"IQ_TOTAL_CA",IQ_LTM-8,$L$2, $L$4, $L$3, $L$5, $L$6)-_xll.ciqfunctions.udf.CIQ($A40,"IQ_TOTAL_CL",IQ_LTM-8,$L$2, $L$4, $L$3, $L$5, $L$6)</f>
        <v>8.61294</v>
      </c>
      <c r="AK40" s="413">
        <f>_xll.ciqfunctions.udf.CIQ($A40,"IQ_TOTAL_CA",IQ_LTM-4,$L$2, $L$4, $L$3, $L$5, $L$6)-_xll.ciqfunctions.udf.CIQ($A40,"IQ_TOTAL_CL",IQ_LTM-4,$L$2, $L$4, $L$3, $L$5, $L$6)</f>
        <v>8.5315300000000001</v>
      </c>
      <c r="AL40" s="413">
        <f>_xll.ciqfunctions.udf.CIQ($A40,"IQ_TOTAL_CA",IQ_LTM,$L$2, $L$4, $L$3, $L$5, $L$6)-_xll.ciqfunctions.udf.CIQ($A40,"IQ_TOTAL_CL",IQ_LTM,$L$2, $L$4, $L$3, $L$5, $L$6)</f>
        <v>7.6310399999999996</v>
      </c>
      <c r="AM40" s="413">
        <f>IF(ISERROR(_xll.ciqfunctions.udf.CIQ($A40, "IQ_Capex", IQ_LTM-8, $L$2,$L$4, $L$3, $L$5, $L$6)), "n/a", _xll.ciqfunctions.udf.CIQ($A40, "IQ_Capex", IQ_LTM-8, $L$2, $L$4, $L$3, $L$5, $L$6))</f>
        <v>-0.22181999999999999</v>
      </c>
      <c r="AN40" s="413">
        <f>IF(ISERROR(_xll.ciqfunctions.udf.CIQ($A40, "IQ_Capex", IQ_LTM-4, $L$2,$L$4, $L$3, $L$5, $L$6)), "n/a", _xll.ciqfunctions.udf.CIQ($A40, "IQ_Capex", IQ_LTM-4, $L$2,$L$4, $L$3, $L$5, $L$6))</f>
        <v>-8.0490000000000006E-2</v>
      </c>
      <c r="AO40" s="413">
        <f>IF(ISERROR(_xll.ciqfunctions.udf.CIQ($A40, "IQ_Capex", IQ_LTM, $L$2, $L$4, $L$3, $L$5, $L$6)), "n/a", _xll.ciqfunctions.udf.CIQ($A40, "IQ_Capex", IQ_LTM, $L$2, $L$4, $L$3, $L$5, $L$6))</f>
        <v>-3.2499999999999999E-3</v>
      </c>
      <c r="AP40" s="415" t="str">
        <f>_xll.ciqfunctions.udf.CIQ(A40, "IQ_BUSINESS_DESCRIPTION")</f>
        <v>CohBar, Inc., a biotechnology company, engages in the research and development of mitochondria based therapeutics (MBTs) to treat various diseases associated with aging and metabolic dysfunction. Its lead MBT drug candidates include CB4209 and CB4211, which are in IND-enabling studies for the treatment of fatty liver disease, non-alcoholic steatohepatitis, obesity, and type 2 diabetes mellitus. The company is also developing Humanin, a mitochondrial-derived peptide to treat Alzheimer’s disease, atherosclerosis, myocardial and cerebral ischemia, and type 2 diabetes mellitus; SHLP-6 for the treatment of cancer; and SHLP-2 to treat Alzheimer’s disease and type 2 diabetes mellitus. CohBar, Inc. was founded in 2007 and is headquartered in Menlo Park, California.</v>
      </c>
      <c r="AQ40" s="416">
        <f>_xll.ciqfunctions.udf.CIQ($A40, "IQ_BETA_1YR", $B$1)</f>
        <v>3.0872299999999999</v>
      </c>
      <c r="AR40" s="416">
        <f>_xll.ciqfunctions.udf.CIQ($A40, "IQ_BETA_2YR", $B$1)</f>
        <v>2.1240199999999998</v>
      </c>
      <c r="AS40" s="416">
        <f>_xll.ciqfunctions.udf.CIQ($A40, "IQ_BETA_5YR", $B$1)</f>
        <v>2.83392</v>
      </c>
      <c r="AT40" s="414">
        <f>_xll.ciqfunctions.udf.CIQ($A40, "IQ_DIVIDEND_YIELD", $B$1)/100</f>
        <v>0</v>
      </c>
      <c r="AU40" s="413">
        <f>_xll.ciqfunctions.udf.CIQ($A40, "IQ_EARNING_CO", IQ_LTM-8, $L$2, $L$4, $L$3, $L$5, $L$6)</f>
        <v>-4.31325</v>
      </c>
      <c r="AV40" s="413">
        <f>_xll.ciqfunctions.udf.CIQ($A40, "IQ_EARNING_CO", IQ_LTM-4, $L$2, $L$4, $L$3, $L$5, $L$6)</f>
        <v>-7.0908100000000003</v>
      </c>
      <c r="AW40" s="413">
        <f>_xll.ciqfunctions.udf.CIQ($A40, "IQ_EARNING_CO", IQ_LTM, $L$2, $L$4, $L$3, $L$5, $L$6)</f>
        <v>-11.18763</v>
      </c>
      <c r="AX40" s="413">
        <f>_xll.ciqfunctions.udf.CIQ($A40, "IQ_EARNING_CO", $B$2, $L$2, $L$4, $L$3, $L$5, $L$6)</f>
        <v>-6.0750000000000002</v>
      </c>
      <c r="AY40" s="413">
        <f>IF(_xll.ciqfunctions.udf.CIQ($A40, "IQ_EARNING_CO", $B$3, $L$2,$L$4, $L$3, $L$5, $L$6)=0,AW40,_xll.ciqfunctions.udf.CIQ($A40, "IQ_EARNING_CO", $B$3, $L$2,$L$4, $L$3, $L$5, $L$6))</f>
        <v>-9.8331499999999998</v>
      </c>
      <c r="AZ40" s="413">
        <f>_xll.ciqfunctions.udf.CIQ($A40, "IQ_TOTAL_EQUITY", IQ_LTM-8, $L$2, $L$4, $L$3, $L$5, $L$6)</f>
        <v>8.7286800000000007</v>
      </c>
      <c r="BA40" s="413">
        <f>_xll.ciqfunctions.udf.CIQ($A40, "IQ_TOTAL_EQUITY", IQ_LTM-4, $L$2, $L$4, $L$3, $L$5, $L$6)</f>
        <v>8.7828700000000008</v>
      </c>
      <c r="BB40" s="413">
        <f>_xll.ciqfunctions.udf.CIQ($A40, "IQ_TOTAL_EQUITY", IQ_LTM, $L$2, $L$4, $L$3, $L$5, $L$6)</f>
        <v>6.4572799999999999</v>
      </c>
      <c r="BC40" s="413">
        <f>_xll.ciqfunctions.udf.CIQ($A40, "IQ_TOTAL_EQUITY", $B$2, $L$2, $L$4, $L$3, $L$5, $L$6)</f>
        <v>8.6979699999999998</v>
      </c>
      <c r="BD40" s="413">
        <f>IF(_xll.ciqfunctions.udf.CIQ($A40, "IQ_TOTAL_EQUITY", $B$3, $L$2,$L$4, $L$3, $L$5, $L$6)=0,BB40,_xll.ciqfunctions.udf.CIQ($A40, "IQ_TOTAL_EQUITY", $B$3, $L$2,$L$4, $L$3, $L$5, $L$6))</f>
        <v>7.6189099999999996</v>
      </c>
      <c r="BE40" s="413">
        <f>_xll.ciqfunctions.udf.CIQ(A40, "IQ_LASTSALEPRICE", $B$8)</f>
        <v>5.35</v>
      </c>
      <c r="BF40" s="413">
        <f>_xll.ciqfunctions.udf.CIQ($A40, "IQ_MARKETCAP", $B$8, $L$5, $L$6)</f>
        <v>213.23039</v>
      </c>
      <c r="BG40" s="413">
        <f>_xll.ciqfunctions.udf.CIQ($A40, "IQ_TOTAL_DEBT", IQ_LTM, $B$8,$L$4, $L$3, $L$5, $L$6)</f>
        <v>0</v>
      </c>
      <c r="BH40" s="371">
        <f>_xll.ciqfunctions.udf.CIQ($A40,"IQ_PREF_EQUITY",IQ_LTM,$B$8,$L$4,$L$3,$L$5,$L$6)</f>
        <v>0</v>
      </c>
      <c r="BI40" s="371">
        <f>_xll.ciqfunctions.udf.CIQ($A40, "IQ_MINORITY_INTEREST_TOTAL", IQ_LTM,$B$8,$L$4,$L$3,$L$5,$L$6)</f>
        <v>0</v>
      </c>
      <c r="BJ40" s="413">
        <f>_xll.ciqfunctions.udf.CIQ($A40, "IQ_CASH_ST_INVEST", IQ_LTM, $B$8, $L$4, $L$3, $L$5, $L$6)</f>
        <v>10.34224</v>
      </c>
      <c r="BK40" s="371">
        <f>_xll.ciqfunctions.udf.CIQ($A40, "IQ_EFFECT_TAX_RATE")</f>
        <v>0</v>
      </c>
      <c r="BL40" s="371">
        <f>IF(_xll.ciqfunctions.udf.CIQ($A40, "IQ_TOTAL_REV_2YR_ANN_CAGR", IQ_LTM, $B$1,$L$4, $L$3, $L$5, $L$6)="NM","n/a",(_xll.ciqfunctions.udf.CIQ($A40, "IQ_TOTAL_REV_2YR_ANN_CAGR", IQ_LTM, $B$1,$L$4, $L$3, $L$5, $L$6)/100))</f>
        <v>0</v>
      </c>
      <c r="BM40" s="371">
        <f>IF(_xll.ciqfunctions.udf.CIQ($A40, "IQ_TOTAL_REV_3YR_ANN_CAGR", IQ_LTM, $B$1,$L$4, $L$3, $L$5, $L$6)="NM","n/a",(_xll.ciqfunctions.udf.CIQ($A40, "IQ_TOTAL_REV_3YR_ANN_CAGR", IQ_LTM, $B$1,$L$4, $L$3, $L$5, $L$6)/100))</f>
        <v>0</v>
      </c>
      <c r="BN40" s="371">
        <f>IF(_xll.ciqfunctions.udf.CIQ($A40, "IQ_TOTAL_REV_5YR_ANN_CAGR", IQ_LTM, $B$1,$L$4, $L$3, $L$5, $L$6)="NM","n/a",(_xll.ciqfunctions.udf.CIQ($A40, "IQ_TOTAL_REV_5YR_ANN_CAGR", IQ_LTM, $B$1,$L$4, $L$3, $L$5, $L$6)/100))</f>
        <v>0</v>
      </c>
      <c r="BO40" s="371" t="str">
        <f>IF(_xll.ciqfunctions.udf.CIQ($A40,"IQ_EBITDA_2YR_ANN_CAGR", IQ_LTM,$B$1,$L$4, $L$3, $L$5, $L$6)="NM","n/a",(_xll.ciqfunctions.udf.CIQ($A40,"IQ_EBITDA_2YR_ANN_CAGR", IQ_LTM,$B$1,$L$4, $L$3, $L$5, $L$6)/100))</f>
        <v>n/a</v>
      </c>
      <c r="BP40" s="371" t="str">
        <f>IF(_xll.ciqfunctions.udf.CIQ($A40,"IQ_EBITDA_3YR_ANN_CAGR", IQ_LTM,$B$1,$L$4, $L$3, $L$5, $L$6)="NM","n/a",(_xll.ciqfunctions.udf.CIQ($A40,"IQ_EBITDA_3YR_ANN_CAGR", IQ_LTM,$B$1,$L$4, $L$3, $L$5, $L$6)/100))</f>
        <v>n/a</v>
      </c>
      <c r="BQ40" s="371">
        <f>IF(_xll.ciqfunctions.udf.CIQ($A40,"IQ_EBITDA_5YR_ANN_CAGR", IQ_LTM,$B$1,$L$4, $L$3, $L$5, $L$6)="NM","n/a",(_xll.ciqfunctions.udf.CIQ($A40,"IQ_EBITDA_5YR_ANN_CAGR", IQ_LTM,$B$1,$L$4, $L$3, $L$5, $L$6)/100))</f>
        <v>0</v>
      </c>
      <c r="BR40" s="375" t="str">
        <f>IFERROR((_xll.ciqfunctions.udf.CIQ($A40, "IQ_DA_CF", IQ_LTM, $B$1, $L$4, $L$3, $L$5, $L$6)/Q40),"NM")</f>
        <v>NM</v>
      </c>
      <c r="BS40" s="417">
        <f>'Capital IQ Sheet-GPC'!BS40</f>
        <v>1.1006050499094084</v>
      </c>
      <c r="BT40" s="417">
        <f>'Capital IQ Sheet-GPC'!BT40</f>
        <v>0.93438496407054028</v>
      </c>
      <c r="BU40" s="417">
        <f>'Capital IQ Sheet-GPC'!BU40</f>
        <v>0.90299942668231514</v>
      </c>
      <c r="BV40" s="417">
        <f>'Capital IQ Sheet-GPC'!BV40</f>
        <v>0.87361088311090229</v>
      </c>
      <c r="BW40" s="417" t="str">
        <f>'Capital IQ Sheet-GPC'!BW40</f>
        <v>n/a</v>
      </c>
      <c r="BX40" s="417" t="str">
        <f>'Capital IQ Sheet-GPC'!BX40</f>
        <v>n/a</v>
      </c>
      <c r="BY40" s="417" t="str">
        <f>'Capital IQ Sheet-GPC'!BY40</f>
        <v>n/a</v>
      </c>
      <c r="BZ40" s="417" t="str">
        <f>'Capital IQ Sheet-GPC'!BZ40</f>
        <v>n/a</v>
      </c>
      <c r="CB40" s="371">
        <v>2</v>
      </c>
      <c r="CC40" s="495" t="s">
        <v>150</v>
      </c>
      <c r="CD40" s="495" t="s">
        <v>149</v>
      </c>
      <c r="CE40" s="373">
        <f t="shared" si="0"/>
        <v>42551</v>
      </c>
    </row>
    <row r="41" spans="1:83" s="371" customFormat="1" ht="12.75">
      <c r="A41" s="372" t="str">
        <f>_xll.ciqfunctions.udf.CIQ($B41,"IQ_COMPANY_TICKER")</f>
        <v>NasdaqGM:VTVT</v>
      </c>
      <c r="B41" s="412" t="str">
        <f>'Capital IQ Sheet-GPC'!B41</f>
        <v>IQ304063261</v>
      </c>
      <c r="C41" s="372" t="str">
        <f>_xll.ciqfunctions.udf.CIQ($A41,"IQ_COMPANY_NAME")</f>
        <v>vTv Therapeutics Inc.</v>
      </c>
      <c r="D41" s="372" t="str">
        <f>_xll.ciqfunctions.udf.CIQ($A41, "IQ_EXCHANGE")</f>
        <v>NasdaqGM</v>
      </c>
      <c r="E41" s="411">
        <f>_xll.ciqfunctions.udf.CIQ($A41, "IQ_PERIODDATE_IS", IQ_FY)</f>
        <v>43100</v>
      </c>
      <c r="F41" s="411">
        <f>_xll.ciqfunctions.udf.CIQ(A41, "IQ_PERIODDATE_IS", IQ_LTM, $B$1,$L$4,$L$3)</f>
        <v>43190</v>
      </c>
      <c r="G41" s="411">
        <f>_xll.ciqfunctions.udf.CIQ($A41, "IQ_FIRSTPRICINGDATE")</f>
        <v>42215</v>
      </c>
      <c r="H41" s="413">
        <f>_xll.ciqfunctions.udf.CIQ($A41, "IQ_TEV", $L$2, $L$5, $L$6)</f>
        <v>148.21010999999999</v>
      </c>
      <c r="I41" s="413">
        <f>_xll.ciqfunctions.udf.CIQ(A41, "IQ_LASTSALEPRICE", $B$1,$L$5)</f>
        <v>1.54</v>
      </c>
      <c r="J41" s="413">
        <f>_xll.ciqfunctions.udf.CIQ($A41, "IQ_MARKETCAP", $L$2, $L$5, $L$6)</f>
        <v>16.74211</v>
      </c>
      <c r="K41" s="413">
        <f>_xll.ciqfunctions.udf.CIQ($A41, "IQ_TOTAL_DEBT", IQ_LTM, $L$2,$L$4, $L$3, $L$5, $L$6)</f>
        <v>19.861999999999998</v>
      </c>
      <c r="L41" s="413">
        <f>_xll.ciqfunctions.udf.CIQ($A41, "IQ_PREF_EQUITY", IQ_LTM, $L$2, $L$4, $L$3, $L$5, $L$6)</f>
        <v>0</v>
      </c>
      <c r="M41" s="413">
        <f>_xll.ciqfunctions.udf.CIQ($A41, "IQ_MINORITY_INTEREST_TOTAL", IQ_LTM, $L$2, $L$4, $L$3, $L$5, $L$6)</f>
        <v>120.39700000000001</v>
      </c>
      <c r="N41" s="413">
        <f>_xll.ciqfunctions.udf.CIQ($A41, "IQ_CASH_ST_INVEST", IQ_LTM, $L$2, $L$4, $L$3, $L$5, $L$6)</f>
        <v>8.7910000000000004</v>
      </c>
      <c r="O41" s="413">
        <f>_xll.ciqfunctions.udf.CIQ($A41, "IQ_TOTAL_REV", IQ_LTM-8, $L$2, $L$4, $L$3, $L$5, $L$6)</f>
        <v>0.84499999999999997</v>
      </c>
      <c r="P41" s="413">
        <f>_xll.ciqfunctions.udf.CIQ($A41, "IQ_TOTAL_REV", IQ_LTM - 4, $L$2, $L$4, $L$3, $L$5,$L$6)</f>
        <v>0.28799999999999998</v>
      </c>
      <c r="Q41" s="413">
        <f>_xll.ciqfunctions.udf.CIQ($A41, "IQ_TOTAL_REV", IQ_LTM, $L$2, $L$4, $L$3, $L$5, $L$6)</f>
        <v>2.3250000000000002</v>
      </c>
      <c r="R41" s="413">
        <f>_xll.ciqfunctions.udf.CIQ($A41, "IQ_TOTAL_REV", $B$2, $L$2, $L$4, $L$3, $L$5, $L$6)</f>
        <v>0.63400000000000001</v>
      </c>
      <c r="S41" s="413">
        <f>IF(_xll.ciqfunctions.udf.CIQ($A41, "IQ_TOTAL_REV", $B$3, $L$2,$L$4, $L$3, $L$5, $L$6)=0,Q41,_xll.ciqfunctions.udf.CIQ($A41, "IQ_TOTAL_REV", $B$3, $L$2,$L$4, $L$3, $L$5, $L$6))</f>
        <v>0.29099999999999998</v>
      </c>
      <c r="T41" s="413">
        <f>IF(_xll.ciqfunctions.udf.CIQ($A41, "IQ_REVENUE_EST",$B$4, $L$2, "CON", $L$3, $L$5, $L$6)=0,"n/a",_xll.ciqfunctions.udf.CIQ($A41, "IQ_REVENUE_EST",$B$4, $L$2, "CON", $L$3, $L$5, $L$6))</f>
        <v>5.4130000000000003</v>
      </c>
      <c r="U41" s="413">
        <f>IF(_xll.ciqfunctions.udf.CIQ($A41, "IQ_REVENUE_EST",$B$5, $L$2, "CON", $L$3, $L$5, $L$6)=0,"n/a",_xll.ciqfunctions.udf.CIQ($A41, "IQ_REVENUE_EST",$B$5, $L$2, "CON", $L$3, $L$5, $L$6))</f>
        <v>3.4</v>
      </c>
      <c r="V41" s="413">
        <f>IF(_xll.ciqfunctions.udf.CIQ($A41, "IQ_REVENUE_EST",$B$6, $L$2, "CON", $L$3, $L$5, $L$6)=0,"n/a",_xll.ciqfunctions.udf.CIQ($A41, "IQ_REVENUE_EST",$B$6, $L$2, "CON", $L$3, $L$5, $L$6))</f>
        <v>0.2</v>
      </c>
      <c r="W41" s="413">
        <f>IF(_xll.ciqfunctions.udf.CIQ($A41, "IQ_REVENUE_EST", $B$7, $L$2, "CON", $L$3, $L$5, $L$6)=0,"n/a",_xll.ciqfunctions.udf.CIQ($A41, "IQ_REVENUE_EST",$B$7, $L$2, "CON", $L$3, $L$5, $L$6))</f>
        <v>35.291499999999999</v>
      </c>
      <c r="X41" s="413">
        <f>_xll.ciqfunctions.udf.CIQ($A41, "IQ_EBITDA", IQ_LTM-8, $L$2, $L$4, $L$3, $L$5, $L$6)</f>
        <v>-41.514000000000003</v>
      </c>
      <c r="Y41" s="413">
        <f>_xll.ciqfunctions.udf.CIQ($A41, "IQ_EBITDA", IQ_LTM-4, $L$2,$L$4, $L$3, $L$5, $L$6)</f>
        <v>-54.996000000000002</v>
      </c>
      <c r="Z41" s="413">
        <f>_xll.ciqfunctions.udf.CIQ($A41, "IQ_EBITDA", IQ_LTM, $L$2, $L$4, $L$3, $L$5, $L$6)</f>
        <v>-45.875</v>
      </c>
      <c r="AA41" s="413">
        <f>_xll.ciqfunctions.udf.CIQ($A41, "IQ_EBITDA", $B$2, $L$2, $L$4, $L$3, $L$5, $L$6)</f>
        <v>-54.755000000000003</v>
      </c>
      <c r="AB41" s="413">
        <f>IF(_xll.ciqfunctions.udf.CIQ($A41, "IQ_EBITDA", $B$3, $L$2,$L$4, $L$3, $L$5, $L$6)=0,Z41,_xll.ciqfunctions.udf.CIQ($A41, "IQ_EBITDA", $B$3, $L$2,$L$4, $L$3, $L$5, $L$6))</f>
        <v>-50.484999999999999</v>
      </c>
      <c r="AC41" s="413" t="str">
        <f>IF(_xll.ciqfunctions.udf.CIQ($A41, "IQ_EBITDA_EST",$B$4, $L$2, "CON", $L$3, $L$5, $L$6)=0,"n/a",_xll.ciqfunctions.udf.CIQ($A41, "IQ_EBITDA_EST",$B$4, $L$2, "CON", $L$3, $L$5, $L$6))</f>
        <v>n/a</v>
      </c>
      <c r="AD41" s="413" t="str">
        <f>IF(_xll.ciqfunctions.udf.CIQ($A41, "IQ_EBITDA_EST",$B$5, $L$2, "CON", $L$3, $L$5, $L$6)=0,"n/a",_xll.ciqfunctions.udf.CIQ($A41, "IQ_EBITDA_EST",$B$5, $L$2, "CON", $L$3, $L$5, $L$6))</f>
        <v>n/a</v>
      </c>
      <c r="AE41" s="413" t="str">
        <f>IF(_xll.ciqfunctions.udf.CIQ($A41, "IQ_EBITDA_EST",$B$6, $L$2, "CON", $L$3, $L$5, $L$6)=0,"n/a",_xll.ciqfunctions.udf.CIQ($A41, "IQ_EBITDA_EST",$B$6, $L$2, "CON", $L$3, $L$5, $L$6))</f>
        <v>n/a</v>
      </c>
      <c r="AF41" s="414" t="str">
        <f>IF(ISERROR(_xll.ciqfunctions.udf.CIQ($A41, "IQ_GROSS_MARGIN", IQ_LTM, $L$2,$L$4, $L$3, $L$5, $L$6)/100), "n/a", _xll.ciqfunctions.udf.CIQ($A41,  "IQ_GROSS_MARGIN", IQ_LTM, $L$2, $L$4, $L$3, $L$5, $L$6)/100)</f>
        <v>n/a</v>
      </c>
      <c r="AG41" s="414" t="str">
        <f>IF(ISERROR(_xll.ciqfunctions.udf.CIQ($A41,"IQ_EBITDA_MARGIN", IQ_LTM, $L$2, $L$4, $L$3, $L$5, $L$6)/100), "n/a", _xll.ciqfunctions.udf.CIQ($A41, "IQ_EBITDA_MARGIN", IQ_LTM, $L$2, $L$4, $L$3, $L$5, $L$6)/100)</f>
        <v>n/a</v>
      </c>
      <c r="AH41" s="414" t="str">
        <f>IF(ISERROR(_xll.ciqfunctions.udf.CIQ($A41,"IQ_EBIT_MARGIN", IQ_LTM, $L$2, $L$4, $L$3, $L$5, $L$6)/100), "n/a", _xll.ciqfunctions.udf.CIQ($A41, "IQ_EBIT_MARGIN", IQ_LTM, $L$2, $L$4, $L$3, $L$5, $L$6)/100)</f>
        <v>n/a</v>
      </c>
      <c r="AI41" s="414" t="str">
        <f>IF(ISERROR(_xll.ciqfunctions.udf.CIQ($A41,"IQ_NI_MARGIN", IQ_LTM, $L$2, $L$4, $L$3, $L$5, $L$6)/100), "n/a", _xll.ciqfunctions.udf.CIQ($A41, "IQ_NI_MARGIN", IQ_LTM, $L$2, $L$4, $L$3, $L$5, $L$6)/100)</f>
        <v>n/a</v>
      </c>
      <c r="AJ41" s="413">
        <f>_xll.ciqfunctions.udf.CIQ($A41,"IQ_TOTAL_CA",IQ_LTM-8,$L$2, $L$4, $L$3, $L$5, $L$6)-_xll.ciqfunctions.udf.CIQ($A41,"IQ_TOTAL_CL",IQ_LTM-8,$L$2, $L$4, $L$3, $L$5, $L$6)</f>
        <v>68.378999999999991</v>
      </c>
      <c r="AK41" s="413">
        <f>_xll.ciqfunctions.udf.CIQ($A41,"IQ_TOTAL_CA",IQ_LTM-4,$L$2, $L$4, $L$3, $L$5, $L$6)-_xll.ciqfunctions.udf.CIQ($A41,"IQ_TOTAL_CL",IQ_LTM-4,$L$2, $L$4, $L$3, $L$5, $L$6)</f>
        <v>34.823</v>
      </c>
      <c r="AL41" s="413">
        <f>_xll.ciqfunctions.udf.CIQ($A41,"IQ_TOTAL_CA",IQ_LTM,$L$2, $L$4, $L$3, $L$5, $L$6)-_xll.ciqfunctions.udf.CIQ($A41,"IQ_TOTAL_CL",IQ_LTM,$L$2, $L$4, $L$3, $L$5, $L$6)</f>
        <v>-17.349000000000004</v>
      </c>
      <c r="AM41" s="413">
        <f>IF(ISERROR(_xll.ciqfunctions.udf.CIQ($A41, "IQ_Capex", IQ_LTM-8, $L$2,$L$4, $L$3, $L$5, $L$6)), "n/a", _xll.ciqfunctions.udf.CIQ($A41, "IQ_Capex", IQ_LTM-8, $L$2, $L$4, $L$3, $L$5, $L$6))</f>
        <v>-0.1</v>
      </c>
      <c r="AN41" s="413">
        <f>IF(ISERROR(_xll.ciqfunctions.udf.CIQ($A41, "IQ_Capex", IQ_LTM-4, $L$2,$L$4, $L$3, $L$5, $L$6)), "n/a", _xll.ciqfunctions.udf.CIQ($A41, "IQ_Capex", IQ_LTM-4, $L$2,$L$4, $L$3, $L$5, $L$6))</f>
        <v>-0.126</v>
      </c>
      <c r="AO41" s="413">
        <f>IF(ISERROR(_xll.ciqfunctions.udf.CIQ($A41, "IQ_Capex", IQ_LTM, $L$2, $L$4, $L$3, $L$5, $L$6)), "n/a", _xll.ciqfunctions.udf.CIQ($A41, "IQ_Capex", IQ_LTM, $L$2, $L$4, $L$3, $L$5, $L$6))</f>
        <v>-1.7999999999999999E-2</v>
      </c>
      <c r="AP41" s="415" t="str">
        <f>_xll.ciqfunctions.udf.CIQ(A41, "IQ_BUSINESS_DESCRIPTION")</f>
        <v>vTv Therapeutics Inc., a clinical-stage biopharmaceutical company, discovers, develops, and sells orally administered small molecule drug candidates worldwide. The company’s drug candidates comprise azeliragon (TTP488), an orally administered, small molecule antagonist targeting the receptor for advanced glycation endproducts, which is in Phase III clinical trials for the treatment of Alzheimer’s disease. Its drug candidates also include TTP399, an orally administered, liver-selective glucokinase activator that has completed Phase 2b clinical trials for the treatment of type 2 diabetes, as well as initiated Phase 1b/2 clinical trials for the treatment of type 1 diabetes; and TTP273, an orally administered, non-peptide agonist that targets the glucagon-like peptide-1 receptor, which has completed Phase II clinical trials for the treatment of type 2 diabetes. vTv Therapeutics Inc. has a license and research agreement with Calithera Biosciences, Inc. to develop and commercialize its hexokinase II inhibitors for therapeutic, prophylactic, preventative, or diagnostic use. The company was founded in 2015 and is headquartered in High Point, North Carolina. vTv Therapeutics Inc. is a subsidiary of vTv Therapeutics Holdings LLC.</v>
      </c>
      <c r="AQ41" s="416">
        <f>_xll.ciqfunctions.udf.CIQ($A41, "IQ_BETA_1YR", $B$1)</f>
        <v>1.9633</v>
      </c>
      <c r="AR41" s="416">
        <f>_xll.ciqfunctions.udf.CIQ($A41, "IQ_BETA_2YR", $B$1)</f>
        <v>1.8547800000000001</v>
      </c>
      <c r="AS41" s="416">
        <f>_xll.ciqfunctions.udf.CIQ($A41, "IQ_BETA_5YR", $B$1)</f>
        <v>1.8688199999999999</v>
      </c>
      <c r="AT41" s="414">
        <f>_xll.ciqfunctions.udf.CIQ($A41, "IQ_DIVIDEND_YIELD", $B$1)/100</f>
        <v>0</v>
      </c>
      <c r="AU41" s="413">
        <f>_xll.ciqfunctions.udf.CIQ($A41, "IQ_EARNING_CO", IQ_LTM-8, $L$2, $L$4, $L$3, $L$5, $L$6)</f>
        <v>-44.814</v>
      </c>
      <c r="AV41" s="413">
        <f>_xll.ciqfunctions.udf.CIQ($A41, "IQ_EARNING_CO", IQ_LTM-4, $L$2, $L$4, $L$3, $L$5, $L$6)</f>
        <v>-56.119</v>
      </c>
      <c r="AW41" s="413">
        <f>_xll.ciqfunctions.udf.CIQ($A41, "IQ_EARNING_CO", IQ_LTM, $L$2, $L$4, $L$3, $L$5, $L$6)</f>
        <v>-50.320999999999998</v>
      </c>
      <c r="AX41" s="413">
        <f>_xll.ciqfunctions.udf.CIQ($A41, "IQ_EARNING_CO", $B$2, $L$2, $L$4, $L$3, $L$5, $L$6)</f>
        <v>-55.353000000000002</v>
      </c>
      <c r="AY41" s="413">
        <f>IF(_xll.ciqfunctions.udf.CIQ($A41, "IQ_EARNING_CO", $B$3, $L$2,$L$4, $L$3, $L$5, $L$6)=0,AW41,_xll.ciqfunctions.udf.CIQ($A41, "IQ_EARNING_CO", $B$3, $L$2,$L$4, $L$3, $L$5, $L$6))</f>
        <v>-54.646999999999998</v>
      </c>
      <c r="AZ41" s="413">
        <f>_xll.ciqfunctions.udf.CIQ($A41, "IQ_TOTAL_EQUITY", IQ_LTM-8, $L$2, $L$4, $L$3, $L$5, $L$6)</f>
        <v>70.647999999999996</v>
      </c>
      <c r="BA41" s="413">
        <f>_xll.ciqfunctions.udf.CIQ($A41, "IQ_TOTAL_EQUITY", IQ_LTM-4, $L$2, $L$4, $L$3, $L$5, $L$6)</f>
        <v>18.190000000000001</v>
      </c>
      <c r="BB41" s="413">
        <f>_xll.ciqfunctions.udf.CIQ($A41, "IQ_TOTAL_EQUITY", IQ_LTM, $L$2, $L$4, $L$3, $L$5, $L$6)</f>
        <v>-28.390999999999998</v>
      </c>
      <c r="BC41" s="413">
        <f>_xll.ciqfunctions.udf.CIQ($A41, "IQ_TOTAL_EQUITY", $B$2, $L$2, $L$4, $L$3, $L$5, $L$6)</f>
        <v>31.57</v>
      </c>
      <c r="BD41" s="413">
        <f>IF(_xll.ciqfunctions.udf.CIQ($A41, "IQ_TOTAL_EQUITY", $B$3, $L$2,$L$4, $L$3, $L$5, $L$6)=0,BB41,_xll.ciqfunctions.udf.CIQ($A41, "IQ_TOTAL_EQUITY", $B$3, $L$2,$L$4, $L$3, $L$5, $L$6))</f>
        <v>-19.606999999999999</v>
      </c>
      <c r="BE41" s="413">
        <f>_xll.ciqfunctions.udf.CIQ(A41, "IQ_LASTSALEPRICE", $B$8)</f>
        <v>4.07</v>
      </c>
      <c r="BF41" s="413">
        <f>_xll.ciqfunctions.udf.CIQ($A41, "IQ_MARKETCAP", $B$8, $L$5, $L$6)</f>
        <v>39.451540000000001</v>
      </c>
      <c r="BG41" s="413">
        <f>_xll.ciqfunctions.udf.CIQ($A41, "IQ_TOTAL_DEBT", IQ_LTM, $B$8,$L$4, $L$3, $L$5, $L$6)</f>
        <v>19.587</v>
      </c>
      <c r="BH41" s="371">
        <f>_xll.ciqfunctions.udf.CIQ($A41,"IQ_PREF_EQUITY",IQ_LTM,$B$8,$L$4,$L$3,$L$5,$L$6)</f>
        <v>0</v>
      </c>
      <c r="BI41" s="371">
        <f>_xll.ciqfunctions.udf.CIQ($A41, "IQ_MINORITY_INTEREST_TOTAL", IQ_LTM,$B$8,$L$4,$L$3,$L$5,$L$6)</f>
        <v>131.44</v>
      </c>
      <c r="BJ41" s="413">
        <f>_xll.ciqfunctions.udf.CIQ($A41, "IQ_CASH_ST_INVEST", IQ_LTM, $B$8, $L$4, $L$3, $L$5, $L$6)</f>
        <v>11.757999999999999</v>
      </c>
      <c r="BK41" s="371" t="str">
        <f>_xll.ciqfunctions.udf.CIQ($A41, "IQ_EFFECT_TAX_RATE")</f>
        <v>NM</v>
      </c>
      <c r="BL41" s="371">
        <f>IF(_xll.ciqfunctions.udf.CIQ($A41, "IQ_TOTAL_REV_2YR_ANN_CAGR", IQ_LTM, $B$1,$L$4, $L$3, $L$5, $L$6)="NM","n/a",(_xll.ciqfunctions.udf.CIQ($A41, "IQ_TOTAL_REV_2YR_ANN_CAGR", IQ_LTM, $B$1,$L$4, $L$3, $L$5, $L$6)/100))</f>
        <v>0.65875799999999995</v>
      </c>
      <c r="BM41" s="371">
        <f>IF(_xll.ciqfunctions.udf.CIQ($A41, "IQ_TOTAL_REV_3YR_ANN_CAGR", IQ_LTM, $B$1,$L$4, $L$3, $L$5, $L$6)="NM","n/a",(_xll.ciqfunctions.udf.CIQ($A41, "IQ_TOTAL_REV_3YR_ANN_CAGR", IQ_LTM, $B$1,$L$4, $L$3, $L$5, $L$6)/100))</f>
        <v>0.13622500000000001</v>
      </c>
      <c r="BN41" s="371">
        <f>IF(_xll.ciqfunctions.udf.CIQ($A41, "IQ_TOTAL_REV_5YR_ANN_CAGR", IQ_LTM, $B$1,$L$4, $L$3, $L$5, $L$6)="NM","n/a",(_xll.ciqfunctions.udf.CIQ($A41, "IQ_TOTAL_REV_5YR_ANN_CAGR", IQ_LTM, $B$1,$L$4, $L$3, $L$5, $L$6)/100))</f>
        <v>0</v>
      </c>
      <c r="BO41" s="371" t="str">
        <f>IF(_xll.ciqfunctions.udf.CIQ($A41,"IQ_EBITDA_2YR_ANN_CAGR", IQ_LTM,$B$1,$L$4, $L$3, $L$5, $L$6)="NM","n/a",(_xll.ciqfunctions.udf.CIQ($A41,"IQ_EBITDA_2YR_ANN_CAGR", IQ_LTM,$B$1,$L$4, $L$3, $L$5, $L$6)/100))</f>
        <v>n/a</v>
      </c>
      <c r="BP41" s="371" t="str">
        <f>IF(_xll.ciqfunctions.udf.CIQ($A41,"IQ_EBITDA_3YR_ANN_CAGR", IQ_LTM,$B$1,$L$4, $L$3, $L$5, $L$6)="NM","n/a",(_xll.ciqfunctions.udf.CIQ($A41,"IQ_EBITDA_3YR_ANN_CAGR", IQ_LTM,$B$1,$L$4, $L$3, $L$5, $L$6)/100))</f>
        <v>n/a</v>
      </c>
      <c r="BQ41" s="371">
        <f>IF(_xll.ciqfunctions.udf.CIQ($A41,"IQ_EBITDA_5YR_ANN_CAGR", IQ_LTM,$B$1,$L$4, $L$3, $L$5, $L$6)="NM","n/a",(_xll.ciqfunctions.udf.CIQ($A41,"IQ_EBITDA_5YR_ANN_CAGR", IQ_LTM,$B$1,$L$4, $L$3, $L$5, $L$6)/100))</f>
        <v>0</v>
      </c>
      <c r="BR41" s="375">
        <f>IFERROR((_xll.ciqfunctions.udf.CIQ($A41, "IQ_DA_CF", IQ_LTM, $B$1, $L$4, $L$3, $L$5, $L$6)/Q41),"NM")</f>
        <v>8.0430107526881719E-2</v>
      </c>
      <c r="BS41" s="417">
        <f>'Capital IQ Sheet-GPC'!BS41</f>
        <v>1.9000809249620541</v>
      </c>
      <c r="BT41" s="417">
        <f>'Capital IQ Sheet-GPC'!BT41</f>
        <v>1.3765146358946527</v>
      </c>
      <c r="BU41" s="417">
        <f>'Capital IQ Sheet-GPC'!BU41</f>
        <v>1.2031094808818099</v>
      </c>
      <c r="BV41" s="417" t="str">
        <f>'Capital IQ Sheet-GPC'!BV41</f>
        <v>n/a</v>
      </c>
      <c r="BW41" s="417" t="str">
        <f>'Capital IQ Sheet-GPC'!BW41</f>
        <v>n/a</v>
      </c>
      <c r="BX41" s="417" t="str">
        <f>'Capital IQ Sheet-GPC'!BX41</f>
        <v>n/a</v>
      </c>
      <c r="BY41" s="417" t="str">
        <f>'Capital IQ Sheet-GPC'!BY41</f>
        <v>n/a</v>
      </c>
      <c r="BZ41" s="417" t="str">
        <f>'Capital IQ Sheet-GPC'!BZ41</f>
        <v>n/a</v>
      </c>
      <c r="CB41" s="371">
        <v>2</v>
      </c>
      <c r="CC41" s="495" t="s">
        <v>150</v>
      </c>
      <c r="CD41" s="495" t="s">
        <v>149</v>
      </c>
      <c r="CE41" s="373">
        <f t="shared" si="0"/>
        <v>42551</v>
      </c>
    </row>
    <row r="42" spans="1:83" s="371" customFormat="1" ht="12.75">
      <c r="A42" s="372" t="str">
        <f>_xll.ciqfunctions.udf.CIQ($B42,"IQ_COMPANY_TICKER")</f>
        <v>OTCPK:RZLT</v>
      </c>
      <c r="B42" s="412" t="str">
        <f>'Capital IQ Sheet-GPC'!B42</f>
        <v>IQ177932577</v>
      </c>
      <c r="C42" s="372" t="str">
        <f>_xll.ciqfunctions.udf.CIQ($A42,"IQ_COMPANY_NAME")</f>
        <v>Rezolute, Inc.</v>
      </c>
      <c r="D42" s="372" t="str">
        <f>_xll.ciqfunctions.udf.CIQ($A42, "IQ_EXCHANGE")</f>
        <v>OTCPK</v>
      </c>
      <c r="E42" s="411">
        <f>_xll.ciqfunctions.udf.CIQ($A42, "IQ_PERIODDATE_IS", IQ_FY)</f>
        <v>42916</v>
      </c>
      <c r="F42" s="411">
        <f>_xll.ciqfunctions.udf.CIQ(A42, "IQ_PERIODDATE_IS", IQ_LTM, $B$1,$L$4,$L$3)</f>
        <v>43190</v>
      </c>
      <c r="G42" s="411">
        <f>_xll.ciqfunctions.udf.CIQ($A42, "IQ_FIRSTPRICINGDATE")</f>
        <v>41306</v>
      </c>
      <c r="H42" s="413">
        <f>_xll.ciqfunctions.udf.CIQ($A42, "IQ_TEV", $L$2, $L$5, $L$6)</f>
        <v>28.82142</v>
      </c>
      <c r="I42" s="413">
        <f>_xll.ciqfunctions.udf.CIQ(A42, "IQ_LASTSALEPRICE", $B$1,$L$5)</f>
        <v>0.45</v>
      </c>
      <c r="J42" s="413">
        <f>_xll.ciqfunctions.udf.CIQ($A42, "IQ_MARKETCAP", $L$2, $L$5, $L$6)</f>
        <v>27.97484</v>
      </c>
      <c r="K42" s="413">
        <f>_xll.ciqfunctions.udf.CIQ($A42, "IQ_TOTAL_DEBT", IQ_LTM, $L$2,$L$4, $L$3, $L$5, $L$6)</f>
        <v>0.92469999999999997</v>
      </c>
      <c r="L42" s="413">
        <f>_xll.ciqfunctions.udf.CIQ($A42, "IQ_PREF_EQUITY", IQ_LTM, $L$2, $L$4, $L$3, $L$5, $L$6)</f>
        <v>0</v>
      </c>
      <c r="M42" s="413">
        <f>_xll.ciqfunctions.udf.CIQ($A42, "IQ_MINORITY_INTEREST_TOTAL", IQ_LTM, $L$2, $L$4, $L$3, $L$5, $L$6)</f>
        <v>0</v>
      </c>
      <c r="N42" s="413">
        <f>_xll.ciqfunctions.udf.CIQ($A42, "IQ_CASH_ST_INVEST", IQ_LTM, $L$2, $L$4, $L$3, $L$5, $L$6)</f>
        <v>7.8119999999999995E-2</v>
      </c>
      <c r="O42" s="413">
        <f>_xll.ciqfunctions.udf.CIQ($A42, "IQ_TOTAL_REV", IQ_LTM-8, $L$2, $L$4, $L$3, $L$5, $L$6)</f>
        <v>0</v>
      </c>
      <c r="P42" s="413">
        <f>_xll.ciqfunctions.udf.CIQ($A42, "IQ_TOTAL_REV", IQ_LTM - 4, $L$2, $L$4, $L$3, $L$5,$L$6)</f>
        <v>0</v>
      </c>
      <c r="Q42" s="413">
        <f>_xll.ciqfunctions.udf.CIQ($A42, "IQ_TOTAL_REV", IQ_LTM, $L$2, $L$4, $L$3, $L$5, $L$6)</f>
        <v>0</v>
      </c>
      <c r="R42" s="413">
        <f>_xll.ciqfunctions.udf.CIQ($A42, "IQ_TOTAL_REV", $B$2, $L$2, $L$4, $L$3, $L$5, $L$6)</f>
        <v>0</v>
      </c>
      <c r="S42" s="413">
        <f>IF(_xll.ciqfunctions.udf.CIQ($A42, "IQ_TOTAL_REV", $B$3, $L$2,$L$4, $L$3, $L$5, $L$6)=0,Q42,_xll.ciqfunctions.udf.CIQ($A42, "IQ_TOTAL_REV", $B$3, $L$2,$L$4, $L$3, $L$5, $L$6))</f>
        <v>0</v>
      </c>
      <c r="T42" s="413" t="str">
        <f>IF(_xll.ciqfunctions.udf.CIQ($A42, "IQ_REVENUE_EST",$B$4, $L$2, "CON", $L$3, $L$5, $L$6)=0,"n/a",_xll.ciqfunctions.udf.CIQ($A42, "IQ_REVENUE_EST",$B$4, $L$2, "CON", $L$3, $L$5, $L$6))</f>
        <v>n/a</v>
      </c>
      <c r="U42" s="413" t="str">
        <f>IF(_xll.ciqfunctions.udf.CIQ($A42, "IQ_REVENUE_EST",$B$5, $L$2, "CON", $L$3, $L$5, $L$6)=0,"n/a",_xll.ciqfunctions.udf.CIQ($A42, "IQ_REVENUE_EST",$B$5, $L$2, "CON", $L$3, $L$5, $L$6))</f>
        <v>n/a</v>
      </c>
      <c r="V42" s="413" t="str">
        <f>IF(_xll.ciqfunctions.udf.CIQ($A42, "IQ_REVENUE_EST",$B$6, $L$2, "CON", $L$3, $L$5, $L$6)=0,"n/a",_xll.ciqfunctions.udf.CIQ($A42, "IQ_REVENUE_EST",$B$6, $L$2, "CON", $L$3, $L$5, $L$6))</f>
        <v>n/a</v>
      </c>
      <c r="W42" s="413" t="str">
        <f>IF(_xll.ciqfunctions.udf.CIQ($A42, "IQ_REVENUE_EST", $B$7, $L$2, "CON", $L$3, $L$5, $L$6)=0,"n/a",_xll.ciqfunctions.udf.CIQ($A42, "IQ_REVENUE_EST",$B$7, $L$2, "CON", $L$3, $L$5, $L$6))</f>
        <v>n/a</v>
      </c>
      <c r="X42" s="413">
        <f>_xll.ciqfunctions.udf.CIQ($A42, "IQ_EBITDA", IQ_LTM-8, $L$2, $L$4, $L$3, $L$5, $L$6)</f>
        <v>-13.39531</v>
      </c>
      <c r="Y42" s="413">
        <f>_xll.ciqfunctions.udf.CIQ($A42, "IQ_EBITDA", IQ_LTM-4, $L$2,$L$4, $L$3, $L$5, $L$6)</f>
        <v>-16.553650000000001</v>
      </c>
      <c r="Z42" s="413">
        <f>_xll.ciqfunctions.udf.CIQ($A42, "IQ_EBITDA", IQ_LTM, $L$2, $L$4, $L$3, $L$5, $L$6)</f>
        <v>-22.230619999999998</v>
      </c>
      <c r="AA42" s="413">
        <f>_xll.ciqfunctions.udf.CIQ($A42, "IQ_EBITDA", $B$2, $L$2, $L$4, $L$3, $L$5, $L$6)</f>
        <v>-14.92037</v>
      </c>
      <c r="AB42" s="413">
        <f>IF(_xll.ciqfunctions.udf.CIQ($A42, "IQ_EBITDA", $B$3, $L$2,$L$4, $L$3, $L$5, $L$6)=0,Z42,_xll.ciqfunctions.udf.CIQ($A42, "IQ_EBITDA", $B$3, $L$2,$L$4, $L$3, $L$5, $L$6))</f>
        <v>-22.612480000000001</v>
      </c>
      <c r="AC42" s="413" t="str">
        <f>IF(_xll.ciqfunctions.udf.CIQ($A42, "IQ_EBITDA_EST",$B$4, $L$2, "CON", $L$3, $L$5, $L$6)=0,"n/a",_xll.ciqfunctions.udf.CIQ($A42, "IQ_EBITDA_EST",$B$4, $L$2, "CON", $L$3, $L$5, $L$6))</f>
        <v>n/a</v>
      </c>
      <c r="AD42" s="413" t="str">
        <f>IF(_xll.ciqfunctions.udf.CIQ($A42, "IQ_EBITDA_EST",$B$5, $L$2, "CON", $L$3, $L$5, $L$6)=0,"n/a",_xll.ciqfunctions.udf.CIQ($A42, "IQ_EBITDA_EST",$B$5, $L$2, "CON", $L$3, $L$5, $L$6))</f>
        <v>n/a</v>
      </c>
      <c r="AE42" s="413" t="str">
        <f>IF(_xll.ciqfunctions.udf.CIQ($A42, "IQ_EBITDA_EST",$B$6, $L$2, "CON", $L$3, $L$5, $L$6)=0,"n/a",_xll.ciqfunctions.udf.CIQ($A42, "IQ_EBITDA_EST",$B$6, $L$2, "CON", $L$3, $L$5, $L$6))</f>
        <v>n/a</v>
      </c>
      <c r="AF42" s="414">
        <f>IF(ISERROR(_xll.ciqfunctions.udf.CIQ($A42, "IQ_GROSS_MARGIN", IQ_LTM, $L$2,$L$4, $L$3, $L$5, $L$6)/100), "n/a", _xll.ciqfunctions.udf.CIQ($A42,  "IQ_GROSS_MARGIN", IQ_LTM, $L$2, $L$4, $L$3, $L$5, $L$6)/100)</f>
        <v>0</v>
      </c>
      <c r="AG42" s="414">
        <f>IF(ISERROR(_xll.ciqfunctions.udf.CIQ($A42,"IQ_EBITDA_MARGIN", IQ_LTM, $L$2, $L$4, $L$3, $L$5, $L$6)/100), "n/a", _xll.ciqfunctions.udf.CIQ($A42, "IQ_EBITDA_MARGIN", IQ_LTM, $L$2, $L$4, $L$3, $L$5, $L$6)/100)</f>
        <v>0</v>
      </c>
      <c r="AH42" s="414">
        <f>IF(ISERROR(_xll.ciqfunctions.udf.CIQ($A42,"IQ_EBIT_MARGIN", IQ_LTM, $L$2, $L$4, $L$3, $L$5, $L$6)/100), "n/a", _xll.ciqfunctions.udf.CIQ($A42, "IQ_EBIT_MARGIN", IQ_LTM, $L$2, $L$4, $L$3, $L$5, $L$6)/100)</f>
        <v>0</v>
      </c>
      <c r="AI42" s="414">
        <f>IF(ISERROR(_xll.ciqfunctions.udf.CIQ($A42,"IQ_NI_MARGIN", IQ_LTM, $L$2, $L$4, $L$3, $L$5, $L$6)/100), "n/a", _xll.ciqfunctions.udf.CIQ($A42, "IQ_NI_MARGIN", IQ_LTM, $L$2, $L$4, $L$3, $L$5, $L$6)/100)</f>
        <v>0</v>
      </c>
      <c r="AJ42" s="413">
        <f>_xll.ciqfunctions.udf.CIQ($A42,"IQ_TOTAL_CA",IQ_LTM-8,$L$2, $L$4, $L$3, $L$5, $L$6)-_xll.ciqfunctions.udf.CIQ($A42,"IQ_TOTAL_CL",IQ_LTM-8,$L$2, $L$4, $L$3, $L$5, $L$6)</f>
        <v>-0.37883000000000022</v>
      </c>
      <c r="AK42" s="413">
        <f>_xll.ciqfunctions.udf.CIQ($A42,"IQ_TOTAL_CA",IQ_LTM-4,$L$2, $L$4, $L$3, $L$5, $L$6)-_xll.ciqfunctions.udf.CIQ($A42,"IQ_TOTAL_CL",IQ_LTM-4,$L$2, $L$4, $L$3, $L$5, $L$6)</f>
        <v>2.8293999999999997</v>
      </c>
      <c r="AL42" s="413">
        <f>_xll.ciqfunctions.udf.CIQ($A42,"IQ_TOTAL_CA",IQ_LTM,$L$2, $L$4, $L$3, $L$5, $L$6)-_xll.ciqfunctions.udf.CIQ($A42,"IQ_TOTAL_CL",IQ_LTM,$L$2, $L$4, $L$3, $L$5, $L$6)</f>
        <v>-3.9250700000000003</v>
      </c>
      <c r="AM42" s="413">
        <f>IF(ISERROR(_xll.ciqfunctions.udf.CIQ($A42, "IQ_Capex", IQ_LTM-8, $L$2,$L$4, $L$3, $L$5, $L$6)), "n/a", _xll.ciqfunctions.udf.CIQ($A42, "IQ_Capex", IQ_LTM-8, $L$2, $L$4, $L$3, $L$5, $L$6))</f>
        <v>-4.0074100000000001</v>
      </c>
      <c r="AN42" s="413">
        <f>IF(ISERROR(_xll.ciqfunctions.udf.CIQ($A42, "IQ_Capex", IQ_LTM-4, $L$2,$L$4, $L$3, $L$5, $L$6)), "n/a", _xll.ciqfunctions.udf.CIQ($A42, "IQ_Capex", IQ_LTM-4, $L$2,$L$4, $L$3, $L$5, $L$6))</f>
        <v>-0.61768000000000001</v>
      </c>
      <c r="AO42" s="413">
        <f>IF(ISERROR(_xll.ciqfunctions.udf.CIQ($A42, "IQ_Capex", IQ_LTM, $L$2, $L$4, $L$3, $L$5, $L$6)), "n/a", _xll.ciqfunctions.udf.CIQ($A42, "IQ_Capex", IQ_LTM, $L$2, $L$4, $L$3, $L$5, $L$6))</f>
        <v>-0.11344</v>
      </c>
      <c r="AP42" s="415" t="str">
        <f>_xll.ciqfunctions.udf.CIQ(A42, "IQ_BUSINESS_DESCRIPTION")</f>
        <v>Rezolute, Inc., a clinical stage biopharmaceutical company, specializes in the development of drug therapies for treating diabetes and metabolic diseases in the United States. Its lead product candidate is AB101, which is a human recombinant insulin that is used alone and in combination with bolus prandial insulin or oral glucose lowering therapies to enhance glycemic control in patients with type 1 and type 2 diabetes mellitus has completed phase I clinical trial. The company also develops AB301, a human glucagon-like peptide-1 agonist for the treatment of patients with type 2 diabetes; AB402 for vision-threatening eye complications of diabetes, including Diabetic Retinopathy and Diabetic Macular Edema; and AB602 to treat Hereditary Angioedema, which are in preclinical studies. It has a licensing agreement with ActiveSite Pharmaceuticals, Inc. The company was formerly known as AntriaBio, Inc. and changed its name to Rezolute, Inc. in December 2017. Rezolute, Inc. is headquartered in Louisville, Colorado.</v>
      </c>
      <c r="AQ42" s="416">
        <f>_xll.ciqfunctions.udf.CIQ($A42, "IQ_BETA_1YR", $B$1)</f>
        <v>0.26827000000000001</v>
      </c>
      <c r="AR42" s="416">
        <f>_xll.ciqfunctions.udf.CIQ($A42, "IQ_BETA_2YR", $B$1)</f>
        <v>-0.10098</v>
      </c>
      <c r="AS42" s="416">
        <f>_xll.ciqfunctions.udf.CIQ($A42, "IQ_BETA_5YR", $B$1)</f>
        <v>-3.2129999999999999E-2</v>
      </c>
      <c r="AT42" s="414">
        <f>_xll.ciqfunctions.udf.CIQ($A42, "IQ_DIVIDEND_YIELD", $B$1)/100</f>
        <v>0</v>
      </c>
      <c r="AU42" s="413">
        <f>_xll.ciqfunctions.udf.CIQ($A42, "IQ_EARNING_CO", IQ_LTM-8, $L$2, $L$4, $L$3, $L$5, $L$6)</f>
        <v>-14.104150000000001</v>
      </c>
      <c r="AV42" s="413">
        <f>_xll.ciqfunctions.udf.CIQ($A42, "IQ_EARNING_CO", IQ_LTM-4, $L$2, $L$4, $L$3, $L$5, $L$6)</f>
        <v>-17.95926</v>
      </c>
      <c r="AW42" s="413">
        <f>_xll.ciqfunctions.udf.CIQ($A42, "IQ_EARNING_CO", IQ_LTM, $L$2, $L$4, $L$3, $L$5, $L$6)</f>
        <v>-23.55977</v>
      </c>
      <c r="AX42" s="413">
        <f>_xll.ciqfunctions.udf.CIQ($A42, "IQ_EARNING_CO", $B$2, $L$2, $L$4, $L$3, $L$5, $L$6)</f>
        <v>-16.285489999999999</v>
      </c>
      <c r="AY42" s="413">
        <f>IF(_xll.ciqfunctions.udf.CIQ($A42, "IQ_EARNING_CO", $B$3, $L$2,$L$4, $L$3, $L$5, $L$6)=0,AW42,_xll.ciqfunctions.udf.CIQ($A42, "IQ_EARNING_CO", $B$3, $L$2,$L$4, $L$3, $L$5, $L$6))</f>
        <v>-23.97654</v>
      </c>
      <c r="AZ42" s="413">
        <f>_xll.ciqfunctions.udf.CIQ($A42, "IQ_TOTAL_EQUITY", IQ_LTM-8, $L$2, $L$4, $L$3, $L$5, $L$6)</f>
        <v>5.9403800000000002</v>
      </c>
      <c r="BA42" s="413">
        <f>_xll.ciqfunctions.udf.CIQ($A42, "IQ_TOTAL_EQUITY", IQ_LTM-4, $L$2, $L$4, $L$3, $L$5, $L$6)</f>
        <v>8.4602400000000006</v>
      </c>
      <c r="BB42" s="413">
        <f>_xll.ciqfunctions.udf.CIQ($A42, "IQ_TOTAL_EQUITY", IQ_LTM, $L$2, $L$4, $L$3, $L$5, $L$6)</f>
        <v>0.53293000000000001</v>
      </c>
      <c r="BC42" s="413">
        <f>_xll.ciqfunctions.udf.CIQ($A42, "IQ_TOTAL_EQUITY", $B$2, $L$2, $L$4, $L$3, $L$5, $L$6)</f>
        <v>7.9328399999999997</v>
      </c>
      <c r="BD42" s="413">
        <f>IF(_xll.ciqfunctions.udf.CIQ($A42, "IQ_TOTAL_EQUITY", $B$3, $L$2,$L$4, $L$3, $L$5, $L$6)=0,BB42,_xll.ciqfunctions.udf.CIQ($A42, "IQ_TOTAL_EQUITY", $B$3, $L$2,$L$4, $L$3, $L$5, $L$6))</f>
        <v>3.8018000000000001</v>
      </c>
      <c r="BE42" s="413">
        <f>_xll.ciqfunctions.udf.CIQ(A42, "IQ_LASTSALEPRICE", $B$8)</f>
        <v>0.45200000000000001</v>
      </c>
      <c r="BF42" s="413">
        <f>_xll.ciqfunctions.udf.CIQ($A42, "IQ_MARKETCAP", $B$8, $L$5, $L$6)</f>
        <v>24.441140000000001</v>
      </c>
      <c r="BG42" s="413">
        <f>_xll.ciqfunctions.udf.CIQ($A42, "IQ_TOTAL_DEBT", IQ_LTM, $B$8,$L$4, $L$3, $L$5, $L$6)</f>
        <v>0.01</v>
      </c>
      <c r="BH42" s="371">
        <f>_xll.ciqfunctions.udf.CIQ($A42,"IQ_PREF_EQUITY",IQ_LTM,$B$8,$L$4,$L$3,$L$5,$L$6)</f>
        <v>0</v>
      </c>
      <c r="BI42" s="371">
        <f>_xll.ciqfunctions.udf.CIQ($A42, "IQ_MINORITY_INTEREST_TOTAL", IQ_LTM,$B$8,$L$4,$L$3,$L$5,$L$6)</f>
        <v>0</v>
      </c>
      <c r="BJ42" s="413">
        <f>_xll.ciqfunctions.udf.CIQ($A42, "IQ_CASH_ST_INVEST", IQ_LTM, $B$8, $L$4, $L$3, $L$5, $L$6)</f>
        <v>0.86807000000000001</v>
      </c>
      <c r="BK42" s="371">
        <f>_xll.ciqfunctions.udf.CIQ($A42, "IQ_EFFECT_TAX_RATE")</f>
        <v>0</v>
      </c>
      <c r="BL42" s="371">
        <f>IF(_xll.ciqfunctions.udf.CIQ($A42, "IQ_TOTAL_REV_2YR_ANN_CAGR", IQ_LTM, $B$1,$L$4, $L$3, $L$5, $L$6)="NM","n/a",(_xll.ciqfunctions.udf.CIQ($A42, "IQ_TOTAL_REV_2YR_ANN_CAGR", IQ_LTM, $B$1,$L$4, $L$3, $L$5, $L$6)/100))</f>
        <v>0</v>
      </c>
      <c r="BM42" s="371">
        <f>IF(_xll.ciqfunctions.udf.CIQ($A42, "IQ_TOTAL_REV_3YR_ANN_CAGR", IQ_LTM, $B$1,$L$4, $L$3, $L$5, $L$6)="NM","n/a",(_xll.ciqfunctions.udf.CIQ($A42, "IQ_TOTAL_REV_3YR_ANN_CAGR", IQ_LTM, $B$1,$L$4, $L$3, $L$5, $L$6)/100))</f>
        <v>0</v>
      </c>
      <c r="BN42" s="371">
        <f>IF(_xll.ciqfunctions.udf.CIQ($A42, "IQ_TOTAL_REV_5YR_ANN_CAGR", IQ_LTM, $B$1,$L$4, $L$3, $L$5, $L$6)="NM","n/a",(_xll.ciqfunctions.udf.CIQ($A42, "IQ_TOTAL_REV_5YR_ANN_CAGR", IQ_LTM, $B$1,$L$4, $L$3, $L$5, $L$6)/100))</f>
        <v>0</v>
      </c>
      <c r="BO42" s="371" t="str">
        <f>IF(_xll.ciqfunctions.udf.CIQ($A42,"IQ_EBITDA_2YR_ANN_CAGR", IQ_LTM,$B$1,$L$4, $L$3, $L$5, $L$6)="NM","n/a",(_xll.ciqfunctions.udf.CIQ($A42,"IQ_EBITDA_2YR_ANN_CAGR", IQ_LTM,$B$1,$L$4, $L$3, $L$5, $L$6)/100))</f>
        <v>n/a</v>
      </c>
      <c r="BP42" s="371" t="str">
        <f>IF(_xll.ciqfunctions.udf.CIQ($A42,"IQ_EBITDA_3YR_ANN_CAGR", IQ_LTM,$B$1,$L$4, $L$3, $L$5, $L$6)="NM","n/a",(_xll.ciqfunctions.udf.CIQ($A42,"IQ_EBITDA_3YR_ANN_CAGR", IQ_LTM,$B$1,$L$4, $L$3, $L$5, $L$6)/100))</f>
        <v>n/a</v>
      </c>
      <c r="BQ42" s="371">
        <f>IF(_xll.ciqfunctions.udf.CIQ($A42,"IQ_EBITDA_5YR_ANN_CAGR", IQ_LTM,$B$1,$L$4, $L$3, $L$5, $L$6)="NM","n/a",(_xll.ciqfunctions.udf.CIQ($A42,"IQ_EBITDA_5YR_ANN_CAGR", IQ_LTM,$B$1,$L$4, $L$3, $L$5, $L$6)/100))</f>
        <v>0</v>
      </c>
      <c r="BR42" s="375" t="str">
        <f>IFERROR((_xll.ciqfunctions.udf.CIQ($A42, "IQ_DA_CF", IQ_LTM, $B$1, $L$4, $L$3, $L$5, $L$6)/Q42),"NM")</f>
        <v>NM</v>
      </c>
      <c r="BS42" s="417">
        <f>'Capital IQ Sheet-GPC'!BS42</f>
        <v>1.2966007188205402</v>
      </c>
      <c r="BT42" s="417">
        <f>'Capital IQ Sheet-GPC'!BT42</f>
        <v>1.1830252022901278</v>
      </c>
      <c r="BU42" s="417">
        <f>'Capital IQ Sheet-GPC'!BU42</f>
        <v>1.213075184314828</v>
      </c>
      <c r="BV42" s="417">
        <f>'Capital IQ Sheet-GPC'!BV42</f>
        <v>1.3359051962693371</v>
      </c>
      <c r="BW42" s="417">
        <f>'Capital IQ Sheet-GPC'!BW42</f>
        <v>1.6273410245198674</v>
      </c>
      <c r="BX42" s="417">
        <f>'Capital IQ Sheet-GPC'!BX42</f>
        <v>1.6158800322673914</v>
      </c>
      <c r="BY42" s="417" t="str">
        <f>'Capital IQ Sheet-GPC'!BY42</f>
        <v>n/a</v>
      </c>
      <c r="BZ42" s="417" t="str">
        <f>'Capital IQ Sheet-GPC'!BZ42</f>
        <v>n/a</v>
      </c>
      <c r="CB42" s="371">
        <v>2</v>
      </c>
      <c r="CC42" s="495" t="s">
        <v>150</v>
      </c>
      <c r="CD42" s="495" t="s">
        <v>149</v>
      </c>
      <c r="CE42" s="373">
        <f t="shared" si="0"/>
        <v>42551</v>
      </c>
    </row>
    <row r="43" spans="1:83">
      <c r="A43" s="410" t="str">
        <f>'Capital IQ Sheet-GPC'!A43</f>
        <v>Comparable Public Companies (Secondary)</v>
      </c>
      <c r="B43" s="412"/>
      <c r="E43" s="411"/>
      <c r="F43" s="411"/>
      <c r="G43" s="411"/>
      <c r="H43" s="413"/>
      <c r="I43" s="413"/>
      <c r="K43" s="413"/>
      <c r="M43" s="413"/>
      <c r="N43" s="413"/>
      <c r="O43" s="413"/>
      <c r="P43" s="413"/>
      <c r="Q43" s="413"/>
      <c r="R43" s="413"/>
      <c r="S43" s="413"/>
      <c r="U43" s="413"/>
      <c r="V43" s="413"/>
      <c r="W43" s="413"/>
      <c r="X43" s="413"/>
      <c r="Y43" s="413"/>
      <c r="Z43" s="413"/>
      <c r="AA43" s="413"/>
      <c r="AB43" s="413"/>
      <c r="AC43" s="413"/>
      <c r="AE43" s="413"/>
      <c r="AF43" s="414"/>
      <c r="AG43" s="414"/>
      <c r="AH43" s="414"/>
      <c r="AI43" s="414"/>
      <c r="AJ43" s="413"/>
      <c r="AK43" s="413"/>
      <c r="AL43" s="413"/>
      <c r="AM43" s="413"/>
      <c r="AN43" s="413"/>
      <c r="AO43" s="413"/>
      <c r="AP43" s="415"/>
      <c r="AQ43" s="416"/>
      <c r="AR43" s="416"/>
      <c r="AS43" s="416"/>
      <c r="AU43" s="413"/>
      <c r="AV43" s="413"/>
      <c r="AW43" s="413"/>
      <c r="AX43" s="413"/>
      <c r="AY43" s="413"/>
      <c r="AZ43" s="413"/>
      <c r="BA43" s="413"/>
      <c r="BB43" s="413"/>
      <c r="BC43" s="413"/>
      <c r="BD43" s="413"/>
      <c r="BE43" s="413"/>
      <c r="BF43" s="413"/>
      <c r="BG43" s="413"/>
      <c r="BH43" s="368"/>
      <c r="BI43" s="368"/>
      <c r="BJ43" s="413"/>
      <c r="BK43" s="368"/>
      <c r="BL43" s="368"/>
      <c r="BM43" s="368"/>
      <c r="BN43" s="368"/>
      <c r="BO43" s="368"/>
      <c r="BP43" s="368"/>
      <c r="BQ43" s="368"/>
      <c r="BR43" s="368"/>
      <c r="BS43" s="368"/>
      <c r="BT43" s="368"/>
      <c r="BU43" s="368"/>
      <c r="BV43" s="368"/>
      <c r="BW43" s="368"/>
      <c r="BX43" s="368"/>
      <c r="BY43" s="368"/>
      <c r="BZ43" s="368"/>
    </row>
    <row r="44" spans="1:83">
      <c r="A44" s="372" t="str">
        <f>_xll.ciqfunctions.udf.CIQ($B44,"IQ_COMPANY_TICKER")</f>
        <v>OTCPK:BTHE</v>
      </c>
      <c r="B44" s="412" t="str">
        <f>'Capital IQ Sheet-GPC'!B44</f>
        <v>IQ96050543</v>
      </c>
      <c r="C44" s="372" t="str">
        <f>_xll.ciqfunctions.udf.CIQ($A44,"IQ_COMPANY_NAME")</f>
        <v>Boston Therapeutics, Inc.</v>
      </c>
      <c r="D44" s="372" t="str">
        <f>_xll.ciqfunctions.udf.CIQ($A44, "IQ_EXCHANGE")</f>
        <v>OTCPK</v>
      </c>
      <c r="E44" s="411">
        <f>_xll.ciqfunctions.udf.CIQ($A44, "IQ_PERIODDATE_IS", IQ_FY)</f>
        <v>43100</v>
      </c>
      <c r="F44" s="411">
        <f>_xll.ciqfunctions.udf.CIQ(A44, "IQ_PERIODDATE_IS", IQ_LTM, $B$1,$L$4,$L$3)</f>
        <v>43190</v>
      </c>
      <c r="G44" s="411">
        <f>_xll.ciqfunctions.udf.CIQ($A44, "IQ_FIRSTPRICINGDATE")</f>
        <v>40969</v>
      </c>
      <c r="H44" s="413">
        <f>_xll.ciqfunctions.udf.CIQ($A44, "IQ_TEV", $L$2, $L$5, $L$6)</f>
        <v>9.8918400000000002</v>
      </c>
      <c r="I44" s="413">
        <f>_xll.ciqfunctions.udf.CIQ(A44, "IQ_LASTSALEPRICE", $B$1,$L$5)</f>
        <v>7.4999999999999997E-2</v>
      </c>
      <c r="J44" s="411">
        <f>_xll.ciqfunctions.udf.CIQ($B44, "IQ_FIRSTPRICINGDATE")</f>
        <v>40969</v>
      </c>
      <c r="K44" s="413">
        <f>_xll.ciqfunctions.udf.CIQ($A44, "IQ_TOTAL_DEBT", IQ_LTM, $L$2,$L$4, $L$3, $L$5, $L$6)</f>
        <v>1.99634</v>
      </c>
      <c r="L44" s="413">
        <f>_xll.ciqfunctions.udf.CIQ($A44, "IQ_PREF_EQUITY", IQ_LTM, $L$2, $L$4, $L$3, $L$5, $L$6)</f>
        <v>8.0000000000000007E-5</v>
      </c>
      <c r="M44" s="413">
        <f>_xll.ciqfunctions.udf.CIQ($A44, "IQ_MINORITY_INTEREST_TOTAL", IQ_LTM, $L$2, $L$4, $L$3, $L$5, $L$6)</f>
        <v>0</v>
      </c>
      <c r="N44" s="413">
        <f>_xll.ciqfunctions.udf.CIQ($A44, "IQ_CASH_ST_INVEST", IQ_LTM, $L$2, $L$4, $L$3, $L$5, $L$6)</f>
        <v>0.20532</v>
      </c>
      <c r="O44" s="413">
        <f>_xll.ciqfunctions.udf.CIQ($A44, "IQ_TOTAL_REV", IQ_LTM-8, $L$2, $L$4, $L$3, $L$5, $L$6)</f>
        <v>5.9920000000000001E-2</v>
      </c>
      <c r="P44" s="413">
        <f>_xll.ciqfunctions.udf.CIQ($A44, "IQ_TOTAL_REV", IQ_LTM - 4, $L$2, $L$4, $L$3, $L$5,$L$6)</f>
        <v>9.1050000000000006E-2</v>
      </c>
      <c r="Q44" s="413">
        <f>_xll.ciqfunctions.udf.CIQ($A44, "IQ_TOTAL_REV", IQ_LTM, $L$2, $L$4, $L$3, $L$5, $L$6)</f>
        <v>3.4110000000000001E-2</v>
      </c>
      <c r="R44" s="413">
        <f>_xll.ciqfunctions.udf.CIQ($A44, "IQ_TOTAL_REV", $B$2, $L$2, $L$4, $L$3, $L$5, $L$6)</f>
        <v>9.8879999999999996E-2</v>
      </c>
      <c r="S44" s="413">
        <f>IF(_xll.ciqfunctions.udf.CIQ($A44, "IQ_TOTAL_REV", $B$3, $L$2,$L$4, $L$3, $L$5, $L$6)=0,Q44,_xll.ciqfunctions.udf.CIQ($A44, "IQ_TOTAL_REV", $B$3, $L$2,$L$4, $L$3, $L$5, $L$6))</f>
        <v>2.9360000000000001E-2</v>
      </c>
      <c r="T44" s="413" t="str">
        <f>IF(_xll.ciqfunctions.udf.CIQ($A44, "IQ_REVENUE_EST",$B$4, $L$2, "CON", $L$3, $L$5, $L$6)=0,"n/a",_xll.ciqfunctions.udf.CIQ($A44, "IQ_REVENUE_EST",$B$4, $L$2, "CON", $L$3, $L$5, $L$6))</f>
        <v>n/a</v>
      </c>
      <c r="U44" s="413" t="str">
        <f>IF(_xll.ciqfunctions.udf.CIQ($A44, "IQ_REVENUE_EST",$B$5, $L$2, "CON", $L$3, $L$5, $L$6)=0,"n/a",_xll.ciqfunctions.udf.CIQ($A44, "IQ_REVENUE_EST",$B$5, $L$2, "CON", $L$3, $L$5, $L$6))</f>
        <v>n/a</v>
      </c>
      <c r="V44" s="413" t="str">
        <f>IF(_xll.ciqfunctions.udf.CIQ($A44, "IQ_REVENUE_EST",$B$6, $L$2, "CON", $L$3, $L$5, $L$6)=0,"n/a",_xll.ciqfunctions.udf.CIQ($A44, "IQ_REVENUE_EST",$B$6, $L$2, "CON", $L$3, $L$5, $L$6))</f>
        <v>n/a</v>
      </c>
      <c r="W44" s="413" t="str">
        <f>IF(_xll.ciqfunctions.udf.CIQ($A44, "IQ_REVENUE_EST", $B$7, $L$2, "CON", $L$3, $L$5, $L$6)=0,"n/a",_xll.ciqfunctions.udf.CIQ($A44, "IQ_REVENUE_EST",$B$7, $L$2, "CON", $L$3, $L$5, $L$6))</f>
        <v>n/a</v>
      </c>
      <c r="X44" s="413">
        <f>_xll.ciqfunctions.udf.CIQ($A44, "IQ_EBITDA", IQ_LTM-8, $L$2, $L$4, $L$3, $L$5, $L$6)</f>
        <v>-1.55345</v>
      </c>
      <c r="Y44" s="413">
        <f>_xll.ciqfunctions.udf.CIQ($A44, "IQ_EBITDA", IQ_LTM-4, $L$2,$L$4, $L$3, $L$5, $L$6)</f>
        <v>-1.23149</v>
      </c>
      <c r="Z44" s="413">
        <f>_xll.ciqfunctions.udf.CIQ($A44, "IQ_EBITDA", IQ_LTM, $L$2, $L$4, $L$3, $L$5, $L$6)</f>
        <v>-1.6022000000000001</v>
      </c>
      <c r="AA44" s="413">
        <f>_xll.ciqfunctions.udf.CIQ($A44, "IQ_EBITDA", $B$2, $L$2, $L$4, $L$3, $L$5, $L$6)</f>
        <v>-1.1935800000000001</v>
      </c>
      <c r="AB44" s="413">
        <f>IF(_xll.ciqfunctions.udf.CIQ($A44, "IQ_EBITDA", $B$3, $L$2,$L$4, $L$3, $L$5, $L$6)=0,Z44,_xll.ciqfunctions.udf.CIQ($A44, "IQ_EBITDA", $B$3, $L$2,$L$4, $L$3, $L$5, $L$6))</f>
        <v>-1.1986600000000001</v>
      </c>
      <c r="AC44" s="413" t="str">
        <f>IF(_xll.ciqfunctions.udf.CIQ($A44, "IQ_EBITDA_EST",$B$4, $L$2, "CON", $L$3, $L$5, $L$6)=0,"n/a",_xll.ciqfunctions.udf.CIQ($A44, "IQ_EBITDA_EST",$B$4, $L$2, "CON", $L$3, $L$5, $L$6))</f>
        <v>n/a</v>
      </c>
      <c r="AD44" s="372" t="str">
        <f>IF(_xll.ciqfunctions.udf.CIQ($A44, "IQ_EBITDA_EST",$B$5, $L$2, "CON", $L$3, $L$5, $L$6)=0,"n/a",_xll.ciqfunctions.udf.CIQ($A44, "IQ_EBITDA_EST",$B$5, $L$2, "CON", $L$3, $L$5, $L$6))</f>
        <v>n/a</v>
      </c>
      <c r="AE44" s="413" t="str">
        <f>IF(_xll.ciqfunctions.udf.CIQ($A44, "IQ_EBITDA_EST",$B$6, $L$2, "CON", $L$3, $L$5, $L$6)=0,"n/a",_xll.ciqfunctions.udf.CIQ($A44, "IQ_EBITDA_EST",$B$6, $L$2, "CON", $L$3, $L$5, $L$6))</f>
        <v>n/a</v>
      </c>
      <c r="AF44" s="414">
        <f>IF(ISERROR(_xll.ciqfunctions.udf.CIQ($A44, "IQ_GROSS_MARGIN", IQ_LTM, $L$2,$L$4, $L$3, $L$5, $L$6)/100), "n/a", _xll.ciqfunctions.udf.CIQ($A44,  "IQ_GROSS_MARGIN", IQ_LTM, $L$2, $L$4, $L$3, $L$5, $L$6)/100)</f>
        <v>-0.45557400000000003</v>
      </c>
      <c r="AG44" s="414" t="str">
        <f>IF(ISERROR(_xll.ciqfunctions.udf.CIQ($A44,"IQ_EBITDA_MARGIN", IQ_LTM, $L$2, $L$4, $L$3, $L$5, $L$6)/100), "n/a", _xll.ciqfunctions.udf.CIQ($A44, "IQ_EBITDA_MARGIN", IQ_LTM, $L$2, $L$4, $L$3, $L$5, $L$6)/100)</f>
        <v>n/a</v>
      </c>
      <c r="AH44" s="414" t="str">
        <f>IF(ISERROR(_xll.ciqfunctions.udf.CIQ($A44,"IQ_EBIT_MARGIN", IQ_LTM, $L$2, $L$4, $L$3, $L$5, $L$6)/100), "n/a", _xll.ciqfunctions.udf.CIQ($A44, "IQ_EBIT_MARGIN", IQ_LTM, $L$2, $L$4, $L$3, $L$5, $L$6)/100)</f>
        <v>n/a</v>
      </c>
      <c r="AI44" s="414" t="str">
        <f>IF(ISERROR(_xll.ciqfunctions.udf.CIQ($A44,"IQ_NI_MARGIN", IQ_LTM, $L$2, $L$4, $L$3, $L$5, $L$6)/100), "n/a", _xll.ciqfunctions.udf.CIQ($A44, "IQ_NI_MARGIN", IQ_LTM, $L$2, $L$4, $L$3, $L$5, $L$6)/100)</f>
        <v>n/a</v>
      </c>
      <c r="AJ44" s="413">
        <f>_xll.ciqfunctions.udf.CIQ($A44,"IQ_TOTAL_CA",IQ_LTM-8,$L$2, $L$4, $L$3, $L$5, $L$6)-_xll.ciqfunctions.udf.CIQ($A44,"IQ_TOTAL_CL",IQ_LTM-8,$L$2, $L$4, $L$3, $L$5, $L$6)</f>
        <v>-0.68681999999999999</v>
      </c>
      <c r="AK44" s="413">
        <f>_xll.ciqfunctions.udf.CIQ($A44,"IQ_TOTAL_CA",IQ_LTM-4,$L$2, $L$4, $L$3, $L$5, $L$6)-_xll.ciqfunctions.udf.CIQ($A44,"IQ_TOTAL_CL",IQ_LTM-4,$L$2, $L$4, $L$3, $L$5, $L$6)</f>
        <v>-0.57543</v>
      </c>
      <c r="AL44" s="413">
        <f>_xll.ciqfunctions.udf.CIQ($A44,"IQ_TOTAL_CA",IQ_LTM,$L$2, $L$4, $L$3, $L$5, $L$6)-_xll.ciqfunctions.udf.CIQ($A44,"IQ_TOTAL_CL",IQ_LTM,$L$2, $L$4, $L$3, $L$5, $L$6)</f>
        <v>-2.9049299999999998</v>
      </c>
      <c r="AM44" s="413">
        <f>IF(ISERROR(_xll.ciqfunctions.udf.CIQ($A44, "IQ_Capex", IQ_LTM-8, $L$2,$L$4, $L$3, $L$5, $L$6)), "n/a", _xll.ciqfunctions.udf.CIQ($A44, "IQ_Capex", IQ_LTM-8, $L$2, $L$4, $L$3, $L$5, $L$6))</f>
        <v>0</v>
      </c>
      <c r="AN44" s="413">
        <f>IF(ISERROR(_xll.ciqfunctions.udf.CIQ($A44, "IQ_Capex", IQ_LTM-4, $L$2,$L$4, $L$3, $L$5, $L$6)), "n/a", _xll.ciqfunctions.udf.CIQ($A44, "IQ_Capex", IQ_LTM-4, $L$2,$L$4, $L$3, $L$5, $L$6))</f>
        <v>-3.31E-3</v>
      </c>
      <c r="AO44" s="413">
        <f>IF(ISERROR(_xll.ciqfunctions.udf.CIQ($A44, "IQ_Capex", IQ_LTM, $L$2, $L$4, $L$3, $L$5, $L$6)), "n/a", _xll.ciqfunctions.udf.CIQ($A44, "IQ_Capex", IQ_LTM, $L$2, $L$4, $L$3, $L$5, $L$6))</f>
        <v>-1.39E-3</v>
      </c>
      <c r="AP44" s="415" t="str">
        <f>_xll.ciqfunctions.udf.CIQ(A44, "IQ_BUSINESS_DESCRIPTION")</f>
        <v>Boston Therapeutics, Inc., a pre-clinical and clinical-stage pharmaceutical company, focuses on the development, manufacture, and commercialization of carbohydrate-based therapeutic drugs and dietary supplements in the United States. Its lead pharmaceutical drug candidates include BTI-320, a non-systemic, carbohydrate-based compound that is in Phase IIb clinical trial to reduce post-meal elevation of blood glucose levels in Type 2 diabetic and pre diabetic patients; BTI-410, a peptide injectable compound that has completed Phase Ib clinical trials for type 1 immunosuppression therapy after kidney transplant surgery and type 2 diabetes patients; and IPOXYN, a carbohydrate-based, injectable drug to prevent necrosis, or cell death, as well as to treat hypoxic conditions, such as diabetic foot ulcers and other vascular/neurological complications. The company also develops OxyFex, an oxygen delivery agent for ischemia and trauma for blood loss during surgery in veterinary medicine applications. In addition, it produces and sells SUGARDOWN, a non-systemic complex carbohydrate-based dietary food supplement to support healthy post-meal blood glucose. The company was formerly known as Avanyx Therapeutics, Inc. and changed its name to Boston Therapeutics, Inc. in November 2010. Boston Therapeutics, Inc. was founded in 2009 and is headquartered in Lawrence, Massachusetts.</v>
      </c>
      <c r="AQ44" s="416">
        <f>_xll.ciqfunctions.udf.CIQ($A44, "IQ_BETA_1YR", $B$1)</f>
        <v>6.1513799999999996</v>
      </c>
      <c r="AR44" s="416">
        <f>_xll.ciqfunctions.udf.CIQ($A44, "IQ_BETA_2YR", $B$1)</f>
        <v>5.41974</v>
      </c>
      <c r="AS44" s="416">
        <f>_xll.ciqfunctions.udf.CIQ($A44, "IQ_BETA_5YR", $B$1)</f>
        <v>-1.1784399999999999</v>
      </c>
      <c r="AT44" s="372">
        <f>_xll.ciqfunctions.udf.CIQ($B44, "IQ_GP", IQ_LTM,$B$1, ,,"USD")</f>
        <v>-1.554E-2</v>
      </c>
      <c r="AU44" s="413">
        <f>_xll.ciqfunctions.udf.CIQ($A44, "IQ_EARNING_CO", IQ_LTM-8, $L$2, $L$4, $L$3, $L$5, $L$6)</f>
        <v>-2.2328700000000001</v>
      </c>
      <c r="AV44" s="413">
        <f>_xll.ciqfunctions.udf.CIQ($A44, "IQ_EARNING_CO", IQ_LTM-4, $L$2, $L$4, $L$3, $L$5, $L$6)</f>
        <v>-4.0262799999999999</v>
      </c>
      <c r="AW44" s="413">
        <f>_xll.ciqfunctions.udf.CIQ($A44, "IQ_EARNING_CO", IQ_LTM, $L$2, $L$4, $L$3, $L$5, $L$6)</f>
        <v>-3.61998</v>
      </c>
      <c r="AX44" s="413">
        <f>_xll.ciqfunctions.udf.CIQ($A44, "IQ_EARNING_CO", $B$2, $L$2, $L$4, $L$3, $L$5, $L$6)</f>
        <v>-3.73752</v>
      </c>
      <c r="AY44" s="413">
        <f>IF(_xll.ciqfunctions.udf.CIQ($A44, "IQ_EARNING_CO", $B$3, $L$2,$L$4, $L$3, $L$5, $L$6)=0,AW44,_xll.ciqfunctions.udf.CIQ($A44, "IQ_EARNING_CO", $B$3, $L$2,$L$4, $L$3, $L$5, $L$6))</f>
        <v>-1.58487</v>
      </c>
      <c r="AZ44" s="413">
        <f>_xll.ciqfunctions.udf.CIQ($A44, "IQ_TOTAL_EQUITY", IQ_LTM-8, $L$2, $L$4, $L$3, $L$5, $L$6)</f>
        <v>-0.54788999999999999</v>
      </c>
      <c r="BA44" s="413">
        <f>_xll.ciqfunctions.udf.CIQ($A44, "IQ_TOTAL_EQUITY", IQ_LTM-4, $L$2, $L$4, $L$3, $L$5, $L$6)</f>
        <v>-3.8145199999999999</v>
      </c>
      <c r="BB44" s="413">
        <f>_xll.ciqfunctions.udf.CIQ($A44, "IQ_TOTAL_EQUITY", IQ_LTM, $L$2, $L$4, $L$3, $L$5, $L$6)</f>
        <v>-3.5768300000000002</v>
      </c>
      <c r="BC44" s="413">
        <f>_xll.ciqfunctions.udf.CIQ($A44, "IQ_TOTAL_EQUITY", $B$2, $L$2, $L$4, $L$3, $L$5, $L$6)</f>
        <v>-3.1188600000000002</v>
      </c>
      <c r="BD44" s="413">
        <f>IF(_xll.ciqfunctions.udf.CIQ($A44, "IQ_TOTAL_EQUITY", $B$3, $L$2,$L$4, $L$3, $L$5, $L$6)=0,BB44,_xll.ciqfunctions.udf.CIQ($A44, "IQ_TOTAL_EQUITY", $B$3, $L$2,$L$4, $L$3, $L$5, $L$6))</f>
        <v>-3.8835799999999998</v>
      </c>
      <c r="BE44" s="413">
        <f>_xll.ciqfunctions.udf.CIQ(A44, "IQ_LASTSALEPRICE", $B$8)</f>
        <v>7.8E-2</v>
      </c>
      <c r="BF44" s="413">
        <f>_xll.ciqfunctions.udf.CIQ($A44, "IQ_MARKETCAP", $B$8, $L$5, $L$6)</f>
        <v>8.1694999999999993</v>
      </c>
      <c r="BG44" s="413">
        <f>_xll.ciqfunctions.udf.CIQ($A44, "IQ_TOTAL_DEBT", IQ_LTM, $B$8,$L$4, $L$3, $L$5, $L$6)</f>
        <v>2.5022500000000001</v>
      </c>
      <c r="BH44" s="371">
        <f>_xll.ciqfunctions.udf.CIQ($A44,"IQ_PREF_EQUITY",IQ_LTM,$B$8,$L$4,$L$3,$L$5,$L$6)</f>
        <v>6.0000000000000002E-5</v>
      </c>
      <c r="BI44" s="371">
        <f>_xll.ciqfunctions.udf.CIQ($A44, "IQ_MINORITY_INTEREST_TOTAL", IQ_LTM,$B$8,$L$4,$L$3,$L$5,$L$6)</f>
        <v>0</v>
      </c>
      <c r="BJ44" s="413">
        <f>_xll.ciqfunctions.udf.CIQ($A44, "IQ_CASH_ST_INVEST", IQ_LTM, $B$8, $L$4, $L$3, $L$5, $L$6)</f>
        <v>0.13728000000000001</v>
      </c>
      <c r="BK44" s="371">
        <f>_xll.ciqfunctions.udf.CIQ($A44, "IQ_EFFECT_TAX_RATE")</f>
        <v>0</v>
      </c>
      <c r="BL44" s="371">
        <f>IF(_xll.ciqfunctions.udf.CIQ($A44, "IQ_TOTAL_REV_2YR_ANN_CAGR", IQ_LTM, $B$1,$L$4, $L$3, $L$5, $L$6)="NM","n/a",(_xll.ciqfunctions.udf.CIQ($A44, "IQ_TOTAL_REV_2YR_ANN_CAGR", IQ_LTM, $B$1,$L$4, $L$3, $L$5, $L$6)/100))</f>
        <v>-0.24546800000000002</v>
      </c>
      <c r="BM44" s="371">
        <f>IF(_xll.ciqfunctions.udf.CIQ($A44, "IQ_TOTAL_REV_3YR_ANN_CAGR", IQ_LTM, $B$1,$L$4, $L$3, $L$5, $L$6)="NM","n/a",(_xll.ciqfunctions.udf.CIQ($A44, "IQ_TOTAL_REV_3YR_ANN_CAGR", IQ_LTM, $B$1,$L$4, $L$3, $L$5, $L$6)/100))</f>
        <v>-0.45181899999999997</v>
      </c>
      <c r="BN44" s="371">
        <f>IF(_xll.ciqfunctions.udf.CIQ($A44, "IQ_TOTAL_REV_5YR_ANN_CAGR", IQ_LTM, $B$1,$L$4, $L$3, $L$5, $L$6)="NM","n/a",(_xll.ciqfunctions.udf.CIQ($A44, "IQ_TOTAL_REV_5YR_ANN_CAGR", IQ_LTM, $B$1,$L$4, $L$3, $L$5, $L$6)/100))</f>
        <v>-6.1025999999999997E-2</v>
      </c>
      <c r="BO44" s="371" t="str">
        <f>IF(_xll.ciqfunctions.udf.CIQ($A44,"IQ_EBITDA_2YR_ANN_CAGR", IQ_LTM,$B$1,$L$4, $L$3, $L$5, $L$6)="NM","n/a",(_xll.ciqfunctions.udf.CIQ($A44,"IQ_EBITDA_2YR_ANN_CAGR", IQ_LTM,$B$1,$L$4, $L$3, $L$5, $L$6)/100))</f>
        <v>n/a</v>
      </c>
      <c r="BP44" s="371" t="str">
        <f>IF(_xll.ciqfunctions.udf.CIQ($A44,"IQ_EBITDA_3YR_ANN_CAGR", IQ_LTM,$B$1,$L$4, $L$3, $L$5, $L$6)="NM","n/a",(_xll.ciqfunctions.udf.CIQ($A44,"IQ_EBITDA_3YR_ANN_CAGR", IQ_LTM,$B$1,$L$4, $L$3, $L$5, $L$6)/100))</f>
        <v>n/a</v>
      </c>
      <c r="BQ44" s="371" t="str">
        <f>IF(_xll.ciqfunctions.udf.CIQ($A44,"IQ_EBITDA_5YR_ANN_CAGR", IQ_LTM,$B$1,$L$4, $L$3, $L$5, $L$6)="NM","n/a",(_xll.ciqfunctions.udf.CIQ($A44,"IQ_EBITDA_5YR_ANN_CAGR", IQ_LTM,$B$1,$L$4, $L$3, $L$5, $L$6)/100))</f>
        <v>n/a</v>
      </c>
      <c r="BR44" s="375">
        <f>IFERROR((_xll.ciqfunctions.udf.CIQ($A44, "IQ_DA_CF", IQ_LTM, $B$1, $L$4, $L$3, $L$5, $L$6)/Q44),"NM")</f>
        <v>2.6467311638815594</v>
      </c>
      <c r="BS44" s="414">
        <f>'Capital IQ Sheet-GPC'!BS44</f>
        <v>2.8498088734811065</v>
      </c>
      <c r="BT44" s="414">
        <f>'Capital IQ Sheet-GPC'!BT44</f>
        <v>2.7024669468855378</v>
      </c>
      <c r="BU44" s="414">
        <f>'Capital IQ Sheet-GPC'!BU44</f>
        <v>2.7214228708739832</v>
      </c>
      <c r="BV44" s="414">
        <f>'Capital IQ Sheet-GPC'!BV44</f>
        <v>2.5863392161342413</v>
      </c>
      <c r="BW44" s="414">
        <f>'Capital IQ Sheet-GPC'!BW44</f>
        <v>2.4267743688954782</v>
      </c>
      <c r="BX44" s="414">
        <f>'Capital IQ Sheet-GPC'!BX44</f>
        <v>2.4659263790467829</v>
      </c>
      <c r="BY44" s="414">
        <f>'Capital IQ Sheet-GPC'!BY44</f>
        <v>2.4770015301595945</v>
      </c>
      <c r="BZ44" s="414" t="str">
        <f>'Capital IQ Sheet-GPC'!BZ44</f>
        <v>n/a</v>
      </c>
    </row>
    <row r="45" spans="1:83">
      <c r="A45" s="372" t="str">
        <f>_xll.ciqfunctions.udf.CIQ($B45,"IQ_COMPANY_TICKER")</f>
        <v>NasdaqCM:CUR</v>
      </c>
      <c r="B45" s="412" t="str">
        <f>'Capital IQ Sheet-GPC'!B45</f>
        <v>IQ7728881</v>
      </c>
      <c r="C45" s="372" t="str">
        <f>_xll.ciqfunctions.udf.CIQ($A45,"IQ_COMPANY_NAME")</f>
        <v>Neuralstem, Inc.</v>
      </c>
      <c r="D45" s="372" t="str">
        <f>_xll.ciqfunctions.udf.CIQ($A45, "IQ_EXCHANGE")</f>
        <v>NasdaqCM</v>
      </c>
      <c r="E45" s="411">
        <f>_xll.ciqfunctions.udf.CIQ($A45, "IQ_PERIODDATE_IS", IQ_FY)</f>
        <v>43100</v>
      </c>
      <c r="F45" s="411">
        <f>_xll.ciqfunctions.udf.CIQ(A45, "IQ_PERIODDATE_IS", IQ_LTM, $B$1,$L$4,$L$3)</f>
        <v>43190</v>
      </c>
      <c r="G45" s="411">
        <f>_xll.ciqfunctions.udf.CIQ($A45, "IQ_FIRSTPRICINGDATE")</f>
        <v>39071</v>
      </c>
      <c r="H45" s="413">
        <f>_xll.ciqfunctions.udf.CIQ($A45, "IQ_TEV", $L$2, $L$5, $L$6)</f>
        <v>7.1133699999999997</v>
      </c>
      <c r="I45" s="413">
        <f>_xll.ciqfunctions.udf.CIQ(A45, "IQ_LASTSALEPRICE", $B$1,$L$5)</f>
        <v>1.1100000000000001</v>
      </c>
      <c r="J45" s="411">
        <f>_xll.ciqfunctions.udf.CIQ($B45, "IQ_FIRSTPRICINGDATE")</f>
        <v>39071</v>
      </c>
      <c r="K45" s="413">
        <f>_xll.ciqfunctions.udf.CIQ($A45, "IQ_TOTAL_DEBT", IQ_LTM, $L$2,$L$4, $L$3, $L$5, $L$6)</f>
        <v>0</v>
      </c>
      <c r="L45" s="413">
        <f>_xll.ciqfunctions.udf.CIQ($A45, "IQ_PREF_EQUITY", IQ_LTM, $L$2, $L$4, $L$3, $L$5, $L$6)</f>
        <v>0.01</v>
      </c>
      <c r="M45" s="413">
        <f>_xll.ciqfunctions.udf.CIQ($A45, "IQ_MINORITY_INTEREST_TOTAL", IQ_LTM, $L$2, $L$4, $L$3, $L$5, $L$6)</f>
        <v>0</v>
      </c>
      <c r="N45" s="413">
        <f>_xll.ciqfunctions.udf.CIQ($A45, "IQ_CASH_ST_INVEST", IQ_LTM, $L$2, $L$4, $L$3, $L$5, $L$6)</f>
        <v>9.7242499999999996</v>
      </c>
      <c r="O45" s="413">
        <f>_xll.ciqfunctions.udf.CIQ($A45, "IQ_TOTAL_REV", IQ_LTM-8, $L$2, $L$4, $L$3, $L$5, $L$6)</f>
        <v>0.01</v>
      </c>
      <c r="P45" s="413">
        <f>_xll.ciqfunctions.udf.CIQ($A45, "IQ_TOTAL_REV", IQ_LTM - 4, $L$2, $L$4, $L$3, $L$5,$L$6)</f>
        <v>1.6250000000000001E-2</v>
      </c>
      <c r="Q45" s="413">
        <f>_xll.ciqfunctions.udf.CIQ($A45, "IQ_TOTAL_REV", IQ_LTM, $L$2, $L$4, $L$3, $L$5, $L$6)</f>
        <v>0.26</v>
      </c>
      <c r="R45" s="413">
        <f>_xll.ciqfunctions.udf.CIQ($A45, "IQ_TOTAL_REV", $B$2, $L$2, $L$4, $L$3, $L$5, $L$6)</f>
        <v>1.6250000000000001E-2</v>
      </c>
      <c r="S45" s="413">
        <f>IF(_xll.ciqfunctions.udf.CIQ($A45, "IQ_TOTAL_REV", $B$3, $L$2,$L$4, $L$3, $L$5, $L$6)=0,Q45,_xll.ciqfunctions.udf.CIQ($A45, "IQ_TOTAL_REV", $B$3, $L$2,$L$4, $L$3, $L$5, $L$6))</f>
        <v>0.26</v>
      </c>
      <c r="T45" s="413" t="str">
        <f>IF(_xll.ciqfunctions.udf.CIQ($A45, "IQ_REVENUE_EST",$B$4, $L$2, "CON", $L$3, $L$5, $L$6)=0,"n/a",_xll.ciqfunctions.udf.CIQ($A45, "IQ_REVENUE_EST",$B$4, $L$2, "CON", $L$3, $L$5, $L$6))</f>
        <v>n/a</v>
      </c>
      <c r="U45" s="413" t="str">
        <f>IF(_xll.ciqfunctions.udf.CIQ($A45, "IQ_REVENUE_EST",$B$5, $L$2, "CON", $L$3, $L$5, $L$6)=0,"n/a",_xll.ciqfunctions.udf.CIQ($A45, "IQ_REVENUE_EST",$B$5, $L$2, "CON", $L$3, $L$5, $L$6))</f>
        <v>n/a</v>
      </c>
      <c r="V45" s="413" t="str">
        <f>IF(_xll.ciqfunctions.udf.CIQ($A45, "IQ_REVENUE_EST",$B$6, $L$2, "CON", $L$3, $L$5, $L$6)=0,"n/a",_xll.ciqfunctions.udf.CIQ($A45, "IQ_REVENUE_EST",$B$6, $L$2, "CON", $L$3, $L$5, $L$6))</f>
        <v>n/a</v>
      </c>
      <c r="W45" s="413" t="str">
        <f>IF(_xll.ciqfunctions.udf.CIQ($A45, "IQ_REVENUE_EST", $B$7, $L$2, "CON", $L$3, $L$5, $L$6)=0,"n/a",_xll.ciqfunctions.udf.CIQ($A45, "IQ_REVENUE_EST",$B$7, $L$2, "CON", $L$3, $L$5, $L$6))</f>
        <v>n/a</v>
      </c>
      <c r="X45" s="413">
        <f>_xll.ciqfunctions.udf.CIQ($A45, "IQ_EBITDA", IQ_LTM-8, $L$2, $L$4, $L$3, $L$5, $L$6)</f>
        <v>-20.023009999999999</v>
      </c>
      <c r="Y45" s="413">
        <f>_xll.ciqfunctions.udf.CIQ($A45, "IQ_EBITDA", IQ_LTM-4, $L$2,$L$4, $L$3, $L$5, $L$6)</f>
        <v>-18.677990000000001</v>
      </c>
      <c r="Z45" s="413">
        <f>_xll.ciqfunctions.udf.CIQ($A45, "IQ_EBITDA", IQ_LTM, $L$2, $L$4, $L$3, $L$5, $L$6)</f>
        <v>-11.17972</v>
      </c>
      <c r="AA45" s="413">
        <f>_xll.ciqfunctions.udf.CIQ($A45, "IQ_EBITDA", $B$2, $L$2, $L$4, $L$3, $L$5, $L$6)</f>
        <v>-20.299340000000001</v>
      </c>
      <c r="AB45" s="413">
        <f>IF(_xll.ciqfunctions.udf.CIQ($A45, "IQ_EBITDA", $B$3, $L$2,$L$4, $L$3, $L$5, $L$6)=0,Z45,_xll.ciqfunctions.udf.CIQ($A45, "IQ_EBITDA", $B$3, $L$2,$L$4, $L$3, $L$5, $L$6))</f>
        <v>-13.017899999999999</v>
      </c>
      <c r="AC45" s="413" t="str">
        <f>IF(_xll.ciqfunctions.udf.CIQ($A45, "IQ_EBITDA_EST",$B$4, $L$2, "CON", $L$3, $L$5, $L$6)=0,"n/a",_xll.ciqfunctions.udf.CIQ($A45, "IQ_EBITDA_EST",$B$4, $L$2, "CON", $L$3, $L$5, $L$6))</f>
        <v>n/a</v>
      </c>
      <c r="AD45" s="372" t="str">
        <f>IF(_xll.ciqfunctions.udf.CIQ($A45, "IQ_EBITDA_EST",$B$5, $L$2, "CON", $L$3, $L$5, $L$6)=0,"n/a",_xll.ciqfunctions.udf.CIQ($A45, "IQ_EBITDA_EST",$B$5, $L$2, "CON", $L$3, $L$5, $L$6))</f>
        <v>n/a</v>
      </c>
      <c r="AE45" s="413" t="str">
        <f>IF(_xll.ciqfunctions.udf.CIQ($A45, "IQ_EBITDA_EST",$B$6, $L$2, "CON", $L$3, $L$5, $L$6)=0,"n/a",_xll.ciqfunctions.udf.CIQ($A45, "IQ_EBITDA_EST",$B$6, $L$2, "CON", $L$3, $L$5, $L$6))</f>
        <v>n/a</v>
      </c>
      <c r="AF45" s="414">
        <f>IF(ISERROR(_xll.ciqfunctions.udf.CIQ($A45, "IQ_GROSS_MARGIN", IQ_LTM, $L$2,$L$4, $L$3, $L$5, $L$6)/100), "n/a", _xll.ciqfunctions.udf.CIQ($A45,  "IQ_GROSS_MARGIN", IQ_LTM, $L$2, $L$4, $L$3, $L$5, $L$6)/100)</f>
        <v>1</v>
      </c>
      <c r="AG45" s="414" t="str">
        <f>IF(ISERROR(_xll.ciqfunctions.udf.CIQ($A45,"IQ_EBITDA_MARGIN", IQ_LTM, $L$2, $L$4, $L$3, $L$5, $L$6)/100), "n/a", _xll.ciqfunctions.udf.CIQ($A45, "IQ_EBITDA_MARGIN", IQ_LTM, $L$2, $L$4, $L$3, $L$5, $L$6)/100)</f>
        <v>n/a</v>
      </c>
      <c r="AH45" s="414" t="str">
        <f>IF(ISERROR(_xll.ciqfunctions.udf.CIQ($A45,"IQ_EBIT_MARGIN", IQ_LTM, $L$2, $L$4, $L$3, $L$5, $L$6)/100), "n/a", _xll.ciqfunctions.udf.CIQ($A45, "IQ_EBIT_MARGIN", IQ_LTM, $L$2, $L$4, $L$3, $L$5, $L$6)/100)</f>
        <v>n/a</v>
      </c>
      <c r="AI45" s="414" t="str">
        <f>IF(ISERROR(_xll.ciqfunctions.udf.CIQ($A45,"IQ_NI_MARGIN", IQ_LTM, $L$2, $L$4, $L$3, $L$5, $L$6)/100), "n/a", _xll.ciqfunctions.udf.CIQ($A45, "IQ_NI_MARGIN", IQ_LTM, $L$2, $L$4, $L$3, $L$5, $L$6)/100)</f>
        <v>n/a</v>
      </c>
      <c r="AJ45" s="413">
        <f>_xll.ciqfunctions.udf.CIQ($A45,"IQ_TOTAL_CA",IQ_LTM-8,$L$2, $L$4, $L$3, $L$5, $L$6)-_xll.ciqfunctions.udf.CIQ($A45,"IQ_TOTAL_CL",IQ_LTM-8,$L$2, $L$4, $L$3, $L$5, $L$6)</f>
        <v>1.1164099999999992</v>
      </c>
      <c r="AK45" s="413">
        <f>_xll.ciqfunctions.udf.CIQ($A45,"IQ_TOTAL_CA",IQ_LTM-4,$L$2, $L$4, $L$3, $L$5, $L$6)-_xll.ciqfunctions.udf.CIQ($A45,"IQ_TOTAL_CL",IQ_LTM-4,$L$2, $L$4, $L$3, $L$5, $L$6)</f>
        <v>12.12467</v>
      </c>
      <c r="AL45" s="413">
        <f>_xll.ciqfunctions.udf.CIQ($A45,"IQ_TOTAL_CA",IQ_LTM,$L$2, $L$4, $L$3, $L$5, $L$6)-_xll.ciqfunctions.udf.CIQ($A45,"IQ_TOTAL_CL",IQ_LTM,$L$2, $L$4, $L$3, $L$5, $L$6)</f>
        <v>8.9296199999999999</v>
      </c>
      <c r="AM45" s="413">
        <f>IF(ISERROR(_xll.ciqfunctions.udf.CIQ($A45, "IQ_Capex", IQ_LTM-8, $L$2,$L$4, $L$3, $L$5, $L$6)), "n/a", _xll.ciqfunctions.udf.CIQ($A45, "IQ_Capex", IQ_LTM-8, $L$2, $L$4, $L$3, $L$5, $L$6))</f>
        <v>-0.17482</v>
      </c>
      <c r="AN45" s="413">
        <f>IF(ISERROR(_xll.ciqfunctions.udf.CIQ($A45, "IQ_Capex", IQ_LTM-4, $L$2,$L$4, $L$3, $L$5, $L$6)), "n/a", _xll.ciqfunctions.udf.CIQ($A45, "IQ_Capex", IQ_LTM-4, $L$2,$L$4, $L$3, $L$5, $L$6))</f>
        <v>-8.3489999999999995E-2</v>
      </c>
      <c r="AO45" s="413">
        <f>IF(ISERROR(_xll.ciqfunctions.udf.CIQ($A45, "IQ_Capex", IQ_LTM, $L$2, $L$4, $L$3, $L$5, $L$6)), "n/a", _xll.ciqfunctions.udf.CIQ($A45, "IQ_Capex", IQ_LTM, $L$2, $L$4, $L$3, $L$5, $L$6))</f>
        <v>-1.14E-2</v>
      </c>
      <c r="AP45" s="415" t="str">
        <f>_xll.ciqfunctions.udf.CIQ(A45, "IQ_BUSINESS_DESCRIPTION")</f>
        <v>Neuralstem, Inc., a clinical stage biopharmaceutical company, focuses on the research and development of nervous system therapies based on its proprietary human neuronal stem cells and small molecule compounds. The company’s stem cell based technology enables the isolation and expansion of human neural stem cells from various areas of the developing human brain and spinal cord enabling the generation of physiologically relevant human neurons of various types. Its lead product candidate is NSI-189, a chemical entity, which has been completed Phase II clinical trial for the treatment of major depressive disorder, as well as is in preclinical study for the MCAO stroke, type 1 and 2 diabetes related neuropathy, irradiation-induced cognition, long-term potentiation enhancement, and angelman syndrome. The company also develops NSI-566, which has completed Phase II clinical trial for treating amyotrophic lateral sclerosis disease, as well as is in Phase I clinical trials for the treatment of chronic spinal cord injury and motor deficits due to ischemic stroke. Neuralstem, Inc. was founded in 1996 and is headquartered in Germantown, Maryland.</v>
      </c>
      <c r="AQ45" s="416">
        <f>_xll.ciqfunctions.udf.CIQ($A45, "IQ_BETA_1YR", $B$1)</f>
        <v>2.3014000000000001</v>
      </c>
      <c r="AR45" s="416">
        <f>_xll.ciqfunctions.udf.CIQ($A45, "IQ_BETA_2YR", $B$1)</f>
        <v>2.1361300000000001</v>
      </c>
      <c r="AS45" s="416">
        <f>_xll.ciqfunctions.udf.CIQ($A45, "IQ_BETA_5YR", $B$1)</f>
        <v>1.4231799999999999</v>
      </c>
      <c r="AT45" s="372">
        <f>_xll.ciqfunctions.udf.CIQ($B45, "IQ_GP", IQ_LTM,$B$1, ,,"USD")</f>
        <v>0.26</v>
      </c>
      <c r="AU45" s="413">
        <f>_xll.ciqfunctions.udf.CIQ($A45, "IQ_EARNING_CO", IQ_LTM-8, $L$2, $L$4, $L$3, $L$5, $L$6)</f>
        <v>-22.45654</v>
      </c>
      <c r="AV45" s="413">
        <f>_xll.ciqfunctions.udf.CIQ($A45, "IQ_EARNING_CO", IQ_LTM-4, $L$2, $L$4, $L$3, $L$5, $L$6)</f>
        <v>-22.036079999999998</v>
      </c>
      <c r="AW45" s="413">
        <f>_xll.ciqfunctions.udf.CIQ($A45, "IQ_EARNING_CO", IQ_LTM, $L$2, $L$4, $L$3, $L$5, $L$6)</f>
        <v>-10.245699999999999</v>
      </c>
      <c r="AX45" s="413">
        <f>_xll.ciqfunctions.udf.CIQ($A45, "IQ_EARNING_CO", $B$2, $L$2, $L$4, $L$3, $L$5, $L$6)</f>
        <v>-21.07461</v>
      </c>
      <c r="AY45" s="413">
        <f>IF(_xll.ciqfunctions.udf.CIQ($A45, "IQ_EARNING_CO", $B$3, $L$2,$L$4, $L$3, $L$5, $L$6)=0,AW45,_xll.ciqfunctions.udf.CIQ($A45, "IQ_EARNING_CO", $B$3, $L$2,$L$4, $L$3, $L$5, $L$6))</f>
        <v>-15.665979999999999</v>
      </c>
      <c r="AZ45" s="413">
        <f>_xll.ciqfunctions.udf.CIQ($A45, "IQ_TOTAL_EQUITY", IQ_LTM-8, $L$2, $L$4, $L$3, $L$5, $L$6)</f>
        <v>-0.16939000000000001</v>
      </c>
      <c r="BA45" s="413">
        <f>_xll.ciqfunctions.udf.CIQ($A45, "IQ_TOTAL_EQUITY", IQ_LTM-4, $L$2, $L$4, $L$3, $L$5, $L$6)</f>
        <v>9.7797699999999992</v>
      </c>
      <c r="BB45" s="413">
        <f>_xll.ciqfunctions.udf.CIQ($A45, "IQ_TOTAL_EQUITY", IQ_LTM, $L$2, $L$4, $L$3, $L$5, $L$6)</f>
        <v>6.6071099999999996</v>
      </c>
      <c r="BC45" s="413">
        <f>_xll.ciqfunctions.udf.CIQ($A45, "IQ_TOTAL_EQUITY", $B$2, $L$2, $L$4, $L$3, $L$5, $L$6)</f>
        <v>11.330780000000001</v>
      </c>
      <c r="BD45" s="413">
        <f>IF(_xll.ciqfunctions.udf.CIQ($A45, "IQ_TOTAL_EQUITY", $B$3, $L$2,$L$4, $L$3, $L$5, $L$6)=0,BB45,_xll.ciqfunctions.udf.CIQ($A45, "IQ_TOTAL_EQUITY", $B$3, $L$2,$L$4, $L$3, $L$5, $L$6))</f>
        <v>8.5151299999999992</v>
      </c>
      <c r="BE45" s="413">
        <f>_xll.ciqfunctions.udf.CIQ(A45, "IQ_LASTSALEPRICE", $B$8)</f>
        <v>1.65</v>
      </c>
      <c r="BF45" s="413">
        <f>_xll.ciqfunctions.udf.CIQ($A45, "IQ_MARKETCAP", $B$8, $L$5, $L$6)</f>
        <v>24.990950000000002</v>
      </c>
      <c r="BG45" s="413">
        <f>_xll.ciqfunctions.udf.CIQ($A45, "IQ_TOTAL_DEBT", IQ_LTM, $B$8,$L$4, $L$3, $L$5, $L$6)</f>
        <v>0</v>
      </c>
      <c r="BH45" s="371">
        <f>_xll.ciqfunctions.udf.CIQ($A45,"IQ_PREF_EQUITY",IQ_LTM,$B$8,$L$4,$L$3,$L$5,$L$6)</f>
        <v>0.01</v>
      </c>
      <c r="BI45" s="371">
        <f>_xll.ciqfunctions.udf.CIQ($A45, "IQ_MINORITY_INTEREST_TOTAL", IQ_LTM,$B$8,$L$4,$L$3,$L$5,$L$6)</f>
        <v>0</v>
      </c>
      <c r="BJ45" s="413">
        <f>_xll.ciqfunctions.udf.CIQ($A45, "IQ_CASH_ST_INVEST", IQ_LTM, $B$8, $L$4, $L$3, $L$5, $L$6)</f>
        <v>14.06371</v>
      </c>
      <c r="BK45" s="371">
        <f>_xll.ciqfunctions.udf.CIQ($A45, "IQ_EFFECT_TAX_RATE")</f>
        <v>0</v>
      </c>
      <c r="BL45" s="371">
        <f>IF(_xll.ciqfunctions.udf.CIQ($A45, "IQ_TOTAL_REV_2YR_ANN_CAGR", IQ_LTM, $B$1,$L$4, $L$3, $L$5, $L$6)="NM","n/a",(_xll.ciqfunctions.udf.CIQ($A45, "IQ_TOTAL_REV_2YR_ANN_CAGR", IQ_LTM, $B$1,$L$4, $L$3, $L$5, $L$6)/100))</f>
        <v>4.0990199999999994</v>
      </c>
      <c r="BM45" s="371">
        <f>IF(_xll.ciqfunctions.udf.CIQ($A45, "IQ_TOTAL_REV_3YR_ANN_CAGR", IQ_LTM, $B$1,$L$4, $L$3, $L$5, $L$6)="NM","n/a",(_xll.ciqfunctions.udf.CIQ($A45, "IQ_TOTAL_REV_3YR_ANN_CAGR", IQ_LTM, $B$1,$L$4, $L$3, $L$5, $L$6)/100))</f>
        <v>1.4544839999999999</v>
      </c>
      <c r="BN45" s="371">
        <f>IF(_xll.ciqfunctions.udf.CIQ($A45, "IQ_TOTAL_REV_5YR_ANN_CAGR", IQ_LTM, $B$1,$L$4, $L$3, $L$5, $L$6)="NM","n/a",(_xll.ciqfunctions.udf.CIQ($A45, "IQ_TOTAL_REV_5YR_ANN_CAGR", IQ_LTM, $B$1,$L$4, $L$3, $L$5, $L$6)/100))</f>
        <v>-5.9834999999999999E-2</v>
      </c>
      <c r="BO45" s="371" t="str">
        <f>IF(_xll.ciqfunctions.udf.CIQ($A45,"IQ_EBITDA_2YR_ANN_CAGR", IQ_LTM,$B$1,$L$4, $L$3, $L$5, $L$6)="NM","n/a",(_xll.ciqfunctions.udf.CIQ($A45,"IQ_EBITDA_2YR_ANN_CAGR", IQ_LTM,$B$1,$L$4, $L$3, $L$5, $L$6)/100))</f>
        <v>n/a</v>
      </c>
      <c r="BP45" s="371" t="str">
        <f>IF(_xll.ciqfunctions.udf.CIQ($A45,"IQ_EBITDA_3YR_ANN_CAGR", IQ_LTM,$B$1,$L$4, $L$3, $L$5, $L$6)="NM","n/a",(_xll.ciqfunctions.udf.CIQ($A45,"IQ_EBITDA_3YR_ANN_CAGR", IQ_LTM,$B$1,$L$4, $L$3, $L$5, $L$6)/100))</f>
        <v>n/a</v>
      </c>
      <c r="BQ45" s="371" t="str">
        <f>IF(_xll.ciqfunctions.udf.CIQ($A45,"IQ_EBITDA_5YR_ANN_CAGR", IQ_LTM,$B$1,$L$4, $L$3, $L$5, $L$6)="NM","n/a",(_xll.ciqfunctions.udf.CIQ($A45,"IQ_EBITDA_5YR_ANN_CAGR", IQ_LTM,$B$1,$L$4, $L$3, $L$5, $L$6)/100))</f>
        <v>n/a</v>
      </c>
      <c r="BR45" s="375">
        <f>IFERROR((_xll.ciqfunctions.udf.CIQ($A45, "IQ_DA_CF", IQ_LTM, $B$1, $L$4, $L$3, $L$5, $L$6)/Q45),"NM")</f>
        <v>0.93992307692307686</v>
      </c>
      <c r="BS45" s="414">
        <f>'Capital IQ Sheet-GPC'!BS45</f>
        <v>1.5297800637211287</v>
      </c>
      <c r="BT45" s="414">
        <f>'Capital IQ Sheet-GPC'!BT45</f>
        <v>1.3319970066823303</v>
      </c>
      <c r="BU45" s="414">
        <f>'Capital IQ Sheet-GPC'!BU45</f>
        <v>1.2240611071531136</v>
      </c>
      <c r="BV45" s="414">
        <f>'Capital IQ Sheet-GPC'!BV45</f>
        <v>1.1396843049974372</v>
      </c>
      <c r="BW45" s="414">
        <f>'Capital IQ Sheet-GPC'!BW45</f>
        <v>1.0659142790428022</v>
      </c>
      <c r="BX45" s="414">
        <f>'Capital IQ Sheet-GPC'!BX45</f>
        <v>1.0410359210146125</v>
      </c>
      <c r="BY45" s="414">
        <f>'Capital IQ Sheet-GPC'!BY45</f>
        <v>0.99146584962490869</v>
      </c>
      <c r="BZ45" s="414">
        <f>'Capital IQ Sheet-GPC'!BZ45</f>
        <v>0.95279729471614993</v>
      </c>
    </row>
    <row r="46" spans="1:83">
      <c r="A46" s="372" t="str">
        <f>_xll.ciqfunctions.udf.CIQ($B46,"IQ_COMPANY_TICKER")</f>
        <v>OTCPK:NEXS</v>
      </c>
      <c r="B46" s="412" t="str">
        <f>'Capital IQ Sheet-GPC'!B46</f>
        <v>IQ340704541</v>
      </c>
      <c r="C46" s="372" t="str">
        <f>_xll.ciqfunctions.udf.CIQ($A46,"IQ_COMPANY_NAME")</f>
        <v>Nexus BioPharma, Inc.</v>
      </c>
      <c r="D46" s="372" t="str">
        <f>_xll.ciqfunctions.udf.CIQ($A46, "IQ_EXCHANGE")</f>
        <v>OTCPK</v>
      </c>
      <c r="E46" s="411">
        <f>_xll.ciqfunctions.udf.CIQ($A46, "IQ_PERIODDATE_IS", IQ_FY)</f>
        <v>42794</v>
      </c>
      <c r="F46" s="411">
        <f>_xll.ciqfunctions.udf.CIQ(A46, "IQ_PERIODDATE_IS", IQ_LTM, $B$1,$L$4,$L$3)</f>
        <v>42886</v>
      </c>
      <c r="G46" s="411">
        <f>_xll.ciqfunctions.udf.CIQ($A46, "IQ_FIRSTPRICINGDATE")</f>
        <v>42531</v>
      </c>
      <c r="H46" s="413">
        <f>_xll.ciqfunctions.udf.CIQ($A46, "IQ_TEV", $L$2, $L$5, $L$6)</f>
        <v>4.2106599999999998</v>
      </c>
      <c r="I46" s="413">
        <f>_xll.ciqfunctions.udf.CIQ(A46, "IQ_LASTSALEPRICE", $B$1,$L$5)</f>
        <v>5.9900000000000002E-2</v>
      </c>
      <c r="J46" s="411">
        <f>_xll.ciqfunctions.udf.CIQ($B46, "IQ_FIRSTPRICINGDATE")</f>
        <v>42531</v>
      </c>
      <c r="K46" s="413">
        <f>_xll.ciqfunctions.udf.CIQ($A46, "IQ_TOTAL_DEBT", IQ_LTM, $L$2,$L$4, $L$3, $L$5, $L$6)</f>
        <v>0.36752000000000001</v>
      </c>
      <c r="L46" s="413">
        <f>_xll.ciqfunctions.udf.CIQ($A46, "IQ_PREF_EQUITY", IQ_LTM, $L$2, $L$4, $L$3, $L$5, $L$6)</f>
        <v>0</v>
      </c>
      <c r="M46" s="413">
        <f>_xll.ciqfunctions.udf.CIQ($A46, "IQ_MINORITY_INTEREST_TOTAL", IQ_LTM, $L$2, $L$4, $L$3, $L$5, $L$6)</f>
        <v>0</v>
      </c>
      <c r="N46" s="413">
        <f>_xll.ciqfunctions.udf.CIQ($A46, "IQ_CASH_ST_INVEST", IQ_LTM, $L$2, $L$4, $L$3, $L$5, $L$6)</f>
        <v>8.43E-3</v>
      </c>
      <c r="O46" s="413">
        <f>_xll.ciqfunctions.udf.CIQ($A46, "IQ_TOTAL_REV", IQ_LTM-8, $L$2, $L$4, $L$3, $L$5, $L$6)</f>
        <v>0</v>
      </c>
      <c r="P46" s="413">
        <f>_xll.ciqfunctions.udf.CIQ($A46, "IQ_TOTAL_REV", IQ_LTM - 4, $L$2, $L$4, $L$3, $L$5,$L$6)</f>
        <v>0</v>
      </c>
      <c r="Q46" s="413">
        <f>_xll.ciqfunctions.udf.CIQ($A46, "IQ_TOTAL_REV", IQ_LTM, $L$2, $L$4, $L$3, $L$5, $L$6)</f>
        <v>0</v>
      </c>
      <c r="R46" s="413">
        <f>_xll.ciqfunctions.udf.CIQ($A46, "IQ_TOTAL_REV", $B$2, $L$2, $L$4, $L$3, $L$5, $L$6)</f>
        <v>0</v>
      </c>
      <c r="S46" s="413">
        <f>IF(_xll.ciqfunctions.udf.CIQ($A46, "IQ_TOTAL_REV", $B$3, $L$2,$L$4, $L$3, $L$5, $L$6)=0,Q46,_xll.ciqfunctions.udf.CIQ($A46, "IQ_TOTAL_REV", $B$3, $L$2,$L$4, $L$3, $L$5, $L$6))</f>
        <v>0</v>
      </c>
      <c r="T46" s="413" t="str">
        <f>IF(_xll.ciqfunctions.udf.CIQ($A46, "IQ_REVENUE_EST",$B$4, $L$2, "CON", $L$3, $L$5, $L$6)=0,"n/a",_xll.ciqfunctions.udf.CIQ($A46, "IQ_REVENUE_EST",$B$4, $L$2, "CON", $L$3, $L$5, $L$6))</f>
        <v>n/a</v>
      </c>
      <c r="U46" s="413" t="str">
        <f>IF(_xll.ciqfunctions.udf.CIQ($A46, "IQ_REVENUE_EST",$B$5, $L$2, "CON", $L$3, $L$5, $L$6)=0,"n/a",_xll.ciqfunctions.udf.CIQ($A46, "IQ_REVENUE_EST",$B$5, $L$2, "CON", $L$3, $L$5, $L$6))</f>
        <v>n/a</v>
      </c>
      <c r="V46" s="413" t="str">
        <f>IF(_xll.ciqfunctions.udf.CIQ($A46, "IQ_REVENUE_EST",$B$6, $L$2, "CON", $L$3, $L$5, $L$6)=0,"n/a",_xll.ciqfunctions.udf.CIQ($A46, "IQ_REVENUE_EST",$B$6, $L$2, "CON", $L$3, $L$5, $L$6))</f>
        <v>n/a</v>
      </c>
      <c r="W46" s="413" t="str">
        <f>IF(_xll.ciqfunctions.udf.CIQ($A46, "IQ_REVENUE_EST", $B$7, $L$2, "CON", $L$3, $L$5, $L$6)=0,"n/a",_xll.ciqfunctions.udf.CIQ($A46, "IQ_REVENUE_EST",$B$7, $L$2, "CON", $L$3, $L$5, $L$6))</f>
        <v>n/a</v>
      </c>
      <c r="X46" s="413">
        <f>_xll.ciqfunctions.udf.CIQ($A46, "IQ_EBITDA", IQ_LTM-8, $L$2, $L$4, $L$3, $L$5, $L$6)</f>
        <v>0</v>
      </c>
      <c r="Y46" s="413">
        <f>_xll.ciqfunctions.udf.CIQ($A46, "IQ_EBITDA", IQ_LTM-4, $L$2,$L$4, $L$3, $L$5, $L$6)</f>
        <v>0</v>
      </c>
      <c r="Z46" s="413">
        <f>_xll.ciqfunctions.udf.CIQ($A46, "IQ_EBITDA", IQ_LTM, $L$2, $L$4, $L$3, $L$5, $L$6)</f>
        <v>-0.56271000000000004</v>
      </c>
      <c r="AA46" s="413">
        <f>_xll.ciqfunctions.udf.CIQ($A46, "IQ_EBITDA", $B$2, $L$2, $L$4, $L$3, $L$5, $L$6)</f>
        <v>0</v>
      </c>
      <c r="AB46" s="413">
        <f>IF(_xll.ciqfunctions.udf.CIQ($A46, "IQ_EBITDA", $B$3, $L$2,$L$4, $L$3, $L$5, $L$6)=0,Z46,_xll.ciqfunctions.udf.CIQ($A46, "IQ_EBITDA", $B$3, $L$2,$L$4, $L$3, $L$5, $L$6))</f>
        <v>-0.56271000000000004</v>
      </c>
      <c r="AC46" s="413" t="str">
        <f>IF(_xll.ciqfunctions.udf.CIQ($A46, "IQ_EBITDA_EST",$B$4, $L$2, "CON", $L$3, $L$5, $L$6)=0,"n/a",_xll.ciqfunctions.udf.CIQ($A46, "IQ_EBITDA_EST",$B$4, $L$2, "CON", $L$3, $L$5, $L$6))</f>
        <v>n/a</v>
      </c>
      <c r="AD46" s="372" t="str">
        <f>IF(_xll.ciqfunctions.udf.CIQ($A46, "IQ_EBITDA_EST",$B$5, $L$2, "CON", $L$3, $L$5, $L$6)=0,"n/a",_xll.ciqfunctions.udf.CIQ($A46, "IQ_EBITDA_EST",$B$5, $L$2, "CON", $L$3, $L$5, $L$6))</f>
        <v>n/a</v>
      </c>
      <c r="AE46" s="413" t="str">
        <f>IF(_xll.ciqfunctions.udf.CIQ($A46, "IQ_EBITDA_EST",$B$6, $L$2, "CON", $L$3, $L$5, $L$6)=0,"n/a",_xll.ciqfunctions.udf.CIQ($A46, "IQ_EBITDA_EST",$B$6, $L$2, "CON", $L$3, $L$5, $L$6))</f>
        <v>n/a</v>
      </c>
      <c r="AF46" s="414">
        <f>IF(ISERROR(_xll.ciqfunctions.udf.CIQ($A46, "IQ_GROSS_MARGIN", IQ_LTM, $L$2,$L$4, $L$3, $L$5, $L$6)/100), "n/a", _xll.ciqfunctions.udf.CIQ($A46,  "IQ_GROSS_MARGIN", IQ_LTM, $L$2, $L$4, $L$3, $L$5, $L$6)/100)</f>
        <v>0</v>
      </c>
      <c r="AG46" s="414">
        <f>IF(ISERROR(_xll.ciqfunctions.udf.CIQ($A46,"IQ_EBITDA_MARGIN", IQ_LTM, $L$2, $L$4, $L$3, $L$5, $L$6)/100), "n/a", _xll.ciqfunctions.udf.CIQ($A46, "IQ_EBITDA_MARGIN", IQ_LTM, $L$2, $L$4, $L$3, $L$5, $L$6)/100)</f>
        <v>0</v>
      </c>
      <c r="AH46" s="414">
        <f>IF(ISERROR(_xll.ciqfunctions.udf.CIQ($A46,"IQ_EBIT_MARGIN", IQ_LTM, $L$2, $L$4, $L$3, $L$5, $L$6)/100), "n/a", _xll.ciqfunctions.udf.CIQ($A46, "IQ_EBIT_MARGIN", IQ_LTM, $L$2, $L$4, $L$3, $L$5, $L$6)/100)</f>
        <v>0</v>
      </c>
      <c r="AI46" s="414">
        <f>IF(ISERROR(_xll.ciqfunctions.udf.CIQ($A46,"IQ_NI_MARGIN", IQ_LTM, $L$2, $L$4, $L$3, $L$5, $L$6)/100), "n/a", _xll.ciqfunctions.udf.CIQ($A46, "IQ_NI_MARGIN", IQ_LTM, $L$2, $L$4, $L$3, $L$5, $L$6)/100)</f>
        <v>0</v>
      </c>
      <c r="AJ46" s="413">
        <f>_xll.ciqfunctions.udf.CIQ($A46,"IQ_TOTAL_CA",IQ_LTM-8,$L$2, $L$4, $L$3, $L$5, $L$6)-_xll.ciqfunctions.udf.CIQ($A46,"IQ_TOTAL_CL",IQ_LTM-8,$L$2, $L$4, $L$3, $L$5, $L$6)</f>
        <v>0</v>
      </c>
      <c r="AK46" s="413">
        <f>_xll.ciqfunctions.udf.CIQ($A46,"IQ_TOTAL_CA",IQ_LTM-4,$L$2, $L$4, $L$3, $L$5, $L$6)-_xll.ciqfunctions.udf.CIQ($A46,"IQ_TOTAL_CL",IQ_LTM-4,$L$2, $L$4, $L$3, $L$5, $L$6)</f>
        <v>-0.89998</v>
      </c>
      <c r="AL46" s="413">
        <f>_xll.ciqfunctions.udf.CIQ($A46,"IQ_TOTAL_CA",IQ_LTM,$L$2, $L$4, $L$3, $L$5, $L$6)-_xll.ciqfunctions.udf.CIQ($A46,"IQ_TOTAL_CL",IQ_LTM,$L$2, $L$4, $L$3, $L$5, $L$6)</f>
        <v>-1.80772</v>
      </c>
      <c r="AM46" s="413">
        <f>IF(ISERROR(_xll.ciqfunctions.udf.CIQ($A46, "IQ_Capex", IQ_LTM-8, $L$2,$L$4, $L$3, $L$5, $L$6)), "n/a", _xll.ciqfunctions.udf.CIQ($A46, "IQ_Capex", IQ_LTM-8, $L$2, $L$4, $L$3, $L$5, $L$6))</f>
        <v>0</v>
      </c>
      <c r="AN46" s="413">
        <f>IF(ISERROR(_xll.ciqfunctions.udf.CIQ($A46, "IQ_Capex", IQ_LTM-4, $L$2,$L$4, $L$3, $L$5, $L$6)), "n/a", _xll.ciqfunctions.udf.CIQ($A46, "IQ_Capex", IQ_LTM-4, $L$2,$L$4, $L$3, $L$5, $L$6))</f>
        <v>0</v>
      </c>
      <c r="AO46" s="413">
        <f>IF(ISERROR(_xll.ciqfunctions.udf.CIQ($A46, "IQ_Capex", IQ_LTM, $L$2, $L$4, $L$3, $L$5, $L$6)), "n/a", _xll.ciqfunctions.udf.CIQ($A46, "IQ_Capex", IQ_LTM, $L$2, $L$4, $L$3, $L$5, $L$6))</f>
        <v>-1.6900000000000001E-3</v>
      </c>
      <c r="AP46" s="415" t="str">
        <f>_xll.ciqfunctions.udf.CIQ(A46, "IQ_BUSINESS_DESCRIPTION")</f>
        <v>Nexus BioPharma, Inc., a life science company, focuses on the development and commercialization of a pharmaceutical preparation to treat obesity and the symptoms of type 2 diabetes. The company is headquartered in Houston, Texas.</v>
      </c>
      <c r="AQ46" s="416">
        <f>_xll.ciqfunctions.udf.CIQ($A46, "IQ_BETA_1YR", $B$1)</f>
        <v>3.8710399999999998</v>
      </c>
      <c r="AR46" s="416">
        <f>_xll.ciqfunctions.udf.CIQ($A46, "IQ_BETA_2YR", $B$1)</f>
        <v>3.7693300000000001</v>
      </c>
      <c r="AS46" s="416">
        <f>_xll.ciqfunctions.udf.CIQ($A46, "IQ_BETA_5YR", $B$1)</f>
        <v>4.5839299999999996</v>
      </c>
      <c r="AT46" s="372">
        <f>_xll.ciqfunctions.udf.CIQ($B46, "IQ_GP", IQ_LTM,$B$1, ,,"USD")</f>
        <v>0</v>
      </c>
      <c r="AU46" s="413">
        <f>_xll.ciqfunctions.udf.CIQ($A46, "IQ_EARNING_CO", IQ_LTM-8, $L$2, $L$4, $L$3, $L$5, $L$6)</f>
        <v>0</v>
      </c>
      <c r="AV46" s="413">
        <f>_xll.ciqfunctions.udf.CIQ($A46, "IQ_EARNING_CO", IQ_LTM-4, $L$2, $L$4, $L$3, $L$5, $L$6)</f>
        <v>-1.26711</v>
      </c>
      <c r="AW46" s="413">
        <f>_xll.ciqfunctions.udf.CIQ($A46, "IQ_EARNING_CO", IQ_LTM, $L$2, $L$4, $L$3, $L$5, $L$6)</f>
        <v>-0.81664000000000003</v>
      </c>
      <c r="AX46" s="413">
        <f>_xll.ciqfunctions.udf.CIQ($A46, "IQ_EARNING_CO", $B$2, $L$2, $L$4, $L$3, $L$5, $L$6)</f>
        <v>-0.65646000000000004</v>
      </c>
      <c r="AY46" s="413">
        <f>IF(_xll.ciqfunctions.udf.CIQ($A46, "IQ_EARNING_CO", $B$3, $L$2,$L$4, $L$3, $L$5, $L$6)=0,AW46,_xll.ciqfunctions.udf.CIQ($A46, "IQ_EARNING_CO", $B$3, $L$2,$L$4, $L$3, $L$5, $L$6))</f>
        <v>-0.81664000000000003</v>
      </c>
      <c r="AZ46" s="413">
        <f>_xll.ciqfunctions.udf.CIQ($A46, "IQ_TOTAL_EQUITY", IQ_LTM-8, $L$2, $L$4, $L$3, $L$5, $L$6)</f>
        <v>0</v>
      </c>
      <c r="BA46" s="413">
        <f>_xll.ciqfunctions.udf.CIQ($A46, "IQ_TOTAL_EQUITY", IQ_LTM-4, $L$2, $L$4, $L$3, $L$5, $L$6)</f>
        <v>-0.93464999999999998</v>
      </c>
      <c r="BB46" s="413">
        <f>_xll.ciqfunctions.udf.CIQ($A46, "IQ_TOTAL_EQUITY", IQ_LTM, $L$2, $L$4, $L$3, $L$5, $L$6)</f>
        <v>-1.8492</v>
      </c>
      <c r="BC46" s="413">
        <f>_xll.ciqfunctions.udf.CIQ($A46, "IQ_TOTAL_EQUITY", $B$2, $L$2, $L$4, $L$3, $L$5, $L$6)</f>
        <v>-1.34463</v>
      </c>
      <c r="BD46" s="413">
        <f>IF(_xll.ciqfunctions.udf.CIQ($A46, "IQ_TOTAL_EQUITY", $B$3, $L$2,$L$4, $L$3, $L$5, $L$6)=0,BB46,_xll.ciqfunctions.udf.CIQ($A46, "IQ_TOTAL_EQUITY", $B$3, $L$2,$L$4, $L$3, $L$5, $L$6))</f>
        <v>-1.8492</v>
      </c>
      <c r="BE46" s="413">
        <f>_xll.ciqfunctions.udf.CIQ(A46, "IQ_LASTSALEPRICE", $B$8)</f>
        <v>6.6000000000000003E-2</v>
      </c>
      <c r="BF46" s="413">
        <f>_xll.ciqfunctions.udf.CIQ($A46, "IQ_MARKETCAP", $B$8, $L$5, $L$6)</f>
        <v>4.2438000000000002</v>
      </c>
      <c r="BG46" s="413">
        <f>_xll.ciqfunctions.udf.CIQ($A46, "IQ_TOTAL_DEBT", IQ_LTM, $B$8,$L$4, $L$3, $L$5, $L$6)</f>
        <v>0.36752000000000001</v>
      </c>
      <c r="BH46" s="371">
        <f>_xll.ciqfunctions.udf.CIQ($A46,"IQ_PREF_EQUITY",IQ_LTM,$B$8,$L$4,$L$3,$L$5,$L$6)</f>
        <v>0</v>
      </c>
      <c r="BI46" s="371">
        <f>_xll.ciqfunctions.udf.CIQ($A46, "IQ_MINORITY_INTEREST_TOTAL", IQ_LTM,$B$8,$L$4,$L$3,$L$5,$L$6)</f>
        <v>0</v>
      </c>
      <c r="BJ46" s="413">
        <f>_xll.ciqfunctions.udf.CIQ($A46, "IQ_CASH_ST_INVEST", IQ_LTM, $B$8, $L$4, $L$3, $L$5, $L$6)</f>
        <v>8.43E-3</v>
      </c>
      <c r="BK46" s="371">
        <f>_xll.ciqfunctions.udf.CIQ($A46, "IQ_EFFECT_TAX_RATE")</f>
        <v>0</v>
      </c>
      <c r="BL46" s="371">
        <f>IF(_xll.ciqfunctions.udf.CIQ($A46, "IQ_TOTAL_REV_2YR_ANN_CAGR", IQ_LTM, $B$1,$L$4, $L$3, $L$5, $L$6)="NM","n/a",(_xll.ciqfunctions.udf.CIQ($A46, "IQ_TOTAL_REV_2YR_ANN_CAGR", IQ_LTM, $B$1,$L$4, $L$3, $L$5, $L$6)/100))</f>
        <v>0</v>
      </c>
      <c r="BM46" s="371">
        <f>IF(_xll.ciqfunctions.udf.CIQ($A46, "IQ_TOTAL_REV_3YR_ANN_CAGR", IQ_LTM, $B$1,$L$4, $L$3, $L$5, $L$6)="NM","n/a",(_xll.ciqfunctions.udf.CIQ($A46, "IQ_TOTAL_REV_3YR_ANN_CAGR", IQ_LTM, $B$1,$L$4, $L$3, $L$5, $L$6)/100))</f>
        <v>0</v>
      </c>
      <c r="BN46" s="371">
        <f>IF(_xll.ciqfunctions.udf.CIQ($A46, "IQ_TOTAL_REV_5YR_ANN_CAGR", IQ_LTM, $B$1,$L$4, $L$3, $L$5, $L$6)="NM","n/a",(_xll.ciqfunctions.udf.CIQ($A46, "IQ_TOTAL_REV_5YR_ANN_CAGR", IQ_LTM, $B$1,$L$4, $L$3, $L$5, $L$6)/100))</f>
        <v>0</v>
      </c>
      <c r="BO46" s="371">
        <f>IF(_xll.ciqfunctions.udf.CIQ($A46,"IQ_EBITDA_2YR_ANN_CAGR", IQ_LTM,$B$1,$L$4, $L$3, $L$5, $L$6)="NM","n/a",(_xll.ciqfunctions.udf.CIQ($A46,"IQ_EBITDA_2YR_ANN_CAGR", IQ_LTM,$B$1,$L$4, $L$3, $L$5, $L$6)/100))</f>
        <v>0</v>
      </c>
      <c r="BP46" s="371">
        <f>IF(_xll.ciqfunctions.udf.CIQ($A46,"IQ_EBITDA_3YR_ANN_CAGR", IQ_LTM,$B$1,$L$4, $L$3, $L$5, $L$6)="NM","n/a",(_xll.ciqfunctions.udf.CIQ($A46,"IQ_EBITDA_3YR_ANN_CAGR", IQ_LTM,$B$1,$L$4, $L$3, $L$5, $L$6)/100))</f>
        <v>0</v>
      </c>
      <c r="BQ46" s="371">
        <f>IF(_xll.ciqfunctions.udf.CIQ($A46,"IQ_EBITDA_5YR_ANN_CAGR", IQ_LTM,$B$1,$L$4, $L$3, $L$5, $L$6)="NM","n/a",(_xll.ciqfunctions.udf.CIQ($A46,"IQ_EBITDA_5YR_ANN_CAGR", IQ_LTM,$B$1,$L$4, $L$3, $L$5, $L$6)/100))</f>
        <v>0</v>
      </c>
      <c r="BR46" s="375" t="str">
        <f>IFERROR((_xll.ciqfunctions.udf.CIQ($A46, "IQ_DA_CF", IQ_LTM, $B$1, $L$4, $L$3, $L$5, $L$6)/Q46),"NM")</f>
        <v>NM</v>
      </c>
      <c r="BS46" s="414">
        <f>'Capital IQ Sheet-GPC'!BS46</f>
        <v>2.7642539241187154</v>
      </c>
      <c r="BT46" s="414">
        <f>'Capital IQ Sheet-GPC'!BT46</f>
        <v>2.3602791126601241</v>
      </c>
      <c r="BU46" s="414">
        <f>'Capital IQ Sheet-GPC'!BU46</f>
        <v>2.3373167702285089</v>
      </c>
      <c r="BV46" s="414" t="str">
        <f>'Capital IQ Sheet-GPC'!BV46</f>
        <v>n/a</v>
      </c>
      <c r="BW46" s="414" t="str">
        <f>'Capital IQ Sheet-GPC'!BW46</f>
        <v>n/a</v>
      </c>
      <c r="BX46" s="414" t="str">
        <f>'Capital IQ Sheet-GPC'!BX46</f>
        <v>n/a</v>
      </c>
      <c r="BY46" s="414" t="str">
        <f>'Capital IQ Sheet-GPC'!BY46</f>
        <v>n/a</v>
      </c>
      <c r="BZ46" s="414" t="str">
        <f>'Capital IQ Sheet-GPC'!BZ46</f>
        <v>n/a</v>
      </c>
    </row>
    <row r="47" spans="1:83">
      <c r="A47" s="372" t="str">
        <f>_xll.ciqfunctions.udf.CIQ($B47,"IQ_COMPANY_TICKER")</f>
        <v>ENXTPA:ERYP</v>
      </c>
      <c r="B47" s="412" t="str">
        <f>'Capital IQ Sheet-GPC'!B47</f>
        <v>IQ24677080</v>
      </c>
      <c r="C47" s="372" t="str">
        <f>_xll.ciqfunctions.udf.CIQ($A47,"IQ_COMPANY_NAME")</f>
        <v>ERYTECH Pharma S.A.</v>
      </c>
      <c r="D47" s="372" t="str">
        <f>_xll.ciqfunctions.udf.CIQ($A47, "IQ_EXCHANGE")</f>
        <v>ENXTPA</v>
      </c>
      <c r="E47" s="411">
        <f>_xll.ciqfunctions.udf.CIQ($A47, "IQ_PERIODDATE_IS", IQ_FY)</f>
        <v>43100</v>
      </c>
      <c r="F47" s="411">
        <f>_xll.ciqfunctions.udf.CIQ(A47, "IQ_PERIODDATE_IS", IQ_LTM, $B$1,$L$4,$L$3)</f>
        <v>43100</v>
      </c>
      <c r="G47" s="411">
        <f>_xll.ciqfunctions.udf.CIQ($A47, "IQ_FIRSTPRICINGDATE")</f>
        <v>41394</v>
      </c>
      <c r="H47" s="413">
        <f>_xll.ciqfunctions.udf.CIQ($A47, "IQ_TEV", $L$2, $L$5, $L$6)</f>
        <v>-11.39209</v>
      </c>
      <c r="I47" s="413">
        <f>_xll.ciqfunctions.udf.CIQ(A47, "IQ_LASTSALEPRICE", $B$1,$L$5)</f>
        <v>11.24723</v>
      </c>
      <c r="J47" s="411">
        <f>_xll.ciqfunctions.udf.CIQ($B47, "IQ_FIRSTPRICINGDATE")</f>
        <v>41394</v>
      </c>
      <c r="K47" s="413">
        <f>_xll.ciqfunctions.udf.CIQ($A47, "IQ_TOTAL_DEBT", IQ_LTM, $L$2,$L$4, $L$3, $L$5, $L$6)</f>
        <v>3.4137900000000001</v>
      </c>
      <c r="L47" s="413">
        <f>_xll.ciqfunctions.udf.CIQ($A47, "IQ_PREF_EQUITY", IQ_LTM, $L$2, $L$4, $L$3, $L$5, $L$6)</f>
        <v>0</v>
      </c>
      <c r="M47" s="413">
        <f>_xll.ciqfunctions.udf.CIQ($A47, "IQ_MINORITY_INTEREST_TOTAL", IQ_LTM, $L$2, $L$4, $L$3, $L$5, $L$6)</f>
        <v>0</v>
      </c>
      <c r="N47" s="413">
        <f>_xll.ciqfunctions.udf.CIQ($A47, "IQ_CASH_ST_INVEST", IQ_LTM, $L$2, $L$4, $L$3, $L$5, $L$6)</f>
        <v>222.77257</v>
      </c>
      <c r="O47" s="413">
        <f>_xll.ciqfunctions.udf.CIQ($A47, "IQ_TOTAL_REV", IQ_LTM-8, $L$2, $L$4, $L$3, $L$5, $L$6)</f>
        <v>3.1810999999999998</v>
      </c>
      <c r="P47" s="413">
        <f>_xll.ciqfunctions.udf.CIQ($A47, "IQ_TOTAL_REV", IQ_LTM - 4, $L$2, $L$4, $L$3, $L$5,$L$6)</f>
        <v>4.3681999999999999</v>
      </c>
      <c r="Q47" s="413">
        <f>_xll.ciqfunctions.udf.CIQ($A47, "IQ_TOTAL_REV", IQ_LTM, $L$2, $L$4, $L$3, $L$5, $L$6)</f>
        <v>4.03939</v>
      </c>
      <c r="R47" s="413">
        <f>_xll.ciqfunctions.udf.CIQ($A47, "IQ_TOTAL_REV", $B$2, $L$2, $L$4, $L$3, $L$5, $L$6)</f>
        <v>4.3681999999999999</v>
      </c>
      <c r="S47" s="413">
        <f>IF(_xll.ciqfunctions.udf.CIQ($A47, "IQ_TOTAL_REV", $B$3, $L$2,$L$4, $L$3, $L$5, $L$6)=0,Q47,_xll.ciqfunctions.udf.CIQ($A47, "IQ_TOTAL_REV", $B$3, $L$2,$L$4, $L$3, $L$5, $L$6))</f>
        <v>4.03939</v>
      </c>
      <c r="T47" s="413">
        <f>IF(_xll.ciqfunctions.udf.CIQ($A47, "IQ_REVENUE_EST",$B$4, $L$2, "CON", $L$3, $L$5, $L$6)=0,"n/a",_xll.ciqfunctions.udf.CIQ($A47, "IQ_REVENUE_EST",$B$4, $L$2, "CON", $L$3, $L$5, $L$6))</f>
        <v>6.4904900000000003</v>
      </c>
      <c r="U47" s="413">
        <f>IF(_xll.ciqfunctions.udf.CIQ($A47, "IQ_REVENUE_EST",$B$5, $L$2, "CON", $L$3, $L$5, $L$6)=0,"n/a",_xll.ciqfunctions.udf.CIQ($A47, "IQ_REVENUE_EST",$B$5, $L$2, "CON", $L$3, $L$5, $L$6))</f>
        <v>8.3173499999999994</v>
      </c>
      <c r="V47" s="413">
        <f>IF(_xll.ciqfunctions.udf.CIQ($A47, "IQ_REVENUE_EST",$B$6, $L$2, "CON", $L$3, $L$5, $L$6)=0,"n/a",_xll.ciqfunctions.udf.CIQ($A47, "IQ_REVENUE_EST",$B$6, $L$2, "CON", $L$3, $L$5, $L$6))</f>
        <v>5.8713499999999996</v>
      </c>
      <c r="W47" s="413">
        <f>IF(_xll.ciqfunctions.udf.CIQ($A47, "IQ_REVENUE_EST", $B$7, $L$2, "CON", $L$3, $L$5, $L$6)=0,"n/a",_xll.ciqfunctions.udf.CIQ($A47, "IQ_REVENUE_EST",$B$7, $L$2, "CON", $L$3, $L$5, $L$6))</f>
        <v>7.1193600000000004</v>
      </c>
      <c r="X47" s="413">
        <f>_xll.ciqfunctions.udf.CIQ($A47, "IQ_EBITDA", IQ_LTM-8, $L$2, $L$4, $L$3, $L$5, $L$6)</f>
        <v>-16.611460000000001</v>
      </c>
      <c r="Y47" s="413">
        <f>_xll.ciqfunctions.udf.CIQ($A47, "IQ_EBITDA", IQ_LTM-4, $L$2,$L$4, $L$3, $L$5, $L$6)</f>
        <v>-23.18695</v>
      </c>
      <c r="Z47" s="413">
        <f>_xll.ciqfunctions.udf.CIQ($A47, "IQ_EBITDA", IQ_LTM, $L$2, $L$4, $L$3, $L$5, $L$6)</f>
        <v>-36.452930000000002</v>
      </c>
      <c r="AA47" s="413">
        <f>_xll.ciqfunctions.udf.CIQ($A47, "IQ_EBITDA", $B$2, $L$2, $L$4, $L$3, $L$5, $L$6)</f>
        <v>-23.18695</v>
      </c>
      <c r="AB47" s="413">
        <f>IF(_xll.ciqfunctions.udf.CIQ($A47, "IQ_EBITDA", $B$3, $L$2,$L$4, $L$3, $L$5, $L$6)=0,Z47,_xll.ciqfunctions.udf.CIQ($A47, "IQ_EBITDA", $B$3, $L$2,$L$4, $L$3, $L$5, $L$6))</f>
        <v>-36.452930000000002</v>
      </c>
      <c r="AC47" s="413">
        <f>IF(_xll.ciqfunctions.udf.CIQ($A47, "IQ_EBITDA_EST",$B$4, $L$2, "CON", $L$3, $L$5, $L$6)=0,"n/a",_xll.ciqfunctions.udf.CIQ($A47, "IQ_EBITDA_EST",$B$4, $L$2, "CON", $L$3, $L$5, $L$6))</f>
        <v>-49.001399999999997</v>
      </c>
      <c r="AD47" s="372">
        <f>IF(_xll.ciqfunctions.udf.CIQ($A47, "IQ_EBITDA_EST",$B$5, $L$2, "CON", $L$3, $L$5, $L$6)=0,"n/a",_xll.ciqfunctions.udf.CIQ($A47, "IQ_EBITDA_EST",$B$5, $L$2, "CON", $L$3, $L$5, $L$6))</f>
        <v>-59.84975</v>
      </c>
      <c r="AE47" s="413">
        <f>IF(_xll.ciqfunctions.udf.CIQ($A47, "IQ_EBITDA_EST",$B$6, $L$2, "CON", $L$3, $L$5, $L$6)=0,"n/a",_xll.ciqfunctions.udf.CIQ($A47, "IQ_EBITDA_EST",$B$6, $L$2, "CON", $L$3, $L$5, $L$6))</f>
        <v>-50.553820000000002</v>
      </c>
      <c r="AF47" s="414">
        <f>IF(ISERROR(_xll.ciqfunctions.udf.CIQ($A47, "IQ_GROSS_MARGIN", IQ_LTM, $L$2,$L$4, $L$3, $L$5, $L$6)/100), "n/a", _xll.ciqfunctions.udf.CIQ($A47,  "IQ_GROSS_MARGIN", IQ_LTM, $L$2, $L$4, $L$3, $L$5, $L$6)/100)</f>
        <v>1</v>
      </c>
      <c r="AG47" s="414" t="str">
        <f>IF(ISERROR(_xll.ciqfunctions.udf.CIQ($A47,"IQ_EBITDA_MARGIN", IQ_LTM, $L$2, $L$4, $L$3, $L$5, $L$6)/100), "n/a", _xll.ciqfunctions.udf.CIQ($A47, "IQ_EBITDA_MARGIN", IQ_LTM, $L$2, $L$4, $L$3, $L$5, $L$6)/100)</f>
        <v>n/a</v>
      </c>
      <c r="AH47" s="414" t="str">
        <f>IF(ISERROR(_xll.ciqfunctions.udf.CIQ($A47,"IQ_EBIT_MARGIN", IQ_LTM, $L$2, $L$4, $L$3, $L$5, $L$6)/100), "n/a", _xll.ciqfunctions.udf.CIQ($A47, "IQ_EBIT_MARGIN", IQ_LTM, $L$2, $L$4, $L$3, $L$5, $L$6)/100)</f>
        <v>n/a</v>
      </c>
      <c r="AI47" s="414" t="str">
        <f>IF(ISERROR(_xll.ciqfunctions.udf.CIQ($A47,"IQ_NI_MARGIN", IQ_LTM, $L$2, $L$4, $L$3, $L$5, $L$6)/100), "n/a", _xll.ciqfunctions.udf.CIQ($A47, "IQ_NI_MARGIN", IQ_LTM, $L$2, $L$4, $L$3, $L$5, $L$6)/100)</f>
        <v>n/a</v>
      </c>
      <c r="AJ47" s="413">
        <f>_xll.ciqfunctions.udf.CIQ($A47,"IQ_TOTAL_CA",IQ_LTM-8,$L$2, $L$4, $L$3, $L$5, $L$6)-_xll.ciqfunctions.udf.CIQ($A47,"IQ_TOTAL_CL",IQ_LTM-8,$L$2, $L$4, $L$3, $L$5, $L$6)</f>
        <v>50.293779999999998</v>
      </c>
      <c r="AK47" s="413">
        <f>_xll.ciqfunctions.udf.CIQ($A47,"IQ_TOTAL_CA",IQ_LTM-4,$L$2, $L$4, $L$3, $L$5, $L$6)-_xll.ciqfunctions.udf.CIQ($A47,"IQ_TOTAL_CL",IQ_LTM-4,$L$2, $L$4, $L$3, $L$5, $L$6)</f>
        <v>38.199089999999998</v>
      </c>
      <c r="AL47" s="413">
        <f>_xll.ciqfunctions.udf.CIQ($A47,"IQ_TOTAL_CA",IQ_LTM,$L$2, $L$4, $L$3, $L$5, $L$6)-_xll.ciqfunctions.udf.CIQ($A47,"IQ_TOTAL_CL",IQ_LTM,$L$2, $L$4, $L$3, $L$5, $L$6)</f>
        <v>216.09270000000001</v>
      </c>
      <c r="AM47" s="413">
        <f>IF(ISERROR(_xll.ciqfunctions.udf.CIQ($A47, "IQ_Capex", IQ_LTM-8, $L$2,$L$4, $L$3, $L$5, $L$6)), "n/a", _xll.ciqfunctions.udf.CIQ($A47, "IQ_Capex", IQ_LTM-8, $L$2, $L$4, $L$3, $L$5, $L$6))</f>
        <v>-0.34537000000000001</v>
      </c>
      <c r="AN47" s="413">
        <f>IF(ISERROR(_xll.ciqfunctions.udf.CIQ($A47, "IQ_Capex", IQ_LTM-4, $L$2,$L$4, $L$3, $L$5, $L$6)), "n/a", _xll.ciqfunctions.udf.CIQ($A47, "IQ_Capex", IQ_LTM-4, $L$2,$L$4, $L$3, $L$5, $L$6))</f>
        <v>-1.8684700000000001</v>
      </c>
      <c r="AO47" s="413">
        <f>IF(ISERROR(_xll.ciqfunctions.udf.CIQ($A47, "IQ_Capex", IQ_LTM, $L$2, $L$4, $L$3, $L$5, $L$6)), "n/a", _xll.ciqfunctions.udf.CIQ($A47, "IQ_Capex", IQ_LTM, $L$2, $L$4, $L$3, $L$5, $L$6))</f>
        <v>-1.9980800000000001</v>
      </c>
      <c r="AP47" s="415" t="str">
        <f>_xll.ciqfunctions.udf.CIQ(A47, "IQ_BUSINESS_DESCRIPTION")</f>
        <v>ERYTECH Pharma S.A., a biopharmaceutical company, develops therapies for severe forms of cancer and orphan diseases. It is developing a pipeline of product candidates targeting solid and liquid tumors for patients with high unmet medical needs. The company’s lead product candidate is eryaspase, which is used for the treatment of severe solid tumors, including pancreatic cancer and in acute lymphoblastic leukemia. It is preparing for the launch of a pivotal Phase III clinical trial of eryaspase in the United States and Europe. ERYTECH Pharma S.A. has research collaborations with the Fox Chase Cancer Center to advance the preclinical development of erymethionase for the treatment of homocystinuria and with Queen’s University of Canada to advance the preclinical development of eryminase for the treatment of arginase-1-deficiency. ERYTECH Pharma S.A. was founded in 2004 and is based in Lyon, France.</v>
      </c>
      <c r="AQ47" s="416">
        <f>_xll.ciqfunctions.udf.CIQ($A47, "IQ_BETA_1YR", $B$1)</f>
        <v>1.6714800000000001</v>
      </c>
      <c r="AR47" s="416">
        <f>_xll.ciqfunctions.udf.CIQ($A47, "IQ_BETA_2YR", $B$1)</f>
        <v>1.3452999999999999</v>
      </c>
      <c r="AS47" s="416">
        <f>_xll.ciqfunctions.udf.CIQ($A47, "IQ_BETA_5YR", $B$1)</f>
        <v>0.56396999999999997</v>
      </c>
      <c r="AT47" s="372">
        <f>_xll.ciqfunctions.udf.CIQ($B47, "IQ_GP", IQ_LTM,$B$1, ,,"USD")</f>
        <v>4.03939</v>
      </c>
      <c r="AU47" s="413">
        <f>_xll.ciqfunctions.udf.CIQ($A47, "IQ_EARNING_CO", IQ_LTM-8, $L$2, $L$4, $L$3, $L$5, $L$6)</f>
        <v>-16.30519</v>
      </c>
      <c r="AV47" s="413">
        <f>_xll.ciqfunctions.udf.CIQ($A47, "IQ_EARNING_CO", IQ_LTM-4, $L$2, $L$4, $L$3, $L$5, $L$6)</f>
        <v>-23.132059999999999</v>
      </c>
      <c r="AW47" s="413">
        <f>_xll.ciqfunctions.udf.CIQ($A47, "IQ_EARNING_CO", IQ_LTM, $L$2, $L$4, $L$3, $L$5, $L$6)</f>
        <v>-40.261769999999999</v>
      </c>
      <c r="AX47" s="413">
        <f>_xll.ciqfunctions.udf.CIQ($A47, "IQ_EARNING_CO", $B$2, $L$2, $L$4, $L$3, $L$5, $L$6)</f>
        <v>-23.132059999999999</v>
      </c>
      <c r="AY47" s="413">
        <f>IF(_xll.ciqfunctions.udf.CIQ($A47, "IQ_EARNING_CO", $B$3, $L$2,$L$4, $L$3, $L$5, $L$6)=0,AW47,_xll.ciqfunctions.udf.CIQ($A47, "IQ_EARNING_CO", $B$3, $L$2,$L$4, $L$3, $L$5, $L$6))</f>
        <v>-40.261769999999999</v>
      </c>
      <c r="AZ47" s="413">
        <f>_xll.ciqfunctions.udf.CIQ($A47, "IQ_TOTAL_EQUITY", IQ_LTM-8, $L$2, $L$4, $L$3, $L$5, $L$6)</f>
        <v>51.18871</v>
      </c>
      <c r="BA47" s="413">
        <f>_xll.ciqfunctions.udf.CIQ($A47, "IQ_TOTAL_EQUITY", IQ_LTM-4, $L$2, $L$4, $L$3, $L$5, $L$6)</f>
        <v>37.620609999999999</v>
      </c>
      <c r="BB47" s="413">
        <f>_xll.ciqfunctions.udf.CIQ($A47, "IQ_TOTAL_EQUITY", IQ_LTM, $L$2, $L$4, $L$3, $L$5, $L$6)</f>
        <v>217.84222</v>
      </c>
      <c r="BC47" s="413">
        <f>_xll.ciqfunctions.udf.CIQ($A47, "IQ_TOTAL_EQUITY", $B$2, $L$2, $L$4, $L$3, $L$5, $L$6)</f>
        <v>37.620609999999999</v>
      </c>
      <c r="BD47" s="413">
        <f>IF(_xll.ciqfunctions.udf.CIQ($A47, "IQ_TOTAL_EQUITY", $B$3, $L$2,$L$4, $L$3, $L$5, $L$6)=0,BB47,_xll.ciqfunctions.udf.CIQ($A47, "IQ_TOTAL_EQUITY", $B$3, $L$2,$L$4, $L$3, $L$5, $L$6))</f>
        <v>217.84222</v>
      </c>
      <c r="BE47" s="413">
        <f>_xll.ciqfunctions.udf.CIQ(A47, "IQ_LASTSALEPRICE", $B$8)</f>
        <v>20.9437</v>
      </c>
      <c r="BF47" s="413">
        <f>_xll.ciqfunctions.udf.CIQ($A47, "IQ_MARKETCAP", $B$8, $L$5, $L$6)</f>
        <v>375.67831999999999</v>
      </c>
      <c r="BG47" s="413">
        <f>_xll.ciqfunctions.udf.CIQ($A47, "IQ_TOTAL_DEBT", IQ_LTM, $B$8,$L$4, $L$3, $L$5, $L$6)</f>
        <v>3.6999399999999998</v>
      </c>
      <c r="BH47" s="371">
        <f>_xll.ciqfunctions.udf.CIQ($A47,"IQ_PREF_EQUITY",IQ_LTM,$B$8,$L$4,$L$3,$L$5,$L$6)</f>
        <v>0</v>
      </c>
      <c r="BI47" s="371">
        <f>_xll.ciqfunctions.udf.CIQ($A47, "IQ_MINORITY_INTEREST_TOTAL", IQ_LTM,$B$8,$L$4,$L$3,$L$5,$L$6)</f>
        <v>0</v>
      </c>
      <c r="BJ47" s="413">
        <f>_xll.ciqfunctions.udf.CIQ($A47, "IQ_CASH_ST_INVEST", IQ_LTM, $B$8, $L$4, $L$3, $L$5, $L$6)</f>
        <v>101.02795</v>
      </c>
      <c r="BK47" s="371" t="str">
        <f>_xll.ciqfunctions.udf.CIQ($A47, "IQ_EFFECT_TAX_RATE")</f>
        <v>NM</v>
      </c>
      <c r="BL47" s="371">
        <f>IF(_xll.ciqfunctions.udf.CIQ($A47, "IQ_TOTAL_REV_2YR_ANN_CAGR", IQ_LTM, $B$1,$L$4, $L$3, $L$5, $L$6)="NM","n/a",(_xll.ciqfunctions.udf.CIQ($A47, "IQ_TOTAL_REV_2YR_ANN_CAGR", IQ_LTM, $B$1,$L$4, $L$3, $L$5, $L$6)/100))</f>
        <v>7.1687000000000001E-2</v>
      </c>
      <c r="BM47" s="371">
        <f>IF(_xll.ciqfunctions.udf.CIQ($A47, "IQ_TOTAL_REV_3YR_ANN_CAGR", IQ_LTM, $B$1,$L$4, $L$3, $L$5, $L$6)="NM","n/a",(_xll.ciqfunctions.udf.CIQ($A47, "IQ_TOTAL_REV_3YR_ANN_CAGR", IQ_LTM, $B$1,$L$4, $L$3, $L$5, $L$6)/100))</f>
        <v>0.232907</v>
      </c>
      <c r="BN47" s="371">
        <f>IF(_xll.ciqfunctions.udf.CIQ($A47, "IQ_TOTAL_REV_5YR_ANN_CAGR", IQ_LTM, $B$1,$L$4, $L$3, $L$5, $L$6)="NM","n/a",(_xll.ciqfunctions.udf.CIQ($A47, "IQ_TOTAL_REV_5YR_ANN_CAGR", IQ_LTM, $B$1,$L$4, $L$3, $L$5, $L$6)/100))</f>
        <v>-0.101268</v>
      </c>
      <c r="BO47" s="371" t="str">
        <f>IF(_xll.ciqfunctions.udf.CIQ($A47,"IQ_EBITDA_2YR_ANN_CAGR", IQ_LTM,$B$1,$L$4, $L$3, $L$5, $L$6)="NM","n/a",(_xll.ciqfunctions.udf.CIQ($A47,"IQ_EBITDA_2YR_ANN_CAGR", IQ_LTM,$B$1,$L$4, $L$3, $L$5, $L$6)/100))</f>
        <v>n/a</v>
      </c>
      <c r="BP47" s="371" t="str">
        <f>IF(_xll.ciqfunctions.udf.CIQ($A47,"IQ_EBITDA_3YR_ANN_CAGR", IQ_LTM,$B$1,$L$4, $L$3, $L$5, $L$6)="NM","n/a",(_xll.ciqfunctions.udf.CIQ($A47,"IQ_EBITDA_3YR_ANN_CAGR", IQ_LTM,$B$1,$L$4, $L$3, $L$5, $L$6)/100))</f>
        <v>n/a</v>
      </c>
      <c r="BQ47" s="371" t="str">
        <f>IF(_xll.ciqfunctions.udf.CIQ($A47,"IQ_EBITDA_5YR_ANN_CAGR", IQ_LTM,$B$1,$L$4, $L$3, $L$5, $L$6)="NM","n/a",(_xll.ciqfunctions.udf.CIQ($A47,"IQ_EBITDA_5YR_ANN_CAGR", IQ_LTM,$B$1,$L$4, $L$3, $L$5, $L$6)/100))</f>
        <v>n/a</v>
      </c>
      <c r="BR47" s="375">
        <f>IFERROR((_xll.ciqfunctions.udf.CIQ($A47, "IQ_DA_CF", IQ_LTM, $B$1, $L$4, $L$3, $L$5, $L$6)/Q47),"NM")</f>
        <v>0.15814516548290708</v>
      </c>
      <c r="BS47" s="414">
        <f>'Capital IQ Sheet-GPC'!BS47</f>
        <v>0.62607883629659888</v>
      </c>
      <c r="BT47" s="414">
        <f>'Capital IQ Sheet-GPC'!BT47</f>
        <v>0.72482904578996976</v>
      </c>
      <c r="BU47" s="414">
        <f>'Capital IQ Sheet-GPC'!BU47</f>
        <v>0.64744564628689616</v>
      </c>
      <c r="BV47" s="414">
        <f>'Capital IQ Sheet-GPC'!BV47</f>
        <v>0.62021414662728203</v>
      </c>
      <c r="BW47" s="414">
        <f>'Capital IQ Sheet-GPC'!BW47</f>
        <v>0.58805296922469574</v>
      </c>
      <c r="BX47" s="414">
        <f>'Capital IQ Sheet-GPC'!BX47</f>
        <v>0.58258046057435386</v>
      </c>
      <c r="BY47" s="414" t="str">
        <f>'Capital IQ Sheet-GPC'!BY47</f>
        <v>n/a</v>
      </c>
      <c r="BZ47" s="414" t="str">
        <f>'Capital IQ Sheet-GPC'!BZ47</f>
        <v>n/a</v>
      </c>
    </row>
    <row r="48" spans="1:83">
      <c r="A48" s="372" t="str">
        <f>_xll.ciqfunctions.udf.CIQ($B48,"IQ_COMPANY_TICKER")</f>
        <v>(Invalid Identifier)</v>
      </c>
      <c r="B48" s="412" t="str">
        <f>'Capital IQ Sheet-GPC'!B48</f>
        <v>(Invalid Identifier)</v>
      </c>
      <c r="C48" s="372" t="str">
        <f>_xll.ciqfunctions.udf.CIQ($A48,"IQ_COMPANY_NAME")</f>
        <v>(Invalid Identifier)</v>
      </c>
      <c r="D48" s="372" t="str">
        <f>_xll.ciqfunctions.udf.CIQ($A48, "IQ_EXCHANGE")</f>
        <v>(Invalid Identifier)</v>
      </c>
      <c r="E48" s="411" t="str">
        <f>_xll.ciqfunctions.udf.CIQ($A48, "IQ_PERIODDATE_IS", IQ_FY)</f>
        <v>(Invalid Identifier)</v>
      </c>
      <c r="F48" s="411" t="str">
        <f>_xll.ciqfunctions.udf.CIQ(A48, "IQ_PERIODDATE_IS", IQ_LTM, $B$1,$L$4,$L$3)</f>
        <v>(Invalid Identifier)</v>
      </c>
      <c r="G48" s="411" t="str">
        <f>_xll.ciqfunctions.udf.CIQ($A48, "IQ_FIRSTPRICINGDATE")</f>
        <v>(Invalid Identifier)</v>
      </c>
      <c r="H48" s="413" t="str">
        <f>_xll.ciqfunctions.udf.CIQ($A48, "IQ_TEV", $L$2, $L$5, $L$6)</f>
        <v>(Invalid Identifier)</v>
      </c>
      <c r="I48" s="413" t="str">
        <f>_xll.ciqfunctions.udf.CIQ(A48, "IQ_LASTSALEPRICE", $B$1,$L$5)</f>
        <v>(Invalid Identifier)</v>
      </c>
      <c r="J48" s="411" t="str">
        <f>_xll.ciqfunctions.udf.CIQ($B48, "IQ_FIRSTPRICINGDATE")</f>
        <v>(Invalid Identifier)</v>
      </c>
      <c r="K48" s="413" t="str">
        <f>_xll.ciqfunctions.udf.CIQ($A48, "IQ_TOTAL_DEBT", IQ_LTM, $L$2,$L$4, $L$3, $L$5, $L$6)</f>
        <v>(Invalid Identifier)</v>
      </c>
      <c r="L48" s="413" t="str">
        <f>_xll.ciqfunctions.udf.CIQ($A48, "IQ_PREF_EQUITY", IQ_LTM, $L$2, $L$4, $L$3, $L$5, $L$6)</f>
        <v>(Invalid Identifier)</v>
      </c>
      <c r="M48" s="413" t="str">
        <f>_xll.ciqfunctions.udf.CIQ($A48, "IQ_MINORITY_INTEREST_TOTAL", IQ_LTM, $L$2, $L$4, $L$3, $L$5, $L$6)</f>
        <v>(Invalid Identifier)</v>
      </c>
      <c r="N48" s="413" t="str">
        <f>_xll.ciqfunctions.udf.CIQ($A48, "IQ_CASH_ST_INVEST", IQ_LTM, $L$2, $L$4, $L$3, $L$5, $L$6)</f>
        <v>(Invalid Identifier)</v>
      </c>
      <c r="O48" s="413" t="str">
        <f>_xll.ciqfunctions.udf.CIQ($A48, "IQ_TOTAL_REV", IQ_LTM-8, $L$2, $L$4, $L$3, $L$5, $L$6)</f>
        <v>(Invalid Identifier)</v>
      </c>
      <c r="P48" s="413" t="str">
        <f>_xll.ciqfunctions.udf.CIQ($A48, "IQ_TOTAL_REV", IQ_LTM - 4, $L$2, $L$4, $L$3, $L$5,$L$6)</f>
        <v>(Invalid Identifier)</v>
      </c>
      <c r="Q48" s="413" t="str">
        <f>_xll.ciqfunctions.udf.CIQ($A48, "IQ_TOTAL_REV", IQ_LTM, $L$2, $L$4, $L$3, $L$5, $L$6)</f>
        <v>(Invalid Identifier)</v>
      </c>
      <c r="R48" s="413" t="str">
        <f>_xll.ciqfunctions.udf.CIQ($A48, "IQ_TOTAL_REV", $B$2, $L$2, $L$4, $L$3, $L$5, $L$6)</f>
        <v>(Invalid Identifier)</v>
      </c>
      <c r="S48" s="413" t="str">
        <f>IF(_xll.ciqfunctions.udf.CIQ($A48, "IQ_TOTAL_REV", $B$3, $L$2,$L$4, $L$3, $L$5, $L$6)=0,Q48,_xll.ciqfunctions.udf.CIQ($A48, "IQ_TOTAL_REV", $B$3, $L$2,$L$4, $L$3, $L$5, $L$6))</f>
        <v>(Invalid Identifier)</v>
      </c>
      <c r="T48" s="413" t="str">
        <f>IF(_xll.ciqfunctions.udf.CIQ($A48, "IQ_REVENUE_EST",$B$4, $L$2, "CON", $L$3, $L$5, $L$6)=0,"n/a",_xll.ciqfunctions.udf.CIQ($A48, "IQ_REVENUE_EST",$B$4, $L$2, "CON", $L$3, $L$5, $L$6))</f>
        <v>(Invalid Identifier)</v>
      </c>
      <c r="U48" s="413" t="str">
        <f>IF(_xll.ciqfunctions.udf.CIQ($A48, "IQ_REVENUE_EST",$B$5, $L$2, "CON", $L$3, $L$5, $L$6)=0,"n/a",_xll.ciqfunctions.udf.CIQ($A48, "IQ_REVENUE_EST",$B$5, $L$2, "CON", $L$3, $L$5, $L$6))</f>
        <v>(Invalid Identifier)</v>
      </c>
      <c r="V48" s="413" t="str">
        <f>IF(_xll.ciqfunctions.udf.CIQ($A48, "IQ_REVENUE_EST",$B$6, $L$2, "CON", $L$3, $L$5, $L$6)=0,"n/a",_xll.ciqfunctions.udf.CIQ($A48, "IQ_REVENUE_EST",$B$6, $L$2, "CON", $L$3, $L$5, $L$6))</f>
        <v>(Invalid Identifier)</v>
      </c>
      <c r="W48" s="413" t="str">
        <f>IF(_xll.ciqfunctions.udf.CIQ($A48, "IQ_REVENUE_EST", $B$7, $L$2, "CON", $L$3, $L$5, $L$6)=0,"n/a",_xll.ciqfunctions.udf.CIQ($A48, "IQ_REVENUE_EST",$B$7, $L$2, "CON", $L$3, $L$5, $L$6))</f>
        <v>(Invalid Identifier)</v>
      </c>
      <c r="X48" s="413" t="str">
        <f>_xll.ciqfunctions.udf.CIQ($A48, "IQ_EBITDA", IQ_LTM-8, $L$2, $L$4, $L$3, $L$5, $L$6)</f>
        <v>(Invalid Identifier)</v>
      </c>
      <c r="Y48" s="413" t="str">
        <f>_xll.ciqfunctions.udf.CIQ($A48, "IQ_EBITDA", IQ_LTM-4, $L$2,$L$4, $L$3, $L$5, $L$6)</f>
        <v>(Invalid Identifier)</v>
      </c>
      <c r="Z48" s="413" t="str">
        <f>_xll.ciqfunctions.udf.CIQ($A48, "IQ_EBITDA", IQ_LTM, $L$2, $L$4, $L$3, $L$5, $L$6)</f>
        <v>(Invalid Identifier)</v>
      </c>
      <c r="AA48" s="413" t="str">
        <f>_xll.ciqfunctions.udf.CIQ($A48, "IQ_EBITDA", $B$2, $L$2, $L$4, $L$3, $L$5, $L$6)</f>
        <v>(Invalid Identifier)</v>
      </c>
      <c r="AB48" s="413" t="str">
        <f>IF(_xll.ciqfunctions.udf.CIQ($A48, "IQ_EBITDA", $B$3, $L$2,$L$4, $L$3, $L$5, $L$6)=0,Z48,_xll.ciqfunctions.udf.CIQ($A48, "IQ_EBITDA", $B$3, $L$2,$L$4, $L$3, $L$5, $L$6))</f>
        <v>(Invalid Identifier)</v>
      </c>
      <c r="AC48" s="413" t="str">
        <f>IF(_xll.ciqfunctions.udf.CIQ($A48, "IQ_EBITDA_EST",$B$4, $L$2, "CON", $L$3, $L$5, $L$6)=0,"n/a",_xll.ciqfunctions.udf.CIQ($A48, "IQ_EBITDA_EST",$B$4, $L$2, "CON", $L$3, $L$5, $L$6))</f>
        <v>(Invalid Identifier)</v>
      </c>
      <c r="AD48" s="372" t="str">
        <f>IF(_xll.ciqfunctions.udf.CIQ($A48, "IQ_EBITDA_EST",$B$5, $L$2, "CON", $L$3, $L$5, $L$6)=0,"n/a",_xll.ciqfunctions.udf.CIQ($A48, "IQ_EBITDA_EST",$B$5, $L$2, "CON", $L$3, $L$5, $L$6))</f>
        <v>(Invalid Identifier)</v>
      </c>
      <c r="AE48" s="413" t="str">
        <f>IF(_xll.ciqfunctions.udf.CIQ($A48, "IQ_EBITDA_EST",$B$6, $L$2, "CON", $L$3, $L$5, $L$6)=0,"n/a",_xll.ciqfunctions.udf.CIQ($A48, "IQ_EBITDA_EST",$B$6, $L$2, "CON", $L$3, $L$5, $L$6))</f>
        <v>(Invalid Identifier)</v>
      </c>
      <c r="AF48" s="414" t="str">
        <f>IF(ISERROR(_xll.ciqfunctions.udf.CIQ($A48, "IQ_GROSS_MARGIN", IQ_LTM, $L$2,$L$4, $L$3, $L$5, $L$6)/100), "n/a", _xll.ciqfunctions.udf.CIQ($A48,  "IQ_GROSS_MARGIN", IQ_LTM, $L$2, $L$4, $L$3, $L$5, $L$6)/100)</f>
        <v>n/a</v>
      </c>
      <c r="AG48" s="414" t="str">
        <f>IF(ISERROR(_xll.ciqfunctions.udf.CIQ($A48,"IQ_EBITDA_MARGIN", IQ_LTM, $L$2, $L$4, $L$3, $L$5, $L$6)/100), "n/a", _xll.ciqfunctions.udf.CIQ($A48, "IQ_EBITDA_MARGIN", IQ_LTM, $L$2, $L$4, $L$3, $L$5, $L$6)/100)</f>
        <v>n/a</v>
      </c>
      <c r="AH48" s="414" t="str">
        <f>IF(ISERROR(_xll.ciqfunctions.udf.CIQ($A48,"IQ_EBIT_MARGIN", IQ_LTM, $L$2, $L$4, $L$3, $L$5, $L$6)/100), "n/a", _xll.ciqfunctions.udf.CIQ($A48, "IQ_EBIT_MARGIN", IQ_LTM, $L$2, $L$4, $L$3, $L$5, $L$6)/100)</f>
        <v>n/a</v>
      </c>
      <c r="AI48" s="414" t="str">
        <f>IF(ISERROR(_xll.ciqfunctions.udf.CIQ($A48,"IQ_NI_MARGIN", IQ_LTM, $L$2, $L$4, $L$3, $L$5, $L$6)/100), "n/a", _xll.ciqfunctions.udf.CIQ($A48, "IQ_NI_MARGIN", IQ_LTM, $L$2, $L$4, $L$3, $L$5, $L$6)/100)</f>
        <v>n/a</v>
      </c>
      <c r="AJ48" s="413" t="e">
        <f>_xll.ciqfunctions.udf.CIQ($A48,"IQ_TOTAL_CA",IQ_LTM-8,$L$2, $L$4, $L$3, $L$5, $L$6)-_xll.ciqfunctions.udf.CIQ($A48,"IQ_TOTAL_CL",IQ_LTM-8,$L$2, $L$4, $L$3, $L$5, $L$6)</f>
        <v>#VALUE!</v>
      </c>
      <c r="AK48" s="413" t="e">
        <f>_xll.ciqfunctions.udf.CIQ($A48,"IQ_TOTAL_CA",IQ_LTM-4,$L$2, $L$4, $L$3, $L$5, $L$6)-_xll.ciqfunctions.udf.CIQ($A48,"IQ_TOTAL_CL",IQ_LTM-4,$L$2, $L$4, $L$3, $L$5, $L$6)</f>
        <v>#VALUE!</v>
      </c>
      <c r="AL48" s="413" t="e">
        <f>_xll.ciqfunctions.udf.CIQ($A48,"IQ_TOTAL_CA",IQ_LTM,$L$2, $L$4, $L$3, $L$5, $L$6)-_xll.ciqfunctions.udf.CIQ($A48,"IQ_TOTAL_CL",IQ_LTM,$L$2, $L$4, $L$3, $L$5, $L$6)</f>
        <v>#VALUE!</v>
      </c>
      <c r="AM48" s="413" t="str">
        <f>IF(ISERROR(_xll.ciqfunctions.udf.CIQ($A48, "IQ_Capex", IQ_LTM-8, $L$2,$L$4, $L$3, $L$5, $L$6)), "n/a", _xll.ciqfunctions.udf.CIQ($A48, "IQ_Capex", IQ_LTM-8, $L$2, $L$4, $L$3, $L$5, $L$6))</f>
        <v>(Invalid Identifier)</v>
      </c>
      <c r="AN48" s="413" t="str">
        <f>IF(ISERROR(_xll.ciqfunctions.udf.CIQ($A48, "IQ_Capex", IQ_LTM-4, $L$2,$L$4, $L$3, $L$5, $L$6)), "n/a", _xll.ciqfunctions.udf.CIQ($A48, "IQ_Capex", IQ_LTM-4, $L$2,$L$4, $L$3, $L$5, $L$6))</f>
        <v>(Invalid Identifier)</v>
      </c>
      <c r="AO48" s="413" t="str">
        <f>IF(ISERROR(_xll.ciqfunctions.udf.CIQ($A48, "IQ_Capex", IQ_LTM, $L$2, $L$4, $L$3, $L$5, $L$6)), "n/a", _xll.ciqfunctions.udf.CIQ($A48, "IQ_Capex", IQ_LTM, $L$2, $L$4, $L$3, $L$5, $L$6))</f>
        <v>(Invalid Identifier)</v>
      </c>
      <c r="AP48" s="415" t="str">
        <f>_xll.ciqfunctions.udf.CIQ(A48, "IQ_BUSINESS_DESCRIPTION")</f>
        <v>(Invalid Identifier)</v>
      </c>
      <c r="AQ48" s="416" t="str">
        <f>_xll.ciqfunctions.udf.CIQ($A48, "IQ_BETA_1YR", $B$1)</f>
        <v>(Invalid Identifier)</v>
      </c>
      <c r="AR48" s="416" t="str">
        <f>_xll.ciqfunctions.udf.CIQ($A48, "IQ_BETA_2YR", $B$1)</f>
        <v>(Invalid Identifier)</v>
      </c>
      <c r="AS48" s="416" t="str">
        <f>_xll.ciqfunctions.udf.CIQ($A48, "IQ_BETA_5YR", $B$1)</f>
        <v>(Invalid Identifier)</v>
      </c>
      <c r="AT48" s="372" t="str">
        <f>_xll.ciqfunctions.udf.CIQ($B48, "IQ_GP", IQ_LTM,$B$1, ,,"USD")</f>
        <v>(Invalid Identifier)</v>
      </c>
      <c r="AU48" s="413" t="str">
        <f>_xll.ciqfunctions.udf.CIQ($A48, "IQ_EARNING_CO", IQ_LTM-8, $L$2, $L$4, $L$3, $L$5, $L$6)</f>
        <v>(Invalid Identifier)</v>
      </c>
      <c r="AV48" s="413" t="str">
        <f>_xll.ciqfunctions.udf.CIQ($A48, "IQ_EARNING_CO", IQ_LTM-4, $L$2, $L$4, $L$3, $L$5, $L$6)</f>
        <v>(Invalid Identifier)</v>
      </c>
      <c r="AW48" s="413" t="str">
        <f>_xll.ciqfunctions.udf.CIQ($A48, "IQ_EARNING_CO", IQ_LTM, $L$2, $L$4, $L$3, $L$5, $L$6)</f>
        <v>(Invalid Identifier)</v>
      </c>
      <c r="AX48" s="413" t="str">
        <f>_xll.ciqfunctions.udf.CIQ($A48, "IQ_EARNING_CO", $B$2, $L$2, $L$4, $L$3, $L$5, $L$6)</f>
        <v>(Invalid Identifier)</v>
      </c>
      <c r="AY48" s="413" t="str">
        <f>IF(_xll.ciqfunctions.udf.CIQ($A48, "IQ_EARNING_CO", $B$3, $L$2,$L$4, $L$3, $L$5, $L$6)=0,AW48,_xll.ciqfunctions.udf.CIQ($A48, "IQ_EARNING_CO", $B$3, $L$2,$L$4, $L$3, $L$5, $L$6))</f>
        <v>(Invalid Identifier)</v>
      </c>
      <c r="AZ48" s="413" t="str">
        <f>_xll.ciqfunctions.udf.CIQ($A48, "IQ_TOTAL_EQUITY", IQ_LTM-8, $L$2, $L$4, $L$3, $L$5, $L$6)</f>
        <v>(Invalid Identifier)</v>
      </c>
      <c r="BA48" s="413" t="str">
        <f>_xll.ciqfunctions.udf.CIQ($A48, "IQ_TOTAL_EQUITY", IQ_LTM-4, $L$2, $L$4, $L$3, $L$5, $L$6)</f>
        <v>(Invalid Identifier)</v>
      </c>
      <c r="BB48" s="413" t="str">
        <f>_xll.ciqfunctions.udf.CIQ($A48, "IQ_TOTAL_EQUITY", IQ_LTM, $L$2, $L$4, $L$3, $L$5, $L$6)</f>
        <v>(Invalid Identifier)</v>
      </c>
      <c r="BC48" s="413" t="str">
        <f>_xll.ciqfunctions.udf.CIQ($A48, "IQ_TOTAL_EQUITY", $B$2, $L$2, $L$4, $L$3, $L$5, $L$6)</f>
        <v>(Invalid Identifier)</v>
      </c>
      <c r="BD48" s="413" t="str">
        <f>IF(_xll.ciqfunctions.udf.CIQ($A48, "IQ_TOTAL_EQUITY", $B$3, $L$2,$L$4, $L$3, $L$5, $L$6)=0,BB48,_xll.ciqfunctions.udf.CIQ($A48, "IQ_TOTAL_EQUITY", $B$3, $L$2,$L$4, $L$3, $L$5, $L$6))</f>
        <v>(Invalid Identifier)</v>
      </c>
      <c r="BE48" s="413" t="str">
        <f>_xll.ciqfunctions.udf.CIQ(A48, "IQ_LASTSALEPRICE", $B$8)</f>
        <v>(Invalid Identifier)</v>
      </c>
      <c r="BF48" s="413" t="str">
        <f>_xll.ciqfunctions.udf.CIQ($A48, "IQ_MARKETCAP", $B$8, $L$5, $L$6)</f>
        <v>(Invalid Identifier)</v>
      </c>
      <c r="BG48" s="413" t="str">
        <f>_xll.ciqfunctions.udf.CIQ($A48, "IQ_TOTAL_DEBT", IQ_LTM, $B$8,$L$4, $L$3, $L$5, $L$6)</f>
        <v>(Invalid Identifier)</v>
      </c>
      <c r="BH48" s="371" t="str">
        <f>_xll.ciqfunctions.udf.CIQ($A48,"IQ_PREF_EQUITY",IQ_LTM,$B$8,$L$4,$L$3,$L$5,$L$6)</f>
        <v>(Invalid Identifier)</v>
      </c>
      <c r="BI48" s="371" t="str">
        <f>_xll.ciqfunctions.udf.CIQ($A48, "IQ_MINORITY_INTEREST_TOTAL", IQ_LTM,$B$8,$L$4,$L$3,$L$5,$L$6)</f>
        <v>(Invalid Identifier)</v>
      </c>
      <c r="BJ48" s="413" t="str">
        <f>_xll.ciqfunctions.udf.CIQ($A48, "IQ_CASH_ST_INVEST", IQ_LTM, $B$8, $L$4, $L$3, $L$5, $L$6)</f>
        <v>(Invalid Identifier)</v>
      </c>
      <c r="BK48" s="371" t="str">
        <f>_xll.ciqfunctions.udf.CIQ($A48, "IQ_EFFECT_TAX_RATE")</f>
        <v>(Invalid Identifier)</v>
      </c>
      <c r="BL48" s="371" t="e">
        <f>IF(_xll.ciqfunctions.udf.CIQ($A48, "IQ_TOTAL_REV_2YR_ANN_CAGR", IQ_LTM, $B$1,$L$4, $L$3, $L$5, $L$6)="NM","n/a",(_xll.ciqfunctions.udf.CIQ($A48, "IQ_TOTAL_REV_2YR_ANN_CAGR", IQ_LTM, $B$1,$L$4, $L$3, $L$5, $L$6)/100))</f>
        <v>#VALUE!</v>
      </c>
      <c r="BM48" s="371" t="e">
        <f>IF(_xll.ciqfunctions.udf.CIQ($A48, "IQ_TOTAL_REV_3YR_ANN_CAGR", IQ_LTM, $B$1,$L$4, $L$3, $L$5, $L$6)="NM","n/a",(_xll.ciqfunctions.udf.CIQ($A48, "IQ_TOTAL_REV_3YR_ANN_CAGR", IQ_LTM, $B$1,$L$4, $L$3, $L$5, $L$6)/100))</f>
        <v>#VALUE!</v>
      </c>
      <c r="BN48" s="371" t="e">
        <f>IF(_xll.ciqfunctions.udf.CIQ($A48, "IQ_TOTAL_REV_5YR_ANN_CAGR", IQ_LTM, $B$1,$L$4, $L$3, $L$5, $L$6)="NM","n/a",(_xll.ciqfunctions.udf.CIQ($A48, "IQ_TOTAL_REV_5YR_ANN_CAGR", IQ_LTM, $B$1,$L$4, $L$3, $L$5, $L$6)/100))</f>
        <v>#VALUE!</v>
      </c>
      <c r="BO48" s="371" t="e">
        <f>IF(_xll.ciqfunctions.udf.CIQ($A48,"IQ_EBITDA_2YR_ANN_CAGR", IQ_LTM,$B$1,$L$4, $L$3, $L$5, $L$6)="NM","n/a",(_xll.ciqfunctions.udf.CIQ($A48,"IQ_EBITDA_2YR_ANN_CAGR", IQ_LTM,$B$1,$L$4, $L$3, $L$5, $L$6)/100))</f>
        <v>#VALUE!</v>
      </c>
      <c r="BP48" s="371" t="e">
        <f>IF(_xll.ciqfunctions.udf.CIQ($A48,"IQ_EBITDA_3YR_ANN_CAGR", IQ_LTM,$B$1,$L$4, $L$3, $L$5, $L$6)="NM","n/a",(_xll.ciqfunctions.udf.CIQ($A48,"IQ_EBITDA_3YR_ANN_CAGR", IQ_LTM,$B$1,$L$4, $L$3, $L$5, $L$6)/100))</f>
        <v>#VALUE!</v>
      </c>
      <c r="BQ48" s="371" t="e">
        <f>IF(_xll.ciqfunctions.udf.CIQ($A48,"IQ_EBITDA_5YR_ANN_CAGR", IQ_LTM,$B$1,$L$4, $L$3, $L$5, $L$6)="NM","n/a",(_xll.ciqfunctions.udf.CIQ($A48,"IQ_EBITDA_5YR_ANN_CAGR", IQ_LTM,$B$1,$L$4, $L$3, $L$5, $L$6)/100))</f>
        <v>#VALUE!</v>
      </c>
      <c r="BR48" s="375" t="str">
        <f>IFERROR((_xll.ciqfunctions.udf.CIQ($A48, "IQ_DA_CF", IQ_LTM, $B$1, $L$4, $L$3, $L$5, $L$6)/Q48),"NM")</f>
        <v>NM</v>
      </c>
      <c r="BS48" s="414" t="e">
        <f>'Capital IQ Sheet-GPC'!BS48</f>
        <v>#VALUE!</v>
      </c>
      <c r="BT48" s="414" t="e">
        <f>'Capital IQ Sheet-GPC'!BT48</f>
        <v>#VALUE!</v>
      </c>
      <c r="BU48" s="414" t="e">
        <f>'Capital IQ Sheet-GPC'!BU48</f>
        <v>#VALUE!</v>
      </c>
      <c r="BV48" s="414" t="e">
        <f>'Capital IQ Sheet-GPC'!BV48</f>
        <v>#VALUE!</v>
      </c>
      <c r="BW48" s="414" t="e">
        <f>'Capital IQ Sheet-GPC'!BW48</f>
        <v>#VALUE!</v>
      </c>
      <c r="BX48" s="414" t="e">
        <f>'Capital IQ Sheet-GPC'!BX48</f>
        <v>#VALUE!</v>
      </c>
      <c r="BY48" s="414" t="e">
        <f>'Capital IQ Sheet-GPC'!BY48</f>
        <v>#VALUE!</v>
      </c>
      <c r="BZ48" s="414" t="e">
        <f>'Capital IQ Sheet-GPC'!BZ48</f>
        <v>#VALUE!</v>
      </c>
    </row>
    <row r="49" spans="1:83">
      <c r="A49" s="372" t="str">
        <f>_xll.ciqfunctions.udf.CIQ($B49,"IQ_COMPANY_TICKER")</f>
        <v>(Invalid Identifier)</v>
      </c>
      <c r="B49" s="412" t="str">
        <f>'Capital IQ Sheet-GPC'!B49</f>
        <v>(Invalid Identifier)</v>
      </c>
      <c r="C49" s="372" t="str">
        <f>_xll.ciqfunctions.udf.CIQ($A49,"IQ_COMPANY_NAME")</f>
        <v>(Invalid Identifier)</v>
      </c>
      <c r="D49" s="372" t="str">
        <f>_xll.ciqfunctions.udf.CIQ($A49, "IQ_EXCHANGE")</f>
        <v>(Invalid Identifier)</v>
      </c>
      <c r="E49" s="411" t="str">
        <f>_xll.ciqfunctions.udf.CIQ($A49, "IQ_PERIODDATE_IS", IQ_FY)</f>
        <v>(Invalid Identifier)</v>
      </c>
      <c r="F49" s="411" t="str">
        <f>_xll.ciqfunctions.udf.CIQ(A49, "IQ_PERIODDATE_IS", IQ_LTM, $B$1,$L$4,$L$3)</f>
        <v>(Invalid Identifier)</v>
      </c>
      <c r="G49" s="411" t="str">
        <f>_xll.ciqfunctions.udf.CIQ($A49, "IQ_FIRSTPRICINGDATE")</f>
        <v>(Invalid Identifier)</v>
      </c>
      <c r="H49" s="413" t="str">
        <f>_xll.ciqfunctions.udf.CIQ($A49, "IQ_TEV", $L$2, $L$5, $L$6)</f>
        <v>(Invalid Identifier)</v>
      </c>
      <c r="I49" s="413" t="str">
        <f>_xll.ciqfunctions.udf.CIQ(A49, "IQ_LASTSALEPRICE", $B$1,$L$5)</f>
        <v>(Invalid Identifier)</v>
      </c>
      <c r="J49" s="411" t="str">
        <f>_xll.ciqfunctions.udf.CIQ($B49, "IQ_FIRSTPRICINGDATE")</f>
        <v>(Invalid Identifier)</v>
      </c>
      <c r="K49" s="413" t="str">
        <f>_xll.ciqfunctions.udf.CIQ($A49, "IQ_TOTAL_DEBT", IQ_LTM, $L$2,$L$4, $L$3, $L$5, $L$6)</f>
        <v>(Invalid Identifier)</v>
      </c>
      <c r="L49" s="413" t="str">
        <f>_xll.ciqfunctions.udf.CIQ($A49, "IQ_PREF_EQUITY", IQ_LTM, $L$2, $L$4, $L$3, $L$5, $L$6)</f>
        <v>(Invalid Identifier)</v>
      </c>
      <c r="M49" s="413" t="str">
        <f>_xll.ciqfunctions.udf.CIQ($A49, "IQ_MINORITY_INTEREST_TOTAL", IQ_LTM, $L$2, $L$4, $L$3, $L$5, $L$6)</f>
        <v>(Invalid Identifier)</v>
      </c>
      <c r="N49" s="413" t="str">
        <f>_xll.ciqfunctions.udf.CIQ($A49, "IQ_CASH_ST_INVEST", IQ_LTM, $L$2, $L$4, $L$3, $L$5, $L$6)</f>
        <v>(Invalid Identifier)</v>
      </c>
      <c r="O49" s="413" t="str">
        <f>_xll.ciqfunctions.udf.CIQ($A49, "IQ_TOTAL_REV", IQ_LTM-8, $L$2, $L$4, $L$3, $L$5, $L$6)</f>
        <v>(Invalid Identifier)</v>
      </c>
      <c r="P49" s="413" t="str">
        <f>_xll.ciqfunctions.udf.CIQ($A49, "IQ_TOTAL_REV", IQ_LTM - 4, $L$2, $L$4, $L$3, $L$5,$L$6)</f>
        <v>(Invalid Identifier)</v>
      </c>
      <c r="Q49" s="413" t="str">
        <f>_xll.ciqfunctions.udf.CIQ($A49, "IQ_TOTAL_REV", IQ_LTM, $L$2, $L$4, $L$3, $L$5, $L$6)</f>
        <v>(Invalid Identifier)</v>
      </c>
      <c r="R49" s="413" t="str">
        <f>_xll.ciqfunctions.udf.CIQ($A49, "IQ_TOTAL_REV", $B$2, $L$2, $L$4, $L$3, $L$5, $L$6)</f>
        <v>(Invalid Identifier)</v>
      </c>
      <c r="S49" s="413" t="str">
        <f>IF(_xll.ciqfunctions.udf.CIQ($A49, "IQ_TOTAL_REV", $B$3, $L$2,$L$4, $L$3, $L$5, $L$6)=0,Q49,_xll.ciqfunctions.udf.CIQ($A49, "IQ_TOTAL_REV", $B$3, $L$2,$L$4, $L$3, $L$5, $L$6))</f>
        <v>(Invalid Identifier)</v>
      </c>
      <c r="T49" s="413" t="str">
        <f>IF(_xll.ciqfunctions.udf.CIQ($A49, "IQ_REVENUE_EST",$B$4, $L$2, "CON", $L$3, $L$5, $L$6)=0,"n/a",_xll.ciqfunctions.udf.CIQ($A49, "IQ_REVENUE_EST",$B$4, $L$2, "CON", $L$3, $L$5, $L$6))</f>
        <v>(Invalid Identifier)</v>
      </c>
      <c r="U49" s="413" t="str">
        <f>IF(_xll.ciqfunctions.udf.CIQ($A49, "IQ_REVENUE_EST",$B$5, $L$2, "CON", $L$3, $L$5, $L$6)=0,"n/a",_xll.ciqfunctions.udf.CIQ($A49, "IQ_REVENUE_EST",$B$5, $L$2, "CON", $L$3, $L$5, $L$6))</f>
        <v>(Invalid Identifier)</v>
      </c>
      <c r="V49" s="413" t="str">
        <f>IF(_xll.ciqfunctions.udf.CIQ($A49, "IQ_REVENUE_EST",$B$6, $L$2, "CON", $L$3, $L$5, $L$6)=0,"n/a",_xll.ciqfunctions.udf.CIQ($A49, "IQ_REVENUE_EST",$B$6, $L$2, "CON", $L$3, $L$5, $L$6))</f>
        <v>(Invalid Identifier)</v>
      </c>
      <c r="W49" s="413" t="str">
        <f>IF(_xll.ciqfunctions.udf.CIQ($A49, "IQ_REVENUE_EST", $B$7, $L$2, "CON", $L$3, $L$5, $L$6)=0,"n/a",_xll.ciqfunctions.udf.CIQ($A49, "IQ_REVENUE_EST",$B$7, $L$2, "CON", $L$3, $L$5, $L$6))</f>
        <v>(Invalid Identifier)</v>
      </c>
      <c r="X49" s="413" t="str">
        <f>_xll.ciqfunctions.udf.CIQ($A49, "IQ_EBITDA", IQ_LTM-8, $L$2, $L$4, $L$3, $L$5, $L$6)</f>
        <v>(Invalid Identifier)</v>
      </c>
      <c r="Y49" s="413" t="str">
        <f>_xll.ciqfunctions.udf.CIQ($A49, "IQ_EBITDA", IQ_LTM-4, $L$2,$L$4, $L$3, $L$5, $L$6)</f>
        <v>(Invalid Identifier)</v>
      </c>
      <c r="Z49" s="413" t="str">
        <f>_xll.ciqfunctions.udf.CIQ($A49, "IQ_EBITDA", IQ_LTM, $L$2, $L$4, $L$3, $L$5, $L$6)</f>
        <v>(Invalid Identifier)</v>
      </c>
      <c r="AA49" s="413" t="str">
        <f>_xll.ciqfunctions.udf.CIQ($A49, "IQ_EBITDA", $B$2, $L$2, $L$4, $L$3, $L$5, $L$6)</f>
        <v>(Invalid Identifier)</v>
      </c>
      <c r="AB49" s="413" t="str">
        <f>IF(_xll.ciqfunctions.udf.CIQ($A49, "IQ_EBITDA", $B$3, $L$2,$L$4, $L$3, $L$5, $L$6)=0,Z49,_xll.ciqfunctions.udf.CIQ($A49, "IQ_EBITDA", $B$3, $L$2,$L$4, $L$3, $L$5, $L$6))</f>
        <v>(Invalid Identifier)</v>
      </c>
      <c r="AC49" s="413" t="str">
        <f>IF(_xll.ciqfunctions.udf.CIQ($A49, "IQ_EBITDA_EST",$B$4, $L$2, "CON", $L$3, $L$5, $L$6)=0,"n/a",_xll.ciqfunctions.udf.CIQ($A49, "IQ_EBITDA_EST",$B$4, $L$2, "CON", $L$3, $L$5, $L$6))</f>
        <v>(Invalid Identifier)</v>
      </c>
      <c r="AD49" s="372" t="str">
        <f>IF(_xll.ciqfunctions.udf.CIQ($A49, "IQ_EBITDA_EST",$B$5, $L$2, "CON", $L$3, $L$5, $L$6)=0,"n/a",_xll.ciqfunctions.udf.CIQ($A49, "IQ_EBITDA_EST",$B$5, $L$2, "CON", $L$3, $L$5, $L$6))</f>
        <v>(Invalid Identifier)</v>
      </c>
      <c r="AE49" s="413" t="str">
        <f>IF(_xll.ciqfunctions.udf.CIQ($A49, "IQ_EBITDA_EST",$B$6, $L$2, "CON", $L$3, $L$5, $L$6)=0,"n/a",_xll.ciqfunctions.udf.CIQ($A49, "IQ_EBITDA_EST",$B$6, $L$2, "CON", $L$3, $L$5, $L$6))</f>
        <v>(Invalid Identifier)</v>
      </c>
      <c r="AF49" s="414" t="str">
        <f>IF(ISERROR(_xll.ciqfunctions.udf.CIQ($A49, "IQ_GROSS_MARGIN", IQ_LTM, $L$2,$L$4, $L$3, $L$5, $L$6)/100), "n/a", _xll.ciqfunctions.udf.CIQ($A49,  "IQ_GROSS_MARGIN", IQ_LTM, $L$2, $L$4, $L$3, $L$5, $L$6)/100)</f>
        <v>n/a</v>
      </c>
      <c r="AG49" s="414" t="str">
        <f>IF(ISERROR(_xll.ciqfunctions.udf.CIQ($A49,"IQ_EBITDA_MARGIN", IQ_LTM, $L$2, $L$4, $L$3, $L$5, $L$6)/100), "n/a", _xll.ciqfunctions.udf.CIQ($A49, "IQ_EBITDA_MARGIN", IQ_LTM, $L$2, $L$4, $L$3, $L$5, $L$6)/100)</f>
        <v>n/a</v>
      </c>
      <c r="AH49" s="414" t="str">
        <f>IF(ISERROR(_xll.ciqfunctions.udf.CIQ($A49,"IQ_EBIT_MARGIN", IQ_LTM, $L$2, $L$4, $L$3, $L$5, $L$6)/100), "n/a", _xll.ciqfunctions.udf.CIQ($A49, "IQ_EBIT_MARGIN", IQ_LTM, $L$2, $L$4, $L$3, $L$5, $L$6)/100)</f>
        <v>n/a</v>
      </c>
      <c r="AI49" s="414" t="str">
        <f>IF(ISERROR(_xll.ciqfunctions.udf.CIQ($A49,"IQ_NI_MARGIN", IQ_LTM, $L$2, $L$4, $L$3, $L$5, $L$6)/100), "n/a", _xll.ciqfunctions.udf.CIQ($A49, "IQ_NI_MARGIN", IQ_LTM, $L$2, $L$4, $L$3, $L$5, $L$6)/100)</f>
        <v>n/a</v>
      </c>
      <c r="AJ49" s="413" t="e">
        <f>_xll.ciqfunctions.udf.CIQ($A49,"IQ_TOTAL_CA",IQ_LTM-8,$L$2, $L$4, $L$3, $L$5, $L$6)-_xll.ciqfunctions.udf.CIQ($A49,"IQ_TOTAL_CL",IQ_LTM-8,$L$2, $L$4, $L$3, $L$5, $L$6)</f>
        <v>#VALUE!</v>
      </c>
      <c r="AK49" s="413" t="e">
        <f>_xll.ciqfunctions.udf.CIQ($A49,"IQ_TOTAL_CA",IQ_LTM-4,$L$2, $L$4, $L$3, $L$5, $L$6)-_xll.ciqfunctions.udf.CIQ($A49,"IQ_TOTAL_CL",IQ_LTM-4,$L$2, $L$4, $L$3, $L$5, $L$6)</f>
        <v>#VALUE!</v>
      </c>
      <c r="AL49" s="413" t="e">
        <f>_xll.ciqfunctions.udf.CIQ($A49,"IQ_TOTAL_CA",IQ_LTM,$L$2, $L$4, $L$3, $L$5, $L$6)-_xll.ciqfunctions.udf.CIQ($A49,"IQ_TOTAL_CL",IQ_LTM,$L$2, $L$4, $L$3, $L$5, $L$6)</f>
        <v>#VALUE!</v>
      </c>
      <c r="AM49" s="413" t="str">
        <f>IF(ISERROR(_xll.ciqfunctions.udf.CIQ($A49, "IQ_Capex", IQ_LTM-8, $L$2,$L$4, $L$3, $L$5, $L$6)), "n/a", _xll.ciqfunctions.udf.CIQ($A49, "IQ_Capex", IQ_LTM-8, $L$2, $L$4, $L$3, $L$5, $L$6))</f>
        <v>(Invalid Identifier)</v>
      </c>
      <c r="AN49" s="413" t="str">
        <f>IF(ISERROR(_xll.ciqfunctions.udf.CIQ($A49, "IQ_Capex", IQ_LTM-4, $L$2,$L$4, $L$3, $L$5, $L$6)), "n/a", _xll.ciqfunctions.udf.CIQ($A49, "IQ_Capex", IQ_LTM-4, $L$2,$L$4, $L$3, $L$5, $L$6))</f>
        <v>(Invalid Identifier)</v>
      </c>
      <c r="AO49" s="413" t="str">
        <f>IF(ISERROR(_xll.ciqfunctions.udf.CIQ($A49, "IQ_Capex", IQ_LTM, $L$2, $L$4, $L$3, $L$5, $L$6)), "n/a", _xll.ciqfunctions.udf.CIQ($A49, "IQ_Capex", IQ_LTM, $L$2, $L$4, $L$3, $L$5, $L$6))</f>
        <v>(Invalid Identifier)</v>
      </c>
      <c r="AP49" s="415" t="str">
        <f>_xll.ciqfunctions.udf.CIQ(A49, "IQ_BUSINESS_DESCRIPTION")</f>
        <v>(Invalid Identifier)</v>
      </c>
      <c r="AQ49" s="416" t="str">
        <f>_xll.ciqfunctions.udf.CIQ($A49, "IQ_BETA_1YR", $B$1)</f>
        <v>(Invalid Identifier)</v>
      </c>
      <c r="AR49" s="416" t="str">
        <f>_xll.ciqfunctions.udf.CIQ($A49, "IQ_BETA_2YR", $B$1)</f>
        <v>(Invalid Identifier)</v>
      </c>
      <c r="AS49" s="416" t="str">
        <f>_xll.ciqfunctions.udf.CIQ($A49, "IQ_BETA_5YR", $B$1)</f>
        <v>(Invalid Identifier)</v>
      </c>
      <c r="AT49" s="372" t="str">
        <f>_xll.ciqfunctions.udf.CIQ($B49, "IQ_GP", IQ_LTM,$B$1, ,,"USD")</f>
        <v>(Invalid Identifier)</v>
      </c>
      <c r="AU49" s="413" t="str">
        <f>_xll.ciqfunctions.udf.CIQ($A49, "IQ_EARNING_CO", IQ_LTM-8, $L$2, $L$4, $L$3, $L$5, $L$6)</f>
        <v>(Invalid Identifier)</v>
      </c>
      <c r="AV49" s="413" t="str">
        <f>_xll.ciqfunctions.udf.CIQ($A49, "IQ_EARNING_CO", IQ_LTM-4, $L$2, $L$4, $L$3, $L$5, $L$6)</f>
        <v>(Invalid Identifier)</v>
      </c>
      <c r="AW49" s="413" t="str">
        <f>_xll.ciqfunctions.udf.CIQ($A49, "IQ_EARNING_CO", IQ_LTM, $L$2, $L$4, $L$3, $L$5, $L$6)</f>
        <v>(Invalid Identifier)</v>
      </c>
      <c r="AX49" s="413" t="str">
        <f>_xll.ciqfunctions.udf.CIQ($A49, "IQ_EARNING_CO", $B$2, $L$2, $L$4, $L$3, $L$5, $L$6)</f>
        <v>(Invalid Identifier)</v>
      </c>
      <c r="AY49" s="413" t="str">
        <f>IF(_xll.ciqfunctions.udf.CIQ($A49, "IQ_EARNING_CO", $B$3, $L$2,$L$4, $L$3, $L$5, $L$6)=0,AW49,_xll.ciqfunctions.udf.CIQ($A49, "IQ_EARNING_CO", $B$3, $L$2,$L$4, $L$3, $L$5, $L$6))</f>
        <v>(Invalid Identifier)</v>
      </c>
      <c r="AZ49" s="413" t="str">
        <f>_xll.ciqfunctions.udf.CIQ($A49, "IQ_TOTAL_EQUITY", IQ_LTM-8, $L$2, $L$4, $L$3, $L$5, $L$6)</f>
        <v>(Invalid Identifier)</v>
      </c>
      <c r="BA49" s="413" t="str">
        <f>_xll.ciqfunctions.udf.CIQ($A49, "IQ_TOTAL_EQUITY", IQ_LTM-4, $L$2, $L$4, $L$3, $L$5, $L$6)</f>
        <v>(Invalid Identifier)</v>
      </c>
      <c r="BB49" s="413" t="str">
        <f>_xll.ciqfunctions.udf.CIQ($A49, "IQ_TOTAL_EQUITY", IQ_LTM, $L$2, $L$4, $L$3, $L$5, $L$6)</f>
        <v>(Invalid Identifier)</v>
      </c>
      <c r="BC49" s="413" t="str">
        <f>_xll.ciqfunctions.udf.CIQ($A49, "IQ_TOTAL_EQUITY", $B$2, $L$2, $L$4, $L$3, $L$5, $L$6)</f>
        <v>(Invalid Identifier)</v>
      </c>
      <c r="BD49" s="413" t="str">
        <f>IF(_xll.ciqfunctions.udf.CIQ($A49, "IQ_TOTAL_EQUITY", $B$3, $L$2,$L$4, $L$3, $L$5, $L$6)=0,BB49,_xll.ciqfunctions.udf.CIQ($A49, "IQ_TOTAL_EQUITY", $B$3, $L$2,$L$4, $L$3, $L$5, $L$6))</f>
        <v>(Invalid Identifier)</v>
      </c>
      <c r="BE49" s="413" t="str">
        <f>_xll.ciqfunctions.udf.CIQ(A49, "IQ_LASTSALEPRICE", $B$8)</f>
        <v>(Invalid Identifier)</v>
      </c>
      <c r="BF49" s="413" t="str">
        <f>_xll.ciqfunctions.udf.CIQ($A49, "IQ_MARKETCAP", $B$8, $L$5, $L$6)</f>
        <v>(Invalid Identifier)</v>
      </c>
      <c r="BG49" s="413" t="str">
        <f>_xll.ciqfunctions.udf.CIQ($A49, "IQ_TOTAL_DEBT", IQ_LTM, $B$8,$L$4, $L$3, $L$5, $L$6)</f>
        <v>(Invalid Identifier)</v>
      </c>
      <c r="BH49" s="371" t="str">
        <f>_xll.ciqfunctions.udf.CIQ($A49,"IQ_PREF_EQUITY",IQ_LTM,$B$8,$L$4,$L$3,$L$5,$L$6)</f>
        <v>(Invalid Identifier)</v>
      </c>
      <c r="BI49" s="371" t="str">
        <f>_xll.ciqfunctions.udf.CIQ($A49, "IQ_MINORITY_INTEREST_TOTAL", IQ_LTM,$B$8,$L$4,$L$3,$L$5,$L$6)</f>
        <v>(Invalid Identifier)</v>
      </c>
      <c r="BJ49" s="413" t="str">
        <f>_xll.ciqfunctions.udf.CIQ($A49, "IQ_CASH_ST_INVEST", IQ_LTM, $B$8, $L$4, $L$3, $L$5, $L$6)</f>
        <v>(Invalid Identifier)</v>
      </c>
      <c r="BK49" s="371" t="str">
        <f>_xll.ciqfunctions.udf.CIQ($A49, "IQ_EFFECT_TAX_RATE")</f>
        <v>(Invalid Identifier)</v>
      </c>
      <c r="BL49" s="371" t="e">
        <f>IF(_xll.ciqfunctions.udf.CIQ($A49, "IQ_TOTAL_REV_2YR_ANN_CAGR", IQ_LTM, $B$1,$L$4, $L$3, $L$5, $L$6)="NM","n/a",(_xll.ciqfunctions.udf.CIQ($A49, "IQ_TOTAL_REV_2YR_ANN_CAGR", IQ_LTM, $B$1,$L$4, $L$3, $L$5, $L$6)/100))</f>
        <v>#VALUE!</v>
      </c>
      <c r="BM49" s="371" t="e">
        <f>IF(_xll.ciqfunctions.udf.CIQ($A49, "IQ_TOTAL_REV_3YR_ANN_CAGR", IQ_LTM, $B$1,$L$4, $L$3, $L$5, $L$6)="NM","n/a",(_xll.ciqfunctions.udf.CIQ($A49, "IQ_TOTAL_REV_3YR_ANN_CAGR", IQ_LTM, $B$1,$L$4, $L$3, $L$5, $L$6)/100))</f>
        <v>#VALUE!</v>
      </c>
      <c r="BN49" s="371" t="e">
        <f>IF(_xll.ciqfunctions.udf.CIQ($A49, "IQ_TOTAL_REV_5YR_ANN_CAGR", IQ_LTM, $B$1,$L$4, $L$3, $L$5, $L$6)="NM","n/a",(_xll.ciqfunctions.udf.CIQ($A49, "IQ_TOTAL_REV_5YR_ANN_CAGR", IQ_LTM, $B$1,$L$4, $L$3, $L$5, $L$6)/100))</f>
        <v>#VALUE!</v>
      </c>
      <c r="BO49" s="371" t="e">
        <f>IF(_xll.ciqfunctions.udf.CIQ($A49,"IQ_EBITDA_2YR_ANN_CAGR", IQ_LTM,$B$1,$L$4, $L$3, $L$5, $L$6)="NM","n/a",(_xll.ciqfunctions.udf.CIQ($A49,"IQ_EBITDA_2YR_ANN_CAGR", IQ_LTM,$B$1,$L$4, $L$3, $L$5, $L$6)/100))</f>
        <v>#VALUE!</v>
      </c>
      <c r="BP49" s="371" t="e">
        <f>IF(_xll.ciqfunctions.udf.CIQ($A49,"IQ_EBITDA_3YR_ANN_CAGR", IQ_LTM,$B$1,$L$4, $L$3, $L$5, $L$6)="NM","n/a",(_xll.ciqfunctions.udf.CIQ($A49,"IQ_EBITDA_3YR_ANN_CAGR", IQ_LTM,$B$1,$L$4, $L$3, $L$5, $L$6)/100))</f>
        <v>#VALUE!</v>
      </c>
      <c r="BQ49" s="371" t="e">
        <f>IF(_xll.ciqfunctions.udf.CIQ($A49,"IQ_EBITDA_5YR_ANN_CAGR", IQ_LTM,$B$1,$L$4, $L$3, $L$5, $L$6)="NM","n/a",(_xll.ciqfunctions.udf.CIQ($A49,"IQ_EBITDA_5YR_ANN_CAGR", IQ_LTM,$B$1,$L$4, $L$3, $L$5, $L$6)/100))</f>
        <v>#VALUE!</v>
      </c>
      <c r="BR49" s="375" t="str">
        <f>IFERROR((_xll.ciqfunctions.udf.CIQ($A49, "IQ_DA_CF", IQ_LTM, $B$1, $L$4, $L$3, $L$5, $L$6)/Q49),"NM")</f>
        <v>NM</v>
      </c>
      <c r="BS49" s="414" t="e">
        <f>'Capital IQ Sheet-GPC'!BS49</f>
        <v>#VALUE!</v>
      </c>
      <c r="BT49" s="414" t="e">
        <f>'Capital IQ Sheet-GPC'!BT49</f>
        <v>#VALUE!</v>
      </c>
      <c r="BU49" s="414" t="e">
        <f>'Capital IQ Sheet-GPC'!BU49</f>
        <v>#VALUE!</v>
      </c>
      <c r="BV49" s="414" t="e">
        <f>'Capital IQ Sheet-GPC'!BV49</f>
        <v>#VALUE!</v>
      </c>
      <c r="BW49" s="414" t="e">
        <f>'Capital IQ Sheet-GPC'!BW49</f>
        <v>#VALUE!</v>
      </c>
      <c r="BX49" s="414" t="e">
        <f>'Capital IQ Sheet-GPC'!BX49</f>
        <v>#VALUE!</v>
      </c>
      <c r="BY49" s="414" t="e">
        <f>'Capital IQ Sheet-GPC'!BY49</f>
        <v>#VALUE!</v>
      </c>
      <c r="BZ49" s="414" t="e">
        <f>'Capital IQ Sheet-GPC'!BZ49</f>
        <v>#VALUE!</v>
      </c>
    </row>
    <row r="50" spans="1:83">
      <c r="A50" s="372" t="str">
        <f>_xll.ciqfunctions.udf.CIQ($B50,"IQ_COMPANY_TICKER")</f>
        <v>(Invalid Identifier)</v>
      </c>
      <c r="B50" s="412" t="str">
        <f>'Capital IQ Sheet-GPC'!B50</f>
        <v>(Invalid Identifier)</v>
      </c>
      <c r="C50" s="372" t="str">
        <f>_xll.ciqfunctions.udf.CIQ($A50,"IQ_COMPANY_NAME")</f>
        <v>(Invalid Identifier)</v>
      </c>
      <c r="D50" s="372" t="str">
        <f>_xll.ciqfunctions.udf.CIQ($A50, "IQ_EXCHANGE")</f>
        <v>(Invalid Identifier)</v>
      </c>
      <c r="E50" s="411" t="str">
        <f>_xll.ciqfunctions.udf.CIQ($A50, "IQ_PERIODDATE_IS", IQ_FY)</f>
        <v>(Invalid Identifier)</v>
      </c>
      <c r="F50" s="411" t="str">
        <f>_xll.ciqfunctions.udf.CIQ(A50, "IQ_PERIODDATE_IS", IQ_LTM, $B$1,$L$4,$L$3)</f>
        <v>(Invalid Identifier)</v>
      </c>
      <c r="G50" s="411" t="str">
        <f>_xll.ciqfunctions.udf.CIQ($A50, "IQ_FIRSTPRICINGDATE")</f>
        <v>(Invalid Identifier)</v>
      </c>
      <c r="H50" s="413" t="str">
        <f>_xll.ciqfunctions.udf.CIQ($A50, "IQ_TEV", $L$2, $L$5, $L$6)</f>
        <v>(Invalid Identifier)</v>
      </c>
      <c r="I50" s="413" t="str">
        <f>_xll.ciqfunctions.udf.CIQ(A50, "IQ_LASTSALEPRICE", $B$1,$L$5)</f>
        <v>(Invalid Identifier)</v>
      </c>
      <c r="J50" s="411" t="str">
        <f>_xll.ciqfunctions.udf.CIQ($B50, "IQ_FIRSTPRICINGDATE")</f>
        <v>(Invalid Identifier)</v>
      </c>
      <c r="K50" s="413" t="str">
        <f>_xll.ciqfunctions.udf.CIQ($A50, "IQ_TOTAL_DEBT", IQ_LTM, $L$2,$L$4, $L$3, $L$5, $L$6)</f>
        <v>(Invalid Identifier)</v>
      </c>
      <c r="L50" s="413" t="str">
        <f>_xll.ciqfunctions.udf.CIQ($A50, "IQ_PREF_EQUITY", IQ_LTM, $L$2, $L$4, $L$3, $L$5, $L$6)</f>
        <v>(Invalid Identifier)</v>
      </c>
      <c r="M50" s="413" t="str">
        <f>_xll.ciqfunctions.udf.CIQ($A50, "IQ_MINORITY_INTEREST_TOTAL", IQ_LTM, $L$2, $L$4, $L$3, $L$5, $L$6)</f>
        <v>(Invalid Identifier)</v>
      </c>
      <c r="N50" s="413" t="str">
        <f>_xll.ciqfunctions.udf.CIQ($A50, "IQ_CASH_ST_INVEST", IQ_LTM, $L$2, $L$4, $L$3, $L$5, $L$6)</f>
        <v>(Invalid Identifier)</v>
      </c>
      <c r="O50" s="413" t="str">
        <f>_xll.ciqfunctions.udf.CIQ($A50, "IQ_TOTAL_REV", IQ_LTM-8, $L$2, $L$4, $L$3, $L$5, $L$6)</f>
        <v>(Invalid Identifier)</v>
      </c>
      <c r="P50" s="413" t="str">
        <f>_xll.ciqfunctions.udf.CIQ($A50, "IQ_TOTAL_REV", IQ_LTM - 4, $L$2, $L$4, $L$3, $L$5,$L$6)</f>
        <v>(Invalid Identifier)</v>
      </c>
      <c r="Q50" s="413" t="str">
        <f>_xll.ciqfunctions.udf.CIQ($A50, "IQ_TOTAL_REV", IQ_LTM, $L$2, $L$4, $L$3, $L$5, $L$6)</f>
        <v>(Invalid Identifier)</v>
      </c>
      <c r="R50" s="413" t="str">
        <f>_xll.ciqfunctions.udf.CIQ($A50, "IQ_TOTAL_REV", $B$2, $L$2, $L$4, $L$3, $L$5, $L$6)</f>
        <v>(Invalid Identifier)</v>
      </c>
      <c r="S50" s="413" t="str">
        <f>IF(_xll.ciqfunctions.udf.CIQ($A50, "IQ_TOTAL_REV", $B$3, $L$2,$L$4, $L$3, $L$5, $L$6)=0,Q50,_xll.ciqfunctions.udf.CIQ($A50, "IQ_TOTAL_REV", $B$3, $L$2,$L$4, $L$3, $L$5, $L$6))</f>
        <v>(Invalid Identifier)</v>
      </c>
      <c r="T50" s="413" t="str">
        <f>IF(_xll.ciqfunctions.udf.CIQ($A50, "IQ_REVENUE_EST",$B$4, $L$2, "CON", $L$3, $L$5, $L$6)=0,"n/a",_xll.ciqfunctions.udf.CIQ($A50, "IQ_REVENUE_EST",$B$4, $L$2, "CON", $L$3, $L$5, $L$6))</f>
        <v>(Invalid Identifier)</v>
      </c>
      <c r="U50" s="413" t="str">
        <f>IF(_xll.ciqfunctions.udf.CIQ($A50, "IQ_REVENUE_EST",$B$5, $L$2, "CON", $L$3, $L$5, $L$6)=0,"n/a",_xll.ciqfunctions.udf.CIQ($A50, "IQ_REVENUE_EST",$B$5, $L$2, "CON", $L$3, $L$5, $L$6))</f>
        <v>(Invalid Identifier)</v>
      </c>
      <c r="V50" s="413" t="str">
        <f>IF(_xll.ciqfunctions.udf.CIQ($A50, "IQ_REVENUE_EST",$B$6, $L$2, "CON", $L$3, $L$5, $L$6)=0,"n/a",_xll.ciqfunctions.udf.CIQ($A50, "IQ_REVENUE_EST",$B$6, $L$2, "CON", $L$3, $L$5, $L$6))</f>
        <v>(Invalid Identifier)</v>
      </c>
      <c r="W50" s="413" t="str">
        <f>IF(_xll.ciqfunctions.udf.CIQ($A50, "IQ_REVENUE_EST", $B$7, $L$2, "CON", $L$3, $L$5, $L$6)=0,"n/a",_xll.ciqfunctions.udf.CIQ($A50, "IQ_REVENUE_EST",$B$7, $L$2, "CON", $L$3, $L$5, $L$6))</f>
        <v>(Invalid Identifier)</v>
      </c>
      <c r="X50" s="413" t="str">
        <f>_xll.ciqfunctions.udf.CIQ($A50, "IQ_EBITDA", IQ_LTM-8, $L$2, $L$4, $L$3, $L$5, $L$6)</f>
        <v>(Invalid Identifier)</v>
      </c>
      <c r="Y50" s="413" t="str">
        <f>_xll.ciqfunctions.udf.CIQ($A50, "IQ_EBITDA", IQ_LTM-4, $L$2,$L$4, $L$3, $L$5, $L$6)</f>
        <v>(Invalid Identifier)</v>
      </c>
      <c r="Z50" s="413" t="str">
        <f>_xll.ciqfunctions.udf.CIQ($A50, "IQ_EBITDA", IQ_LTM, $L$2, $L$4, $L$3, $L$5, $L$6)</f>
        <v>(Invalid Identifier)</v>
      </c>
      <c r="AA50" s="413" t="str">
        <f>_xll.ciqfunctions.udf.CIQ($A50, "IQ_EBITDA", $B$2, $L$2, $L$4, $L$3, $L$5, $L$6)</f>
        <v>(Invalid Identifier)</v>
      </c>
      <c r="AB50" s="413" t="str">
        <f>IF(_xll.ciqfunctions.udf.CIQ($A50, "IQ_EBITDA", $B$3, $L$2,$L$4, $L$3, $L$5, $L$6)=0,Z50,_xll.ciqfunctions.udf.CIQ($A50, "IQ_EBITDA", $B$3, $L$2,$L$4, $L$3, $L$5, $L$6))</f>
        <v>(Invalid Identifier)</v>
      </c>
      <c r="AC50" s="413" t="str">
        <f>IF(_xll.ciqfunctions.udf.CIQ($A50, "IQ_EBITDA_EST",$B$4, $L$2, "CON", $L$3, $L$5, $L$6)=0,"n/a",_xll.ciqfunctions.udf.CIQ($A50, "IQ_EBITDA_EST",$B$4, $L$2, "CON", $L$3, $L$5, $L$6))</f>
        <v>(Invalid Identifier)</v>
      </c>
      <c r="AD50" s="372" t="str">
        <f>IF(_xll.ciqfunctions.udf.CIQ($A50, "IQ_EBITDA_EST",$B$5, $L$2, "CON", $L$3, $L$5, $L$6)=0,"n/a",_xll.ciqfunctions.udf.CIQ($A50, "IQ_EBITDA_EST",$B$5, $L$2, "CON", $L$3, $L$5, $L$6))</f>
        <v>(Invalid Identifier)</v>
      </c>
      <c r="AE50" s="413" t="str">
        <f>IF(_xll.ciqfunctions.udf.CIQ($A50, "IQ_EBITDA_EST",$B$6, $L$2, "CON", $L$3, $L$5, $L$6)=0,"n/a",_xll.ciqfunctions.udf.CIQ($A50, "IQ_EBITDA_EST",$B$6, $L$2, "CON", $L$3, $L$5, $L$6))</f>
        <v>(Invalid Identifier)</v>
      </c>
      <c r="AF50" s="414" t="str">
        <f>IF(ISERROR(_xll.ciqfunctions.udf.CIQ($A50, "IQ_GROSS_MARGIN", IQ_LTM, $L$2,$L$4, $L$3, $L$5, $L$6)/100), "n/a", _xll.ciqfunctions.udf.CIQ($A50,  "IQ_GROSS_MARGIN", IQ_LTM, $L$2, $L$4, $L$3, $L$5, $L$6)/100)</f>
        <v>n/a</v>
      </c>
      <c r="AG50" s="414" t="str">
        <f>IF(ISERROR(_xll.ciqfunctions.udf.CIQ($A50,"IQ_EBITDA_MARGIN", IQ_LTM, $L$2, $L$4, $L$3, $L$5, $L$6)/100), "n/a", _xll.ciqfunctions.udf.CIQ($A50, "IQ_EBITDA_MARGIN", IQ_LTM, $L$2, $L$4, $L$3, $L$5, $L$6)/100)</f>
        <v>n/a</v>
      </c>
      <c r="AH50" s="414" t="str">
        <f>IF(ISERROR(_xll.ciqfunctions.udf.CIQ($A50,"IQ_EBIT_MARGIN", IQ_LTM, $L$2, $L$4, $L$3, $L$5, $L$6)/100), "n/a", _xll.ciqfunctions.udf.CIQ($A50, "IQ_EBIT_MARGIN", IQ_LTM, $L$2, $L$4, $L$3, $L$5, $L$6)/100)</f>
        <v>n/a</v>
      </c>
      <c r="AI50" s="414" t="str">
        <f>IF(ISERROR(_xll.ciqfunctions.udf.CIQ($A50,"IQ_NI_MARGIN", IQ_LTM, $L$2, $L$4, $L$3, $L$5, $L$6)/100), "n/a", _xll.ciqfunctions.udf.CIQ($A50, "IQ_NI_MARGIN", IQ_LTM, $L$2, $L$4, $L$3, $L$5, $L$6)/100)</f>
        <v>n/a</v>
      </c>
      <c r="AJ50" s="413" t="e">
        <f>_xll.ciqfunctions.udf.CIQ($A50,"IQ_TOTAL_CA",IQ_LTM-8,$L$2, $L$4, $L$3, $L$5, $L$6)-_xll.ciqfunctions.udf.CIQ($A50,"IQ_TOTAL_CL",IQ_LTM-8,$L$2, $L$4, $L$3, $L$5, $L$6)</f>
        <v>#VALUE!</v>
      </c>
      <c r="AK50" s="413" t="e">
        <f>_xll.ciqfunctions.udf.CIQ($A50,"IQ_TOTAL_CA",IQ_LTM-4,$L$2, $L$4, $L$3, $L$5, $L$6)-_xll.ciqfunctions.udf.CIQ($A50,"IQ_TOTAL_CL",IQ_LTM-4,$L$2, $L$4, $L$3, $L$5, $L$6)</f>
        <v>#VALUE!</v>
      </c>
      <c r="AL50" s="413" t="e">
        <f>_xll.ciqfunctions.udf.CIQ($A50,"IQ_TOTAL_CA",IQ_LTM,$L$2, $L$4, $L$3, $L$5, $L$6)-_xll.ciqfunctions.udf.CIQ($A50,"IQ_TOTAL_CL",IQ_LTM,$L$2, $L$4, $L$3, $L$5, $L$6)</f>
        <v>#VALUE!</v>
      </c>
      <c r="AM50" s="413" t="str">
        <f>IF(ISERROR(_xll.ciqfunctions.udf.CIQ($A50, "IQ_Capex", IQ_LTM-8, $L$2,$L$4, $L$3, $L$5, $L$6)), "n/a", _xll.ciqfunctions.udf.CIQ($A50, "IQ_Capex", IQ_LTM-8, $L$2, $L$4, $L$3, $L$5, $L$6))</f>
        <v>(Invalid Identifier)</v>
      </c>
      <c r="AN50" s="413" t="str">
        <f>IF(ISERROR(_xll.ciqfunctions.udf.CIQ($A50, "IQ_Capex", IQ_LTM-4, $L$2,$L$4, $L$3, $L$5, $L$6)), "n/a", _xll.ciqfunctions.udf.CIQ($A50, "IQ_Capex", IQ_LTM-4, $L$2,$L$4, $L$3, $L$5, $L$6))</f>
        <v>(Invalid Identifier)</v>
      </c>
      <c r="AO50" s="413" t="str">
        <f>IF(ISERROR(_xll.ciqfunctions.udf.CIQ($A50, "IQ_Capex", IQ_LTM, $L$2, $L$4, $L$3, $L$5, $L$6)), "n/a", _xll.ciqfunctions.udf.CIQ($A50, "IQ_Capex", IQ_LTM, $L$2, $L$4, $L$3, $L$5, $L$6))</f>
        <v>(Invalid Identifier)</v>
      </c>
      <c r="AP50" s="415" t="str">
        <f>_xll.ciqfunctions.udf.CIQ(A50, "IQ_BUSINESS_DESCRIPTION")</f>
        <v>(Invalid Identifier)</v>
      </c>
      <c r="AQ50" s="416" t="str">
        <f>_xll.ciqfunctions.udf.CIQ($A50, "IQ_BETA_1YR", $B$1)</f>
        <v>(Invalid Identifier)</v>
      </c>
      <c r="AR50" s="416" t="str">
        <f>_xll.ciqfunctions.udf.CIQ($A50, "IQ_BETA_2YR", $B$1)</f>
        <v>(Invalid Identifier)</v>
      </c>
      <c r="AS50" s="416" t="str">
        <f>_xll.ciqfunctions.udf.CIQ($A50, "IQ_BETA_5YR", $B$1)</f>
        <v>(Invalid Identifier)</v>
      </c>
      <c r="AT50" s="372" t="str">
        <f>_xll.ciqfunctions.udf.CIQ($B50, "IQ_GP", IQ_LTM,$B$1, ,,"USD")</f>
        <v>(Invalid Identifier)</v>
      </c>
      <c r="AU50" s="413" t="str">
        <f>_xll.ciqfunctions.udf.CIQ($A50, "IQ_EARNING_CO", IQ_LTM-8, $L$2, $L$4, $L$3, $L$5, $L$6)</f>
        <v>(Invalid Identifier)</v>
      </c>
      <c r="AV50" s="413" t="str">
        <f>_xll.ciqfunctions.udf.CIQ($A50, "IQ_EARNING_CO", IQ_LTM-4, $L$2, $L$4, $L$3, $L$5, $L$6)</f>
        <v>(Invalid Identifier)</v>
      </c>
      <c r="AW50" s="413" t="str">
        <f>_xll.ciqfunctions.udf.CIQ($A50, "IQ_EARNING_CO", IQ_LTM, $L$2, $L$4, $L$3, $L$5, $L$6)</f>
        <v>(Invalid Identifier)</v>
      </c>
      <c r="AX50" s="413" t="str">
        <f>_xll.ciqfunctions.udf.CIQ($A50, "IQ_EARNING_CO", $B$2, $L$2, $L$4, $L$3, $L$5, $L$6)</f>
        <v>(Invalid Identifier)</v>
      </c>
      <c r="AY50" s="413" t="str">
        <f>IF(_xll.ciqfunctions.udf.CIQ($A50, "IQ_EARNING_CO", $B$3, $L$2,$L$4, $L$3, $L$5, $L$6)=0,AW50,_xll.ciqfunctions.udf.CIQ($A50, "IQ_EARNING_CO", $B$3, $L$2,$L$4, $L$3, $L$5, $L$6))</f>
        <v>(Invalid Identifier)</v>
      </c>
      <c r="AZ50" s="413" t="str">
        <f>_xll.ciqfunctions.udf.CIQ($A50, "IQ_TOTAL_EQUITY", IQ_LTM-8, $L$2, $L$4, $L$3, $L$5, $L$6)</f>
        <v>(Invalid Identifier)</v>
      </c>
      <c r="BA50" s="413" t="str">
        <f>_xll.ciqfunctions.udf.CIQ($A50, "IQ_TOTAL_EQUITY", IQ_LTM-4, $L$2, $L$4, $L$3, $L$5, $L$6)</f>
        <v>(Invalid Identifier)</v>
      </c>
      <c r="BB50" s="413" t="str">
        <f>_xll.ciqfunctions.udf.CIQ($A50, "IQ_TOTAL_EQUITY", IQ_LTM, $L$2, $L$4, $L$3, $L$5, $L$6)</f>
        <v>(Invalid Identifier)</v>
      </c>
      <c r="BC50" s="413" t="str">
        <f>_xll.ciqfunctions.udf.CIQ($A50, "IQ_TOTAL_EQUITY", $B$2, $L$2, $L$4, $L$3, $L$5, $L$6)</f>
        <v>(Invalid Identifier)</v>
      </c>
      <c r="BD50" s="413" t="str">
        <f>IF(_xll.ciqfunctions.udf.CIQ($A50, "IQ_TOTAL_EQUITY", $B$3, $L$2,$L$4, $L$3, $L$5, $L$6)=0,BB50,_xll.ciqfunctions.udf.CIQ($A50, "IQ_TOTAL_EQUITY", $B$3, $L$2,$L$4, $L$3, $L$5, $L$6))</f>
        <v>(Invalid Identifier)</v>
      </c>
      <c r="BE50" s="413" t="str">
        <f>_xll.ciqfunctions.udf.CIQ(A50, "IQ_LASTSALEPRICE", $B$8)</f>
        <v>(Invalid Identifier)</v>
      </c>
      <c r="BF50" s="413" t="str">
        <f>_xll.ciqfunctions.udf.CIQ($A50, "IQ_MARKETCAP", $B$8, $L$5, $L$6)</f>
        <v>(Invalid Identifier)</v>
      </c>
      <c r="BG50" s="413" t="str">
        <f>_xll.ciqfunctions.udf.CIQ($A50, "IQ_TOTAL_DEBT", IQ_LTM, $B$8,$L$4, $L$3, $L$5, $L$6)</f>
        <v>(Invalid Identifier)</v>
      </c>
      <c r="BH50" s="371" t="str">
        <f>_xll.ciqfunctions.udf.CIQ($A50,"IQ_PREF_EQUITY",IQ_LTM,$B$8,$L$4,$L$3,$L$5,$L$6)</f>
        <v>(Invalid Identifier)</v>
      </c>
      <c r="BI50" s="371" t="str">
        <f>_xll.ciqfunctions.udf.CIQ($A50, "IQ_MINORITY_INTEREST_TOTAL", IQ_LTM,$B$8,$L$4,$L$3,$L$5,$L$6)</f>
        <v>(Invalid Identifier)</v>
      </c>
      <c r="BJ50" s="413" t="str">
        <f>_xll.ciqfunctions.udf.CIQ($A50, "IQ_CASH_ST_INVEST", IQ_LTM, $B$8, $L$4, $L$3, $L$5, $L$6)</f>
        <v>(Invalid Identifier)</v>
      </c>
      <c r="BK50" s="371" t="str">
        <f>_xll.ciqfunctions.udf.CIQ($A50, "IQ_EFFECT_TAX_RATE")</f>
        <v>(Invalid Identifier)</v>
      </c>
      <c r="BL50" s="371" t="e">
        <f>IF(_xll.ciqfunctions.udf.CIQ($A50, "IQ_TOTAL_REV_2YR_ANN_CAGR", IQ_LTM, $B$1,$L$4, $L$3, $L$5, $L$6)="NM","n/a",(_xll.ciqfunctions.udf.CIQ($A50, "IQ_TOTAL_REV_2YR_ANN_CAGR", IQ_LTM, $B$1,$L$4, $L$3, $L$5, $L$6)/100))</f>
        <v>#VALUE!</v>
      </c>
      <c r="BM50" s="371" t="e">
        <f>IF(_xll.ciqfunctions.udf.CIQ($A50, "IQ_TOTAL_REV_3YR_ANN_CAGR", IQ_LTM, $B$1,$L$4, $L$3, $L$5, $L$6)="NM","n/a",(_xll.ciqfunctions.udf.CIQ($A50, "IQ_TOTAL_REV_3YR_ANN_CAGR", IQ_LTM, $B$1,$L$4, $L$3, $L$5, $L$6)/100))</f>
        <v>#VALUE!</v>
      </c>
      <c r="BN50" s="371" t="e">
        <f>IF(_xll.ciqfunctions.udf.CIQ($A50, "IQ_TOTAL_REV_5YR_ANN_CAGR", IQ_LTM, $B$1,$L$4, $L$3, $L$5, $L$6)="NM","n/a",(_xll.ciqfunctions.udf.CIQ($A50, "IQ_TOTAL_REV_5YR_ANN_CAGR", IQ_LTM, $B$1,$L$4, $L$3, $L$5, $L$6)/100))</f>
        <v>#VALUE!</v>
      </c>
      <c r="BO50" s="371" t="e">
        <f>IF(_xll.ciqfunctions.udf.CIQ($A50,"IQ_EBITDA_2YR_ANN_CAGR", IQ_LTM,$B$1,$L$4, $L$3, $L$5, $L$6)="NM","n/a",(_xll.ciqfunctions.udf.CIQ($A50,"IQ_EBITDA_2YR_ANN_CAGR", IQ_LTM,$B$1,$L$4, $L$3, $L$5, $L$6)/100))</f>
        <v>#VALUE!</v>
      </c>
      <c r="BP50" s="371" t="e">
        <f>IF(_xll.ciqfunctions.udf.CIQ($A50,"IQ_EBITDA_3YR_ANN_CAGR", IQ_LTM,$B$1,$L$4, $L$3, $L$5, $L$6)="NM","n/a",(_xll.ciqfunctions.udf.CIQ($A50,"IQ_EBITDA_3YR_ANN_CAGR", IQ_LTM,$B$1,$L$4, $L$3, $L$5, $L$6)/100))</f>
        <v>#VALUE!</v>
      </c>
      <c r="BQ50" s="371" t="e">
        <f>IF(_xll.ciqfunctions.udf.CIQ($A50,"IQ_EBITDA_5YR_ANN_CAGR", IQ_LTM,$B$1,$L$4, $L$3, $L$5, $L$6)="NM","n/a",(_xll.ciqfunctions.udf.CIQ($A50,"IQ_EBITDA_5YR_ANN_CAGR", IQ_LTM,$B$1,$L$4, $L$3, $L$5, $L$6)/100))</f>
        <v>#VALUE!</v>
      </c>
      <c r="BR50" s="375" t="str">
        <f>IFERROR((_xll.ciqfunctions.udf.CIQ($A50, "IQ_DA_CF", IQ_LTM, $B$1, $L$4, $L$3, $L$5, $L$6)/Q50),"NM")</f>
        <v>NM</v>
      </c>
      <c r="BS50" s="414" t="e">
        <f>'Capital IQ Sheet-GPC'!BS50</f>
        <v>#VALUE!</v>
      </c>
      <c r="BT50" s="414" t="e">
        <f>'Capital IQ Sheet-GPC'!BT50</f>
        <v>#VALUE!</v>
      </c>
      <c r="BU50" s="414" t="e">
        <f>'Capital IQ Sheet-GPC'!BU50</f>
        <v>#VALUE!</v>
      </c>
      <c r="BV50" s="414" t="e">
        <f>'Capital IQ Sheet-GPC'!BV50</f>
        <v>#VALUE!</v>
      </c>
      <c r="BW50" s="414" t="e">
        <f>'Capital IQ Sheet-GPC'!BW50</f>
        <v>#VALUE!</v>
      </c>
      <c r="BX50" s="414" t="e">
        <f>'Capital IQ Sheet-GPC'!BX50</f>
        <v>#VALUE!</v>
      </c>
      <c r="BY50" s="414" t="e">
        <f>'Capital IQ Sheet-GPC'!BY50</f>
        <v>#VALUE!</v>
      </c>
      <c r="BZ50" s="414" t="e">
        <f>'Capital IQ Sheet-GPC'!BZ50</f>
        <v>#VALUE!</v>
      </c>
    </row>
    <row r="51" spans="1:83">
      <c r="A51" s="372" t="str">
        <f>_xll.ciqfunctions.udf.CIQ($B51,"IQ_COMPANY_TICKER")</f>
        <v>(Invalid Identifier)</v>
      </c>
      <c r="B51" s="412" t="str">
        <f>'Capital IQ Sheet-GPC'!B51</f>
        <v>(Invalid Identifier)</v>
      </c>
      <c r="C51" s="372" t="str">
        <f>_xll.ciqfunctions.udf.CIQ($A51,"IQ_COMPANY_NAME")</f>
        <v>(Invalid Identifier)</v>
      </c>
      <c r="D51" s="372" t="str">
        <f>_xll.ciqfunctions.udf.CIQ($A51, "IQ_EXCHANGE")</f>
        <v>(Invalid Identifier)</v>
      </c>
      <c r="E51" s="411" t="str">
        <f>_xll.ciqfunctions.udf.CIQ($A51, "IQ_PERIODDATE_IS", IQ_FY)</f>
        <v>(Invalid Identifier)</v>
      </c>
      <c r="F51" s="411" t="str">
        <f>_xll.ciqfunctions.udf.CIQ(A51, "IQ_PERIODDATE_IS", IQ_LTM, $B$1,$L$4,$L$3)</f>
        <v>(Invalid Identifier)</v>
      </c>
      <c r="G51" s="411" t="str">
        <f>_xll.ciqfunctions.udf.CIQ($A51, "IQ_FIRSTPRICINGDATE")</f>
        <v>(Invalid Identifier)</v>
      </c>
      <c r="H51" s="413" t="str">
        <f>_xll.ciqfunctions.udf.CIQ($A51, "IQ_TEV", $L$2, $L$5, $L$6)</f>
        <v>(Invalid Identifier)</v>
      </c>
      <c r="I51" s="413" t="str">
        <f>_xll.ciqfunctions.udf.CIQ(A51, "IQ_LASTSALEPRICE", $B$1,$L$5)</f>
        <v>(Invalid Identifier)</v>
      </c>
      <c r="J51" s="411" t="str">
        <f>_xll.ciqfunctions.udf.CIQ($B51, "IQ_FIRSTPRICINGDATE")</f>
        <v>(Invalid Identifier)</v>
      </c>
      <c r="K51" s="413" t="str">
        <f>_xll.ciqfunctions.udf.CIQ($A51, "IQ_TOTAL_DEBT", IQ_LTM, $L$2,$L$4, $L$3, $L$5, $L$6)</f>
        <v>(Invalid Identifier)</v>
      </c>
      <c r="L51" s="413" t="str">
        <f>_xll.ciqfunctions.udf.CIQ($A51, "IQ_PREF_EQUITY", IQ_LTM, $L$2, $L$4, $L$3, $L$5, $L$6)</f>
        <v>(Invalid Identifier)</v>
      </c>
      <c r="M51" s="413" t="str">
        <f>_xll.ciqfunctions.udf.CIQ($A51, "IQ_MINORITY_INTEREST_TOTAL", IQ_LTM, $L$2, $L$4, $L$3, $L$5, $L$6)</f>
        <v>(Invalid Identifier)</v>
      </c>
      <c r="N51" s="413" t="str">
        <f>_xll.ciqfunctions.udf.CIQ($A51, "IQ_CASH_ST_INVEST", IQ_LTM, $L$2, $L$4, $L$3, $L$5, $L$6)</f>
        <v>(Invalid Identifier)</v>
      </c>
      <c r="O51" s="413" t="str">
        <f>_xll.ciqfunctions.udf.CIQ($A51, "IQ_TOTAL_REV", IQ_LTM-8, $L$2, $L$4, $L$3, $L$5, $L$6)</f>
        <v>(Invalid Identifier)</v>
      </c>
      <c r="P51" s="413" t="str">
        <f>_xll.ciqfunctions.udf.CIQ($A51, "IQ_TOTAL_REV", IQ_LTM - 4, $L$2, $L$4, $L$3, $L$5,$L$6)</f>
        <v>(Invalid Identifier)</v>
      </c>
      <c r="Q51" s="413" t="str">
        <f>_xll.ciqfunctions.udf.CIQ($A51, "IQ_TOTAL_REV", IQ_LTM, $L$2, $L$4, $L$3, $L$5, $L$6)</f>
        <v>(Invalid Identifier)</v>
      </c>
      <c r="R51" s="413" t="str">
        <f>_xll.ciqfunctions.udf.CIQ($A51, "IQ_TOTAL_REV", $B$2, $L$2, $L$4, $L$3, $L$5, $L$6)</f>
        <v>(Invalid Identifier)</v>
      </c>
      <c r="S51" s="413" t="str">
        <f>IF(_xll.ciqfunctions.udf.CIQ($A51, "IQ_TOTAL_REV", $B$3, $L$2,$L$4, $L$3, $L$5, $L$6)=0,Q51,_xll.ciqfunctions.udf.CIQ($A51, "IQ_TOTAL_REV", $B$3, $L$2,$L$4, $L$3, $L$5, $L$6))</f>
        <v>(Invalid Identifier)</v>
      </c>
      <c r="T51" s="413" t="str">
        <f>IF(_xll.ciqfunctions.udf.CIQ($A51, "IQ_REVENUE_EST",$B$4, $L$2, "CON", $L$3, $L$5, $L$6)=0,"n/a",_xll.ciqfunctions.udf.CIQ($A51, "IQ_REVENUE_EST",$B$4, $L$2, "CON", $L$3, $L$5, $L$6))</f>
        <v>(Invalid Identifier)</v>
      </c>
      <c r="U51" s="413" t="str">
        <f>IF(_xll.ciqfunctions.udf.CIQ($A51, "IQ_REVENUE_EST",$B$5, $L$2, "CON", $L$3, $L$5, $L$6)=0,"n/a",_xll.ciqfunctions.udf.CIQ($A51, "IQ_REVENUE_EST",$B$5, $L$2, "CON", $L$3, $L$5, $L$6))</f>
        <v>(Invalid Identifier)</v>
      </c>
      <c r="V51" s="413" t="str">
        <f>IF(_xll.ciqfunctions.udf.CIQ($A51, "IQ_REVENUE_EST",$B$6, $L$2, "CON", $L$3, $L$5, $L$6)=0,"n/a",_xll.ciqfunctions.udf.CIQ($A51, "IQ_REVENUE_EST",$B$6, $L$2, "CON", $L$3, $L$5, $L$6))</f>
        <v>(Invalid Identifier)</v>
      </c>
      <c r="W51" s="413" t="str">
        <f>IF(_xll.ciqfunctions.udf.CIQ($A51, "IQ_REVENUE_EST", $B$7, $L$2, "CON", $L$3, $L$5, $L$6)=0,"n/a",_xll.ciqfunctions.udf.CIQ($A51, "IQ_REVENUE_EST",$B$7, $L$2, "CON", $L$3, $L$5, $L$6))</f>
        <v>(Invalid Identifier)</v>
      </c>
      <c r="X51" s="413" t="str">
        <f>_xll.ciqfunctions.udf.CIQ($A51, "IQ_EBITDA", IQ_LTM-8, $L$2, $L$4, $L$3, $L$5, $L$6)</f>
        <v>(Invalid Identifier)</v>
      </c>
      <c r="Y51" s="413" t="str">
        <f>_xll.ciqfunctions.udf.CIQ($A51, "IQ_EBITDA", IQ_LTM-4, $L$2,$L$4, $L$3, $L$5, $L$6)</f>
        <v>(Invalid Identifier)</v>
      </c>
      <c r="Z51" s="413" t="str">
        <f>_xll.ciqfunctions.udf.CIQ($A51, "IQ_EBITDA", IQ_LTM, $L$2, $L$4, $L$3, $L$5, $L$6)</f>
        <v>(Invalid Identifier)</v>
      </c>
      <c r="AA51" s="413" t="str">
        <f>_xll.ciqfunctions.udf.CIQ($A51, "IQ_EBITDA", $B$2, $L$2, $L$4, $L$3, $L$5, $L$6)</f>
        <v>(Invalid Identifier)</v>
      </c>
      <c r="AB51" s="413" t="str">
        <f>IF(_xll.ciqfunctions.udf.CIQ($A51, "IQ_EBITDA", $B$3, $L$2,$L$4, $L$3, $L$5, $L$6)=0,Z51,_xll.ciqfunctions.udf.CIQ($A51, "IQ_EBITDA", $B$3, $L$2,$L$4, $L$3, $L$5, $L$6))</f>
        <v>(Invalid Identifier)</v>
      </c>
      <c r="AC51" s="413" t="str">
        <f>IF(_xll.ciqfunctions.udf.CIQ($A51, "IQ_EBITDA_EST",$B$4, $L$2, "CON", $L$3, $L$5, $L$6)=0,"n/a",_xll.ciqfunctions.udf.CIQ($A51, "IQ_EBITDA_EST",$B$4, $L$2, "CON", $L$3, $L$5, $L$6))</f>
        <v>(Invalid Identifier)</v>
      </c>
      <c r="AD51" s="372" t="str">
        <f>IF(_xll.ciqfunctions.udf.CIQ($A51, "IQ_EBITDA_EST",$B$5, $L$2, "CON", $L$3, $L$5, $L$6)=0,"n/a",_xll.ciqfunctions.udf.CIQ($A51, "IQ_EBITDA_EST",$B$5, $L$2, "CON", $L$3, $L$5, $L$6))</f>
        <v>(Invalid Identifier)</v>
      </c>
      <c r="AE51" s="413" t="str">
        <f>IF(_xll.ciqfunctions.udf.CIQ($A51, "IQ_EBITDA_EST",$B$6, $L$2, "CON", $L$3, $L$5, $L$6)=0,"n/a",_xll.ciqfunctions.udf.CIQ($A51, "IQ_EBITDA_EST",$B$6, $L$2, "CON", $L$3, $L$5, $L$6))</f>
        <v>(Invalid Identifier)</v>
      </c>
      <c r="AF51" s="414" t="str">
        <f>IF(ISERROR(_xll.ciqfunctions.udf.CIQ($A51, "IQ_GROSS_MARGIN", IQ_LTM, $L$2,$L$4, $L$3, $L$5, $L$6)/100), "n/a", _xll.ciqfunctions.udf.CIQ($A51,  "IQ_GROSS_MARGIN", IQ_LTM, $L$2, $L$4, $L$3, $L$5, $L$6)/100)</f>
        <v>n/a</v>
      </c>
      <c r="AG51" s="414" t="str">
        <f>IF(ISERROR(_xll.ciqfunctions.udf.CIQ($A51,"IQ_EBITDA_MARGIN", IQ_LTM, $L$2, $L$4, $L$3, $L$5, $L$6)/100), "n/a", _xll.ciqfunctions.udf.CIQ($A51, "IQ_EBITDA_MARGIN", IQ_LTM, $L$2, $L$4, $L$3, $L$5, $L$6)/100)</f>
        <v>n/a</v>
      </c>
      <c r="AH51" s="414" t="str">
        <f>IF(ISERROR(_xll.ciqfunctions.udf.CIQ($A51,"IQ_EBIT_MARGIN", IQ_LTM, $L$2, $L$4, $L$3, $L$5, $L$6)/100), "n/a", _xll.ciqfunctions.udf.CIQ($A51, "IQ_EBIT_MARGIN", IQ_LTM, $L$2, $L$4, $L$3, $L$5, $L$6)/100)</f>
        <v>n/a</v>
      </c>
      <c r="AI51" s="414" t="str">
        <f>IF(ISERROR(_xll.ciqfunctions.udf.CIQ($A51,"IQ_NI_MARGIN", IQ_LTM, $L$2, $L$4, $L$3, $L$5, $L$6)/100), "n/a", _xll.ciqfunctions.udf.CIQ($A51, "IQ_NI_MARGIN", IQ_LTM, $L$2, $L$4, $L$3, $L$5, $L$6)/100)</f>
        <v>n/a</v>
      </c>
      <c r="AJ51" s="413" t="e">
        <f>_xll.ciqfunctions.udf.CIQ($A51,"IQ_TOTAL_CA",IQ_LTM-8,$L$2, $L$4, $L$3, $L$5, $L$6)-_xll.ciqfunctions.udf.CIQ($A51,"IQ_TOTAL_CL",IQ_LTM-8,$L$2, $L$4, $L$3, $L$5, $L$6)</f>
        <v>#VALUE!</v>
      </c>
      <c r="AK51" s="413" t="e">
        <f>_xll.ciqfunctions.udf.CIQ($A51,"IQ_TOTAL_CA",IQ_LTM-4,$L$2, $L$4, $L$3, $L$5, $L$6)-_xll.ciqfunctions.udf.CIQ($A51,"IQ_TOTAL_CL",IQ_LTM-4,$L$2, $L$4, $L$3, $L$5, $L$6)</f>
        <v>#VALUE!</v>
      </c>
      <c r="AL51" s="413" t="e">
        <f>_xll.ciqfunctions.udf.CIQ($A51,"IQ_TOTAL_CA",IQ_LTM,$L$2, $L$4, $L$3, $L$5, $L$6)-_xll.ciqfunctions.udf.CIQ($A51,"IQ_TOTAL_CL",IQ_LTM,$L$2, $L$4, $L$3, $L$5, $L$6)</f>
        <v>#VALUE!</v>
      </c>
      <c r="AM51" s="413" t="str">
        <f>IF(ISERROR(_xll.ciqfunctions.udf.CIQ($A51, "IQ_Capex", IQ_LTM-8, $L$2,$L$4, $L$3, $L$5, $L$6)), "n/a", _xll.ciqfunctions.udf.CIQ($A51, "IQ_Capex", IQ_LTM-8, $L$2, $L$4, $L$3, $L$5, $L$6))</f>
        <v>(Invalid Identifier)</v>
      </c>
      <c r="AN51" s="413" t="str">
        <f>IF(ISERROR(_xll.ciqfunctions.udf.CIQ($A51, "IQ_Capex", IQ_LTM-4, $L$2,$L$4, $L$3, $L$5, $L$6)), "n/a", _xll.ciqfunctions.udf.CIQ($A51, "IQ_Capex", IQ_LTM-4, $L$2,$L$4, $L$3, $L$5, $L$6))</f>
        <v>(Invalid Identifier)</v>
      </c>
      <c r="AO51" s="413" t="str">
        <f>IF(ISERROR(_xll.ciqfunctions.udf.CIQ($A51, "IQ_Capex", IQ_LTM, $L$2, $L$4, $L$3, $L$5, $L$6)), "n/a", _xll.ciqfunctions.udf.CIQ($A51, "IQ_Capex", IQ_LTM, $L$2, $L$4, $L$3, $L$5, $L$6))</f>
        <v>(Invalid Identifier)</v>
      </c>
      <c r="AP51" s="415" t="str">
        <f>_xll.ciqfunctions.udf.CIQ(A51, "IQ_BUSINESS_DESCRIPTION")</f>
        <v>(Invalid Identifier)</v>
      </c>
      <c r="AQ51" s="416" t="str">
        <f>_xll.ciqfunctions.udf.CIQ($A51, "IQ_BETA_1YR", $B$1)</f>
        <v>(Invalid Identifier)</v>
      </c>
      <c r="AR51" s="416" t="str">
        <f>_xll.ciqfunctions.udf.CIQ($A51, "IQ_BETA_2YR", $B$1)</f>
        <v>(Invalid Identifier)</v>
      </c>
      <c r="AS51" s="416" t="str">
        <f>_xll.ciqfunctions.udf.CIQ($A51, "IQ_BETA_5YR", $B$1)</f>
        <v>(Invalid Identifier)</v>
      </c>
      <c r="AT51" s="372" t="str">
        <f>_xll.ciqfunctions.udf.CIQ($B51, "IQ_GP", IQ_LTM,$B$1, ,,"USD")</f>
        <v>(Invalid Identifier)</v>
      </c>
      <c r="AU51" s="413" t="str">
        <f>_xll.ciqfunctions.udf.CIQ($A51, "IQ_EARNING_CO", IQ_LTM-8, $L$2, $L$4, $L$3, $L$5, $L$6)</f>
        <v>(Invalid Identifier)</v>
      </c>
      <c r="AV51" s="413" t="str">
        <f>_xll.ciqfunctions.udf.CIQ($A51, "IQ_EARNING_CO", IQ_LTM-4, $L$2, $L$4, $L$3, $L$5, $L$6)</f>
        <v>(Invalid Identifier)</v>
      </c>
      <c r="AW51" s="413" t="str">
        <f>_xll.ciqfunctions.udf.CIQ($A51, "IQ_EARNING_CO", IQ_LTM, $L$2, $L$4, $L$3, $L$5, $L$6)</f>
        <v>(Invalid Identifier)</v>
      </c>
      <c r="AX51" s="413" t="str">
        <f>_xll.ciqfunctions.udf.CIQ($A51, "IQ_EARNING_CO", $B$2, $L$2, $L$4, $L$3, $L$5, $L$6)</f>
        <v>(Invalid Identifier)</v>
      </c>
      <c r="AY51" s="413" t="str">
        <f>IF(_xll.ciqfunctions.udf.CIQ($A51, "IQ_EARNING_CO", $B$3, $L$2,$L$4, $L$3, $L$5, $L$6)=0,AW51,_xll.ciqfunctions.udf.CIQ($A51, "IQ_EARNING_CO", $B$3, $L$2,$L$4, $L$3, $L$5, $L$6))</f>
        <v>(Invalid Identifier)</v>
      </c>
      <c r="AZ51" s="413" t="str">
        <f>_xll.ciqfunctions.udf.CIQ($A51, "IQ_TOTAL_EQUITY", IQ_LTM-8, $L$2, $L$4, $L$3, $L$5, $L$6)</f>
        <v>(Invalid Identifier)</v>
      </c>
      <c r="BA51" s="413" t="str">
        <f>_xll.ciqfunctions.udf.CIQ($A51, "IQ_TOTAL_EQUITY", IQ_LTM-4, $L$2, $L$4, $L$3, $L$5, $L$6)</f>
        <v>(Invalid Identifier)</v>
      </c>
      <c r="BB51" s="413" t="str">
        <f>_xll.ciqfunctions.udf.CIQ($A51, "IQ_TOTAL_EQUITY", IQ_LTM, $L$2, $L$4, $L$3, $L$5, $L$6)</f>
        <v>(Invalid Identifier)</v>
      </c>
      <c r="BC51" s="413" t="str">
        <f>_xll.ciqfunctions.udf.CIQ($A51, "IQ_TOTAL_EQUITY", $B$2, $L$2, $L$4, $L$3, $L$5, $L$6)</f>
        <v>(Invalid Identifier)</v>
      </c>
      <c r="BD51" s="413" t="str">
        <f>IF(_xll.ciqfunctions.udf.CIQ($A51, "IQ_TOTAL_EQUITY", $B$3, $L$2,$L$4, $L$3, $L$5, $L$6)=0,BB51,_xll.ciqfunctions.udf.CIQ($A51, "IQ_TOTAL_EQUITY", $B$3, $L$2,$L$4, $L$3, $L$5, $L$6))</f>
        <v>(Invalid Identifier)</v>
      </c>
      <c r="BE51" s="413" t="str">
        <f>_xll.ciqfunctions.udf.CIQ(A51, "IQ_LASTSALEPRICE", $B$8)</f>
        <v>(Invalid Identifier)</v>
      </c>
      <c r="BF51" s="413" t="str">
        <f>_xll.ciqfunctions.udf.CIQ($A51, "IQ_MARKETCAP", $B$8, $L$5, $L$6)</f>
        <v>(Invalid Identifier)</v>
      </c>
      <c r="BG51" s="413" t="str">
        <f>_xll.ciqfunctions.udf.CIQ($A51, "IQ_TOTAL_DEBT", IQ_LTM, $B$8,$L$4, $L$3, $L$5, $L$6)</f>
        <v>(Invalid Identifier)</v>
      </c>
      <c r="BH51" s="371" t="str">
        <f>_xll.ciqfunctions.udf.CIQ($A51,"IQ_PREF_EQUITY",IQ_LTM,$B$8,$L$4,$L$3,$L$5,$L$6)</f>
        <v>(Invalid Identifier)</v>
      </c>
      <c r="BI51" s="371" t="str">
        <f>_xll.ciqfunctions.udf.CIQ($A51, "IQ_MINORITY_INTEREST_TOTAL", IQ_LTM,$B$8,$L$4,$L$3,$L$5,$L$6)</f>
        <v>(Invalid Identifier)</v>
      </c>
      <c r="BJ51" s="413" t="str">
        <f>_xll.ciqfunctions.udf.CIQ($A51, "IQ_CASH_ST_INVEST", IQ_LTM, $B$8, $L$4, $L$3, $L$5, $L$6)</f>
        <v>(Invalid Identifier)</v>
      </c>
      <c r="BK51" s="371" t="str">
        <f>_xll.ciqfunctions.udf.CIQ($A51, "IQ_EFFECT_TAX_RATE")</f>
        <v>(Invalid Identifier)</v>
      </c>
      <c r="BL51" s="371" t="e">
        <f>IF(_xll.ciqfunctions.udf.CIQ($A51, "IQ_TOTAL_REV_2YR_ANN_CAGR", IQ_LTM, $B$1,$L$4, $L$3, $L$5, $L$6)="NM","n/a",(_xll.ciqfunctions.udf.CIQ($A51, "IQ_TOTAL_REV_2YR_ANN_CAGR", IQ_LTM, $B$1,$L$4, $L$3, $L$5, $L$6)/100))</f>
        <v>#VALUE!</v>
      </c>
      <c r="BM51" s="371" t="e">
        <f>IF(_xll.ciqfunctions.udf.CIQ($A51, "IQ_TOTAL_REV_3YR_ANN_CAGR", IQ_LTM, $B$1,$L$4, $L$3, $L$5, $L$6)="NM","n/a",(_xll.ciqfunctions.udf.CIQ($A51, "IQ_TOTAL_REV_3YR_ANN_CAGR", IQ_LTM, $B$1,$L$4, $L$3, $L$5, $L$6)/100))</f>
        <v>#VALUE!</v>
      </c>
      <c r="BN51" s="371" t="e">
        <f>IF(_xll.ciqfunctions.udf.CIQ($A51, "IQ_TOTAL_REV_5YR_ANN_CAGR", IQ_LTM, $B$1,$L$4, $L$3, $L$5, $L$6)="NM","n/a",(_xll.ciqfunctions.udf.CIQ($A51, "IQ_TOTAL_REV_5YR_ANN_CAGR", IQ_LTM, $B$1,$L$4, $L$3, $L$5, $L$6)/100))</f>
        <v>#VALUE!</v>
      </c>
      <c r="BO51" s="371" t="e">
        <f>IF(_xll.ciqfunctions.udf.CIQ($A51,"IQ_EBITDA_2YR_ANN_CAGR", IQ_LTM,$B$1,$L$4, $L$3, $L$5, $L$6)="NM","n/a",(_xll.ciqfunctions.udf.CIQ($A51,"IQ_EBITDA_2YR_ANN_CAGR", IQ_LTM,$B$1,$L$4, $L$3, $L$5, $L$6)/100))</f>
        <v>#VALUE!</v>
      </c>
      <c r="BP51" s="371" t="e">
        <f>IF(_xll.ciqfunctions.udf.CIQ($A51,"IQ_EBITDA_3YR_ANN_CAGR", IQ_LTM,$B$1,$L$4, $L$3, $L$5, $L$6)="NM","n/a",(_xll.ciqfunctions.udf.CIQ($A51,"IQ_EBITDA_3YR_ANN_CAGR", IQ_LTM,$B$1,$L$4, $L$3, $L$5, $L$6)/100))</f>
        <v>#VALUE!</v>
      </c>
      <c r="BQ51" s="371" t="e">
        <f>IF(_xll.ciqfunctions.udf.CIQ($A51,"IQ_EBITDA_5YR_ANN_CAGR", IQ_LTM,$B$1,$L$4, $L$3, $L$5, $L$6)="NM","n/a",(_xll.ciqfunctions.udf.CIQ($A51,"IQ_EBITDA_5YR_ANN_CAGR", IQ_LTM,$B$1,$L$4, $L$3, $L$5, $L$6)/100))</f>
        <v>#VALUE!</v>
      </c>
      <c r="BR51" s="375" t="str">
        <f>IFERROR((_xll.ciqfunctions.udf.CIQ($A51, "IQ_DA_CF", IQ_LTM, $B$1, $L$4, $L$3, $L$5, $L$6)/Q51),"NM")</f>
        <v>NM</v>
      </c>
      <c r="BS51" s="414" t="e">
        <f>'Capital IQ Sheet-GPC'!BS51</f>
        <v>#VALUE!</v>
      </c>
      <c r="BT51" s="414" t="e">
        <f>'Capital IQ Sheet-GPC'!BT51</f>
        <v>#VALUE!</v>
      </c>
      <c r="BU51" s="414" t="e">
        <f>'Capital IQ Sheet-GPC'!BU51</f>
        <v>#VALUE!</v>
      </c>
      <c r="BV51" s="414" t="e">
        <f>'Capital IQ Sheet-GPC'!BV51</f>
        <v>#VALUE!</v>
      </c>
      <c r="BW51" s="414" t="e">
        <f>'Capital IQ Sheet-GPC'!BW51</f>
        <v>#VALUE!</v>
      </c>
      <c r="BX51" s="414" t="e">
        <f>'Capital IQ Sheet-GPC'!BX51</f>
        <v>#VALUE!</v>
      </c>
      <c r="BY51" s="414" t="e">
        <f>'Capital IQ Sheet-GPC'!BY51</f>
        <v>#VALUE!</v>
      </c>
      <c r="BZ51" s="414" t="e">
        <f>'Capital IQ Sheet-GPC'!BZ51</f>
        <v>#VALUE!</v>
      </c>
    </row>
    <row r="52" spans="1:83">
      <c r="A52" s="372" t="str">
        <f>_xll.ciqfunctions.udf.CIQ($B52,"IQ_COMPANY_TICKER")</f>
        <v>(Invalid Identifier)</v>
      </c>
      <c r="B52" s="412" t="str">
        <f>'Capital IQ Sheet-GPC'!B52</f>
        <v>(Invalid Identifier)</v>
      </c>
      <c r="C52" s="372" t="str">
        <f>_xll.ciqfunctions.udf.CIQ($A52,"IQ_COMPANY_NAME")</f>
        <v>(Invalid Identifier)</v>
      </c>
      <c r="D52" s="372" t="str">
        <f>_xll.ciqfunctions.udf.CIQ($A52, "IQ_EXCHANGE")</f>
        <v>(Invalid Identifier)</v>
      </c>
      <c r="E52" s="411" t="str">
        <f>_xll.ciqfunctions.udf.CIQ($A52, "IQ_PERIODDATE_IS", IQ_FY)</f>
        <v>(Invalid Identifier)</v>
      </c>
      <c r="F52" s="411" t="str">
        <f>_xll.ciqfunctions.udf.CIQ(A52, "IQ_PERIODDATE_IS", IQ_LTM, $B$1,$L$4,$L$3)</f>
        <v>(Invalid Identifier)</v>
      </c>
      <c r="G52" s="411" t="str">
        <f>_xll.ciqfunctions.udf.CIQ($A52, "IQ_FIRSTPRICINGDATE")</f>
        <v>(Invalid Identifier)</v>
      </c>
      <c r="H52" s="413" t="str">
        <f>_xll.ciqfunctions.udf.CIQ($A52, "IQ_TEV", $L$2, $L$5, $L$6)</f>
        <v>(Invalid Identifier)</v>
      </c>
      <c r="I52" s="413" t="str">
        <f>_xll.ciqfunctions.udf.CIQ(A52, "IQ_LASTSALEPRICE", $B$1,$L$5)</f>
        <v>(Invalid Identifier)</v>
      </c>
      <c r="J52" s="411" t="str">
        <f>_xll.ciqfunctions.udf.CIQ($B52, "IQ_FIRSTPRICINGDATE")</f>
        <v>(Invalid Identifier)</v>
      </c>
      <c r="K52" s="413" t="str">
        <f>_xll.ciqfunctions.udf.CIQ($A52, "IQ_TOTAL_DEBT", IQ_LTM, $L$2,$L$4, $L$3, $L$5, $L$6)</f>
        <v>(Invalid Identifier)</v>
      </c>
      <c r="L52" s="413" t="str">
        <f>_xll.ciqfunctions.udf.CIQ($A52, "IQ_PREF_EQUITY", IQ_LTM, $L$2, $L$4, $L$3, $L$5, $L$6)</f>
        <v>(Invalid Identifier)</v>
      </c>
      <c r="M52" s="413" t="str">
        <f>_xll.ciqfunctions.udf.CIQ($A52, "IQ_MINORITY_INTEREST_TOTAL", IQ_LTM, $L$2, $L$4, $L$3, $L$5, $L$6)</f>
        <v>(Invalid Identifier)</v>
      </c>
      <c r="N52" s="413" t="str">
        <f>_xll.ciqfunctions.udf.CIQ($A52, "IQ_CASH_ST_INVEST", IQ_LTM, $L$2, $L$4, $L$3, $L$5, $L$6)</f>
        <v>(Invalid Identifier)</v>
      </c>
      <c r="O52" s="413" t="str">
        <f>_xll.ciqfunctions.udf.CIQ($A52, "IQ_TOTAL_REV", IQ_LTM-8, $L$2, $L$4, $L$3, $L$5, $L$6)</f>
        <v>(Invalid Identifier)</v>
      </c>
      <c r="P52" s="413" t="str">
        <f>_xll.ciqfunctions.udf.CIQ($A52, "IQ_TOTAL_REV", IQ_LTM - 4, $L$2, $L$4, $L$3, $L$5,$L$6)</f>
        <v>(Invalid Identifier)</v>
      </c>
      <c r="Q52" s="413" t="str">
        <f>_xll.ciqfunctions.udf.CIQ($A52, "IQ_TOTAL_REV", IQ_LTM, $L$2, $L$4, $L$3, $L$5, $L$6)</f>
        <v>(Invalid Identifier)</v>
      </c>
      <c r="R52" s="413" t="str">
        <f>_xll.ciqfunctions.udf.CIQ($A52, "IQ_TOTAL_REV", $B$2, $L$2, $L$4, $L$3, $L$5, $L$6)</f>
        <v>(Invalid Identifier)</v>
      </c>
      <c r="S52" s="413" t="str">
        <f>IF(_xll.ciqfunctions.udf.CIQ($A52, "IQ_TOTAL_REV", $B$3, $L$2,$L$4, $L$3, $L$5, $L$6)=0,Q52,_xll.ciqfunctions.udf.CIQ($A52, "IQ_TOTAL_REV", $B$3, $L$2,$L$4, $L$3, $L$5, $L$6))</f>
        <v>(Invalid Identifier)</v>
      </c>
      <c r="T52" s="413" t="str">
        <f>IF(_xll.ciqfunctions.udf.CIQ($A52, "IQ_REVENUE_EST",$B$4, $L$2, "CON", $L$3, $L$5, $L$6)=0,"n/a",_xll.ciqfunctions.udf.CIQ($A52, "IQ_REVENUE_EST",$B$4, $L$2, "CON", $L$3, $L$5, $L$6))</f>
        <v>(Invalid Identifier)</v>
      </c>
      <c r="U52" s="413" t="str">
        <f>IF(_xll.ciqfunctions.udf.CIQ($A52, "IQ_REVENUE_EST",$B$5, $L$2, "CON", $L$3, $L$5, $L$6)=0,"n/a",_xll.ciqfunctions.udf.CIQ($A52, "IQ_REVENUE_EST",$B$5, $L$2, "CON", $L$3, $L$5, $L$6))</f>
        <v>(Invalid Identifier)</v>
      </c>
      <c r="V52" s="413" t="str">
        <f>IF(_xll.ciqfunctions.udf.CIQ($A52, "IQ_REVENUE_EST",$B$6, $L$2, "CON", $L$3, $L$5, $L$6)=0,"n/a",_xll.ciqfunctions.udf.CIQ($A52, "IQ_REVENUE_EST",$B$6, $L$2, "CON", $L$3, $L$5, $L$6))</f>
        <v>(Invalid Identifier)</v>
      </c>
      <c r="W52" s="413" t="str">
        <f>IF(_xll.ciqfunctions.udf.CIQ($A52, "IQ_REVENUE_EST", $B$7, $L$2, "CON", $L$3, $L$5, $L$6)=0,"n/a",_xll.ciqfunctions.udf.CIQ($A52, "IQ_REVENUE_EST",$B$7, $L$2, "CON", $L$3, $L$5, $L$6))</f>
        <v>(Invalid Identifier)</v>
      </c>
      <c r="X52" s="413" t="str">
        <f>_xll.ciqfunctions.udf.CIQ($A52, "IQ_EBITDA", IQ_LTM-8, $L$2, $L$4, $L$3, $L$5, $L$6)</f>
        <v>(Invalid Identifier)</v>
      </c>
      <c r="Y52" s="413" t="str">
        <f>_xll.ciqfunctions.udf.CIQ($A52, "IQ_EBITDA", IQ_LTM-4, $L$2,$L$4, $L$3, $L$5, $L$6)</f>
        <v>(Invalid Identifier)</v>
      </c>
      <c r="Z52" s="413" t="str">
        <f>_xll.ciqfunctions.udf.CIQ($A52, "IQ_EBITDA", IQ_LTM, $L$2, $L$4, $L$3, $L$5, $L$6)</f>
        <v>(Invalid Identifier)</v>
      </c>
      <c r="AA52" s="413" t="str">
        <f>_xll.ciqfunctions.udf.CIQ($A52, "IQ_EBITDA", $B$2, $L$2, $L$4, $L$3, $L$5, $L$6)</f>
        <v>(Invalid Identifier)</v>
      </c>
      <c r="AB52" s="413" t="str">
        <f>IF(_xll.ciqfunctions.udf.CIQ($A52, "IQ_EBITDA", $B$3, $L$2,$L$4, $L$3, $L$5, $L$6)=0,Z52,_xll.ciqfunctions.udf.CIQ($A52, "IQ_EBITDA", $B$3, $L$2,$L$4, $L$3, $L$5, $L$6))</f>
        <v>(Invalid Identifier)</v>
      </c>
      <c r="AC52" s="413" t="str">
        <f>IF(_xll.ciqfunctions.udf.CIQ($A52, "IQ_EBITDA_EST",$B$4, $L$2, "CON", $L$3, $L$5, $L$6)=0,"n/a",_xll.ciqfunctions.udf.CIQ($A52, "IQ_EBITDA_EST",$B$4, $L$2, "CON", $L$3, $L$5, $L$6))</f>
        <v>(Invalid Identifier)</v>
      </c>
      <c r="AD52" s="372" t="str">
        <f>IF(_xll.ciqfunctions.udf.CIQ($A52, "IQ_EBITDA_EST",$B$5, $L$2, "CON", $L$3, $L$5, $L$6)=0,"n/a",_xll.ciqfunctions.udf.CIQ($A52, "IQ_EBITDA_EST",$B$5, $L$2, "CON", $L$3, $L$5, $L$6))</f>
        <v>(Invalid Identifier)</v>
      </c>
      <c r="AE52" s="413" t="str">
        <f>IF(_xll.ciqfunctions.udf.CIQ($A52, "IQ_EBITDA_EST",$B$6, $L$2, "CON", $L$3, $L$5, $L$6)=0,"n/a",_xll.ciqfunctions.udf.CIQ($A52, "IQ_EBITDA_EST",$B$6, $L$2, "CON", $L$3, $L$5, $L$6))</f>
        <v>(Invalid Identifier)</v>
      </c>
      <c r="AF52" s="414" t="str">
        <f>IF(ISERROR(_xll.ciqfunctions.udf.CIQ($A52, "IQ_GROSS_MARGIN", IQ_LTM, $L$2,$L$4, $L$3, $L$5, $L$6)/100), "n/a", _xll.ciqfunctions.udf.CIQ($A52,  "IQ_GROSS_MARGIN", IQ_LTM, $L$2, $L$4, $L$3, $L$5, $L$6)/100)</f>
        <v>n/a</v>
      </c>
      <c r="AG52" s="414" t="str">
        <f>IF(ISERROR(_xll.ciqfunctions.udf.CIQ($A52,"IQ_EBITDA_MARGIN", IQ_LTM, $L$2, $L$4, $L$3, $L$5, $L$6)/100), "n/a", _xll.ciqfunctions.udf.CIQ($A52, "IQ_EBITDA_MARGIN", IQ_LTM, $L$2, $L$4, $L$3, $L$5, $L$6)/100)</f>
        <v>n/a</v>
      </c>
      <c r="AH52" s="414" t="str">
        <f>IF(ISERROR(_xll.ciqfunctions.udf.CIQ($A52,"IQ_EBIT_MARGIN", IQ_LTM, $L$2, $L$4, $L$3, $L$5, $L$6)/100), "n/a", _xll.ciqfunctions.udf.CIQ($A52, "IQ_EBIT_MARGIN", IQ_LTM, $L$2, $L$4, $L$3, $L$5, $L$6)/100)</f>
        <v>n/a</v>
      </c>
      <c r="AI52" s="414" t="str">
        <f>IF(ISERROR(_xll.ciqfunctions.udf.CIQ($A52,"IQ_NI_MARGIN", IQ_LTM, $L$2, $L$4, $L$3, $L$5, $L$6)/100), "n/a", _xll.ciqfunctions.udf.CIQ($A52, "IQ_NI_MARGIN", IQ_LTM, $L$2, $L$4, $L$3, $L$5, $L$6)/100)</f>
        <v>n/a</v>
      </c>
      <c r="AJ52" s="413" t="e">
        <f>_xll.ciqfunctions.udf.CIQ($A52,"IQ_TOTAL_CA",IQ_LTM-8,$L$2, $L$4, $L$3, $L$5, $L$6)-_xll.ciqfunctions.udf.CIQ($A52,"IQ_TOTAL_CL",IQ_LTM-8,$L$2, $L$4, $L$3, $L$5, $L$6)</f>
        <v>#VALUE!</v>
      </c>
      <c r="AK52" s="413" t="e">
        <f>_xll.ciqfunctions.udf.CIQ($A52,"IQ_TOTAL_CA",IQ_LTM-4,$L$2, $L$4, $L$3, $L$5, $L$6)-_xll.ciqfunctions.udf.CIQ($A52,"IQ_TOTAL_CL",IQ_LTM-4,$L$2, $L$4, $L$3, $L$5, $L$6)</f>
        <v>#VALUE!</v>
      </c>
      <c r="AL52" s="413" t="e">
        <f>_xll.ciqfunctions.udf.CIQ($A52,"IQ_TOTAL_CA",IQ_LTM,$L$2, $L$4, $L$3, $L$5, $L$6)-_xll.ciqfunctions.udf.CIQ($A52,"IQ_TOTAL_CL",IQ_LTM,$L$2, $L$4, $L$3, $L$5, $L$6)</f>
        <v>#VALUE!</v>
      </c>
      <c r="AM52" s="413" t="str">
        <f>IF(ISERROR(_xll.ciqfunctions.udf.CIQ($A52, "IQ_Capex", IQ_LTM-8, $L$2,$L$4, $L$3, $L$5, $L$6)), "n/a", _xll.ciqfunctions.udf.CIQ($A52, "IQ_Capex", IQ_LTM-8, $L$2, $L$4, $L$3, $L$5, $L$6))</f>
        <v>(Invalid Identifier)</v>
      </c>
      <c r="AN52" s="413" t="str">
        <f>IF(ISERROR(_xll.ciqfunctions.udf.CIQ($A52, "IQ_Capex", IQ_LTM-4, $L$2,$L$4, $L$3, $L$5, $L$6)), "n/a", _xll.ciqfunctions.udf.CIQ($A52, "IQ_Capex", IQ_LTM-4, $L$2,$L$4, $L$3, $L$5, $L$6))</f>
        <v>(Invalid Identifier)</v>
      </c>
      <c r="AO52" s="413" t="str">
        <f>IF(ISERROR(_xll.ciqfunctions.udf.CIQ($A52, "IQ_Capex", IQ_LTM, $L$2, $L$4, $L$3, $L$5, $L$6)), "n/a", _xll.ciqfunctions.udf.CIQ($A52, "IQ_Capex", IQ_LTM, $L$2, $L$4, $L$3, $L$5, $L$6))</f>
        <v>(Invalid Identifier)</v>
      </c>
      <c r="AP52" s="415" t="str">
        <f>_xll.ciqfunctions.udf.CIQ(A52, "IQ_BUSINESS_DESCRIPTION")</f>
        <v>(Invalid Identifier)</v>
      </c>
      <c r="AQ52" s="416" t="str">
        <f>_xll.ciqfunctions.udf.CIQ($A52, "IQ_BETA_1YR", $B$1)</f>
        <v>(Invalid Identifier)</v>
      </c>
      <c r="AR52" s="416" t="str">
        <f>_xll.ciqfunctions.udf.CIQ($A52, "IQ_BETA_2YR", $B$1)</f>
        <v>(Invalid Identifier)</v>
      </c>
      <c r="AS52" s="416" t="str">
        <f>_xll.ciqfunctions.udf.CIQ($A52, "IQ_BETA_5YR", $B$1)</f>
        <v>(Invalid Identifier)</v>
      </c>
      <c r="AT52" s="372" t="str">
        <f>_xll.ciqfunctions.udf.CIQ($B52, "IQ_GP", IQ_LTM,$B$1, ,,"USD")</f>
        <v>(Invalid Identifier)</v>
      </c>
      <c r="AU52" s="413" t="str">
        <f>_xll.ciqfunctions.udf.CIQ($A52, "IQ_EARNING_CO", IQ_LTM-8, $L$2, $L$4, $L$3, $L$5, $L$6)</f>
        <v>(Invalid Identifier)</v>
      </c>
      <c r="AV52" s="413" t="str">
        <f>_xll.ciqfunctions.udf.CIQ($A52, "IQ_EARNING_CO", IQ_LTM-4, $L$2, $L$4, $L$3, $L$5, $L$6)</f>
        <v>(Invalid Identifier)</v>
      </c>
      <c r="AW52" s="413" t="str">
        <f>_xll.ciqfunctions.udf.CIQ($A52, "IQ_EARNING_CO", IQ_LTM, $L$2, $L$4, $L$3, $L$5, $L$6)</f>
        <v>(Invalid Identifier)</v>
      </c>
      <c r="AX52" s="413" t="str">
        <f>_xll.ciqfunctions.udf.CIQ($A52, "IQ_EARNING_CO", $B$2, $L$2, $L$4, $L$3, $L$5, $L$6)</f>
        <v>(Invalid Identifier)</v>
      </c>
      <c r="AY52" s="413" t="str">
        <f>IF(_xll.ciqfunctions.udf.CIQ($A52, "IQ_EARNING_CO", $B$3, $L$2,$L$4, $L$3, $L$5, $L$6)=0,AW52,_xll.ciqfunctions.udf.CIQ($A52, "IQ_EARNING_CO", $B$3, $L$2,$L$4, $L$3, $L$5, $L$6))</f>
        <v>(Invalid Identifier)</v>
      </c>
      <c r="AZ52" s="413" t="str">
        <f>_xll.ciqfunctions.udf.CIQ($A52, "IQ_TOTAL_EQUITY", IQ_LTM-8, $L$2, $L$4, $L$3, $L$5, $L$6)</f>
        <v>(Invalid Identifier)</v>
      </c>
      <c r="BA52" s="413" t="str">
        <f>_xll.ciqfunctions.udf.CIQ($A52, "IQ_TOTAL_EQUITY", IQ_LTM-4, $L$2, $L$4, $L$3, $L$5, $L$6)</f>
        <v>(Invalid Identifier)</v>
      </c>
      <c r="BB52" s="413" t="str">
        <f>_xll.ciqfunctions.udf.CIQ($A52, "IQ_TOTAL_EQUITY", IQ_LTM, $L$2, $L$4, $L$3, $L$5, $L$6)</f>
        <v>(Invalid Identifier)</v>
      </c>
      <c r="BC52" s="413" t="str">
        <f>_xll.ciqfunctions.udf.CIQ($A52, "IQ_TOTAL_EQUITY", $B$2, $L$2, $L$4, $L$3, $L$5, $L$6)</f>
        <v>(Invalid Identifier)</v>
      </c>
      <c r="BD52" s="413" t="str">
        <f>IF(_xll.ciqfunctions.udf.CIQ($A52, "IQ_TOTAL_EQUITY", $B$3, $L$2,$L$4, $L$3, $L$5, $L$6)=0,BB52,_xll.ciqfunctions.udf.CIQ($A52, "IQ_TOTAL_EQUITY", $B$3, $L$2,$L$4, $L$3, $L$5, $L$6))</f>
        <v>(Invalid Identifier)</v>
      </c>
      <c r="BE52" s="413" t="str">
        <f>_xll.ciqfunctions.udf.CIQ(A52, "IQ_LASTSALEPRICE", $B$8)</f>
        <v>(Invalid Identifier)</v>
      </c>
      <c r="BF52" s="413" t="str">
        <f>_xll.ciqfunctions.udf.CIQ($A52, "IQ_MARKETCAP", $B$8, $L$5, $L$6)</f>
        <v>(Invalid Identifier)</v>
      </c>
      <c r="BG52" s="413" t="str">
        <f>_xll.ciqfunctions.udf.CIQ($A52, "IQ_TOTAL_DEBT", IQ_LTM, $B$8,$L$4, $L$3, $L$5, $L$6)</f>
        <v>(Invalid Identifier)</v>
      </c>
      <c r="BH52" s="371" t="str">
        <f>_xll.ciqfunctions.udf.CIQ($A52,"IQ_PREF_EQUITY",IQ_LTM,$B$8,$L$4,$L$3,$L$5,$L$6)</f>
        <v>(Invalid Identifier)</v>
      </c>
      <c r="BI52" s="371" t="str">
        <f>_xll.ciqfunctions.udf.CIQ($A52, "IQ_MINORITY_INTEREST_TOTAL", IQ_LTM,$B$8,$L$4,$L$3,$L$5,$L$6)</f>
        <v>(Invalid Identifier)</v>
      </c>
      <c r="BJ52" s="413" t="str">
        <f>_xll.ciqfunctions.udf.CIQ($A52, "IQ_CASH_ST_INVEST", IQ_LTM, $B$8, $L$4, $L$3, $L$5, $L$6)</f>
        <v>(Invalid Identifier)</v>
      </c>
      <c r="BK52" s="371" t="str">
        <f>_xll.ciqfunctions.udf.CIQ($A52, "IQ_EFFECT_TAX_RATE")</f>
        <v>(Invalid Identifier)</v>
      </c>
      <c r="BL52" s="371" t="e">
        <f>IF(_xll.ciqfunctions.udf.CIQ($A52, "IQ_TOTAL_REV_2YR_ANN_CAGR", IQ_LTM, $B$1,$L$4, $L$3, $L$5, $L$6)="NM","n/a",(_xll.ciqfunctions.udf.CIQ($A52, "IQ_TOTAL_REV_2YR_ANN_CAGR", IQ_LTM, $B$1,$L$4, $L$3, $L$5, $L$6)/100))</f>
        <v>#VALUE!</v>
      </c>
      <c r="BM52" s="371" t="e">
        <f>IF(_xll.ciqfunctions.udf.CIQ($A52, "IQ_TOTAL_REV_3YR_ANN_CAGR", IQ_LTM, $B$1,$L$4, $L$3, $L$5, $L$6)="NM","n/a",(_xll.ciqfunctions.udf.CIQ($A52, "IQ_TOTAL_REV_3YR_ANN_CAGR", IQ_LTM, $B$1,$L$4, $L$3, $L$5, $L$6)/100))</f>
        <v>#VALUE!</v>
      </c>
      <c r="BN52" s="371" t="e">
        <f>IF(_xll.ciqfunctions.udf.CIQ($A52, "IQ_TOTAL_REV_5YR_ANN_CAGR", IQ_LTM, $B$1,$L$4, $L$3, $L$5, $L$6)="NM","n/a",(_xll.ciqfunctions.udf.CIQ($A52, "IQ_TOTAL_REV_5YR_ANN_CAGR", IQ_LTM, $B$1,$L$4, $L$3, $L$5, $L$6)/100))</f>
        <v>#VALUE!</v>
      </c>
      <c r="BO52" s="371" t="e">
        <f>IF(_xll.ciqfunctions.udf.CIQ($A52,"IQ_EBITDA_2YR_ANN_CAGR", IQ_LTM,$B$1,$L$4, $L$3, $L$5, $L$6)="NM","n/a",(_xll.ciqfunctions.udf.CIQ($A52,"IQ_EBITDA_2YR_ANN_CAGR", IQ_LTM,$B$1,$L$4, $L$3, $L$5, $L$6)/100))</f>
        <v>#VALUE!</v>
      </c>
      <c r="BP52" s="371" t="e">
        <f>IF(_xll.ciqfunctions.udf.CIQ($A52,"IQ_EBITDA_3YR_ANN_CAGR", IQ_LTM,$B$1,$L$4, $L$3, $L$5, $L$6)="NM","n/a",(_xll.ciqfunctions.udf.CIQ($A52,"IQ_EBITDA_3YR_ANN_CAGR", IQ_LTM,$B$1,$L$4, $L$3, $L$5, $L$6)/100))</f>
        <v>#VALUE!</v>
      </c>
      <c r="BQ52" s="371" t="e">
        <f>IF(_xll.ciqfunctions.udf.CIQ($A52,"IQ_EBITDA_5YR_ANN_CAGR", IQ_LTM,$B$1,$L$4, $L$3, $L$5, $L$6)="NM","n/a",(_xll.ciqfunctions.udf.CIQ($A52,"IQ_EBITDA_5YR_ANN_CAGR", IQ_LTM,$B$1,$L$4, $L$3, $L$5, $L$6)/100))</f>
        <v>#VALUE!</v>
      </c>
      <c r="BR52" s="375" t="str">
        <f>IFERROR((_xll.ciqfunctions.udf.CIQ($A52, "IQ_DA_CF", IQ_LTM, $B$1, $L$4, $L$3, $L$5, $L$6)/Q52),"NM")</f>
        <v>NM</v>
      </c>
      <c r="BS52" s="414" t="e">
        <f>'Capital IQ Sheet-GPC'!BS52</f>
        <v>#VALUE!</v>
      </c>
      <c r="BT52" s="414" t="e">
        <f>'Capital IQ Sheet-GPC'!BT52</f>
        <v>#VALUE!</v>
      </c>
      <c r="BU52" s="414" t="e">
        <f>'Capital IQ Sheet-GPC'!BU52</f>
        <v>#VALUE!</v>
      </c>
      <c r="BV52" s="414" t="e">
        <f>'Capital IQ Sheet-GPC'!BV52</f>
        <v>#VALUE!</v>
      </c>
      <c r="BW52" s="414" t="e">
        <f>'Capital IQ Sheet-GPC'!BW52</f>
        <v>#VALUE!</v>
      </c>
      <c r="BX52" s="414" t="e">
        <f>'Capital IQ Sheet-GPC'!BX52</f>
        <v>#VALUE!</v>
      </c>
      <c r="BY52" s="414" t="e">
        <f>'Capital IQ Sheet-GPC'!BY52</f>
        <v>#VALUE!</v>
      </c>
      <c r="BZ52" s="414" t="e">
        <f>'Capital IQ Sheet-GPC'!BZ52</f>
        <v>#VALUE!</v>
      </c>
    </row>
    <row r="53" spans="1:83">
      <c r="A53" s="372" t="str">
        <f>_xll.ciqfunctions.udf.CIQ($B53,"IQ_COMPANY_TICKER")</f>
        <v>(Invalid Identifier)</v>
      </c>
      <c r="B53" s="412" t="str">
        <f>'Capital IQ Sheet-GPC'!B53</f>
        <v>(Invalid Identifier)</v>
      </c>
      <c r="C53" s="372" t="str">
        <f>_xll.ciqfunctions.udf.CIQ($A53,"IQ_COMPANY_NAME")</f>
        <v>(Invalid Identifier)</v>
      </c>
      <c r="D53" s="372" t="str">
        <f>_xll.ciqfunctions.udf.CIQ($A53, "IQ_EXCHANGE")</f>
        <v>(Invalid Identifier)</v>
      </c>
      <c r="E53" s="411" t="str">
        <f>_xll.ciqfunctions.udf.CIQ($A53, "IQ_PERIODDATE_IS", IQ_FY)</f>
        <v>(Invalid Identifier)</v>
      </c>
      <c r="F53" s="411" t="str">
        <f>_xll.ciqfunctions.udf.CIQ(A53, "IQ_PERIODDATE_IS", IQ_LTM, $B$1,$L$4,$L$3)</f>
        <v>(Invalid Identifier)</v>
      </c>
      <c r="G53" s="411" t="str">
        <f>_xll.ciqfunctions.udf.CIQ($A53, "IQ_FIRSTPRICINGDATE")</f>
        <v>(Invalid Identifier)</v>
      </c>
      <c r="H53" s="413" t="str">
        <f>_xll.ciqfunctions.udf.CIQ($A53, "IQ_TEV", $L$2, $L$5, $L$6)</f>
        <v>(Invalid Identifier)</v>
      </c>
      <c r="I53" s="413" t="str">
        <f>_xll.ciqfunctions.udf.CIQ(A53, "IQ_LASTSALEPRICE", $B$1,$L$5)</f>
        <v>(Invalid Identifier)</v>
      </c>
      <c r="J53" s="411" t="str">
        <f>_xll.ciqfunctions.udf.CIQ($B53, "IQ_FIRSTPRICINGDATE")</f>
        <v>(Invalid Identifier)</v>
      </c>
      <c r="K53" s="413" t="str">
        <f>_xll.ciqfunctions.udf.CIQ($A53, "IQ_TOTAL_DEBT", IQ_LTM, $L$2,$L$4, $L$3, $L$5, $L$6)</f>
        <v>(Invalid Identifier)</v>
      </c>
      <c r="L53" s="413" t="str">
        <f>_xll.ciqfunctions.udf.CIQ($A53, "IQ_PREF_EQUITY", IQ_LTM, $L$2, $L$4, $L$3, $L$5, $L$6)</f>
        <v>(Invalid Identifier)</v>
      </c>
      <c r="M53" s="413" t="str">
        <f>_xll.ciqfunctions.udf.CIQ($A53, "IQ_MINORITY_INTEREST_TOTAL", IQ_LTM, $L$2, $L$4, $L$3, $L$5, $L$6)</f>
        <v>(Invalid Identifier)</v>
      </c>
      <c r="N53" s="413" t="str">
        <f>_xll.ciqfunctions.udf.CIQ($A53, "IQ_CASH_ST_INVEST", IQ_LTM, $L$2, $L$4, $L$3, $L$5, $L$6)</f>
        <v>(Invalid Identifier)</v>
      </c>
      <c r="O53" s="413" t="str">
        <f>_xll.ciqfunctions.udf.CIQ($A53, "IQ_TOTAL_REV", IQ_LTM-8, $L$2, $L$4, $L$3, $L$5, $L$6)</f>
        <v>(Invalid Identifier)</v>
      </c>
      <c r="P53" s="413" t="str">
        <f>_xll.ciqfunctions.udf.CIQ($A53, "IQ_TOTAL_REV", IQ_LTM - 4, $L$2, $L$4, $L$3, $L$5,$L$6)</f>
        <v>(Invalid Identifier)</v>
      </c>
      <c r="Q53" s="413" t="str">
        <f>_xll.ciqfunctions.udf.CIQ($A53, "IQ_TOTAL_REV", IQ_LTM, $L$2, $L$4, $L$3, $L$5, $L$6)</f>
        <v>(Invalid Identifier)</v>
      </c>
      <c r="R53" s="413" t="str">
        <f>_xll.ciqfunctions.udf.CIQ($A53, "IQ_TOTAL_REV", $B$2, $L$2, $L$4, $L$3, $L$5, $L$6)</f>
        <v>(Invalid Identifier)</v>
      </c>
      <c r="S53" s="413" t="str">
        <f>IF(_xll.ciqfunctions.udf.CIQ($A53, "IQ_TOTAL_REV", $B$3, $L$2,$L$4, $L$3, $L$5, $L$6)=0,Q53,_xll.ciqfunctions.udf.CIQ($A53, "IQ_TOTAL_REV", $B$3, $L$2,$L$4, $L$3, $L$5, $L$6))</f>
        <v>(Invalid Identifier)</v>
      </c>
      <c r="T53" s="413" t="str">
        <f>IF(_xll.ciqfunctions.udf.CIQ($A53, "IQ_REVENUE_EST",$B$4, $L$2, "CON", $L$3, $L$5, $L$6)=0,"n/a",_xll.ciqfunctions.udf.CIQ($A53, "IQ_REVENUE_EST",$B$4, $L$2, "CON", $L$3, $L$5, $L$6))</f>
        <v>(Invalid Identifier)</v>
      </c>
      <c r="U53" s="413" t="str">
        <f>IF(_xll.ciqfunctions.udf.CIQ($A53, "IQ_REVENUE_EST",$B$5, $L$2, "CON", $L$3, $L$5, $L$6)=0,"n/a",_xll.ciqfunctions.udf.CIQ($A53, "IQ_REVENUE_EST",$B$5, $L$2, "CON", $L$3, $L$5, $L$6))</f>
        <v>(Invalid Identifier)</v>
      </c>
      <c r="V53" s="413" t="str">
        <f>IF(_xll.ciqfunctions.udf.CIQ($A53, "IQ_REVENUE_EST",$B$6, $L$2, "CON", $L$3, $L$5, $L$6)=0,"n/a",_xll.ciqfunctions.udf.CIQ($A53, "IQ_REVENUE_EST",$B$6, $L$2, "CON", $L$3, $L$5, $L$6))</f>
        <v>(Invalid Identifier)</v>
      </c>
      <c r="W53" s="413" t="str">
        <f>IF(_xll.ciqfunctions.udf.CIQ($A53, "IQ_REVENUE_EST", $B$7, $L$2, "CON", $L$3, $L$5, $L$6)=0,"n/a",_xll.ciqfunctions.udf.CIQ($A53, "IQ_REVENUE_EST",$B$7, $L$2, "CON", $L$3, $L$5, $L$6))</f>
        <v>(Invalid Identifier)</v>
      </c>
      <c r="X53" s="413" t="str">
        <f>_xll.ciqfunctions.udf.CIQ($A53, "IQ_EBITDA", IQ_LTM-8, $L$2, $L$4, $L$3, $L$5, $L$6)</f>
        <v>(Invalid Identifier)</v>
      </c>
      <c r="Y53" s="413" t="str">
        <f>_xll.ciqfunctions.udf.CIQ($A53, "IQ_EBITDA", IQ_LTM-4, $L$2,$L$4, $L$3, $L$5, $L$6)</f>
        <v>(Invalid Identifier)</v>
      </c>
      <c r="Z53" s="413" t="str">
        <f>_xll.ciqfunctions.udf.CIQ($A53, "IQ_EBITDA", IQ_LTM, $L$2, $L$4, $L$3, $L$5, $L$6)</f>
        <v>(Invalid Identifier)</v>
      </c>
      <c r="AA53" s="413" t="str">
        <f>_xll.ciqfunctions.udf.CIQ($A53, "IQ_EBITDA", $B$2, $L$2, $L$4, $L$3, $L$5, $L$6)</f>
        <v>(Invalid Identifier)</v>
      </c>
      <c r="AB53" s="413" t="str">
        <f>IF(_xll.ciqfunctions.udf.CIQ($A53, "IQ_EBITDA", $B$3, $L$2,$L$4, $L$3, $L$5, $L$6)=0,Z53,_xll.ciqfunctions.udf.CIQ($A53, "IQ_EBITDA", $B$3, $L$2,$L$4, $L$3, $L$5, $L$6))</f>
        <v>(Invalid Identifier)</v>
      </c>
      <c r="AC53" s="413" t="str">
        <f>IF(_xll.ciqfunctions.udf.CIQ($A53, "IQ_EBITDA_EST",$B$4, $L$2, "CON", $L$3, $L$5, $L$6)=0,"n/a",_xll.ciqfunctions.udf.CIQ($A53, "IQ_EBITDA_EST",$B$4, $L$2, "CON", $L$3, $L$5, $L$6))</f>
        <v>(Invalid Identifier)</v>
      </c>
      <c r="AD53" s="372" t="str">
        <f>IF(_xll.ciqfunctions.udf.CIQ($A53, "IQ_EBITDA_EST",$B$5, $L$2, "CON", $L$3, $L$5, $L$6)=0,"n/a",_xll.ciqfunctions.udf.CIQ($A53, "IQ_EBITDA_EST",$B$5, $L$2, "CON", $L$3, $L$5, $L$6))</f>
        <v>(Invalid Identifier)</v>
      </c>
      <c r="AE53" s="413" t="str">
        <f>IF(_xll.ciqfunctions.udf.CIQ($A53, "IQ_EBITDA_EST",$B$6, $L$2, "CON", $L$3, $L$5, $L$6)=0,"n/a",_xll.ciqfunctions.udf.CIQ($A53, "IQ_EBITDA_EST",$B$6, $L$2, "CON", $L$3, $L$5, $L$6))</f>
        <v>(Invalid Identifier)</v>
      </c>
      <c r="AF53" s="414" t="str">
        <f>IF(ISERROR(_xll.ciqfunctions.udf.CIQ($A53, "IQ_GROSS_MARGIN", IQ_LTM, $L$2,$L$4, $L$3, $L$5, $L$6)/100), "n/a", _xll.ciqfunctions.udf.CIQ($A53,  "IQ_GROSS_MARGIN", IQ_LTM, $L$2, $L$4, $L$3, $L$5, $L$6)/100)</f>
        <v>n/a</v>
      </c>
      <c r="AG53" s="414" t="str">
        <f>IF(ISERROR(_xll.ciqfunctions.udf.CIQ($A53,"IQ_EBITDA_MARGIN", IQ_LTM, $L$2, $L$4, $L$3, $L$5, $L$6)/100), "n/a", _xll.ciqfunctions.udf.CIQ($A53, "IQ_EBITDA_MARGIN", IQ_LTM, $L$2, $L$4, $L$3, $L$5, $L$6)/100)</f>
        <v>n/a</v>
      </c>
      <c r="AH53" s="414" t="str">
        <f>IF(ISERROR(_xll.ciqfunctions.udf.CIQ($A53,"IQ_EBIT_MARGIN", IQ_LTM, $L$2, $L$4, $L$3, $L$5, $L$6)/100), "n/a", _xll.ciqfunctions.udf.CIQ($A53, "IQ_EBIT_MARGIN", IQ_LTM, $L$2, $L$4, $L$3, $L$5, $L$6)/100)</f>
        <v>n/a</v>
      </c>
      <c r="AI53" s="414" t="str">
        <f>IF(ISERROR(_xll.ciqfunctions.udf.CIQ($A53,"IQ_NI_MARGIN", IQ_LTM, $L$2, $L$4, $L$3, $L$5, $L$6)/100), "n/a", _xll.ciqfunctions.udf.CIQ($A53, "IQ_NI_MARGIN", IQ_LTM, $L$2, $L$4, $L$3, $L$5, $L$6)/100)</f>
        <v>n/a</v>
      </c>
      <c r="AJ53" s="413" t="e">
        <f>_xll.ciqfunctions.udf.CIQ($A53,"IQ_TOTAL_CA",IQ_LTM-8,$L$2, $L$4, $L$3, $L$5, $L$6)-_xll.ciqfunctions.udf.CIQ($A53,"IQ_TOTAL_CL",IQ_LTM-8,$L$2, $L$4, $L$3, $L$5, $L$6)</f>
        <v>#VALUE!</v>
      </c>
      <c r="AK53" s="413" t="e">
        <f>_xll.ciqfunctions.udf.CIQ($A53,"IQ_TOTAL_CA",IQ_LTM-4,$L$2, $L$4, $L$3, $L$5, $L$6)-_xll.ciqfunctions.udf.CIQ($A53,"IQ_TOTAL_CL",IQ_LTM-4,$L$2, $L$4, $L$3, $L$5, $L$6)</f>
        <v>#VALUE!</v>
      </c>
      <c r="AL53" s="413" t="e">
        <f>_xll.ciqfunctions.udf.CIQ($A53,"IQ_TOTAL_CA",IQ_LTM,$L$2, $L$4, $L$3, $L$5, $L$6)-_xll.ciqfunctions.udf.CIQ($A53,"IQ_TOTAL_CL",IQ_LTM,$L$2, $L$4, $L$3, $L$5, $L$6)</f>
        <v>#VALUE!</v>
      </c>
      <c r="AM53" s="413" t="str">
        <f>IF(ISERROR(_xll.ciqfunctions.udf.CIQ($A53, "IQ_Capex", IQ_LTM-8, $L$2,$L$4, $L$3, $L$5, $L$6)), "n/a", _xll.ciqfunctions.udf.CIQ($A53, "IQ_Capex", IQ_LTM-8, $L$2, $L$4, $L$3, $L$5, $L$6))</f>
        <v>(Invalid Identifier)</v>
      </c>
      <c r="AN53" s="413" t="str">
        <f>IF(ISERROR(_xll.ciqfunctions.udf.CIQ($A53, "IQ_Capex", IQ_LTM-4, $L$2,$L$4, $L$3, $L$5, $L$6)), "n/a", _xll.ciqfunctions.udf.CIQ($A53, "IQ_Capex", IQ_LTM-4, $L$2,$L$4, $L$3, $L$5, $L$6))</f>
        <v>(Invalid Identifier)</v>
      </c>
      <c r="AO53" s="413" t="str">
        <f>IF(ISERROR(_xll.ciqfunctions.udf.CIQ($A53, "IQ_Capex", IQ_LTM, $L$2, $L$4, $L$3, $L$5, $L$6)), "n/a", _xll.ciqfunctions.udf.CIQ($A53, "IQ_Capex", IQ_LTM, $L$2, $L$4, $L$3, $L$5, $L$6))</f>
        <v>(Invalid Identifier)</v>
      </c>
      <c r="AP53" s="415" t="str">
        <f>_xll.ciqfunctions.udf.CIQ(A53, "IQ_BUSINESS_DESCRIPTION")</f>
        <v>(Invalid Identifier)</v>
      </c>
      <c r="AQ53" s="416" t="str">
        <f>_xll.ciqfunctions.udf.CIQ($A53, "IQ_BETA_1YR", $B$1)</f>
        <v>(Invalid Identifier)</v>
      </c>
      <c r="AR53" s="416" t="str">
        <f>_xll.ciqfunctions.udf.CIQ($A53, "IQ_BETA_2YR", $B$1)</f>
        <v>(Invalid Identifier)</v>
      </c>
      <c r="AS53" s="416" t="str">
        <f>_xll.ciqfunctions.udf.CIQ($A53, "IQ_BETA_5YR", $B$1)</f>
        <v>(Invalid Identifier)</v>
      </c>
      <c r="AT53" s="372" t="str">
        <f>_xll.ciqfunctions.udf.CIQ($B53, "IQ_GP", IQ_LTM,$B$1, ,,"USD")</f>
        <v>(Invalid Identifier)</v>
      </c>
      <c r="AU53" s="413" t="str">
        <f>_xll.ciqfunctions.udf.CIQ($A53, "IQ_EARNING_CO", IQ_LTM-8, $L$2, $L$4, $L$3, $L$5, $L$6)</f>
        <v>(Invalid Identifier)</v>
      </c>
      <c r="AV53" s="413" t="str">
        <f>_xll.ciqfunctions.udf.CIQ($A53, "IQ_EARNING_CO", IQ_LTM-4, $L$2, $L$4, $L$3, $L$5, $L$6)</f>
        <v>(Invalid Identifier)</v>
      </c>
      <c r="AW53" s="413" t="str">
        <f>_xll.ciqfunctions.udf.CIQ($A53, "IQ_EARNING_CO", IQ_LTM, $L$2, $L$4, $L$3, $L$5, $L$6)</f>
        <v>(Invalid Identifier)</v>
      </c>
      <c r="AX53" s="413" t="str">
        <f>_xll.ciqfunctions.udf.CIQ($A53, "IQ_EARNING_CO", $B$2, $L$2, $L$4, $L$3, $L$5, $L$6)</f>
        <v>(Invalid Identifier)</v>
      </c>
      <c r="AY53" s="413" t="str">
        <f>IF(_xll.ciqfunctions.udf.CIQ($A53, "IQ_EARNING_CO", $B$3, $L$2,$L$4, $L$3, $L$5, $L$6)=0,AW53,_xll.ciqfunctions.udf.CIQ($A53, "IQ_EARNING_CO", $B$3, $L$2,$L$4, $L$3, $L$5, $L$6))</f>
        <v>(Invalid Identifier)</v>
      </c>
      <c r="AZ53" s="413" t="str">
        <f>_xll.ciqfunctions.udf.CIQ($A53, "IQ_TOTAL_EQUITY", IQ_LTM-8, $L$2, $L$4, $L$3, $L$5, $L$6)</f>
        <v>(Invalid Identifier)</v>
      </c>
      <c r="BA53" s="413" t="str">
        <f>_xll.ciqfunctions.udf.CIQ($A53, "IQ_TOTAL_EQUITY", IQ_LTM-4, $L$2, $L$4, $L$3, $L$5, $L$6)</f>
        <v>(Invalid Identifier)</v>
      </c>
      <c r="BB53" s="413" t="str">
        <f>_xll.ciqfunctions.udf.CIQ($A53, "IQ_TOTAL_EQUITY", IQ_LTM, $L$2, $L$4, $L$3, $L$5, $L$6)</f>
        <v>(Invalid Identifier)</v>
      </c>
      <c r="BC53" s="413" t="str">
        <f>_xll.ciqfunctions.udf.CIQ($A53, "IQ_TOTAL_EQUITY", $B$2, $L$2, $L$4, $L$3, $L$5, $L$6)</f>
        <v>(Invalid Identifier)</v>
      </c>
      <c r="BD53" s="413" t="str">
        <f>IF(_xll.ciqfunctions.udf.CIQ($A53, "IQ_TOTAL_EQUITY", $B$3, $L$2,$L$4, $L$3, $L$5, $L$6)=0,BB53,_xll.ciqfunctions.udf.CIQ($A53, "IQ_TOTAL_EQUITY", $B$3, $L$2,$L$4, $L$3, $L$5, $L$6))</f>
        <v>(Invalid Identifier)</v>
      </c>
      <c r="BE53" s="413" t="str">
        <f>_xll.ciqfunctions.udf.CIQ(A53, "IQ_LASTSALEPRICE", $B$8)</f>
        <v>(Invalid Identifier)</v>
      </c>
      <c r="BF53" s="413" t="str">
        <f>_xll.ciqfunctions.udf.CIQ($A53, "IQ_MARKETCAP", $B$8, $L$5, $L$6)</f>
        <v>(Invalid Identifier)</v>
      </c>
      <c r="BG53" s="413" t="str">
        <f>_xll.ciqfunctions.udf.CIQ($A53, "IQ_TOTAL_DEBT", IQ_LTM, $B$8,$L$4, $L$3, $L$5, $L$6)</f>
        <v>(Invalid Identifier)</v>
      </c>
      <c r="BH53" s="371" t="str">
        <f>_xll.ciqfunctions.udf.CIQ($A53,"IQ_PREF_EQUITY",IQ_LTM,$B$8,$L$4,$L$3,$L$5,$L$6)</f>
        <v>(Invalid Identifier)</v>
      </c>
      <c r="BI53" s="371" t="str">
        <f>_xll.ciqfunctions.udf.CIQ($A53, "IQ_MINORITY_INTEREST_TOTAL", IQ_LTM,$B$8,$L$4,$L$3,$L$5,$L$6)</f>
        <v>(Invalid Identifier)</v>
      </c>
      <c r="BJ53" s="413" t="str">
        <f>_xll.ciqfunctions.udf.CIQ($A53, "IQ_CASH_ST_INVEST", IQ_LTM, $B$8, $L$4, $L$3, $L$5, $L$6)</f>
        <v>(Invalid Identifier)</v>
      </c>
      <c r="BK53" s="371" t="str">
        <f>_xll.ciqfunctions.udf.CIQ($A53, "IQ_EFFECT_TAX_RATE")</f>
        <v>(Invalid Identifier)</v>
      </c>
      <c r="BL53" s="371" t="e">
        <f>IF(_xll.ciqfunctions.udf.CIQ($A53, "IQ_TOTAL_REV_2YR_ANN_CAGR", IQ_LTM, $B$1,$L$4, $L$3, $L$5, $L$6)="NM","n/a",(_xll.ciqfunctions.udf.CIQ($A53, "IQ_TOTAL_REV_2YR_ANN_CAGR", IQ_LTM, $B$1,$L$4, $L$3, $L$5, $L$6)/100))</f>
        <v>#VALUE!</v>
      </c>
      <c r="BM53" s="371" t="e">
        <f>IF(_xll.ciqfunctions.udf.CIQ($A53, "IQ_TOTAL_REV_3YR_ANN_CAGR", IQ_LTM, $B$1,$L$4, $L$3, $L$5, $L$6)="NM","n/a",(_xll.ciqfunctions.udf.CIQ($A53, "IQ_TOTAL_REV_3YR_ANN_CAGR", IQ_LTM, $B$1,$L$4, $L$3, $L$5, $L$6)/100))</f>
        <v>#VALUE!</v>
      </c>
      <c r="BN53" s="371" t="e">
        <f>IF(_xll.ciqfunctions.udf.CIQ($A53, "IQ_TOTAL_REV_5YR_ANN_CAGR", IQ_LTM, $B$1,$L$4, $L$3, $L$5, $L$6)="NM","n/a",(_xll.ciqfunctions.udf.CIQ($A53, "IQ_TOTAL_REV_5YR_ANN_CAGR", IQ_LTM, $B$1,$L$4, $L$3, $L$5, $L$6)/100))</f>
        <v>#VALUE!</v>
      </c>
      <c r="BO53" s="371" t="e">
        <f>IF(_xll.ciqfunctions.udf.CIQ($A53,"IQ_EBITDA_2YR_ANN_CAGR", IQ_LTM,$B$1,$L$4, $L$3, $L$5, $L$6)="NM","n/a",(_xll.ciqfunctions.udf.CIQ($A53,"IQ_EBITDA_2YR_ANN_CAGR", IQ_LTM,$B$1,$L$4, $L$3, $L$5, $L$6)/100))</f>
        <v>#VALUE!</v>
      </c>
      <c r="BP53" s="371" t="e">
        <f>IF(_xll.ciqfunctions.udf.CIQ($A53,"IQ_EBITDA_3YR_ANN_CAGR", IQ_LTM,$B$1,$L$4, $L$3, $L$5, $L$6)="NM","n/a",(_xll.ciqfunctions.udf.CIQ($A53,"IQ_EBITDA_3YR_ANN_CAGR", IQ_LTM,$B$1,$L$4, $L$3, $L$5, $L$6)/100))</f>
        <v>#VALUE!</v>
      </c>
      <c r="BQ53" s="371" t="e">
        <f>IF(_xll.ciqfunctions.udf.CIQ($A53,"IQ_EBITDA_5YR_ANN_CAGR", IQ_LTM,$B$1,$L$4, $L$3, $L$5, $L$6)="NM","n/a",(_xll.ciqfunctions.udf.CIQ($A53,"IQ_EBITDA_5YR_ANN_CAGR", IQ_LTM,$B$1,$L$4, $L$3, $L$5, $L$6)/100))</f>
        <v>#VALUE!</v>
      </c>
      <c r="BR53" s="375" t="str">
        <f>IFERROR((_xll.ciqfunctions.udf.CIQ($A53, "IQ_DA_CF", IQ_LTM, $B$1, $L$4, $L$3, $L$5, $L$6)/Q53),"NM")</f>
        <v>NM</v>
      </c>
      <c r="BS53" s="414" t="e">
        <f>'Capital IQ Sheet-GPC'!BS53</f>
        <v>#VALUE!</v>
      </c>
      <c r="BT53" s="414" t="e">
        <f>'Capital IQ Sheet-GPC'!BT53</f>
        <v>#VALUE!</v>
      </c>
      <c r="BU53" s="414" t="e">
        <f>'Capital IQ Sheet-GPC'!BU53</f>
        <v>#VALUE!</v>
      </c>
      <c r="BV53" s="414" t="e">
        <f>'Capital IQ Sheet-GPC'!BV53</f>
        <v>#VALUE!</v>
      </c>
      <c r="BW53" s="414" t="e">
        <f>'Capital IQ Sheet-GPC'!BW53</f>
        <v>#VALUE!</v>
      </c>
      <c r="BX53" s="414" t="e">
        <f>'Capital IQ Sheet-GPC'!BX53</f>
        <v>#VALUE!</v>
      </c>
      <c r="BY53" s="414" t="e">
        <f>'Capital IQ Sheet-GPC'!BY53</f>
        <v>#VALUE!</v>
      </c>
      <c r="BZ53" s="414" t="e">
        <f>'Capital IQ Sheet-GPC'!BZ53</f>
        <v>#VALUE!</v>
      </c>
    </row>
    <row r="54" spans="1:83">
      <c r="A54" s="370"/>
      <c r="J54" s="411"/>
      <c r="M54" s="374"/>
      <c r="N54" s="374"/>
      <c r="O54" s="374"/>
      <c r="P54" s="374"/>
      <c r="Q54" s="374"/>
      <c r="R54" s="374"/>
      <c r="S54" s="374"/>
      <c r="T54" s="374"/>
      <c r="U54" s="374"/>
      <c r="V54" s="374"/>
      <c r="W54" s="374"/>
      <c r="X54" s="374"/>
      <c r="Y54" s="374"/>
      <c r="Z54" s="374"/>
      <c r="AA54" s="374"/>
      <c r="AB54" s="374"/>
      <c r="AC54" s="374"/>
      <c r="AD54" s="374"/>
      <c r="AE54" s="374"/>
      <c r="AF54" s="374"/>
      <c r="AG54" s="374"/>
      <c r="AH54" s="374"/>
      <c r="AI54" s="374"/>
      <c r="AJ54" s="374"/>
      <c r="AK54" s="374"/>
      <c r="AL54" s="374"/>
      <c r="AM54" s="374"/>
      <c r="AN54" s="374"/>
      <c r="AO54" s="374"/>
      <c r="AP54" s="374"/>
      <c r="AQ54" s="370"/>
      <c r="AR54" s="374"/>
      <c r="AS54" s="370"/>
      <c r="AT54" s="374"/>
      <c r="AU54" s="370"/>
      <c r="AV54" s="370"/>
      <c r="AW54" s="370"/>
      <c r="AX54" s="370"/>
      <c r="AY54" s="370"/>
      <c r="AZ54" s="370"/>
      <c r="BA54" s="370"/>
      <c r="BB54" s="370"/>
      <c r="BC54" s="374"/>
      <c r="BD54" s="370"/>
      <c r="BE54" s="370"/>
      <c r="BF54" s="370"/>
      <c r="BG54" s="370"/>
      <c r="BH54" s="370"/>
      <c r="BI54" s="370"/>
      <c r="BJ54" s="370"/>
      <c r="BK54" s="370"/>
      <c r="BL54" s="370"/>
      <c r="BM54" s="370"/>
      <c r="BN54" s="370"/>
      <c r="BO54" s="370"/>
      <c r="BP54" s="370"/>
      <c r="BQ54" s="370"/>
      <c r="BR54" s="370"/>
      <c r="BS54" s="370"/>
      <c r="BT54" s="370"/>
      <c r="BU54" s="370"/>
      <c r="BV54" s="370"/>
      <c r="BW54" s="370"/>
      <c r="BX54" s="370"/>
      <c r="BY54" s="370"/>
      <c r="BZ54" s="370"/>
      <c r="CE54" s="370"/>
    </row>
    <row r="55" spans="1:83">
      <c r="A55" s="370"/>
      <c r="J55" s="411"/>
      <c r="L55" s="408"/>
      <c r="M55" s="374"/>
      <c r="N55" s="374"/>
      <c r="O55" s="374"/>
      <c r="P55" s="374"/>
      <c r="Q55" s="374"/>
      <c r="R55" s="374"/>
      <c r="S55" s="374"/>
      <c r="T55" s="374"/>
      <c r="U55" s="374"/>
      <c r="V55" s="374"/>
      <c r="W55" s="374"/>
      <c r="X55" s="374"/>
      <c r="Y55" s="374"/>
      <c r="Z55" s="374"/>
      <c r="AA55" s="374"/>
      <c r="AB55" s="374"/>
      <c r="AC55" s="374"/>
      <c r="AD55" s="374"/>
      <c r="AE55" s="374"/>
      <c r="AF55" s="374"/>
      <c r="AG55" s="374"/>
      <c r="AH55" s="374"/>
      <c r="AI55" s="374"/>
      <c r="AJ55" s="374"/>
      <c r="AK55" s="374"/>
      <c r="AL55" s="374"/>
      <c r="AM55" s="374"/>
      <c r="AN55" s="374"/>
      <c r="AO55" s="374"/>
      <c r="AP55" s="374"/>
      <c r="AQ55" s="370"/>
      <c r="AR55" s="374"/>
      <c r="AS55" s="370"/>
      <c r="AT55" s="374"/>
      <c r="AU55" s="370"/>
      <c r="AV55" s="370"/>
      <c r="AW55" s="370"/>
      <c r="AX55" s="370"/>
      <c r="AY55" s="370"/>
      <c r="AZ55" s="370"/>
      <c r="BA55" s="370"/>
      <c r="BB55" s="370"/>
      <c r="BC55" s="374"/>
      <c r="BD55" s="370"/>
      <c r="BE55" s="370"/>
      <c r="BF55" s="370"/>
      <c r="BG55" s="370"/>
      <c r="BH55" s="370"/>
      <c r="BI55" s="370"/>
      <c r="BJ55" s="370"/>
      <c r="BK55" s="370"/>
      <c r="BL55" s="370"/>
      <c r="BM55" s="370"/>
      <c r="BN55" s="370"/>
      <c r="BO55" s="370"/>
      <c r="BP55" s="370"/>
      <c r="BQ55" s="370"/>
      <c r="BR55" s="370"/>
      <c r="BS55" s="370"/>
      <c r="BT55" s="370"/>
      <c r="BU55" s="370"/>
      <c r="BV55" s="370"/>
      <c r="BW55" s="370"/>
      <c r="BX55" s="370"/>
      <c r="BY55" s="370"/>
      <c r="BZ55" s="370"/>
      <c r="CE55" s="370"/>
    </row>
    <row r="56" spans="1:83" ht="12.75">
      <c r="A56" s="370"/>
      <c r="B56" s="496" t="s">
        <v>52</v>
      </c>
      <c r="C56" s="497" t="s">
        <v>488</v>
      </c>
      <c r="D56" s="498" t="s">
        <v>489</v>
      </c>
      <c r="E56" s="499" t="s">
        <v>51</v>
      </c>
      <c r="F56" s="500"/>
      <c r="G56" s="500"/>
      <c r="H56" s="500"/>
      <c r="I56" s="500"/>
      <c r="J56" s="493"/>
      <c r="K56" s="494"/>
      <c r="L56" s="408"/>
      <c r="M56" s="374"/>
      <c r="N56" s="374"/>
      <c r="O56" s="374"/>
      <c r="P56" s="374"/>
      <c r="Q56" s="374"/>
      <c r="R56" s="374"/>
      <c r="S56" s="374"/>
      <c r="T56" s="374"/>
      <c r="U56" s="374"/>
      <c r="V56" s="374"/>
      <c r="W56" s="374"/>
      <c r="X56" s="374"/>
      <c r="Y56" s="374"/>
      <c r="Z56" s="374"/>
      <c r="AA56" s="374"/>
      <c r="AB56" s="374"/>
      <c r="AC56" s="374"/>
      <c r="AD56" s="374"/>
      <c r="AE56" s="374"/>
      <c r="AF56" s="374"/>
      <c r="AG56" s="374"/>
      <c r="AH56" s="374"/>
      <c r="AI56" s="374"/>
      <c r="AJ56" s="374"/>
      <c r="AK56" s="374"/>
      <c r="AL56" s="374"/>
      <c r="AM56" s="374"/>
      <c r="AN56" s="374"/>
      <c r="AO56" s="374"/>
      <c r="AP56" s="374"/>
      <c r="AQ56" s="370"/>
      <c r="AR56" s="374"/>
      <c r="AS56" s="370"/>
      <c r="AT56" s="374"/>
      <c r="AU56" s="370"/>
      <c r="AV56" s="370"/>
      <c r="AW56" s="370"/>
      <c r="AX56" s="370"/>
      <c r="AY56" s="370"/>
      <c r="AZ56" s="370"/>
      <c r="BA56" s="370"/>
      <c r="BB56" s="370"/>
      <c r="BC56" s="374"/>
      <c r="BD56" s="370"/>
      <c r="BE56" s="370"/>
      <c r="BF56" s="370"/>
      <c r="BG56" s="370"/>
      <c r="BH56" s="370"/>
      <c r="BI56" s="370"/>
      <c r="BJ56" s="370"/>
      <c r="BK56" s="370"/>
      <c r="BL56" s="370"/>
      <c r="BM56" s="370"/>
      <c r="BN56" s="370"/>
      <c r="BO56" s="370"/>
      <c r="BP56" s="370"/>
      <c r="BQ56" s="370"/>
      <c r="BR56" s="370"/>
      <c r="BS56" s="370"/>
      <c r="BT56" s="370"/>
      <c r="BU56" s="370"/>
      <c r="BV56" s="370"/>
      <c r="BW56" s="370"/>
      <c r="BX56" s="370"/>
      <c r="BY56" s="370"/>
      <c r="BZ56" s="370"/>
      <c r="CE56" s="370"/>
    </row>
    <row r="57" spans="1:83" ht="12.75">
      <c r="A57" s="370"/>
      <c r="B57" s="426" t="s">
        <v>55</v>
      </c>
      <c r="C57" s="501">
        <f>1/12</f>
        <v>8.3333333333333329E-2</v>
      </c>
      <c r="D57" s="502">
        <f>_xll.ciqfunctions.udf.CIQSP(B57, "IQ_LASTSALEPRICE",$B$1)/100</f>
        <v>1.77E-2</v>
      </c>
      <c r="E57" s="503" t="str">
        <f>IF((_xll.ciqfunctions.udf.CIQ(B57, "IQ_COMPANY_NAME"))="(Invalid Identifier)","",(_xll.ciqfunctions.udf.CIQ(B57, "IQ_COMPANY_NAME")))</f>
        <v>United States Treasury Constant Maturity - 1 Month</v>
      </c>
      <c r="F57" s="504"/>
      <c r="G57" s="504"/>
      <c r="H57" s="504"/>
      <c r="I57" s="504"/>
      <c r="J57" s="431"/>
      <c r="K57" s="432"/>
      <c r="M57" s="374"/>
      <c r="N57" s="374"/>
      <c r="O57" s="374"/>
      <c r="P57" s="374"/>
      <c r="Q57" s="374"/>
      <c r="R57" s="374"/>
      <c r="S57" s="374"/>
      <c r="T57" s="374"/>
      <c r="U57" s="374"/>
      <c r="V57" s="374"/>
      <c r="W57" s="374"/>
      <c r="X57" s="374"/>
      <c r="Y57" s="374"/>
      <c r="Z57" s="374"/>
      <c r="AA57" s="374"/>
      <c r="AB57" s="374"/>
      <c r="AC57" s="374"/>
      <c r="AD57" s="374"/>
      <c r="AE57" s="374"/>
      <c r="AF57" s="374"/>
      <c r="AG57" s="374"/>
      <c r="AH57" s="374"/>
      <c r="AI57" s="374"/>
      <c r="AJ57" s="374"/>
      <c r="AK57" s="374"/>
      <c r="AL57" s="374"/>
      <c r="AM57" s="374"/>
      <c r="AN57" s="374"/>
      <c r="AO57" s="374"/>
      <c r="AP57" s="374"/>
      <c r="AQ57" s="370"/>
      <c r="AR57" s="374"/>
      <c r="AS57" s="370"/>
      <c r="AT57" s="374"/>
      <c r="AU57" s="370"/>
      <c r="AV57" s="370"/>
      <c r="AW57" s="370"/>
      <c r="AX57" s="370"/>
      <c r="AY57" s="370"/>
      <c r="AZ57" s="370"/>
      <c r="BA57" s="370"/>
      <c r="BB57" s="370"/>
      <c r="BC57" s="374"/>
      <c r="BD57" s="370"/>
      <c r="BE57" s="370"/>
      <c r="BF57" s="370"/>
      <c r="BG57" s="370"/>
      <c r="BH57" s="370"/>
      <c r="BI57" s="370"/>
      <c r="BJ57" s="370"/>
      <c r="BK57" s="370"/>
      <c r="BL57" s="370"/>
      <c r="BM57" s="370"/>
      <c r="BN57" s="370"/>
      <c r="BO57" s="370"/>
      <c r="BP57" s="370"/>
      <c r="BQ57" s="370"/>
      <c r="BR57" s="370"/>
      <c r="BS57" s="370"/>
      <c r="BT57" s="370"/>
      <c r="BU57" s="370"/>
      <c r="BV57" s="370"/>
      <c r="BW57" s="370"/>
      <c r="BX57" s="370"/>
      <c r="BY57" s="370"/>
      <c r="BZ57" s="370"/>
      <c r="CE57" s="370"/>
    </row>
    <row r="58" spans="1:83" ht="12.75">
      <c r="A58" s="370"/>
      <c r="B58" s="505" t="s">
        <v>56</v>
      </c>
      <c r="C58" s="506">
        <f>3/12</f>
        <v>0.25</v>
      </c>
      <c r="D58" s="398">
        <f>_xll.ciqfunctions.udf.CIQSP(B58, "IQ_LASTSALEPRICE",$B$1)/100</f>
        <v>1.9299999999999998E-2</v>
      </c>
      <c r="E58" s="503" t="str">
        <f>IF((_xll.ciqfunctions.udf.CIQ(B58, "IQ_COMPANY_NAME"))="(Invalid Identifier)","",(_xll.ciqfunctions.udf.CIQ(B58, "IQ_COMPANY_NAME")))</f>
        <v>United States Treasury Constant Maturity - 3 Month</v>
      </c>
      <c r="F58" s="504"/>
      <c r="G58" s="504"/>
      <c r="H58" s="504"/>
      <c r="I58" s="504"/>
      <c r="J58" s="431"/>
      <c r="K58" s="432"/>
      <c r="M58" s="374"/>
      <c r="N58" s="374"/>
      <c r="O58" s="374"/>
      <c r="P58" s="374"/>
      <c r="Q58" s="374"/>
      <c r="R58" s="374"/>
      <c r="S58" s="374"/>
      <c r="T58" s="374"/>
      <c r="U58" s="374"/>
      <c r="V58" s="374"/>
      <c r="W58" s="374"/>
      <c r="X58" s="374"/>
      <c r="Y58" s="374"/>
      <c r="Z58" s="374"/>
      <c r="AA58" s="374"/>
      <c r="AB58" s="374"/>
      <c r="AC58" s="374"/>
      <c r="AD58" s="374"/>
      <c r="AE58" s="374"/>
      <c r="AF58" s="374"/>
      <c r="AG58" s="374"/>
      <c r="AH58" s="374"/>
      <c r="AI58" s="374"/>
      <c r="AJ58" s="374"/>
      <c r="AK58" s="374"/>
      <c r="AL58" s="374"/>
      <c r="AM58" s="374"/>
      <c r="AN58" s="374"/>
      <c r="AO58" s="374"/>
      <c r="AP58" s="374"/>
      <c r="AQ58" s="370"/>
      <c r="AR58" s="374"/>
      <c r="AS58" s="370"/>
      <c r="AT58" s="374"/>
      <c r="AU58" s="370"/>
      <c r="AV58" s="370"/>
      <c r="AW58" s="370"/>
      <c r="AX58" s="370"/>
      <c r="AY58" s="370"/>
      <c r="AZ58" s="370"/>
      <c r="BA58" s="370"/>
      <c r="BB58" s="370"/>
      <c r="BC58" s="374"/>
      <c r="BD58" s="370"/>
      <c r="BE58" s="370"/>
      <c r="BF58" s="370"/>
      <c r="BG58" s="370"/>
      <c r="BH58" s="370"/>
      <c r="BI58" s="370"/>
      <c r="BJ58" s="370"/>
      <c r="BK58" s="370"/>
      <c r="BL58" s="370"/>
      <c r="BM58" s="370"/>
      <c r="BN58" s="370"/>
      <c r="BO58" s="370"/>
      <c r="BP58" s="370"/>
      <c r="BQ58" s="370"/>
      <c r="BR58" s="370"/>
      <c r="BS58" s="370"/>
      <c r="BT58" s="370"/>
      <c r="BU58" s="370"/>
      <c r="BV58" s="370"/>
      <c r="BW58" s="370"/>
      <c r="BX58" s="370"/>
      <c r="BY58" s="370"/>
      <c r="BZ58" s="370"/>
      <c r="CE58" s="370"/>
    </row>
    <row r="59" spans="1:83" ht="12.75">
      <c r="A59" s="370"/>
      <c r="B59" s="505" t="s">
        <v>57</v>
      </c>
      <c r="C59" s="506">
        <f>6/12</f>
        <v>0.5</v>
      </c>
      <c r="D59" s="398">
        <f>_xll.ciqfunctions.udf.CIQSP(B59, "IQ_LASTSALEPRICE",$B$1)/100</f>
        <v>2.1099999999999997E-2</v>
      </c>
      <c r="E59" s="503" t="str">
        <f>IF((_xll.ciqfunctions.udf.CIQ(B59, "IQ_COMPANY_NAME"))="(Invalid Identifier)","",(_xll.ciqfunctions.udf.CIQ(B59, "IQ_COMPANY_NAME")))</f>
        <v>United States Treasury Constant Maturity - 6 Month</v>
      </c>
      <c r="F59" s="504"/>
      <c r="G59" s="504"/>
      <c r="H59" s="504"/>
      <c r="I59" s="504"/>
      <c r="J59" s="431"/>
      <c r="K59" s="432"/>
      <c r="M59" s="374"/>
      <c r="N59" s="374"/>
      <c r="O59" s="374"/>
      <c r="P59" s="374"/>
      <c r="Q59" s="374"/>
      <c r="R59" s="374"/>
      <c r="S59" s="374"/>
      <c r="T59" s="374"/>
      <c r="U59" s="374"/>
      <c r="V59" s="374"/>
      <c r="W59" s="374"/>
      <c r="X59" s="374"/>
      <c r="Y59" s="374"/>
      <c r="Z59" s="374"/>
      <c r="AA59" s="374"/>
      <c r="AB59" s="374"/>
      <c r="AC59" s="374"/>
      <c r="AD59" s="374"/>
      <c r="AE59" s="374"/>
      <c r="AF59" s="374"/>
      <c r="AG59" s="374"/>
      <c r="AH59" s="374"/>
      <c r="AI59" s="374"/>
      <c r="AJ59" s="374"/>
      <c r="AK59" s="374"/>
      <c r="AL59" s="374"/>
      <c r="AM59" s="374"/>
      <c r="AN59" s="374"/>
      <c r="AO59" s="374"/>
      <c r="AP59" s="374"/>
      <c r="AQ59" s="370"/>
      <c r="AR59" s="374"/>
      <c r="AS59" s="370"/>
      <c r="AT59" s="374"/>
      <c r="AU59" s="370"/>
      <c r="AV59" s="370"/>
      <c r="AW59" s="370"/>
      <c r="AX59" s="370"/>
      <c r="AY59" s="370"/>
      <c r="AZ59" s="370"/>
      <c r="BA59" s="370"/>
      <c r="BB59" s="370"/>
      <c r="BC59" s="374"/>
      <c r="BD59" s="370"/>
      <c r="BE59" s="370"/>
      <c r="BF59" s="370"/>
      <c r="BG59" s="370"/>
      <c r="BH59" s="370"/>
      <c r="BI59" s="370"/>
      <c r="BJ59" s="370"/>
      <c r="BK59" s="370"/>
      <c r="BL59" s="370"/>
      <c r="BM59" s="370"/>
      <c r="BN59" s="370"/>
      <c r="BO59" s="370"/>
      <c r="BP59" s="370"/>
      <c r="BQ59" s="370"/>
      <c r="BR59" s="370"/>
      <c r="BS59" s="370"/>
      <c r="BT59" s="370"/>
      <c r="BU59" s="370"/>
      <c r="BV59" s="370"/>
      <c r="BW59" s="370"/>
      <c r="BX59" s="370"/>
      <c r="BY59" s="370"/>
      <c r="BZ59" s="370"/>
      <c r="CE59" s="370"/>
    </row>
    <row r="60" spans="1:83" ht="12.75">
      <c r="A60" s="370"/>
      <c r="B60" s="505" t="s">
        <v>58</v>
      </c>
      <c r="C60" s="506">
        <v>1</v>
      </c>
      <c r="D60" s="398">
        <f>_xll.ciqfunctions.udf.CIQSP(B60, "IQ_LASTSALEPRICE",$B$1)/100</f>
        <v>2.3300000000000001E-2</v>
      </c>
      <c r="E60" s="503" t="str">
        <f>IF((_xll.ciqfunctions.udf.CIQ(B60, "IQ_COMPANY_NAME"))="(Invalid Identifier)","",(_xll.ciqfunctions.udf.CIQ(B60, "IQ_COMPANY_NAME")))</f>
        <v>United States Treasury Constant Maturity - 1 Year</v>
      </c>
      <c r="F60" s="504"/>
      <c r="G60" s="504"/>
      <c r="H60" s="504"/>
      <c r="I60" s="504"/>
      <c r="J60" s="431"/>
      <c r="K60" s="432"/>
      <c r="M60" s="374"/>
      <c r="N60" s="374"/>
      <c r="O60" s="374"/>
      <c r="P60" s="374"/>
      <c r="Q60" s="374"/>
      <c r="R60" s="374"/>
      <c r="S60" s="374"/>
      <c r="T60" s="374"/>
      <c r="U60" s="374"/>
      <c r="V60" s="374"/>
      <c r="W60" s="374"/>
      <c r="X60" s="374"/>
      <c r="Y60" s="374"/>
      <c r="Z60" s="374"/>
      <c r="AA60" s="374"/>
      <c r="AB60" s="374"/>
      <c r="AC60" s="374"/>
      <c r="AD60" s="374"/>
      <c r="AE60" s="374"/>
      <c r="AF60" s="374"/>
      <c r="AG60" s="374"/>
      <c r="AH60" s="374"/>
      <c r="AI60" s="374"/>
      <c r="AJ60" s="374"/>
      <c r="AK60" s="374"/>
      <c r="AL60" s="374"/>
      <c r="AM60" s="374"/>
      <c r="AN60" s="374"/>
      <c r="AO60" s="374"/>
      <c r="AP60" s="374"/>
      <c r="AQ60" s="370"/>
      <c r="AR60" s="374"/>
      <c r="AS60" s="370"/>
      <c r="AT60" s="374"/>
      <c r="AU60" s="370"/>
      <c r="AV60" s="370"/>
      <c r="AW60" s="370"/>
      <c r="AX60" s="370"/>
      <c r="AY60" s="370"/>
      <c r="AZ60" s="370"/>
      <c r="BA60" s="370"/>
      <c r="BB60" s="370"/>
      <c r="BC60" s="374"/>
      <c r="BD60" s="370"/>
      <c r="BE60" s="370"/>
      <c r="BF60" s="370"/>
      <c r="BG60" s="370"/>
      <c r="BH60" s="370"/>
      <c r="BI60" s="370"/>
      <c r="BJ60" s="370"/>
      <c r="BK60" s="370"/>
      <c r="BL60" s="370"/>
      <c r="BM60" s="370"/>
      <c r="BN60" s="370"/>
      <c r="BO60" s="370"/>
      <c r="BP60" s="370"/>
      <c r="BQ60" s="370"/>
      <c r="BR60" s="370"/>
      <c r="BS60" s="370"/>
      <c r="BT60" s="370"/>
      <c r="BU60" s="370"/>
      <c r="BV60" s="370"/>
      <c r="BW60" s="370"/>
      <c r="BX60" s="370"/>
      <c r="BY60" s="370"/>
      <c r="BZ60" s="370"/>
      <c r="CE60" s="370"/>
    </row>
    <row r="61" spans="1:83" ht="12.75">
      <c r="A61" s="370"/>
      <c r="B61" s="505" t="s">
        <v>59</v>
      </c>
      <c r="C61" s="506">
        <v>2</v>
      </c>
      <c r="D61" s="398">
        <f>_xll.ciqfunctions.udf.CIQSP(B61, "IQ_LASTSALEPRICE",$B$1)/100</f>
        <v>2.52E-2</v>
      </c>
      <c r="E61" s="503" t="str">
        <f>IF((_xll.ciqfunctions.udf.CIQ(B61, "IQ_COMPANY_NAME"))="(Invalid Identifier)","",(_xll.ciqfunctions.udf.CIQ(B61, "IQ_COMPANY_NAME")))</f>
        <v>United States Treasury Constant Maturity - 2 Year</v>
      </c>
      <c r="F61" s="504"/>
      <c r="G61" s="504"/>
      <c r="H61" s="504"/>
      <c r="I61" s="504"/>
      <c r="J61" s="431"/>
      <c r="K61" s="432"/>
      <c r="M61" s="374"/>
      <c r="N61" s="374"/>
      <c r="O61" s="374"/>
      <c r="P61" s="374"/>
      <c r="Q61" s="374"/>
      <c r="R61" s="374"/>
      <c r="S61" s="374"/>
      <c r="T61" s="374"/>
      <c r="U61" s="374"/>
      <c r="V61" s="374"/>
      <c r="W61" s="374"/>
      <c r="X61" s="374"/>
      <c r="Y61" s="374"/>
      <c r="Z61" s="374"/>
      <c r="AA61" s="374"/>
      <c r="AB61" s="374"/>
      <c r="AC61" s="374"/>
      <c r="AD61" s="374"/>
      <c r="AE61" s="374"/>
      <c r="AF61" s="374"/>
      <c r="AG61" s="374"/>
      <c r="AH61" s="374"/>
      <c r="AI61" s="374"/>
      <c r="AJ61" s="374"/>
      <c r="AK61" s="374"/>
      <c r="AL61" s="374"/>
      <c r="AM61" s="374"/>
      <c r="AN61" s="374"/>
      <c r="AO61" s="374"/>
      <c r="AP61" s="374"/>
      <c r="AQ61" s="370"/>
      <c r="AR61" s="374"/>
      <c r="AS61" s="370"/>
      <c r="AT61" s="374"/>
      <c r="AU61" s="370"/>
      <c r="AV61" s="370"/>
      <c r="AW61" s="370"/>
      <c r="AX61" s="370"/>
      <c r="AY61" s="370"/>
      <c r="AZ61" s="370"/>
      <c r="BA61" s="370"/>
      <c r="BB61" s="370"/>
      <c r="BC61" s="374"/>
      <c r="BD61" s="370"/>
      <c r="BE61" s="370"/>
      <c r="BF61" s="370"/>
      <c r="BG61" s="370"/>
      <c r="BH61" s="370"/>
      <c r="BI61" s="370"/>
      <c r="BJ61" s="370"/>
      <c r="BK61" s="370"/>
      <c r="BL61" s="370"/>
      <c r="BM61" s="370"/>
      <c r="BN61" s="370"/>
      <c r="BO61" s="370"/>
      <c r="BP61" s="370"/>
      <c r="BQ61" s="370"/>
      <c r="BR61" s="370"/>
      <c r="BS61" s="370"/>
      <c r="BT61" s="370"/>
      <c r="BU61" s="370"/>
      <c r="BV61" s="370"/>
      <c r="BW61" s="370"/>
      <c r="BX61" s="370"/>
      <c r="BY61" s="370"/>
      <c r="BZ61" s="370"/>
      <c r="CE61" s="370"/>
    </row>
    <row r="62" spans="1:83" ht="12.75">
      <c r="A62" s="370"/>
      <c r="B62" s="505" t="s">
        <v>60</v>
      </c>
      <c r="C62" s="506">
        <v>3</v>
      </c>
      <c r="D62" s="398">
        <f>_xll.ciqfunctions.udf.CIQSP(B62, "IQ_LASTSALEPRICE",$B$1)/100</f>
        <v>2.63E-2</v>
      </c>
      <c r="E62" s="503" t="str">
        <f>IF((_xll.ciqfunctions.udf.CIQ(B62, "IQ_COMPANY_NAME"))="(Invalid Identifier)","",(_xll.ciqfunctions.udf.CIQ(B62, "IQ_COMPANY_NAME")))</f>
        <v>United States Treasury Constant Maturity - 3 Year</v>
      </c>
      <c r="F62" s="504"/>
      <c r="G62" s="504"/>
      <c r="H62" s="504"/>
      <c r="I62" s="504"/>
      <c r="J62" s="431"/>
      <c r="K62" s="432"/>
      <c r="M62" s="374"/>
      <c r="N62" s="374"/>
      <c r="O62" s="374"/>
      <c r="P62" s="374"/>
      <c r="Q62" s="374"/>
      <c r="R62" s="374"/>
      <c r="S62" s="374"/>
      <c r="T62" s="374"/>
      <c r="U62" s="374"/>
      <c r="V62" s="374"/>
      <c r="W62" s="374"/>
      <c r="X62" s="374"/>
      <c r="Y62" s="374"/>
      <c r="Z62" s="374"/>
      <c r="AA62" s="374"/>
      <c r="AB62" s="374"/>
      <c r="AC62" s="374"/>
      <c r="AD62" s="374"/>
      <c r="AE62" s="374"/>
      <c r="AF62" s="374"/>
      <c r="AG62" s="374"/>
      <c r="AH62" s="374"/>
      <c r="AI62" s="374"/>
      <c r="AJ62" s="374"/>
      <c r="AK62" s="374"/>
      <c r="AL62" s="374"/>
      <c r="AM62" s="374"/>
      <c r="AN62" s="374"/>
      <c r="AO62" s="374"/>
      <c r="AP62" s="374"/>
      <c r="AQ62" s="370"/>
      <c r="AR62" s="374"/>
      <c r="AS62" s="370"/>
      <c r="AT62" s="374"/>
      <c r="AU62" s="370"/>
      <c r="AV62" s="370"/>
      <c r="AW62" s="370"/>
      <c r="AX62" s="370"/>
      <c r="AY62" s="370"/>
      <c r="AZ62" s="370"/>
      <c r="BA62" s="370"/>
      <c r="BB62" s="370"/>
      <c r="BC62" s="374"/>
      <c r="BD62" s="370"/>
      <c r="BE62" s="370"/>
      <c r="BF62" s="370"/>
      <c r="BG62" s="370"/>
      <c r="BH62" s="370"/>
      <c r="BI62" s="370"/>
      <c r="BJ62" s="370"/>
      <c r="BK62" s="370"/>
      <c r="BL62" s="370"/>
      <c r="BM62" s="370"/>
      <c r="BN62" s="370"/>
      <c r="BO62" s="370"/>
      <c r="BP62" s="370"/>
      <c r="BQ62" s="370"/>
      <c r="BR62" s="370"/>
      <c r="BS62" s="370"/>
      <c r="BT62" s="370"/>
      <c r="BU62" s="370"/>
      <c r="BV62" s="370"/>
      <c r="BW62" s="370"/>
      <c r="BX62" s="370"/>
      <c r="BY62" s="370"/>
      <c r="BZ62" s="370"/>
      <c r="CE62" s="370"/>
    </row>
    <row r="63" spans="1:83" ht="12.75">
      <c r="A63" s="370"/>
      <c r="B63" s="505" t="s">
        <v>61</v>
      </c>
      <c r="C63" s="506">
        <v>5</v>
      </c>
      <c r="D63" s="398">
        <f>_xll.ciqfunctions.udf.CIQSP(B63, "IQ_LASTSALEPRICE",$B$1)/100</f>
        <v>2.7300000000000001E-2</v>
      </c>
      <c r="E63" s="503" t="str">
        <f>IF((_xll.ciqfunctions.udf.CIQ(B63, "IQ_COMPANY_NAME"))="(Invalid Identifier)","",(_xll.ciqfunctions.udf.CIQ(B63, "IQ_COMPANY_NAME")))</f>
        <v>United States Treasury Constant Maturity - 5 Year</v>
      </c>
      <c r="F63" s="504"/>
      <c r="G63" s="504"/>
      <c r="H63" s="504"/>
      <c r="I63" s="504"/>
      <c r="J63" s="431"/>
      <c r="K63" s="432"/>
      <c r="M63" s="374"/>
      <c r="N63" s="374"/>
      <c r="O63" s="374"/>
      <c r="P63" s="374"/>
      <c r="Q63" s="374"/>
      <c r="R63" s="374"/>
      <c r="S63" s="374"/>
      <c r="T63" s="374"/>
      <c r="U63" s="374"/>
      <c r="V63" s="374"/>
      <c r="W63" s="374"/>
      <c r="X63" s="374"/>
      <c r="Y63" s="374"/>
      <c r="Z63" s="374"/>
      <c r="AA63" s="374"/>
      <c r="AB63" s="374"/>
      <c r="AC63" s="374"/>
      <c r="AD63" s="374"/>
      <c r="AE63" s="374"/>
      <c r="AF63" s="374"/>
      <c r="AG63" s="374"/>
      <c r="AH63" s="374"/>
      <c r="AI63" s="374"/>
      <c r="AJ63" s="374"/>
      <c r="AK63" s="374"/>
      <c r="AL63" s="374"/>
      <c r="AM63" s="374"/>
      <c r="AN63" s="374"/>
      <c r="AO63" s="374"/>
      <c r="AP63" s="374"/>
      <c r="AQ63" s="370"/>
      <c r="AR63" s="374"/>
      <c r="AS63" s="370"/>
      <c r="AT63" s="374"/>
      <c r="AU63" s="370"/>
      <c r="AV63" s="370"/>
      <c r="AW63" s="370"/>
      <c r="AX63" s="370"/>
      <c r="AY63" s="370"/>
      <c r="AZ63" s="370"/>
      <c r="BA63" s="370"/>
      <c r="BB63" s="370"/>
      <c r="BC63" s="374"/>
      <c r="BD63" s="370"/>
      <c r="BE63" s="370"/>
      <c r="BF63" s="370"/>
      <c r="BG63" s="370"/>
      <c r="BH63" s="370"/>
      <c r="BI63" s="370"/>
      <c r="BJ63" s="370"/>
      <c r="BK63" s="370"/>
      <c r="BL63" s="370"/>
      <c r="BM63" s="370"/>
      <c r="BN63" s="370"/>
      <c r="BO63" s="370"/>
      <c r="BP63" s="370"/>
      <c r="BQ63" s="370"/>
      <c r="BR63" s="370"/>
      <c r="BS63" s="370"/>
      <c r="BT63" s="370"/>
      <c r="BU63" s="370"/>
      <c r="BV63" s="370"/>
      <c r="BW63" s="370"/>
      <c r="BX63" s="370"/>
      <c r="BY63" s="370"/>
      <c r="BZ63" s="370"/>
      <c r="CE63" s="370"/>
    </row>
    <row r="64" spans="1:83" ht="12.75">
      <c r="A64" s="370"/>
      <c r="B64" s="505" t="s">
        <v>62</v>
      </c>
      <c r="C64" s="506">
        <v>7</v>
      </c>
      <c r="D64" s="398">
        <f>_xll.ciqfunctions.udf.CIQSP(B64, "IQ_LASTSALEPRICE",$B$1)/100</f>
        <v>2.81E-2</v>
      </c>
      <c r="E64" s="503" t="str">
        <f>IF((_xll.ciqfunctions.udf.CIQ(B64, "IQ_COMPANY_NAME"))="(Invalid Identifier)","",(_xll.ciqfunctions.udf.CIQ(B64, "IQ_COMPANY_NAME")))</f>
        <v>United States Treasury Constant Maturity - 7 Year</v>
      </c>
      <c r="F64" s="504"/>
      <c r="G64" s="504"/>
      <c r="H64" s="504"/>
      <c r="I64" s="504"/>
      <c r="J64" s="431"/>
      <c r="K64" s="432"/>
      <c r="M64" s="374"/>
      <c r="N64" s="374"/>
      <c r="O64" s="374"/>
      <c r="P64" s="374"/>
      <c r="Q64" s="374"/>
      <c r="R64" s="374"/>
      <c r="S64" s="374"/>
      <c r="T64" s="374"/>
      <c r="U64" s="374"/>
      <c r="V64" s="374"/>
      <c r="W64" s="374"/>
      <c r="X64" s="374"/>
      <c r="Y64" s="374"/>
      <c r="Z64" s="374"/>
      <c r="AA64" s="374"/>
      <c r="AB64" s="374"/>
      <c r="AC64" s="374"/>
      <c r="AD64" s="374"/>
      <c r="AE64" s="374"/>
      <c r="AF64" s="374"/>
      <c r="AG64" s="374"/>
      <c r="AH64" s="374"/>
      <c r="AI64" s="374"/>
      <c r="AJ64" s="374"/>
      <c r="AK64" s="374"/>
      <c r="AL64" s="374"/>
      <c r="AM64" s="374"/>
      <c r="AN64" s="374"/>
      <c r="AO64" s="374"/>
      <c r="AP64" s="374"/>
      <c r="AQ64" s="370"/>
      <c r="AR64" s="374"/>
      <c r="AS64" s="370"/>
      <c r="AT64" s="374"/>
      <c r="AU64" s="370"/>
      <c r="AV64" s="370"/>
      <c r="AW64" s="370"/>
      <c r="AX64" s="370"/>
      <c r="AY64" s="370"/>
      <c r="AZ64" s="370"/>
      <c r="BA64" s="370"/>
      <c r="BB64" s="370"/>
      <c r="BC64" s="374"/>
      <c r="BD64" s="370"/>
      <c r="BE64" s="370"/>
      <c r="BF64" s="370"/>
      <c r="BG64" s="370"/>
      <c r="BH64" s="370"/>
      <c r="BI64" s="370"/>
      <c r="BJ64" s="370"/>
      <c r="BK64" s="370"/>
      <c r="BL64" s="370"/>
      <c r="BM64" s="370"/>
      <c r="BN64" s="370"/>
      <c r="BO64" s="370"/>
      <c r="BP64" s="370"/>
      <c r="BQ64" s="370"/>
      <c r="BR64" s="370"/>
      <c r="BS64" s="370"/>
      <c r="BT64" s="370"/>
      <c r="BU64" s="370"/>
      <c r="BV64" s="370"/>
      <c r="BW64" s="370"/>
      <c r="BX64" s="370"/>
      <c r="BY64" s="370"/>
      <c r="BZ64" s="370"/>
      <c r="CE64" s="370"/>
    </row>
    <row r="65" spans="1:83" ht="12.75">
      <c r="A65" s="370"/>
      <c r="B65" s="505" t="s">
        <v>63</v>
      </c>
      <c r="C65" s="506">
        <v>10</v>
      </c>
      <c r="D65" s="398">
        <f>_xll.ciqfunctions.udf.CIQSP(B65, "IQ_LASTSALEPRICE",$B$1)/100</f>
        <v>2.8500000000000001E-2</v>
      </c>
      <c r="E65" s="503" t="str">
        <f>IF((_xll.ciqfunctions.udf.CIQ(B65, "IQ_COMPANY_NAME"))="(Invalid Identifier)","",(_xll.ciqfunctions.udf.CIQ(B65, "IQ_COMPANY_NAME")))</f>
        <v>United States Treasury Constant Maturity - 10 Year</v>
      </c>
      <c r="F65" s="504"/>
      <c r="G65" s="504"/>
      <c r="H65" s="504"/>
      <c r="I65" s="504"/>
      <c r="J65" s="431"/>
      <c r="K65" s="432"/>
      <c r="M65" s="374"/>
      <c r="N65" s="374"/>
      <c r="O65" s="374"/>
      <c r="P65" s="374"/>
      <c r="Q65" s="374"/>
      <c r="R65" s="374"/>
      <c r="S65" s="374"/>
      <c r="T65" s="374"/>
      <c r="U65" s="374"/>
      <c r="V65" s="374"/>
      <c r="W65" s="374"/>
      <c r="X65" s="374"/>
      <c r="Y65" s="374"/>
      <c r="Z65" s="374"/>
      <c r="AA65" s="374"/>
      <c r="AB65" s="374"/>
      <c r="AC65" s="374"/>
      <c r="AD65" s="374"/>
      <c r="AE65" s="374"/>
      <c r="AF65" s="374"/>
      <c r="AG65" s="374"/>
      <c r="AH65" s="374"/>
      <c r="AI65" s="374"/>
      <c r="AJ65" s="374"/>
      <c r="AK65" s="374"/>
      <c r="AL65" s="374"/>
      <c r="AM65" s="374"/>
      <c r="AN65" s="374"/>
      <c r="AO65" s="374"/>
      <c r="AP65" s="374"/>
      <c r="AQ65" s="370"/>
      <c r="AR65" s="374"/>
      <c r="AS65" s="370"/>
      <c r="AT65" s="374"/>
      <c r="AU65" s="370"/>
      <c r="AV65" s="370"/>
      <c r="AW65" s="370"/>
      <c r="AX65" s="370"/>
      <c r="AY65" s="370"/>
      <c r="AZ65" s="370"/>
      <c r="BA65" s="370"/>
      <c r="BB65" s="370"/>
      <c r="BC65" s="374"/>
      <c r="BD65" s="370"/>
      <c r="BE65" s="370"/>
      <c r="BF65" s="370"/>
      <c r="BG65" s="370"/>
      <c r="BH65" s="370"/>
      <c r="BI65" s="370"/>
      <c r="BJ65" s="370"/>
      <c r="BK65" s="370"/>
      <c r="BL65" s="370"/>
      <c r="BM65" s="370"/>
      <c r="BN65" s="370"/>
      <c r="BO65" s="370"/>
      <c r="BP65" s="370"/>
      <c r="BQ65" s="370"/>
      <c r="BR65" s="370"/>
      <c r="BS65" s="370"/>
      <c r="BT65" s="370"/>
      <c r="BU65" s="370"/>
      <c r="BV65" s="370"/>
      <c r="BW65" s="370"/>
      <c r="BX65" s="370"/>
      <c r="BY65" s="370"/>
      <c r="BZ65" s="370"/>
      <c r="CE65" s="370"/>
    </row>
    <row r="66" spans="1:83" ht="12.75">
      <c r="A66" s="370"/>
      <c r="B66" s="505" t="s">
        <v>64</v>
      </c>
      <c r="C66" s="506">
        <v>20</v>
      </c>
      <c r="D66" s="398">
        <f>_xll.ciqfunctions.udf.CIQSP(B66, "IQ_LASTSALEPRICE",$B$1)/100</f>
        <v>2.9100000000000001E-2</v>
      </c>
      <c r="E66" s="503" t="str">
        <f>IF((_xll.ciqfunctions.udf.CIQ(B66, "IQ_COMPANY_NAME"))="(Invalid Identifier)","",(_xll.ciqfunctions.udf.CIQ(B66, "IQ_COMPANY_NAME")))</f>
        <v>United States Treasury Constant Maturity - 20 Year</v>
      </c>
      <c r="F66" s="504"/>
      <c r="G66" s="504"/>
      <c r="H66" s="504"/>
      <c r="I66" s="504"/>
      <c r="J66" s="431"/>
      <c r="K66" s="432"/>
      <c r="M66" s="374"/>
      <c r="N66" s="374"/>
      <c r="O66" s="374"/>
      <c r="P66" s="374"/>
      <c r="Q66" s="374"/>
      <c r="R66" s="374"/>
      <c r="S66" s="374"/>
      <c r="T66" s="374"/>
      <c r="U66" s="374"/>
      <c r="V66" s="374"/>
      <c r="W66" s="374"/>
      <c r="X66" s="374"/>
      <c r="Y66" s="374"/>
      <c r="Z66" s="374"/>
      <c r="AA66" s="374"/>
      <c r="AB66" s="374"/>
      <c r="AC66" s="374"/>
      <c r="AD66" s="374"/>
      <c r="AE66" s="374"/>
      <c r="AF66" s="374"/>
      <c r="AG66" s="374"/>
      <c r="AH66" s="374"/>
      <c r="AI66" s="374"/>
      <c r="AJ66" s="374"/>
      <c r="AK66" s="374"/>
      <c r="AL66" s="374"/>
      <c r="AM66" s="374"/>
      <c r="AN66" s="374"/>
      <c r="AO66" s="374"/>
      <c r="AP66" s="374"/>
      <c r="AQ66" s="370"/>
      <c r="AR66" s="374"/>
      <c r="AS66" s="370"/>
      <c r="AT66" s="374"/>
      <c r="AU66" s="370"/>
      <c r="AV66" s="370"/>
      <c r="AW66" s="370"/>
      <c r="AX66" s="370"/>
      <c r="AY66" s="370"/>
      <c r="AZ66" s="370"/>
      <c r="BA66" s="370"/>
      <c r="BB66" s="370"/>
      <c r="BC66" s="374"/>
      <c r="BD66" s="370"/>
      <c r="BE66" s="370"/>
      <c r="BF66" s="370"/>
      <c r="BG66" s="370"/>
      <c r="BH66" s="370"/>
      <c r="BI66" s="370"/>
      <c r="BJ66" s="370"/>
      <c r="BK66" s="370"/>
      <c r="BL66" s="370"/>
      <c r="BM66" s="370"/>
      <c r="BN66" s="370"/>
      <c r="BO66" s="370"/>
      <c r="BP66" s="370"/>
      <c r="BQ66" s="370"/>
      <c r="BR66" s="370"/>
      <c r="BS66" s="370"/>
      <c r="BT66" s="370"/>
      <c r="BU66" s="370"/>
      <c r="BV66" s="370"/>
      <c r="BW66" s="370"/>
      <c r="BX66" s="370"/>
      <c r="BY66" s="370"/>
      <c r="BZ66" s="370"/>
      <c r="CE66" s="370"/>
    </row>
    <row r="67" spans="1:83" ht="12.75">
      <c r="A67" s="370"/>
      <c r="B67" s="507" t="s">
        <v>65</v>
      </c>
      <c r="C67" s="508">
        <v>30</v>
      </c>
      <c r="D67" s="377">
        <f>_xll.ciqfunctions.udf.CIQSP(B67, "IQ_LASTSALEPRICE",$B$1)/100</f>
        <v>2.98E-2</v>
      </c>
      <c r="E67" s="509" t="str">
        <f>IF((_xll.ciqfunctions.udf.CIQ(B67, "IQ_COMPANY_NAME"))="(Invalid Identifier)","",(_xll.ciqfunctions.udf.CIQ(B67, "IQ_COMPANY_NAME")))</f>
        <v>United States Treasury Constant Maturity - 30 Year</v>
      </c>
      <c r="F67" s="510"/>
      <c r="G67" s="510"/>
      <c r="H67" s="510"/>
      <c r="I67" s="510"/>
      <c r="J67" s="439"/>
      <c r="K67" s="440"/>
      <c r="M67" s="374"/>
      <c r="N67" s="374"/>
      <c r="O67" s="374"/>
      <c r="P67" s="374"/>
      <c r="Q67" s="374"/>
      <c r="R67" s="374"/>
      <c r="S67" s="374"/>
      <c r="T67" s="374"/>
      <c r="U67" s="374"/>
      <c r="V67" s="374"/>
      <c r="W67" s="374"/>
      <c r="X67" s="374"/>
      <c r="Y67" s="374"/>
      <c r="Z67" s="374"/>
      <c r="AA67" s="374"/>
      <c r="AB67" s="374"/>
      <c r="AC67" s="374"/>
      <c r="AD67" s="374"/>
      <c r="AE67" s="374"/>
      <c r="AF67" s="374"/>
      <c r="AG67" s="374"/>
      <c r="AH67" s="374"/>
      <c r="AI67" s="374"/>
      <c r="AJ67" s="374"/>
      <c r="AK67" s="374"/>
      <c r="AL67" s="374"/>
      <c r="AM67" s="374"/>
      <c r="AN67" s="374"/>
      <c r="AO67" s="374"/>
      <c r="AP67" s="374"/>
      <c r="AQ67" s="370"/>
      <c r="AR67" s="374"/>
      <c r="AS67" s="370"/>
      <c r="AT67" s="374"/>
      <c r="AU67" s="370"/>
      <c r="AV67" s="370"/>
      <c r="AW67" s="370"/>
      <c r="AX67" s="370"/>
      <c r="AY67" s="370"/>
      <c r="AZ67" s="370"/>
      <c r="BA67" s="370"/>
      <c r="BB67" s="370"/>
      <c r="BC67" s="374"/>
      <c r="BD67" s="370"/>
      <c r="BE67" s="370"/>
      <c r="BF67" s="370"/>
      <c r="BG67" s="370"/>
      <c r="BH67" s="370"/>
      <c r="BI67" s="370"/>
      <c r="BJ67" s="370"/>
      <c r="BK67" s="370"/>
      <c r="BL67" s="370"/>
      <c r="BM67" s="370"/>
      <c r="BN67" s="370"/>
      <c r="BO67" s="370"/>
      <c r="BP67" s="370"/>
      <c r="BQ67" s="370"/>
      <c r="BR67" s="370"/>
      <c r="BS67" s="370"/>
      <c r="BT67" s="370"/>
      <c r="BU67" s="370"/>
      <c r="BV67" s="370"/>
      <c r="BW67" s="370"/>
      <c r="BX67" s="370"/>
      <c r="BY67" s="370"/>
      <c r="BZ67" s="370"/>
      <c r="CE67" s="370"/>
    </row>
    <row r="70" spans="1:83">
      <c r="A70" s="370"/>
      <c r="B70" s="441" t="s">
        <v>490</v>
      </c>
      <c r="K70" s="374"/>
      <c r="L70" s="374"/>
      <c r="M70" s="374"/>
      <c r="N70" s="374"/>
      <c r="O70" s="374"/>
      <c r="P70" s="374"/>
      <c r="Q70" s="374"/>
      <c r="R70" s="374"/>
      <c r="S70" s="374"/>
      <c r="T70" s="374"/>
      <c r="U70" s="374"/>
      <c r="V70" s="374"/>
      <c r="W70" s="374"/>
      <c r="X70" s="374"/>
      <c r="Y70" s="374"/>
      <c r="Z70" s="374"/>
      <c r="AA70" s="374"/>
      <c r="AB70" s="374"/>
      <c r="AC70" s="374"/>
      <c r="AD70" s="374"/>
      <c r="AE70" s="374"/>
      <c r="AF70" s="374"/>
      <c r="AG70" s="374"/>
      <c r="AH70" s="374"/>
      <c r="AI70" s="374"/>
      <c r="AJ70" s="374"/>
      <c r="AK70" s="374"/>
      <c r="AL70" s="374"/>
      <c r="AM70" s="374"/>
      <c r="AN70" s="374"/>
      <c r="AO70" s="374"/>
      <c r="AP70" s="374"/>
      <c r="AQ70" s="370"/>
      <c r="AR70" s="374"/>
      <c r="AS70" s="370"/>
      <c r="AT70" s="374"/>
      <c r="AU70" s="370"/>
      <c r="AV70" s="370"/>
      <c r="AW70" s="370"/>
      <c r="AX70" s="370"/>
      <c r="AY70" s="370"/>
      <c r="AZ70" s="370"/>
      <c r="BA70" s="370"/>
      <c r="BB70" s="370"/>
      <c r="BC70" s="374"/>
      <c r="BD70" s="370"/>
      <c r="BE70" s="370"/>
      <c r="BF70" s="370"/>
      <c r="BG70" s="370"/>
      <c r="BH70" s="370"/>
      <c r="BI70" s="370"/>
      <c r="BJ70" s="370"/>
      <c r="BK70" s="370"/>
      <c r="BL70" s="370"/>
      <c r="BM70" s="370"/>
      <c r="BN70" s="370"/>
      <c r="BO70" s="370"/>
      <c r="BP70" s="370"/>
      <c r="BQ70" s="370"/>
      <c r="BR70" s="370"/>
      <c r="BS70" s="370"/>
      <c r="BT70" s="370"/>
      <c r="BU70" s="370"/>
      <c r="BV70" s="370"/>
      <c r="BW70" s="370"/>
      <c r="BX70" s="370"/>
      <c r="BY70" s="370"/>
      <c r="BZ70" s="370"/>
      <c r="CE70" s="370"/>
    </row>
    <row r="71" spans="1:83" ht="12.75">
      <c r="A71" s="370"/>
      <c r="B71" s="511" t="s">
        <v>491</v>
      </c>
      <c r="C71" s="443">
        <f>_xll.ciqfunctions.udf.CIQSP(B71, "IQ_LASTSALEPRICE",$B$1)/100</f>
        <v>4.8399999999999999E-2</v>
      </c>
      <c r="D71" s="512" t="s">
        <v>564</v>
      </c>
      <c r="E71" s="513"/>
      <c r="F71" s="513"/>
      <c r="G71" s="513"/>
      <c r="H71" s="513"/>
      <c r="I71" s="513"/>
      <c r="J71" s="514"/>
      <c r="K71" s="374"/>
      <c r="L71" s="374"/>
      <c r="M71" s="374"/>
      <c r="N71" s="374"/>
      <c r="O71" s="374"/>
      <c r="P71" s="374"/>
      <c r="Q71" s="374"/>
      <c r="R71" s="374"/>
      <c r="S71" s="374"/>
      <c r="T71" s="374"/>
      <c r="U71" s="374"/>
      <c r="V71" s="374"/>
      <c r="W71" s="374"/>
      <c r="X71" s="374"/>
      <c r="Y71" s="374"/>
      <c r="Z71" s="374"/>
      <c r="AA71" s="374"/>
      <c r="AB71" s="374"/>
      <c r="AC71" s="374"/>
      <c r="AD71" s="374"/>
      <c r="AE71" s="374"/>
      <c r="AF71" s="374"/>
      <c r="AG71" s="374"/>
      <c r="AH71" s="374"/>
      <c r="AI71" s="374"/>
      <c r="AJ71" s="374"/>
      <c r="AK71" s="374"/>
      <c r="AL71" s="374"/>
      <c r="AM71" s="374"/>
      <c r="AN71" s="374"/>
      <c r="AO71" s="374"/>
      <c r="AP71" s="374"/>
      <c r="AQ71" s="370"/>
      <c r="AR71" s="374"/>
      <c r="AS71" s="370"/>
      <c r="AT71" s="374"/>
      <c r="AU71" s="370"/>
      <c r="AV71" s="370"/>
      <c r="AW71" s="370"/>
      <c r="AX71" s="370"/>
      <c r="AY71" s="370"/>
      <c r="AZ71" s="370"/>
      <c r="BA71" s="370"/>
      <c r="BB71" s="370"/>
      <c r="BC71" s="374"/>
      <c r="BD71" s="370"/>
      <c r="BE71" s="370"/>
      <c r="BF71" s="370"/>
      <c r="BG71" s="370"/>
      <c r="BH71" s="370"/>
      <c r="BI71" s="370"/>
      <c r="BJ71" s="370"/>
      <c r="BK71" s="370"/>
      <c r="BL71" s="370"/>
      <c r="BM71" s="370"/>
      <c r="BN71" s="370"/>
      <c r="BO71" s="370"/>
      <c r="BP71" s="370"/>
      <c r="BQ71" s="370"/>
      <c r="BR71" s="370"/>
      <c r="BS71" s="370"/>
      <c r="BT71" s="370"/>
      <c r="BU71" s="370"/>
      <c r="BV71" s="370"/>
      <c r="BW71" s="370"/>
      <c r="BX71" s="370"/>
      <c r="BY71" s="370"/>
      <c r="BZ71" s="370"/>
      <c r="CE71" s="370"/>
    </row>
    <row r="73" spans="1:83">
      <c r="A73" s="370"/>
      <c r="B73" s="441" t="s">
        <v>492</v>
      </c>
      <c r="K73" s="374"/>
      <c r="L73" s="374"/>
      <c r="M73" s="374"/>
      <c r="N73" s="374"/>
      <c r="O73" s="374"/>
      <c r="P73" s="374"/>
      <c r="Q73" s="374"/>
      <c r="R73" s="374"/>
      <c r="S73" s="374"/>
      <c r="T73" s="374"/>
      <c r="U73" s="374"/>
      <c r="V73" s="374"/>
      <c r="W73" s="374"/>
      <c r="X73" s="374"/>
      <c r="Y73" s="374"/>
      <c r="Z73" s="374"/>
      <c r="AA73" s="374"/>
      <c r="AB73" s="374"/>
      <c r="AC73" s="374"/>
      <c r="AD73" s="374"/>
      <c r="AE73" s="374"/>
      <c r="AF73" s="374"/>
      <c r="AG73" s="374"/>
      <c r="AH73" s="374"/>
      <c r="AI73" s="374"/>
      <c r="AJ73" s="374"/>
      <c r="AK73" s="374"/>
      <c r="AL73" s="374"/>
      <c r="AM73" s="374"/>
      <c r="AN73" s="374"/>
      <c r="AO73" s="374"/>
      <c r="AP73" s="374"/>
      <c r="AQ73" s="370"/>
      <c r="AR73" s="374"/>
      <c r="AS73" s="370"/>
      <c r="AT73" s="374"/>
      <c r="AU73" s="370"/>
      <c r="AV73" s="370"/>
      <c r="AW73" s="370"/>
      <c r="AX73" s="370"/>
      <c r="AY73" s="370"/>
      <c r="AZ73" s="370"/>
      <c r="BA73" s="370"/>
      <c r="BB73" s="370"/>
      <c r="BC73" s="374"/>
      <c r="BD73" s="370"/>
      <c r="BE73" s="370"/>
      <c r="BF73" s="370"/>
      <c r="BG73" s="370"/>
      <c r="BH73" s="370"/>
      <c r="BI73" s="370"/>
      <c r="BJ73" s="370"/>
      <c r="BK73" s="370"/>
      <c r="BL73" s="370"/>
      <c r="BM73" s="370"/>
      <c r="BN73" s="370"/>
      <c r="BO73" s="370"/>
      <c r="BP73" s="370"/>
      <c r="BQ73" s="370"/>
      <c r="BR73" s="370"/>
      <c r="BS73" s="370"/>
      <c r="BT73" s="370"/>
      <c r="BU73" s="370"/>
      <c r="BV73" s="370"/>
      <c r="BW73" s="370"/>
      <c r="BX73" s="370"/>
      <c r="BY73" s="370"/>
      <c r="BZ73" s="370"/>
      <c r="CE73" s="370"/>
    </row>
    <row r="74" spans="1:83" ht="12.75">
      <c r="A74" s="370"/>
      <c r="B74" s="511" t="s">
        <v>493</v>
      </c>
      <c r="C74" s="443">
        <f>IF(ISERROR(_xll.ciqfunctions.udf.CIQ("%USPMRT","IQ_LASTSALEPRICE",B1)/100),"NM",_xll.ciqfunctions.udf.CIQ("%USPMRT","IQ_LASTSALEPRICE",B1)/100)</f>
        <v>0.05</v>
      </c>
      <c r="D74" s="512"/>
      <c r="E74" s="513"/>
      <c r="F74" s="513"/>
      <c r="G74" s="513"/>
      <c r="H74" s="513"/>
      <c r="I74" s="513"/>
      <c r="J74" s="514"/>
      <c r="K74" s="374"/>
      <c r="L74" s="374"/>
      <c r="M74" s="374"/>
      <c r="N74" s="374"/>
      <c r="O74" s="374"/>
      <c r="P74" s="374"/>
      <c r="Q74" s="374"/>
      <c r="R74" s="374"/>
      <c r="S74" s="374"/>
      <c r="T74" s="374"/>
      <c r="U74" s="374"/>
      <c r="V74" s="374"/>
      <c r="W74" s="374"/>
      <c r="X74" s="374"/>
      <c r="Y74" s="374"/>
      <c r="Z74" s="374"/>
      <c r="AA74" s="374"/>
      <c r="AB74" s="374"/>
      <c r="AC74" s="374"/>
      <c r="AD74" s="374"/>
      <c r="AE74" s="374"/>
      <c r="AF74" s="374"/>
      <c r="AG74" s="374"/>
      <c r="AH74" s="374"/>
      <c r="AI74" s="374"/>
      <c r="AJ74" s="374"/>
      <c r="AK74" s="374"/>
      <c r="AL74" s="374"/>
      <c r="AM74" s="374"/>
      <c r="AN74" s="374"/>
      <c r="AO74" s="374"/>
      <c r="AP74" s="374"/>
      <c r="AQ74" s="370"/>
      <c r="AR74" s="374"/>
      <c r="AS74" s="370"/>
      <c r="AT74" s="374"/>
      <c r="AU74" s="370"/>
      <c r="AV74" s="370"/>
      <c r="AW74" s="370"/>
      <c r="AX74" s="370"/>
      <c r="AY74" s="370"/>
      <c r="AZ74" s="370"/>
      <c r="BA74" s="370"/>
      <c r="BB74" s="370"/>
      <c r="BC74" s="374"/>
      <c r="BD74" s="370"/>
      <c r="BE74" s="370"/>
      <c r="BF74" s="370"/>
      <c r="BG74" s="370"/>
      <c r="BH74" s="370"/>
      <c r="BI74" s="370"/>
      <c r="BJ74" s="370"/>
      <c r="BK74" s="370"/>
      <c r="BL74" s="370"/>
      <c r="BM74" s="370"/>
      <c r="BN74" s="370"/>
      <c r="BO74" s="370"/>
      <c r="BP74" s="370"/>
      <c r="BQ74" s="370"/>
      <c r="BR74" s="370"/>
      <c r="BS74" s="370"/>
      <c r="BT74" s="370"/>
      <c r="BU74" s="370"/>
      <c r="BV74" s="370"/>
      <c r="BW74" s="370"/>
      <c r="BX74" s="370"/>
      <c r="BY74" s="370"/>
      <c r="BZ74" s="370"/>
      <c r="CE74" s="370"/>
    </row>
  </sheetData>
  <dataValidations count="1">
    <dataValidation type="list" allowBlank="1" showInputMessage="1" showErrorMessage="1" sqref="CC13:CD42">
      <formula1>#REF!</formula1>
    </dataValidation>
  </dataValidations>
  <pageMargins left="0.7" right="0.7" top="0.75" bottom="0.75" header="0.3" footer="0.3"/>
  <pageSetup scale="81" orientation="portrait" r:id="rId1"/>
  <colBreaks count="2" manualBreakCount="2">
    <brk id="58" max="73" man="1"/>
    <brk id="67" max="73" man="1"/>
  </colBreaks>
  <legacy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1"/>
  </sheetPr>
  <dimension ref="A1"/>
  <sheetViews>
    <sheetView showGridLines="0" workbookViewId="0"/>
  </sheetViews>
  <sheetFormatPr defaultColWidth="9.33203125" defaultRowHeight="12.75"/>
  <cols>
    <col min="1" max="16384" width="9.33203125" style="310"/>
  </cols>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375"/>
  <sheetViews>
    <sheetView topLeftCell="A294" zoomScale="75" zoomScaleNormal="75" workbookViewId="0">
      <selection activeCell="A307" sqref="A307"/>
    </sheetView>
  </sheetViews>
  <sheetFormatPr defaultRowHeight="15"/>
  <cols>
    <col min="1" max="1" width="56.6640625" style="1726" bestFit="1" customWidth="1"/>
    <col min="2" max="13" width="24.1640625" style="1726" customWidth="1"/>
    <col min="14" max="16384" width="9.33203125" style="1726"/>
  </cols>
  <sheetData>
    <row r="1" spans="1:13" s="1624" customFormat="1" ht="187.5" customHeight="1">
      <c r="A1" s="1622" t="s">
        <v>2642</v>
      </c>
      <c r="B1" s="1623"/>
      <c r="C1" s="1623"/>
      <c r="D1" s="1623"/>
      <c r="E1" s="1623"/>
      <c r="F1" s="1623"/>
      <c r="G1" s="1623"/>
      <c r="H1" s="1623"/>
      <c r="I1" s="1623"/>
      <c r="J1" s="1623"/>
      <c r="K1" s="1623"/>
      <c r="L1" s="1623"/>
      <c r="M1" s="1623"/>
    </row>
    <row r="2" spans="1:13" s="1625" customFormat="1" ht="45" customHeight="1">
      <c r="A2" s="2687" t="s">
        <v>2643</v>
      </c>
      <c r="B2" s="2688"/>
      <c r="C2" s="2688"/>
      <c r="D2" s="2688"/>
      <c r="E2" s="2688"/>
      <c r="F2" s="2688"/>
      <c r="G2" s="2688"/>
      <c r="H2" s="2688"/>
      <c r="I2" s="2688"/>
      <c r="J2" s="2688"/>
      <c r="K2" s="2688"/>
      <c r="L2" s="2688"/>
      <c r="M2" s="2689"/>
    </row>
    <row r="3" spans="1:13" s="1630" customFormat="1" ht="27" customHeight="1">
      <c r="A3" s="1626"/>
      <c r="B3" s="1627">
        <v>2012</v>
      </c>
      <c r="C3" s="1627">
        <v>2013</v>
      </c>
      <c r="D3" s="1627">
        <v>2014</v>
      </c>
      <c r="E3" s="1627">
        <v>2015</v>
      </c>
      <c r="F3" s="1627">
        <v>2016</v>
      </c>
      <c r="G3" s="1627">
        <v>2017</v>
      </c>
      <c r="H3" s="1627">
        <v>2018</v>
      </c>
      <c r="I3" s="1627">
        <v>2019</v>
      </c>
      <c r="J3" s="1627">
        <v>2020</v>
      </c>
      <c r="K3" s="1627">
        <v>2021</v>
      </c>
      <c r="L3" s="1628">
        <v>2022</v>
      </c>
      <c r="M3" s="1629" t="s">
        <v>2644</v>
      </c>
    </row>
    <row r="4" spans="1:13" s="1634" customFormat="1" ht="15" customHeight="1">
      <c r="A4" s="1631" t="s">
        <v>2645</v>
      </c>
      <c r="B4" s="1632">
        <v>1012522659</v>
      </c>
      <c r="C4" s="1632">
        <v>1023108830</v>
      </c>
      <c r="D4" s="1632">
        <v>1033395117</v>
      </c>
      <c r="E4" s="1632">
        <v>1043119737</v>
      </c>
      <c r="F4" s="1632">
        <v>1051687402</v>
      </c>
      <c r="G4" s="1632">
        <v>1058913792</v>
      </c>
      <c r="H4" s="1632">
        <v>1065197079</v>
      </c>
      <c r="I4" s="1632">
        <v>1070531050</v>
      </c>
      <c r="J4" s="1632">
        <v>1074960238</v>
      </c>
      <c r="K4" s="1632">
        <v>1078686497</v>
      </c>
      <c r="L4" s="1632">
        <v>1081894975</v>
      </c>
      <c r="M4" s="1633"/>
    </row>
    <row r="5" spans="1:13" s="1634" customFormat="1" ht="15" customHeight="1">
      <c r="A5" s="1635" t="s">
        <v>2646</v>
      </c>
      <c r="B5" s="1636">
        <v>38884222.615530491</v>
      </c>
      <c r="C5" s="1637">
        <v>41960091.918550566</v>
      </c>
      <c r="D5" s="1637">
        <v>45075852.088559628</v>
      </c>
      <c r="E5" s="1637">
        <v>48225822.491850898</v>
      </c>
      <c r="F5" s="1637">
        <v>51412725.627487049</v>
      </c>
      <c r="G5" s="1637">
        <v>54636863.602007285</v>
      </c>
      <c r="H5" s="1637">
        <v>57943264.291247435</v>
      </c>
      <c r="I5" s="1637">
        <v>61278066.322305903</v>
      </c>
      <c r="J5" s="1637">
        <v>64668193.196421981</v>
      </c>
      <c r="K5" s="1637">
        <v>67938142.393384904</v>
      </c>
      <c r="L5" s="1637">
        <v>71511778.741395816</v>
      </c>
    </row>
    <row r="6" spans="1:13" s="1634" customFormat="1" ht="15" customHeight="1">
      <c r="A6" s="1635" t="s">
        <v>2647</v>
      </c>
      <c r="B6" s="1638">
        <v>0.7</v>
      </c>
      <c r="C6" s="1639">
        <v>0.71</v>
      </c>
      <c r="D6" s="1639">
        <v>0.72</v>
      </c>
      <c r="E6" s="1639">
        <v>0.73</v>
      </c>
      <c r="F6" s="1639">
        <v>0.74</v>
      </c>
      <c r="G6" s="1639">
        <v>0.75</v>
      </c>
      <c r="H6" s="1639">
        <v>0.76</v>
      </c>
      <c r="I6" s="1639">
        <v>0.77</v>
      </c>
      <c r="J6" s="1639">
        <v>0.78</v>
      </c>
      <c r="K6" s="1639">
        <v>0.79</v>
      </c>
      <c r="L6" s="1639">
        <v>0.8</v>
      </c>
    </row>
    <row r="7" spans="1:13" s="1634" customFormat="1" ht="15" customHeight="1">
      <c r="A7" s="1635" t="s">
        <v>2648</v>
      </c>
      <c r="B7" s="1640">
        <f>B5*B6</f>
        <v>27218955.830871344</v>
      </c>
      <c r="C7" s="1640">
        <f t="shared" ref="C7:L7" si="0">C5*C6</f>
        <v>29791665.2621709</v>
      </c>
      <c r="D7" s="1640">
        <f t="shared" si="0"/>
        <v>32454613.503762931</v>
      </c>
      <c r="E7" s="1640">
        <f t="shared" si="0"/>
        <v>35204850.419051155</v>
      </c>
      <c r="F7" s="1640">
        <f t="shared" si="0"/>
        <v>38045416.964340419</v>
      </c>
      <c r="G7" s="1640">
        <f t="shared" si="0"/>
        <v>40977647.701505467</v>
      </c>
      <c r="H7" s="1640">
        <f t="shared" si="0"/>
        <v>44036880.861348048</v>
      </c>
      <c r="I7" s="1640">
        <f t="shared" si="0"/>
        <v>47184111.068175547</v>
      </c>
      <c r="J7" s="1640">
        <f t="shared" si="0"/>
        <v>50441190.693209149</v>
      </c>
      <c r="K7" s="1640">
        <f t="shared" si="0"/>
        <v>53671132.490774073</v>
      </c>
      <c r="L7" s="1640">
        <f t="shared" si="0"/>
        <v>57209422.993116654</v>
      </c>
    </row>
    <row r="8" spans="1:13" s="1634" customFormat="1" ht="15" customHeight="1">
      <c r="A8" s="1641"/>
      <c r="B8" s="1642"/>
      <c r="C8" s="1642"/>
      <c r="D8" s="1642"/>
      <c r="E8" s="1642"/>
      <c r="F8" s="1642"/>
      <c r="G8" s="1642"/>
      <c r="H8" s="1642"/>
      <c r="I8" s="1642"/>
      <c r="J8" s="1642"/>
      <c r="K8" s="1642"/>
      <c r="L8" s="1642"/>
    </row>
    <row r="9" spans="1:13" s="1634" customFormat="1" ht="15" customHeight="1">
      <c r="A9" s="1643"/>
      <c r="B9" s="1644"/>
      <c r="C9" s="1644"/>
      <c r="D9" s="1644"/>
      <c r="E9" s="1644"/>
      <c r="F9" s="1644"/>
      <c r="G9" s="1644"/>
      <c r="H9" s="1644"/>
      <c r="I9" s="1644"/>
      <c r="J9" s="1644"/>
      <c r="K9" s="1644"/>
      <c r="L9" s="1644"/>
      <c r="M9" s="1645"/>
    </row>
    <row r="10" spans="1:13" s="1634" customFormat="1" ht="15" customHeight="1">
      <c r="A10" s="1646" t="s">
        <v>2649</v>
      </c>
      <c r="B10" s="1647">
        <f t="shared" ref="B10:L10" si="1">SUM(B11:B14,B17,B26,B34,B40,B42)</f>
        <v>1.103</v>
      </c>
      <c r="C10" s="1647">
        <f t="shared" si="1"/>
        <v>1.1133999999999999</v>
      </c>
      <c r="D10" s="1647">
        <f t="shared" si="1"/>
        <v>1.1216000000000002</v>
      </c>
      <c r="E10" s="1647">
        <f t="shared" si="1"/>
        <v>1.1246400000000001</v>
      </c>
      <c r="F10" s="1647">
        <f t="shared" si="1"/>
        <v>1.1377296000000001</v>
      </c>
      <c r="G10" s="1647">
        <f t="shared" si="1"/>
        <v>1.1453103839999998</v>
      </c>
      <c r="H10" s="1647">
        <f t="shared" si="1"/>
        <v>1.1549540393599997</v>
      </c>
      <c r="I10" s="1647">
        <f t="shared" si="1"/>
        <v>1.1630555169343999</v>
      </c>
      <c r="J10" s="1647">
        <f t="shared" si="1"/>
        <v>1.1666107220117758</v>
      </c>
      <c r="K10" s="1647">
        <f t="shared" si="1"/>
        <v>1.168866436852247</v>
      </c>
      <c r="L10" s="1647">
        <f t="shared" si="1"/>
        <v>1.190070251690337</v>
      </c>
    </row>
    <row r="11" spans="1:13" s="1634" customFormat="1" ht="15" customHeight="1">
      <c r="A11" s="1648" t="s">
        <v>2650</v>
      </c>
      <c r="B11" s="1649">
        <v>0.6</v>
      </c>
      <c r="C11" s="1650">
        <v>0.6</v>
      </c>
      <c r="D11" s="1650">
        <v>0.6</v>
      </c>
      <c r="E11" s="1650">
        <v>0.6</v>
      </c>
      <c r="F11" s="1650">
        <v>0.6</v>
      </c>
      <c r="G11" s="1650">
        <v>0.6</v>
      </c>
      <c r="H11" s="1650">
        <v>0.6</v>
      </c>
      <c r="I11" s="1650">
        <v>0.6</v>
      </c>
      <c r="J11" s="1650">
        <v>0.6</v>
      </c>
      <c r="K11" s="1650">
        <v>0.6</v>
      </c>
      <c r="L11" s="1650">
        <v>0.6</v>
      </c>
    </row>
    <row r="12" spans="1:13" s="1634" customFormat="1" ht="15" customHeight="1">
      <c r="A12" s="1651" t="s">
        <v>2651</v>
      </c>
      <c r="B12" s="1649">
        <v>0.3</v>
      </c>
      <c r="C12" s="1650">
        <v>0.28999999999999998</v>
      </c>
      <c r="D12" s="1650">
        <v>0.28000000000000003</v>
      </c>
      <c r="E12" s="1650">
        <v>0.27</v>
      </c>
      <c r="F12" s="1650">
        <v>0.26</v>
      </c>
      <c r="G12" s="1650">
        <v>0.25</v>
      </c>
      <c r="H12" s="1650">
        <v>0.24</v>
      </c>
      <c r="I12" s="1650">
        <v>0.23</v>
      </c>
      <c r="J12" s="1650">
        <v>0.22</v>
      </c>
      <c r="K12" s="1650">
        <v>0.21</v>
      </c>
      <c r="L12" s="1650">
        <v>0.2</v>
      </c>
    </row>
    <row r="13" spans="1:13" s="1634" customFormat="1" ht="15" customHeight="1" thickBot="1">
      <c r="A13" s="1652" t="s">
        <v>2652</v>
      </c>
      <c r="B13" s="1653">
        <v>1.9E-2</v>
      </c>
      <c r="C13" s="1654">
        <v>1.7999999999999999E-2</v>
      </c>
      <c r="D13" s="1654">
        <v>1.7000000000000001E-2</v>
      </c>
      <c r="E13" s="1654">
        <v>1.6E-2</v>
      </c>
      <c r="F13" s="1654">
        <v>1.4999999999999999E-2</v>
      </c>
      <c r="G13" s="1654">
        <v>1.4E-2</v>
      </c>
      <c r="H13" s="1654">
        <v>1.2999999999999999E-2</v>
      </c>
      <c r="I13" s="1654">
        <v>1.2E-2</v>
      </c>
      <c r="J13" s="1654">
        <v>1.0999999999999999E-2</v>
      </c>
      <c r="K13" s="1654">
        <v>0.01</v>
      </c>
      <c r="L13" s="1654">
        <v>8.9999999999999993E-3</v>
      </c>
    </row>
    <row r="14" spans="1:13" s="1634" customFormat="1">
      <c r="A14" s="1655" t="s">
        <v>2653</v>
      </c>
      <c r="B14" s="1656">
        <f>SUM(B15:B16)</f>
        <v>1.9299999999999998E-2</v>
      </c>
      <c r="C14" s="1656">
        <f t="shared" ref="C14:L14" si="2">SUM(C15:C16)</f>
        <v>2.0799999999999999E-2</v>
      </c>
      <c r="D14" s="1656">
        <f t="shared" si="2"/>
        <v>2.4E-2</v>
      </c>
      <c r="E14" s="1656">
        <f t="shared" si="2"/>
        <v>2.5700000000000001E-2</v>
      </c>
      <c r="F14" s="1656">
        <f t="shared" si="2"/>
        <v>2.7400000000000001E-2</v>
      </c>
      <c r="G14" s="1656">
        <f t="shared" si="2"/>
        <v>2.8199999999999999E-2</v>
      </c>
      <c r="H14" s="1656">
        <f t="shared" si="2"/>
        <v>2.9100000000000001E-2</v>
      </c>
      <c r="I14" s="1656">
        <f t="shared" si="2"/>
        <v>3.0099999999999998E-2</v>
      </c>
      <c r="J14" s="1656">
        <f t="shared" si="2"/>
        <v>3.1099999999999999E-2</v>
      </c>
      <c r="K14" s="1656">
        <f t="shared" si="2"/>
        <v>3.1099999999999999E-2</v>
      </c>
      <c r="L14" s="1657">
        <f t="shared" si="2"/>
        <v>3.3100000000000004E-2</v>
      </c>
      <c r="M14" s="1658"/>
    </row>
    <row r="15" spans="1:13" s="1634" customFormat="1">
      <c r="A15" s="1659" t="s">
        <v>2654</v>
      </c>
      <c r="B15" s="1649">
        <v>3.0000000000000001E-3</v>
      </c>
      <c r="C15" s="1650">
        <v>2E-3</v>
      </c>
      <c r="D15" s="1650">
        <v>1E-3</v>
      </c>
      <c r="E15" s="1650">
        <v>6.9999999999999999E-4</v>
      </c>
      <c r="F15" s="1650">
        <v>4.0000000000000002E-4</v>
      </c>
      <c r="G15" s="1650">
        <v>2.0000000000000001E-4</v>
      </c>
      <c r="H15" s="1650">
        <v>1E-4</v>
      </c>
      <c r="I15" s="1650">
        <v>1E-4</v>
      </c>
      <c r="J15" s="1650">
        <v>1E-4</v>
      </c>
      <c r="K15" s="1650">
        <v>1E-4</v>
      </c>
      <c r="L15" s="1660">
        <v>1E-4</v>
      </c>
      <c r="M15" s="1658"/>
    </row>
    <row r="16" spans="1:13" s="1634" customFormat="1" ht="15.75" thickBot="1">
      <c r="A16" s="1661" t="s">
        <v>2655</v>
      </c>
      <c r="B16" s="1662">
        <v>1.6299999999999999E-2</v>
      </c>
      <c r="C16" s="1663">
        <v>1.8800000000000001E-2</v>
      </c>
      <c r="D16" s="1663">
        <v>2.3E-2</v>
      </c>
      <c r="E16" s="1663">
        <v>2.5000000000000001E-2</v>
      </c>
      <c r="F16" s="1663">
        <v>2.7E-2</v>
      </c>
      <c r="G16" s="1663">
        <v>2.8000000000000001E-2</v>
      </c>
      <c r="H16" s="1663">
        <v>2.9000000000000001E-2</v>
      </c>
      <c r="I16" s="1663">
        <v>0.03</v>
      </c>
      <c r="J16" s="1663">
        <v>3.1E-2</v>
      </c>
      <c r="K16" s="1663">
        <v>3.1E-2</v>
      </c>
      <c r="L16" s="1664">
        <v>3.3000000000000002E-2</v>
      </c>
      <c r="M16" s="1665"/>
    </row>
    <row r="17" spans="1:13" s="1670" customFormat="1">
      <c r="A17" s="1666" t="s">
        <v>2656</v>
      </c>
      <c r="B17" s="1667">
        <f t="shared" ref="B17:K17" si="3">SUM(B18:B25)</f>
        <v>3.8999999999999998E-3</v>
      </c>
      <c r="C17" s="1667">
        <f t="shared" si="3"/>
        <v>4.8000000000000004E-3</v>
      </c>
      <c r="D17" s="1667">
        <f t="shared" si="3"/>
        <v>5.7000000000000002E-3</v>
      </c>
      <c r="E17" s="1667">
        <f t="shared" si="3"/>
        <v>7.6E-3</v>
      </c>
      <c r="F17" s="1667">
        <f t="shared" si="3"/>
        <v>9.7000000000000003E-3</v>
      </c>
      <c r="G17" s="1667">
        <f t="shared" si="3"/>
        <v>1.0100000000000001E-2</v>
      </c>
      <c r="H17" s="1667">
        <f t="shared" si="3"/>
        <v>1.0370000000000001E-2</v>
      </c>
      <c r="I17" s="1667">
        <f t="shared" si="3"/>
        <v>1.0703000000000001E-2</v>
      </c>
      <c r="J17" s="1667">
        <f t="shared" si="3"/>
        <v>1.1092700000000002E-2</v>
      </c>
      <c r="K17" s="1667">
        <f t="shared" si="3"/>
        <v>1.1483430000000001E-2</v>
      </c>
      <c r="L17" s="1668">
        <f>SUM(L18:L25)</f>
        <v>1.1920087000000001E-2</v>
      </c>
      <c r="M17" s="1669"/>
    </row>
    <row r="18" spans="1:13" s="1634" customFormat="1">
      <c r="A18" s="1671" t="s">
        <v>2657</v>
      </c>
      <c r="B18" s="1649">
        <v>8.9999999999999998E-4</v>
      </c>
      <c r="C18" s="1650">
        <v>8.0000000000000004E-4</v>
      </c>
      <c r="D18" s="1650">
        <v>6.9999999999999999E-4</v>
      </c>
      <c r="E18" s="1650">
        <v>5.9999999999999995E-4</v>
      </c>
      <c r="F18" s="1672">
        <f>0.9*E18</f>
        <v>5.4000000000000001E-4</v>
      </c>
      <c r="G18" s="1672">
        <f t="shared" ref="G18:L18" si="4">0.9*F18</f>
        <v>4.86E-4</v>
      </c>
      <c r="H18" s="1672">
        <f t="shared" si="4"/>
        <v>4.3740000000000001E-4</v>
      </c>
      <c r="I18" s="1672">
        <f t="shared" si="4"/>
        <v>3.9366E-4</v>
      </c>
      <c r="J18" s="1672">
        <f t="shared" si="4"/>
        <v>3.5429400000000001E-4</v>
      </c>
      <c r="K18" s="1672">
        <f t="shared" si="4"/>
        <v>3.1886460000000002E-4</v>
      </c>
      <c r="L18" s="1672">
        <f t="shared" si="4"/>
        <v>2.8697814E-4</v>
      </c>
      <c r="M18" s="1633"/>
    </row>
    <row r="19" spans="1:13" s="1634" customFormat="1">
      <c r="A19" s="1673" t="s">
        <v>2658</v>
      </c>
      <c r="B19" s="1649">
        <v>0</v>
      </c>
      <c r="C19" s="1650">
        <v>0</v>
      </c>
      <c r="D19" s="1650">
        <v>0</v>
      </c>
      <c r="E19" s="1650">
        <v>0</v>
      </c>
      <c r="F19" s="1674">
        <f>$E$18-F18</f>
        <v>5.9999999999999941E-5</v>
      </c>
      <c r="G19" s="1674">
        <f t="shared" ref="G19:L19" si="5">$E$18-G18</f>
        <v>1.1399999999999995E-4</v>
      </c>
      <c r="H19" s="1674">
        <f t="shared" si="5"/>
        <v>1.6259999999999994E-4</v>
      </c>
      <c r="I19" s="1674">
        <f t="shared" si="5"/>
        <v>2.0633999999999995E-4</v>
      </c>
      <c r="J19" s="1674">
        <f t="shared" si="5"/>
        <v>2.4570599999999994E-4</v>
      </c>
      <c r="K19" s="1674">
        <f t="shared" si="5"/>
        <v>2.8113539999999993E-4</v>
      </c>
      <c r="L19" s="1674">
        <f t="shared" si="5"/>
        <v>3.1302185999999995E-4</v>
      </c>
      <c r="M19" s="1633"/>
    </row>
    <row r="20" spans="1:13" s="1634" customFormat="1">
      <c r="A20" s="1671" t="s">
        <v>2659</v>
      </c>
      <c r="B20" s="1649">
        <v>3.0000000000000001E-3</v>
      </c>
      <c r="C20" s="1650">
        <v>4.0000000000000001E-3</v>
      </c>
      <c r="D20" s="1650">
        <v>5.0000000000000001E-3</v>
      </c>
      <c r="E20" s="1650">
        <v>6.0000000000000001E-3</v>
      </c>
      <c r="F20" s="1650">
        <v>7.0000000000000001E-3</v>
      </c>
      <c r="G20" s="1672">
        <f t="shared" ref="G20:L20" si="6">0.9*F20</f>
        <v>6.3E-3</v>
      </c>
      <c r="H20" s="1672">
        <f t="shared" si="6"/>
        <v>5.6700000000000006E-3</v>
      </c>
      <c r="I20" s="1672">
        <f t="shared" si="6"/>
        <v>5.1030000000000008E-3</v>
      </c>
      <c r="J20" s="1672">
        <f t="shared" si="6"/>
        <v>4.5927000000000008E-3</v>
      </c>
      <c r="K20" s="1672">
        <f t="shared" si="6"/>
        <v>4.1334300000000004E-3</v>
      </c>
      <c r="L20" s="1675">
        <f t="shared" si="6"/>
        <v>3.7200870000000004E-3</v>
      </c>
      <c r="M20" s="1633"/>
    </row>
    <row r="21" spans="1:13" s="1634" customFormat="1">
      <c r="A21" s="1671" t="s">
        <v>2660</v>
      </c>
      <c r="B21" s="1649">
        <v>0</v>
      </c>
      <c r="C21" s="1676">
        <v>0</v>
      </c>
      <c r="D21" s="1650">
        <v>0</v>
      </c>
      <c r="E21" s="1674">
        <v>1E-3</v>
      </c>
      <c r="F21" s="1674">
        <v>2E-3</v>
      </c>
      <c r="G21" s="1674">
        <v>2.5000000000000001E-3</v>
      </c>
      <c r="H21" s="1674">
        <v>3.0000000000000001E-3</v>
      </c>
      <c r="I21" s="1674">
        <v>3.5000000000000001E-3</v>
      </c>
      <c r="J21" s="1674">
        <v>4.0000000000000001E-3</v>
      </c>
      <c r="K21" s="1674">
        <v>4.4999999999999997E-3</v>
      </c>
      <c r="L21" s="1677">
        <v>5.0000000000000001E-3</v>
      </c>
      <c r="M21" s="1633"/>
    </row>
    <row r="22" spans="1:13" s="1634" customFormat="1">
      <c r="A22" s="1671" t="s">
        <v>2661</v>
      </c>
      <c r="B22" s="1649">
        <v>0</v>
      </c>
      <c r="C22" s="1650">
        <v>0</v>
      </c>
      <c r="D22" s="1650">
        <v>0</v>
      </c>
      <c r="E22" s="1650">
        <v>0</v>
      </c>
      <c r="F22" s="1674">
        <v>1E-4</v>
      </c>
      <c r="G22" s="1674">
        <v>2.0000000000000001E-4</v>
      </c>
      <c r="H22" s="1674">
        <v>2.9999999999999997E-4</v>
      </c>
      <c r="I22" s="1674">
        <v>4.0000000000000002E-4</v>
      </c>
      <c r="J22" s="1674">
        <v>5.0000000000000001E-4</v>
      </c>
      <c r="K22" s="1674">
        <v>5.5000000000000003E-4</v>
      </c>
      <c r="L22" s="1677">
        <v>5.9999999999999995E-4</v>
      </c>
      <c r="M22" s="1633"/>
    </row>
    <row r="23" spans="1:13" s="1634" customFormat="1">
      <c r="A23" s="1673" t="s">
        <v>2662</v>
      </c>
      <c r="B23" s="1649">
        <v>0</v>
      </c>
      <c r="C23" s="1650">
        <v>0</v>
      </c>
      <c r="D23" s="1650">
        <v>0</v>
      </c>
      <c r="E23" s="1650">
        <v>0</v>
      </c>
      <c r="F23" s="1650">
        <v>0</v>
      </c>
      <c r="G23" s="1674">
        <v>5.0000000000000001E-4</v>
      </c>
      <c r="H23" s="1674">
        <v>8.0000000000000004E-4</v>
      </c>
      <c r="I23" s="1674">
        <v>1.1000000000000001E-3</v>
      </c>
      <c r="J23" s="1674">
        <v>1.4E-3</v>
      </c>
      <c r="K23" s="1674">
        <v>1.6999999999999999E-3</v>
      </c>
      <c r="L23" s="1677">
        <v>2E-3</v>
      </c>
      <c r="M23" s="1633"/>
    </row>
    <row r="24" spans="1:13" s="1634" customFormat="1">
      <c r="A24" s="1673" t="s">
        <v>2663</v>
      </c>
      <c r="B24" s="1649">
        <v>0</v>
      </c>
      <c r="C24" s="1650">
        <v>0</v>
      </c>
      <c r="D24" s="1650">
        <v>0</v>
      </c>
      <c r="E24" s="1650">
        <v>0</v>
      </c>
      <c r="F24" s="1650">
        <v>0</v>
      </c>
      <c r="G24" s="1650">
        <v>0</v>
      </c>
      <c r="H24" s="1650">
        <v>0</v>
      </c>
      <c r="I24" s="1650">
        <v>0</v>
      </c>
      <c r="J24" s="1650">
        <v>0</v>
      </c>
      <c r="K24" s="1650">
        <v>0</v>
      </c>
      <c r="L24" s="1660">
        <v>0</v>
      </c>
      <c r="M24" s="1633"/>
    </row>
    <row r="25" spans="1:13" s="1634" customFormat="1" ht="15.75" thickBot="1">
      <c r="A25" s="1678" t="s">
        <v>2664</v>
      </c>
      <c r="B25" s="1662">
        <v>0</v>
      </c>
      <c r="C25" s="1663">
        <v>0</v>
      </c>
      <c r="D25" s="1663">
        <v>0</v>
      </c>
      <c r="E25" s="1663">
        <v>0</v>
      </c>
      <c r="F25" s="1663">
        <v>0</v>
      </c>
      <c r="G25" s="1663">
        <v>0</v>
      </c>
      <c r="H25" s="1663">
        <v>0</v>
      </c>
      <c r="I25" s="1663">
        <v>0</v>
      </c>
      <c r="J25" s="1663">
        <v>0</v>
      </c>
      <c r="K25" s="1663">
        <v>0</v>
      </c>
      <c r="L25" s="1664">
        <v>0</v>
      </c>
      <c r="M25" s="1665"/>
    </row>
    <row r="26" spans="1:13" s="1670" customFormat="1">
      <c r="A26" s="1666" t="s">
        <v>2665</v>
      </c>
      <c r="B26" s="1667">
        <f t="shared" ref="B26:L26" si="7">SUM(B27:B33)</f>
        <v>0.05</v>
      </c>
      <c r="C26" s="1667">
        <f t="shared" si="7"/>
        <v>6.3200000000000006E-2</v>
      </c>
      <c r="D26" s="1667">
        <f t="shared" si="7"/>
        <v>7.1500000000000008E-2</v>
      </c>
      <c r="E26" s="1667">
        <f t="shared" si="7"/>
        <v>7.9699999999999993E-2</v>
      </c>
      <c r="F26" s="1667">
        <f t="shared" si="7"/>
        <v>8.856E-2</v>
      </c>
      <c r="G26" s="1667">
        <f t="shared" si="7"/>
        <v>9.7434000000000007E-2</v>
      </c>
      <c r="H26" s="1667">
        <f t="shared" si="7"/>
        <v>0.10742059999999999</v>
      </c>
      <c r="I26" s="1667">
        <f t="shared" si="7"/>
        <v>0.11471853999999999</v>
      </c>
      <c r="J26" s="1667">
        <f t="shared" si="7"/>
        <v>0.11982668599999999</v>
      </c>
      <c r="K26" s="1667">
        <f t="shared" si="7"/>
        <v>0.1245440174</v>
      </c>
      <c r="L26" s="1668">
        <f t="shared" si="7"/>
        <v>0.12806961566</v>
      </c>
      <c r="M26" s="1679"/>
    </row>
    <row r="27" spans="1:13" s="1634" customFormat="1">
      <c r="A27" s="1671" t="s">
        <v>2666</v>
      </c>
      <c r="B27" s="1649">
        <v>0.04</v>
      </c>
      <c r="C27" s="1650">
        <v>0.05</v>
      </c>
      <c r="D27" s="1650">
        <v>5.5E-2</v>
      </c>
      <c r="E27" s="1650">
        <v>0.06</v>
      </c>
      <c r="F27" s="1650">
        <v>6.5000000000000002E-2</v>
      </c>
      <c r="G27" s="1650">
        <v>7.0000000000000007E-2</v>
      </c>
      <c r="H27" s="1650">
        <v>7.4999999999999997E-2</v>
      </c>
      <c r="I27" s="1650">
        <v>7.8E-2</v>
      </c>
      <c r="J27" s="1650">
        <v>0.08</v>
      </c>
      <c r="K27" s="1650">
        <v>8.2000000000000003E-2</v>
      </c>
      <c r="L27" s="1660">
        <v>8.4000000000000005E-2</v>
      </c>
      <c r="M27" s="1633"/>
    </row>
    <row r="28" spans="1:13" s="1634" customFormat="1">
      <c r="A28" s="1671" t="s">
        <v>2667</v>
      </c>
      <c r="B28" s="1649">
        <v>0</v>
      </c>
      <c r="C28" s="1674">
        <v>8.9999999999999998E-4</v>
      </c>
      <c r="D28" s="1674">
        <v>1.1999999999999999E-3</v>
      </c>
      <c r="E28" s="1674">
        <v>1.4E-3</v>
      </c>
      <c r="F28" s="1674">
        <f>0.9*E28</f>
        <v>1.2600000000000001E-3</v>
      </c>
      <c r="G28" s="1674">
        <f t="shared" ref="G28:L28" si="8">0.9*F28</f>
        <v>1.134E-3</v>
      </c>
      <c r="H28" s="1674">
        <f t="shared" si="8"/>
        <v>1.0206E-3</v>
      </c>
      <c r="I28" s="1674">
        <f t="shared" si="8"/>
        <v>9.1854000000000002E-4</v>
      </c>
      <c r="J28" s="1674">
        <f t="shared" si="8"/>
        <v>8.2668600000000009E-4</v>
      </c>
      <c r="K28" s="1674">
        <f t="shared" si="8"/>
        <v>7.4401740000000006E-4</v>
      </c>
      <c r="L28" s="1677">
        <f t="shared" si="8"/>
        <v>6.6961566000000011E-4</v>
      </c>
      <c r="M28" s="1633"/>
    </row>
    <row r="29" spans="1:13" s="1634" customFormat="1">
      <c r="A29" s="1659" t="s">
        <v>2668</v>
      </c>
      <c r="B29" s="1649">
        <v>0</v>
      </c>
      <c r="C29" s="1674">
        <v>2.9999999999999997E-4</v>
      </c>
      <c r="D29" s="1674">
        <v>2.9999999999999997E-4</v>
      </c>
      <c r="E29" s="1674">
        <v>2.9999999999999997E-4</v>
      </c>
      <c r="F29" s="1674">
        <v>2.9999999999999997E-4</v>
      </c>
      <c r="G29" s="1674">
        <v>2.9999999999999997E-4</v>
      </c>
      <c r="H29" s="1674">
        <v>2.9999999999999997E-4</v>
      </c>
      <c r="I29" s="1674">
        <v>2.9999999999999997E-4</v>
      </c>
      <c r="J29" s="1674">
        <v>2.9999999999999997E-4</v>
      </c>
      <c r="K29" s="1674">
        <v>2.9999999999999997E-4</v>
      </c>
      <c r="L29" s="1674">
        <v>2.9999999999999997E-4</v>
      </c>
      <c r="M29" s="1633"/>
    </row>
    <row r="30" spans="1:13" s="1634" customFormat="1">
      <c r="A30" s="1659" t="s">
        <v>2669</v>
      </c>
      <c r="B30" s="1649">
        <v>0.01</v>
      </c>
      <c r="C30" s="1650">
        <v>1.2E-2</v>
      </c>
      <c r="D30" s="1650">
        <v>1.4E-2</v>
      </c>
      <c r="E30" s="1650">
        <v>1.6E-2</v>
      </c>
      <c r="F30" s="1650">
        <v>1.7999999999999999E-2</v>
      </c>
      <c r="G30" s="1650">
        <v>0.02</v>
      </c>
      <c r="H30" s="1650">
        <v>2.1499999999999998E-2</v>
      </c>
      <c r="I30" s="1650">
        <v>2.3E-2</v>
      </c>
      <c r="J30" s="1650">
        <v>2.4E-2</v>
      </c>
      <c r="K30" s="1650">
        <v>2.5000000000000001E-2</v>
      </c>
      <c r="L30" s="1660">
        <v>2.5499999999999998E-2</v>
      </c>
      <c r="M30" s="1680"/>
    </row>
    <row r="31" spans="1:13" s="1634" customFormat="1">
      <c r="A31" s="1671" t="s">
        <v>2670</v>
      </c>
      <c r="B31" s="1649">
        <v>0</v>
      </c>
      <c r="C31" s="1650">
        <v>0</v>
      </c>
      <c r="D31" s="1674">
        <v>1E-3</v>
      </c>
      <c r="E31" s="1674">
        <v>2E-3</v>
      </c>
      <c r="F31" s="1674">
        <v>4.0000000000000001E-3</v>
      </c>
      <c r="G31" s="1674">
        <v>6.0000000000000001E-3</v>
      </c>
      <c r="H31" s="1674">
        <v>8.0000000000000002E-3</v>
      </c>
      <c r="I31" s="1674">
        <v>0.01</v>
      </c>
      <c r="J31" s="1674">
        <v>1.15E-2</v>
      </c>
      <c r="K31" s="1674">
        <v>1.2999999999999999E-2</v>
      </c>
      <c r="L31" s="1677">
        <v>1.4E-2</v>
      </c>
      <c r="M31" s="1665"/>
    </row>
    <row r="32" spans="1:13" s="1634" customFormat="1">
      <c r="A32" s="1673" t="s">
        <v>2671</v>
      </c>
      <c r="B32" s="1649">
        <v>0</v>
      </c>
      <c r="C32" s="1650">
        <v>0</v>
      </c>
      <c r="D32" s="1650">
        <v>0</v>
      </c>
      <c r="E32" s="1650">
        <v>0</v>
      </c>
      <c r="F32" s="1650">
        <v>0</v>
      </c>
      <c r="G32" s="1650">
        <v>0</v>
      </c>
      <c r="H32" s="1650">
        <v>0</v>
      </c>
      <c r="I32" s="1650">
        <v>0</v>
      </c>
      <c r="J32" s="1650">
        <v>0</v>
      </c>
      <c r="K32" s="1650">
        <v>0</v>
      </c>
      <c r="L32" s="1660">
        <v>0</v>
      </c>
      <c r="M32" s="1665"/>
    </row>
    <row r="33" spans="1:13" s="1634" customFormat="1" ht="15.75" thickBot="1">
      <c r="A33" s="1678" t="s">
        <v>2672</v>
      </c>
      <c r="B33" s="1662">
        <v>0</v>
      </c>
      <c r="C33" s="1663">
        <v>0</v>
      </c>
      <c r="D33" s="1663">
        <v>0</v>
      </c>
      <c r="E33" s="1663">
        <v>0</v>
      </c>
      <c r="F33" s="1650">
        <v>0</v>
      </c>
      <c r="G33" s="1650">
        <v>0</v>
      </c>
      <c r="H33" s="1674">
        <v>1.6000000000000001E-3</v>
      </c>
      <c r="I33" s="1674">
        <v>2.5000000000000001E-3</v>
      </c>
      <c r="J33" s="1674">
        <v>3.2000000000000002E-3</v>
      </c>
      <c r="K33" s="1674">
        <v>3.5000000000000001E-3</v>
      </c>
      <c r="L33" s="1674">
        <v>3.5999999999999999E-3</v>
      </c>
      <c r="M33" s="1665"/>
    </row>
    <row r="34" spans="1:13" s="1634" customFormat="1">
      <c r="A34" s="1666" t="s">
        <v>2673</v>
      </c>
      <c r="B34" s="1667">
        <f t="shared" ref="B34:L34" si="9">SUM(B35:B39)</f>
        <v>0</v>
      </c>
      <c r="C34" s="1667">
        <f t="shared" si="9"/>
        <v>0</v>
      </c>
      <c r="D34" s="1667">
        <f t="shared" si="9"/>
        <v>1E-3</v>
      </c>
      <c r="E34" s="1667">
        <f t="shared" si="9"/>
        <v>3.0000000000000001E-3</v>
      </c>
      <c r="F34" s="1667">
        <f t="shared" si="9"/>
        <v>1.2E-2</v>
      </c>
      <c r="G34" s="1667">
        <f t="shared" si="9"/>
        <v>1.7999999999999999E-2</v>
      </c>
      <c r="H34" s="1667">
        <f t="shared" si="9"/>
        <v>2.3900000000000001E-2</v>
      </c>
      <c r="I34" s="1667">
        <f t="shared" si="9"/>
        <v>2.9700000000000001E-2</v>
      </c>
      <c r="J34" s="1667">
        <f t="shared" si="9"/>
        <v>3.3000000000000002E-2</v>
      </c>
      <c r="K34" s="1667">
        <f t="shared" si="9"/>
        <v>3.6999999999999998E-2</v>
      </c>
      <c r="L34" s="1668">
        <f t="shared" si="9"/>
        <v>3.9E-2</v>
      </c>
      <c r="M34" s="1681"/>
    </row>
    <row r="35" spans="1:13" s="1634" customFormat="1">
      <c r="A35" s="1659" t="s">
        <v>2674</v>
      </c>
      <c r="B35" s="1649">
        <v>0</v>
      </c>
      <c r="C35" s="1650">
        <v>0</v>
      </c>
      <c r="D35" s="1674">
        <v>1E-3</v>
      </c>
      <c r="E35" s="1674">
        <v>2.5000000000000001E-3</v>
      </c>
      <c r="F35" s="1674">
        <v>0.01</v>
      </c>
      <c r="G35" s="1674">
        <v>1.4999999999999999E-2</v>
      </c>
      <c r="H35" s="1674">
        <v>0.02</v>
      </c>
      <c r="I35" s="1674">
        <v>2.5000000000000001E-2</v>
      </c>
      <c r="J35" s="1674">
        <v>2.75E-2</v>
      </c>
      <c r="K35" s="1674">
        <v>0.03</v>
      </c>
      <c r="L35" s="1682">
        <v>3.1E-2</v>
      </c>
      <c r="M35" s="1683"/>
    </row>
    <row r="36" spans="1:13" s="1634" customFormat="1">
      <c r="A36" s="1659" t="s">
        <v>2675</v>
      </c>
      <c r="B36" s="1649">
        <v>0</v>
      </c>
      <c r="C36" s="1650">
        <v>0</v>
      </c>
      <c r="D36" s="1650">
        <v>0</v>
      </c>
      <c r="E36" s="1674">
        <v>5.0000000000000001E-4</v>
      </c>
      <c r="F36" s="1674">
        <v>2E-3</v>
      </c>
      <c r="G36" s="1674">
        <v>3.0000000000000001E-3</v>
      </c>
      <c r="H36" s="1674">
        <v>3.8999999999999998E-3</v>
      </c>
      <c r="I36" s="1674">
        <v>4.7000000000000002E-3</v>
      </c>
      <c r="J36" s="1674">
        <v>5.4999999999999997E-3</v>
      </c>
      <c r="K36" s="1674">
        <v>7.0000000000000001E-3</v>
      </c>
      <c r="L36" s="1682">
        <v>8.0000000000000002E-3</v>
      </c>
      <c r="M36" s="1684"/>
    </row>
    <row r="37" spans="1:13" s="1634" customFormat="1">
      <c r="A37" s="1685" t="s">
        <v>2676</v>
      </c>
      <c r="B37" s="1649">
        <v>0</v>
      </c>
      <c r="C37" s="1650">
        <v>0</v>
      </c>
      <c r="D37" s="1650">
        <v>0</v>
      </c>
      <c r="E37" s="1650">
        <v>0</v>
      </c>
      <c r="F37" s="1650">
        <v>0</v>
      </c>
      <c r="G37" s="1650">
        <v>0</v>
      </c>
      <c r="H37" s="1650">
        <v>0</v>
      </c>
      <c r="I37" s="1650">
        <v>0</v>
      </c>
      <c r="J37" s="1650">
        <v>0</v>
      </c>
      <c r="K37" s="1650">
        <v>0</v>
      </c>
      <c r="L37" s="1660">
        <v>0</v>
      </c>
      <c r="M37" s="1679"/>
    </row>
    <row r="38" spans="1:13" s="1634" customFormat="1">
      <c r="A38" s="1685" t="s">
        <v>2677</v>
      </c>
      <c r="B38" s="1649">
        <v>0</v>
      </c>
      <c r="C38" s="1650">
        <v>0</v>
      </c>
      <c r="D38" s="1650">
        <v>0</v>
      </c>
      <c r="E38" s="1650">
        <v>0</v>
      </c>
      <c r="F38" s="1650">
        <v>0</v>
      </c>
      <c r="G38" s="1650">
        <v>0</v>
      </c>
      <c r="H38" s="1650">
        <v>0</v>
      </c>
      <c r="I38" s="1650">
        <v>0</v>
      </c>
      <c r="J38" s="1650">
        <v>0</v>
      </c>
      <c r="K38" s="1650">
        <v>0</v>
      </c>
      <c r="L38" s="1660">
        <v>0</v>
      </c>
      <c r="M38" s="1633"/>
    </row>
    <row r="39" spans="1:13" s="1634" customFormat="1" ht="15.75" thickBot="1">
      <c r="A39" s="1678" t="s">
        <v>2678</v>
      </c>
      <c r="B39" s="1662">
        <v>0</v>
      </c>
      <c r="C39" s="1663">
        <v>0</v>
      </c>
      <c r="D39" s="1663">
        <v>0</v>
      </c>
      <c r="E39" s="1663">
        <v>0</v>
      </c>
      <c r="F39" s="1663">
        <v>0</v>
      </c>
      <c r="G39" s="1663">
        <v>0</v>
      </c>
      <c r="H39" s="1663">
        <v>0</v>
      </c>
      <c r="I39" s="1663">
        <v>0</v>
      </c>
      <c r="J39" s="1663">
        <v>0</v>
      </c>
      <c r="K39" s="1663">
        <v>0</v>
      </c>
      <c r="L39" s="1664">
        <v>0</v>
      </c>
      <c r="M39" s="1633"/>
    </row>
    <row r="40" spans="1:13" s="1634" customFormat="1">
      <c r="A40" s="1666" t="s">
        <v>2679</v>
      </c>
      <c r="B40" s="1667">
        <f t="shared" ref="B40:L40" si="10">SUM(B41:B41)</f>
        <v>0</v>
      </c>
      <c r="C40" s="1667">
        <f t="shared" si="10"/>
        <v>0</v>
      </c>
      <c r="D40" s="1667">
        <f t="shared" si="10"/>
        <v>0</v>
      </c>
      <c r="E40" s="1667">
        <f t="shared" si="10"/>
        <v>0</v>
      </c>
      <c r="F40" s="1667">
        <f t="shared" si="10"/>
        <v>0</v>
      </c>
      <c r="G40" s="1667">
        <f t="shared" si="10"/>
        <v>0</v>
      </c>
      <c r="H40" s="1667">
        <f t="shared" si="10"/>
        <v>1E-3</v>
      </c>
      <c r="I40" s="1667">
        <f t="shared" si="10"/>
        <v>3.0000000000000001E-3</v>
      </c>
      <c r="J40" s="1667">
        <f t="shared" si="10"/>
        <v>5.0000000000000001E-3</v>
      </c>
      <c r="K40" s="1667">
        <f t="shared" si="10"/>
        <v>6.4999999999999997E-3</v>
      </c>
      <c r="L40" s="1668">
        <f t="shared" si="10"/>
        <v>8.0000000000000002E-3</v>
      </c>
      <c r="M40" s="1633"/>
    </row>
    <row r="41" spans="1:13" s="1634" customFormat="1" ht="15.75" thickBot="1">
      <c r="A41" s="1678" t="s">
        <v>2680</v>
      </c>
      <c r="B41" s="1662">
        <v>0</v>
      </c>
      <c r="C41" s="1663">
        <v>0</v>
      </c>
      <c r="D41" s="1663">
        <v>0</v>
      </c>
      <c r="E41" s="1663">
        <v>0</v>
      </c>
      <c r="F41" s="1663">
        <v>0</v>
      </c>
      <c r="G41" s="1650">
        <v>0</v>
      </c>
      <c r="H41" s="1674">
        <v>1E-3</v>
      </c>
      <c r="I41" s="1674">
        <v>3.0000000000000001E-3</v>
      </c>
      <c r="J41" s="1674">
        <v>5.0000000000000001E-3</v>
      </c>
      <c r="K41" s="1674">
        <v>6.4999999999999997E-3</v>
      </c>
      <c r="L41" s="1674">
        <v>8.0000000000000002E-3</v>
      </c>
      <c r="M41" s="1633"/>
    </row>
    <row r="42" spans="1:13" s="1634" customFormat="1">
      <c r="A42" s="1666" t="s">
        <v>2681</v>
      </c>
      <c r="B42" s="1667">
        <f>SUM(B43:B57)</f>
        <v>0.11079999999999998</v>
      </c>
      <c r="C42" s="1667">
        <f t="shared" ref="C42:L42" si="11">SUM(C43:C57)</f>
        <v>0.1166</v>
      </c>
      <c r="D42" s="1667">
        <f t="shared" si="11"/>
        <v>0.12239999999999999</v>
      </c>
      <c r="E42" s="1667">
        <f t="shared" si="11"/>
        <v>0.12264000000000001</v>
      </c>
      <c r="F42" s="1667">
        <f t="shared" si="11"/>
        <v>0.12506959999999998</v>
      </c>
      <c r="G42" s="1667">
        <f t="shared" si="11"/>
        <v>0.12757638399999999</v>
      </c>
      <c r="H42" s="1667">
        <f t="shared" si="11"/>
        <v>0.13016343935999997</v>
      </c>
      <c r="I42" s="1667">
        <f t="shared" si="11"/>
        <v>0.13283397693439999</v>
      </c>
      <c r="J42" s="1667">
        <f t="shared" si="11"/>
        <v>0.13559133601177598</v>
      </c>
      <c r="K42" s="1667">
        <f t="shared" si="11"/>
        <v>0.13823898945224702</v>
      </c>
      <c r="L42" s="1668">
        <f t="shared" si="11"/>
        <v>0.1609805490303369</v>
      </c>
      <c r="M42" s="1633"/>
    </row>
    <row r="43" spans="1:13" s="1634" customFormat="1">
      <c r="A43" s="1671" t="s">
        <v>2682</v>
      </c>
      <c r="B43" s="1649">
        <v>0.04</v>
      </c>
      <c r="C43" s="1650">
        <v>0.04</v>
      </c>
      <c r="D43" s="1650">
        <v>0.04</v>
      </c>
      <c r="E43" s="1650">
        <v>0.04</v>
      </c>
      <c r="F43" s="1650">
        <v>0.04</v>
      </c>
      <c r="G43" s="1650">
        <v>0.04</v>
      </c>
      <c r="H43" s="1650">
        <v>0.04</v>
      </c>
      <c r="I43" s="1650">
        <v>0.04</v>
      </c>
      <c r="J43" s="1650">
        <v>0.04</v>
      </c>
      <c r="K43" s="1650">
        <v>0.04</v>
      </c>
      <c r="L43" s="1650">
        <v>0.04</v>
      </c>
      <c r="M43" s="1633"/>
    </row>
    <row r="44" spans="1:13" s="1634" customFormat="1">
      <c r="A44" s="1671" t="s">
        <v>2683</v>
      </c>
      <c r="B44" s="1649">
        <v>0.02</v>
      </c>
      <c r="C44" s="1650">
        <v>0.02</v>
      </c>
      <c r="D44" s="1650">
        <v>0.02</v>
      </c>
      <c r="E44" s="1650">
        <v>0.02</v>
      </c>
      <c r="F44" s="1650">
        <v>0.02</v>
      </c>
      <c r="G44" s="1650">
        <v>0.02</v>
      </c>
      <c r="H44" s="1650">
        <v>0.02</v>
      </c>
      <c r="I44" s="1650">
        <v>0.02</v>
      </c>
      <c r="J44" s="1650">
        <v>0.02</v>
      </c>
      <c r="K44" s="1650">
        <v>0.02</v>
      </c>
      <c r="L44" s="1650">
        <v>0.04</v>
      </c>
      <c r="M44" s="1633"/>
    </row>
    <row r="45" spans="1:13" s="1634" customFormat="1">
      <c r="A45" s="1671" t="s">
        <v>2684</v>
      </c>
      <c r="B45" s="1649">
        <v>0.01</v>
      </c>
      <c r="C45" s="1650">
        <v>0.01</v>
      </c>
      <c r="D45" s="1650">
        <v>0.01</v>
      </c>
      <c r="E45" s="1650">
        <v>0.01</v>
      </c>
      <c r="F45" s="1650">
        <v>0.01</v>
      </c>
      <c r="G45" s="1650">
        <v>0.01</v>
      </c>
      <c r="H45" s="1650">
        <v>0.01</v>
      </c>
      <c r="I45" s="1650">
        <v>0.01</v>
      </c>
      <c r="J45" s="1650">
        <v>0.01</v>
      </c>
      <c r="K45" s="1650">
        <v>0.01</v>
      </c>
      <c r="L45" s="1650">
        <v>0.01</v>
      </c>
      <c r="M45" s="1633"/>
    </row>
    <row r="46" spans="1:13" s="1634" customFormat="1">
      <c r="A46" s="1671" t="s">
        <v>2685</v>
      </c>
      <c r="B46" s="1649">
        <v>8.9999999999999993E-3</v>
      </c>
      <c r="C46" s="1672">
        <v>8.9999999999999993E-3</v>
      </c>
      <c r="D46" s="1672">
        <v>8.9999999999999993E-3</v>
      </c>
      <c r="E46" s="1672">
        <f>0.95*D46</f>
        <v>8.5499999999999986E-3</v>
      </c>
      <c r="F46" s="1672">
        <f>0.95*E46</f>
        <v>8.1224999999999978E-3</v>
      </c>
      <c r="G46" s="1672">
        <f>0.95*F46</f>
        <v>7.7163749999999975E-3</v>
      </c>
      <c r="H46" s="1672">
        <f>0.95*G46</f>
        <v>7.3305562499999975E-3</v>
      </c>
      <c r="I46" s="1672">
        <f>0.97*H46</f>
        <v>7.1106395624999973E-3</v>
      </c>
      <c r="J46" s="1672">
        <f>0.97*I46</f>
        <v>6.8973203756249974E-3</v>
      </c>
      <c r="K46" s="1672">
        <f>0.97*J46</f>
        <v>6.6904007643562476E-3</v>
      </c>
      <c r="L46" s="1672">
        <f>0.97*K46</f>
        <v>6.4896887414255602E-3</v>
      </c>
      <c r="M46" s="1686"/>
    </row>
    <row r="47" spans="1:13" s="1634" customFormat="1">
      <c r="A47" s="1673" t="s">
        <v>2686</v>
      </c>
      <c r="B47" s="1649">
        <v>0</v>
      </c>
      <c r="C47" s="1650">
        <v>0</v>
      </c>
      <c r="D47" s="1650">
        <v>0</v>
      </c>
      <c r="E47" s="1674">
        <f>(D46-E46)*1.1</f>
        <v>4.9500000000000086E-4</v>
      </c>
      <c r="F47" s="1674">
        <f>(E46+E47)*1.04-F46</f>
        <v>1.2843000000000021E-3</v>
      </c>
      <c r="G47" s="1674">
        <f t="shared" ref="G47:L47" si="12">(F46+F47)*1.04-G46</f>
        <v>2.0666970000000028E-3</v>
      </c>
      <c r="H47" s="1674">
        <f t="shared" si="12"/>
        <v>2.843838630000004E-3</v>
      </c>
      <c r="I47" s="1674">
        <f t="shared" si="12"/>
        <v>3.4707311127000042E-3</v>
      </c>
      <c r="J47" s="1674">
        <f t="shared" si="12"/>
        <v>4.107305126583004E-3</v>
      </c>
      <c r="K47" s="1674">
        <f t="shared" si="12"/>
        <v>4.7544097579400747E-3</v>
      </c>
      <c r="L47" s="1674">
        <f t="shared" si="12"/>
        <v>5.4129142017626149E-3</v>
      </c>
      <c r="M47" s="1633"/>
    </row>
    <row r="48" spans="1:13" s="1634" customFormat="1">
      <c r="A48" s="1671" t="s">
        <v>2687</v>
      </c>
      <c r="B48" s="1649">
        <v>1.2E-2</v>
      </c>
      <c r="C48" s="1650">
        <v>1.4E-2</v>
      </c>
      <c r="D48" s="1672">
        <v>1.6E-2</v>
      </c>
      <c r="E48" s="1672">
        <f>0.95*D48</f>
        <v>1.52E-2</v>
      </c>
      <c r="F48" s="1672">
        <f>0.95*E48</f>
        <v>1.444E-2</v>
      </c>
      <c r="G48" s="1672">
        <f>0.95*F48</f>
        <v>1.3717999999999999E-2</v>
      </c>
      <c r="H48" s="1672">
        <f>0.95*G48</f>
        <v>1.3032099999999998E-2</v>
      </c>
      <c r="I48" s="1672">
        <f>0.97*H48</f>
        <v>1.2641136999999997E-2</v>
      </c>
      <c r="J48" s="1672">
        <f>0.97*I48</f>
        <v>1.2261902889999997E-2</v>
      </c>
      <c r="K48" s="1672">
        <f>0.97*J48</f>
        <v>1.1894045803299997E-2</v>
      </c>
      <c r="L48" s="1672">
        <f>0.97*K48</f>
        <v>1.1537224429200996E-2</v>
      </c>
      <c r="M48" s="1686"/>
    </row>
    <row r="49" spans="1:13" s="1634" customFormat="1">
      <c r="A49" s="1673" t="s">
        <v>2688</v>
      </c>
      <c r="B49" s="1649">
        <v>0</v>
      </c>
      <c r="C49" s="1650">
        <v>0</v>
      </c>
      <c r="D49" s="1650">
        <v>0</v>
      </c>
      <c r="E49" s="1674">
        <f>(D48-E48)*1.1</f>
        <v>8.8000000000000047E-4</v>
      </c>
      <c r="F49" s="1674">
        <f>(E48+E49)*1.04-F48</f>
        <v>2.2832000000000009E-3</v>
      </c>
      <c r="G49" s="1674">
        <f t="shared" ref="G49:L49" si="13">(F48+F49)*1.04-G48</f>
        <v>3.6741280000000005E-3</v>
      </c>
      <c r="H49" s="1674">
        <f t="shared" si="13"/>
        <v>5.0557131200000029E-3</v>
      </c>
      <c r="I49" s="1674">
        <f t="shared" si="13"/>
        <v>6.1701886448000051E-3</v>
      </c>
      <c r="J49" s="1674">
        <f t="shared" si="13"/>
        <v>7.3018757805920053E-3</v>
      </c>
      <c r="K49" s="1674">
        <f t="shared" si="13"/>
        <v>8.4522840141156869E-3</v>
      </c>
      <c r="L49" s="1674">
        <f t="shared" si="13"/>
        <v>9.6229585809113165E-3</v>
      </c>
      <c r="M49" s="1633"/>
    </row>
    <row r="50" spans="1:13" s="1634" customFormat="1">
      <c r="A50" s="1671" t="s">
        <v>2689</v>
      </c>
      <c r="B50" s="1649">
        <v>5.0000000000000001E-3</v>
      </c>
      <c r="C50" s="1650">
        <v>6.0000000000000001E-3</v>
      </c>
      <c r="D50" s="1650">
        <v>7.0000000000000001E-3</v>
      </c>
      <c r="E50" s="1650">
        <f>0.95*D50</f>
        <v>6.6499999999999997E-3</v>
      </c>
      <c r="F50" s="1650">
        <f>0.95*E50</f>
        <v>6.3174999999999993E-3</v>
      </c>
      <c r="G50" s="1650">
        <f>0.95*F50</f>
        <v>6.0016249999999991E-3</v>
      </c>
      <c r="H50" s="1650">
        <f>0.95*G50</f>
        <v>5.7015437499999986E-3</v>
      </c>
      <c r="I50" s="1672">
        <f>0.97*H50</f>
        <v>5.5304974374999986E-3</v>
      </c>
      <c r="J50" s="1672">
        <f>0.97*I50</f>
        <v>5.3645825143749989E-3</v>
      </c>
      <c r="K50" s="1672">
        <f>0.97*J50</f>
        <v>5.2036450389437491E-3</v>
      </c>
      <c r="L50" s="1672">
        <f>0.97*K50</f>
        <v>5.0475356877754361E-3</v>
      </c>
      <c r="M50" s="1686"/>
    </row>
    <row r="51" spans="1:13" s="1634" customFormat="1">
      <c r="A51" s="1673" t="s">
        <v>2690</v>
      </c>
      <c r="B51" s="1649">
        <v>0</v>
      </c>
      <c r="C51" s="1650">
        <v>0</v>
      </c>
      <c r="D51" s="1650">
        <v>0</v>
      </c>
      <c r="E51" s="1650">
        <f>(D50-E50)*1.1</f>
        <v>3.8500000000000058E-4</v>
      </c>
      <c r="F51" s="1650">
        <f>(E50+E51)*1.04-F50</f>
        <v>9.9890000000000135E-4</v>
      </c>
      <c r="G51" s="1650">
        <f t="shared" ref="G51:L51" si="14">(F50+F51)*1.04-G50</f>
        <v>1.607431000000002E-3</v>
      </c>
      <c r="H51" s="1650">
        <f t="shared" si="14"/>
        <v>2.2118744900000023E-3</v>
      </c>
      <c r="I51" s="1674">
        <f t="shared" si="14"/>
        <v>2.6994575321000035E-3</v>
      </c>
      <c r="J51" s="1674">
        <f t="shared" si="14"/>
        <v>3.1945706540090039E-3</v>
      </c>
      <c r="K51" s="1674">
        <f t="shared" si="14"/>
        <v>3.697874256175614E-3</v>
      </c>
      <c r="L51" s="1674">
        <f t="shared" si="14"/>
        <v>4.2100443791487016E-3</v>
      </c>
      <c r="M51" s="1633"/>
    </row>
    <row r="52" spans="1:13" s="1634" customFormat="1">
      <c r="A52" s="1671" t="s">
        <v>2691</v>
      </c>
      <c r="B52" s="1649">
        <v>1.2E-2</v>
      </c>
      <c r="C52" s="1672">
        <v>1.4E-2</v>
      </c>
      <c r="D52" s="1672">
        <v>1.6E-2</v>
      </c>
      <c r="E52" s="1672">
        <f>0.95*D52</f>
        <v>1.52E-2</v>
      </c>
      <c r="F52" s="1672">
        <f>0.95*E52</f>
        <v>1.444E-2</v>
      </c>
      <c r="G52" s="1672">
        <f>0.95*F52</f>
        <v>1.3717999999999999E-2</v>
      </c>
      <c r="H52" s="1672">
        <f>0.95*G52</f>
        <v>1.3032099999999998E-2</v>
      </c>
      <c r="I52" s="1672">
        <f>0.97*H52</f>
        <v>1.2641136999999997E-2</v>
      </c>
      <c r="J52" s="1672">
        <f>0.97*I52</f>
        <v>1.2261902889999997E-2</v>
      </c>
      <c r="K52" s="1672">
        <f>0.97*J52</f>
        <v>1.1894045803299997E-2</v>
      </c>
      <c r="L52" s="1672">
        <f>0.97*K52</f>
        <v>1.1537224429200996E-2</v>
      </c>
      <c r="M52" s="1686"/>
    </row>
    <row r="53" spans="1:13" s="1634" customFormat="1">
      <c r="A53" s="1673" t="s">
        <v>2692</v>
      </c>
      <c r="B53" s="1649">
        <v>0</v>
      </c>
      <c r="C53" s="1650">
        <v>0</v>
      </c>
      <c r="D53" s="1650">
        <v>0</v>
      </c>
      <c r="E53" s="1674">
        <f>(D52-E52)*1.1</f>
        <v>8.8000000000000047E-4</v>
      </c>
      <c r="F53" s="1674">
        <f>(E52+E53)*1.04-F52</f>
        <v>2.2832000000000009E-3</v>
      </c>
      <c r="G53" s="1674">
        <f t="shared" ref="G53:L53" si="15">(F52+F53)*1.04-G52</f>
        <v>3.6741280000000005E-3</v>
      </c>
      <c r="H53" s="1674">
        <f t="shared" si="15"/>
        <v>5.0557131200000029E-3</v>
      </c>
      <c r="I53" s="1674">
        <f t="shared" si="15"/>
        <v>6.1701886448000051E-3</v>
      </c>
      <c r="J53" s="1674">
        <f t="shared" si="15"/>
        <v>7.3018757805920053E-3</v>
      </c>
      <c r="K53" s="1674">
        <f t="shared" si="15"/>
        <v>8.4522840141156869E-3</v>
      </c>
      <c r="L53" s="1674">
        <f t="shared" si="15"/>
        <v>9.6229585809113165E-3</v>
      </c>
      <c r="M53" s="1633"/>
    </row>
    <row r="54" spans="1:13" s="1634" customFormat="1">
      <c r="A54" s="1671" t="s">
        <v>2693</v>
      </c>
      <c r="B54" s="1649">
        <v>2.8E-3</v>
      </c>
      <c r="C54" s="1650">
        <v>3.5999999999999999E-3</v>
      </c>
      <c r="D54" s="1650">
        <v>4.4000000000000003E-3</v>
      </c>
      <c r="E54" s="1650">
        <v>4.4000000000000003E-3</v>
      </c>
      <c r="F54" s="1650">
        <v>4.4000000000000003E-3</v>
      </c>
      <c r="G54" s="1650">
        <v>4.4000000000000003E-3</v>
      </c>
      <c r="H54" s="1650">
        <v>4.4000000000000003E-3</v>
      </c>
      <c r="I54" s="1650">
        <v>4.4000000000000003E-3</v>
      </c>
      <c r="J54" s="1650">
        <v>4.4000000000000003E-3</v>
      </c>
      <c r="K54" s="1650">
        <v>4.4000000000000003E-3</v>
      </c>
      <c r="L54" s="1650">
        <v>4.4000000000000003E-3</v>
      </c>
      <c r="M54" s="1681"/>
    </row>
    <row r="55" spans="1:13" s="1634" customFormat="1">
      <c r="A55" s="1687" t="s">
        <v>2694</v>
      </c>
      <c r="B55" s="1649">
        <v>0</v>
      </c>
      <c r="C55" s="1650">
        <v>0</v>
      </c>
      <c r="D55" s="1650">
        <v>0</v>
      </c>
      <c r="E55" s="1650">
        <v>0</v>
      </c>
      <c r="F55" s="1674">
        <v>5.0000000000000001E-4</v>
      </c>
      <c r="G55" s="1674">
        <v>1E-3</v>
      </c>
      <c r="H55" s="1674">
        <v>1.5E-3</v>
      </c>
      <c r="I55" s="1674">
        <v>2E-3</v>
      </c>
      <c r="J55" s="1674">
        <v>2.5000000000000001E-3</v>
      </c>
      <c r="K55" s="1674">
        <v>2.8E-3</v>
      </c>
      <c r="L55" s="1674">
        <v>3.0999999999999999E-3</v>
      </c>
      <c r="M55" s="1683"/>
    </row>
    <row r="56" spans="1:13" s="1634" customFormat="1">
      <c r="A56" s="1688" t="s">
        <v>2695</v>
      </c>
      <c r="B56" s="1649">
        <v>0</v>
      </c>
      <c r="C56" s="1650">
        <v>0</v>
      </c>
      <c r="D56" s="1650">
        <v>0</v>
      </c>
      <c r="E56" s="1650">
        <v>0</v>
      </c>
      <c r="F56" s="1650">
        <v>0</v>
      </c>
      <c r="G56" s="1650">
        <v>0</v>
      </c>
      <c r="H56" s="1650">
        <v>0</v>
      </c>
      <c r="I56" s="1650">
        <v>0</v>
      </c>
      <c r="J56" s="1650">
        <v>0</v>
      </c>
      <c r="K56" s="1650">
        <v>0</v>
      </c>
      <c r="L56" s="1650">
        <v>0</v>
      </c>
      <c r="M56" s="1679"/>
    </row>
    <row r="57" spans="1:13" s="1634" customFormat="1" ht="15.75" thickBot="1">
      <c r="A57" s="1689" t="s">
        <v>2696</v>
      </c>
      <c r="B57" s="1662">
        <v>0</v>
      </c>
      <c r="C57" s="1663">
        <v>0</v>
      </c>
      <c r="D57" s="1663">
        <v>0</v>
      </c>
      <c r="E57" s="1663">
        <v>0</v>
      </c>
      <c r="F57" s="1663">
        <v>0</v>
      </c>
      <c r="G57" s="1663">
        <v>0</v>
      </c>
      <c r="H57" s="1663">
        <v>0</v>
      </c>
      <c r="I57" s="1663">
        <v>0</v>
      </c>
      <c r="J57" s="1663">
        <v>0</v>
      </c>
      <c r="K57" s="1663">
        <v>0</v>
      </c>
      <c r="L57" s="1663">
        <v>0</v>
      </c>
      <c r="M57" s="1633"/>
    </row>
    <row r="58" spans="1:13" s="1634" customFormat="1" ht="15.75">
      <c r="A58" s="1690" t="s">
        <v>2697</v>
      </c>
      <c r="B58" s="1691"/>
      <c r="C58" s="1691"/>
      <c r="D58" s="1691"/>
      <c r="E58" s="1691"/>
      <c r="F58" s="1691"/>
      <c r="G58" s="1691"/>
      <c r="H58" s="1691"/>
      <c r="I58" s="1691"/>
      <c r="J58" s="1691"/>
      <c r="K58" s="1691"/>
      <c r="L58" s="1691"/>
    </row>
    <row r="59" spans="1:13" s="1634" customFormat="1">
      <c r="A59" s="1648" t="s">
        <v>2650</v>
      </c>
      <c r="B59" s="1692">
        <f t="shared" ref="B59:L61" si="16">B11*B$7</f>
        <v>16331373.498522805</v>
      </c>
      <c r="C59" s="1692">
        <f t="shared" si="16"/>
        <v>17874999.15730254</v>
      </c>
      <c r="D59" s="1692">
        <f t="shared" si="16"/>
        <v>19472768.102257758</v>
      </c>
      <c r="E59" s="1692">
        <f t="shared" si="16"/>
        <v>21122910.251430694</v>
      </c>
      <c r="F59" s="1692">
        <f t="shared" si="16"/>
        <v>22827250.178604249</v>
      </c>
      <c r="G59" s="1692">
        <f t="shared" si="16"/>
        <v>24586588.62090328</v>
      </c>
      <c r="H59" s="1692">
        <f t="shared" si="16"/>
        <v>26422128.516808826</v>
      </c>
      <c r="I59" s="1692">
        <f t="shared" si="16"/>
        <v>28310466.640905328</v>
      </c>
      <c r="J59" s="1692">
        <f t="shared" si="16"/>
        <v>30264714.415925488</v>
      </c>
      <c r="K59" s="1692">
        <f t="shared" si="16"/>
        <v>32202679.494464442</v>
      </c>
      <c r="L59" s="1692">
        <f t="shared" si="16"/>
        <v>34325653.795869991</v>
      </c>
    </row>
    <row r="60" spans="1:13" s="1634" customFormat="1">
      <c r="A60" s="1651" t="s">
        <v>2651</v>
      </c>
      <c r="B60" s="1692">
        <f t="shared" si="16"/>
        <v>8165686.7492614025</v>
      </c>
      <c r="C60" s="1692">
        <f t="shared" si="16"/>
        <v>8639582.9260295611</v>
      </c>
      <c r="D60" s="1692">
        <f t="shared" si="16"/>
        <v>9087291.7810536213</v>
      </c>
      <c r="E60" s="1692">
        <f t="shared" si="16"/>
        <v>9505309.6131438129</v>
      </c>
      <c r="F60" s="1692">
        <f t="shared" si="16"/>
        <v>9891808.4107285086</v>
      </c>
      <c r="G60" s="1692">
        <f t="shared" si="16"/>
        <v>10244411.925376367</v>
      </c>
      <c r="H60" s="1692">
        <f t="shared" si="16"/>
        <v>10568851.406723531</v>
      </c>
      <c r="I60" s="1692">
        <f t="shared" si="16"/>
        <v>10852345.545680376</v>
      </c>
      <c r="J60" s="1692">
        <f t="shared" si="16"/>
        <v>11097061.952506013</v>
      </c>
      <c r="K60" s="1692">
        <f t="shared" si="16"/>
        <v>11270937.823062554</v>
      </c>
      <c r="L60" s="1692">
        <f t="shared" si="16"/>
        <v>11441884.598623332</v>
      </c>
    </row>
    <row r="61" spans="1:13" s="1634" customFormat="1">
      <c r="A61" s="1651" t="s">
        <v>2652</v>
      </c>
      <c r="B61" s="1692">
        <f t="shared" si="16"/>
        <v>517160.1607865555</v>
      </c>
      <c r="C61" s="1692">
        <f t="shared" si="16"/>
        <v>536249.97471907618</v>
      </c>
      <c r="D61" s="1692">
        <f t="shared" si="16"/>
        <v>551728.42956396984</v>
      </c>
      <c r="E61" s="1692">
        <f t="shared" si="16"/>
        <v>563277.60670481855</v>
      </c>
      <c r="F61" s="1692">
        <f t="shared" si="16"/>
        <v>570681.25446510629</v>
      </c>
      <c r="G61" s="1692">
        <f t="shared" si="16"/>
        <v>573687.06782107661</v>
      </c>
      <c r="H61" s="1692">
        <f t="shared" si="16"/>
        <v>572479.45119752456</v>
      </c>
      <c r="I61" s="1692">
        <f t="shared" si="16"/>
        <v>566209.33281810663</v>
      </c>
      <c r="J61" s="1692">
        <f t="shared" si="16"/>
        <v>554853.09762530064</v>
      </c>
      <c r="K61" s="1692">
        <f t="shared" si="16"/>
        <v>536711.32490774069</v>
      </c>
      <c r="L61" s="1692">
        <f t="shared" si="16"/>
        <v>514884.80693804985</v>
      </c>
    </row>
    <row r="62" spans="1:13" s="1634" customFormat="1">
      <c r="A62" s="1651" t="s">
        <v>2698</v>
      </c>
      <c r="B62" s="1693"/>
      <c r="C62" s="1693"/>
      <c r="D62" s="1693"/>
      <c r="E62" s="1693"/>
      <c r="F62" s="1693"/>
      <c r="G62" s="1693"/>
      <c r="H62" s="1693"/>
      <c r="I62" s="1693"/>
      <c r="J62" s="1693"/>
      <c r="K62" s="1693"/>
      <c r="L62" s="1693"/>
      <c r="M62" s="1694"/>
    </row>
    <row r="63" spans="1:13" s="1634" customFormat="1">
      <c r="A63" s="1695" t="s">
        <v>2654</v>
      </c>
      <c r="B63" s="1692">
        <f t="shared" ref="B63:L64" si="17">B15*B$7</f>
        <v>81656.867492614037</v>
      </c>
      <c r="C63" s="1692">
        <f t="shared" si="17"/>
        <v>59583.3305243418</v>
      </c>
      <c r="D63" s="1692">
        <f t="shared" si="17"/>
        <v>32454.613503762932</v>
      </c>
      <c r="E63" s="1692">
        <f t="shared" si="17"/>
        <v>24643.395293335809</v>
      </c>
      <c r="F63" s="1692">
        <f t="shared" si="17"/>
        <v>15218.166785736168</v>
      </c>
      <c r="G63" s="1692">
        <f t="shared" si="17"/>
        <v>8195.5295403010932</v>
      </c>
      <c r="H63" s="1692">
        <f t="shared" si="17"/>
        <v>4403.6880861348054</v>
      </c>
      <c r="I63" s="1692">
        <f t="shared" si="17"/>
        <v>4718.4111068175553</v>
      </c>
      <c r="J63" s="1692">
        <f t="shared" si="17"/>
        <v>5044.1190693209155</v>
      </c>
      <c r="K63" s="1692">
        <f t="shared" si="17"/>
        <v>5367.1132490774071</v>
      </c>
      <c r="L63" s="1692">
        <f t="shared" si="17"/>
        <v>5720.9422993116659</v>
      </c>
    </row>
    <row r="64" spans="1:13" s="1634" customFormat="1">
      <c r="A64" s="1696" t="s">
        <v>2655</v>
      </c>
      <c r="B64" s="1692">
        <f t="shared" si="17"/>
        <v>443668.98004320287</v>
      </c>
      <c r="C64" s="1692">
        <f t="shared" si="17"/>
        <v>560083.30692881299</v>
      </c>
      <c r="D64" s="1692">
        <f t="shared" si="17"/>
        <v>746456.11058654741</v>
      </c>
      <c r="E64" s="1692">
        <f t="shared" si="17"/>
        <v>880121.26047627896</v>
      </c>
      <c r="F64" s="1692">
        <f t="shared" si="17"/>
        <v>1027226.2580371912</v>
      </c>
      <c r="G64" s="1692">
        <f t="shared" si="17"/>
        <v>1147374.1356421532</v>
      </c>
      <c r="H64" s="1692">
        <f t="shared" si="17"/>
        <v>1277069.5449790934</v>
      </c>
      <c r="I64" s="1692">
        <f t="shared" si="17"/>
        <v>1415523.3320452664</v>
      </c>
      <c r="J64" s="1692">
        <f t="shared" si="17"/>
        <v>1563676.9114894837</v>
      </c>
      <c r="K64" s="1692">
        <f t="shared" si="17"/>
        <v>1663805.1072139964</v>
      </c>
      <c r="L64" s="1692">
        <f t="shared" si="17"/>
        <v>1887910.9587728498</v>
      </c>
    </row>
    <row r="65" spans="1:13" s="1634" customFormat="1">
      <c r="A65" s="1697" t="s">
        <v>2699</v>
      </c>
      <c r="B65" s="1698"/>
      <c r="C65" s="1698"/>
      <c r="D65" s="1698"/>
      <c r="E65" s="1698"/>
      <c r="F65" s="1698"/>
      <c r="G65" s="1698"/>
      <c r="H65" s="1698"/>
      <c r="I65" s="1698"/>
      <c r="J65" s="1698"/>
      <c r="K65" s="1698"/>
      <c r="L65" s="1698"/>
    </row>
    <row r="66" spans="1:13" s="1634" customFormat="1">
      <c r="A66" s="1699" t="s">
        <v>2657</v>
      </c>
      <c r="B66" s="1692">
        <f t="shared" ref="B66:L73" si="18">B18*B$7</f>
        <v>24497.060247784208</v>
      </c>
      <c r="C66" s="1692">
        <f t="shared" si="18"/>
        <v>23833.33220973672</v>
      </c>
      <c r="D66" s="1692">
        <f t="shared" si="18"/>
        <v>22718.229452634052</v>
      </c>
      <c r="E66" s="1692">
        <f t="shared" si="18"/>
        <v>21122.910251430691</v>
      </c>
      <c r="F66" s="1692">
        <f t="shared" si="18"/>
        <v>20544.525160743826</v>
      </c>
      <c r="G66" s="1692">
        <f t="shared" si="18"/>
        <v>19915.136782931659</v>
      </c>
      <c r="H66" s="1692">
        <f t="shared" si="18"/>
        <v>19261.731688753636</v>
      </c>
      <c r="I66" s="1692">
        <f t="shared" si="18"/>
        <v>18574.497163097985</v>
      </c>
      <c r="J66" s="1692">
        <f t="shared" si="18"/>
        <v>17871.011215459843</v>
      </c>
      <c r="K66" s="1692">
        <f t="shared" si="18"/>
        <v>17113.824193217679</v>
      </c>
      <c r="L66" s="1692">
        <f t="shared" si="18"/>
        <v>16417.853801037851</v>
      </c>
    </row>
    <row r="67" spans="1:13" s="1634" customFormat="1">
      <c r="A67" s="1700" t="s">
        <v>2658</v>
      </c>
      <c r="B67" s="1692">
        <f t="shared" si="18"/>
        <v>0</v>
      </c>
      <c r="C67" s="1692">
        <f t="shared" si="18"/>
        <v>0</v>
      </c>
      <c r="D67" s="1692">
        <f t="shared" si="18"/>
        <v>0</v>
      </c>
      <c r="E67" s="1692">
        <f t="shared" si="18"/>
        <v>0</v>
      </c>
      <c r="F67" s="1692">
        <f t="shared" si="18"/>
        <v>2282.7250178604227</v>
      </c>
      <c r="G67" s="1692">
        <f t="shared" si="18"/>
        <v>4671.451837971621</v>
      </c>
      <c r="H67" s="1692">
        <f t="shared" si="18"/>
        <v>7160.3968280551899</v>
      </c>
      <c r="I67" s="1692">
        <f t="shared" si="18"/>
        <v>9735.9694778073408</v>
      </c>
      <c r="J67" s="1692">
        <f t="shared" si="18"/>
        <v>12393.703200465645</v>
      </c>
      <c r="K67" s="1692">
        <f t="shared" si="18"/>
        <v>15088.855301246762</v>
      </c>
      <c r="L67" s="1692">
        <f t="shared" si="18"/>
        <v>17907.799994832141</v>
      </c>
    </row>
    <row r="68" spans="1:13" s="1634" customFormat="1">
      <c r="A68" s="1699" t="s">
        <v>2659</v>
      </c>
      <c r="B68" s="1692">
        <f t="shared" si="18"/>
        <v>81656.867492614037</v>
      </c>
      <c r="C68" s="1692">
        <f t="shared" si="18"/>
        <v>119166.6610486836</v>
      </c>
      <c r="D68" s="1692">
        <f t="shared" si="18"/>
        <v>162273.06751881467</v>
      </c>
      <c r="E68" s="1692">
        <f t="shared" si="18"/>
        <v>211229.10251430693</v>
      </c>
      <c r="F68" s="1692">
        <f t="shared" si="18"/>
        <v>266317.91875038296</v>
      </c>
      <c r="G68" s="1692">
        <f t="shared" si="18"/>
        <v>258159.18051948445</v>
      </c>
      <c r="H68" s="1692">
        <f t="shared" si="18"/>
        <v>249689.11448384347</v>
      </c>
      <c r="I68" s="1692">
        <f t="shared" si="18"/>
        <v>240780.51878089985</v>
      </c>
      <c r="J68" s="1692">
        <f t="shared" si="18"/>
        <v>231661.25649670171</v>
      </c>
      <c r="K68" s="1692">
        <f t="shared" si="18"/>
        <v>221845.86917134031</v>
      </c>
      <c r="L68" s="1692">
        <f t="shared" si="18"/>
        <v>212824.03075419439</v>
      </c>
    </row>
    <row r="69" spans="1:13" s="1634" customFormat="1">
      <c r="A69" s="1699" t="s">
        <v>2660</v>
      </c>
      <c r="B69" s="1692">
        <f t="shared" si="18"/>
        <v>0</v>
      </c>
      <c r="C69" s="1692">
        <f t="shared" si="18"/>
        <v>0</v>
      </c>
      <c r="D69" s="1692">
        <f t="shared" si="18"/>
        <v>0</v>
      </c>
      <c r="E69" s="1692">
        <f t="shared" si="18"/>
        <v>35204.850419051159</v>
      </c>
      <c r="F69" s="1692">
        <f t="shared" si="18"/>
        <v>76090.833928680833</v>
      </c>
      <c r="G69" s="1692">
        <f t="shared" si="18"/>
        <v>102444.11925376367</v>
      </c>
      <c r="H69" s="1692">
        <f t="shared" si="18"/>
        <v>132110.64258404414</v>
      </c>
      <c r="I69" s="1692">
        <f t="shared" si="18"/>
        <v>165144.38873861442</v>
      </c>
      <c r="J69" s="1692">
        <f t="shared" si="18"/>
        <v>201764.76277283661</v>
      </c>
      <c r="K69" s="1692">
        <f t="shared" si="18"/>
        <v>241520.0962084833</v>
      </c>
      <c r="L69" s="1692">
        <f t="shared" si="18"/>
        <v>286047.11496558326</v>
      </c>
    </row>
    <row r="70" spans="1:13" s="1634" customFormat="1">
      <c r="A70" s="1699" t="s">
        <v>2661</v>
      </c>
      <c r="B70" s="1692">
        <f t="shared" si="18"/>
        <v>0</v>
      </c>
      <c r="C70" s="1692">
        <f t="shared" si="18"/>
        <v>0</v>
      </c>
      <c r="D70" s="1692">
        <f t="shared" si="18"/>
        <v>0</v>
      </c>
      <c r="E70" s="1692">
        <f t="shared" si="18"/>
        <v>0</v>
      </c>
      <c r="F70" s="1692">
        <f t="shared" si="18"/>
        <v>3804.541696434042</v>
      </c>
      <c r="G70" s="1692">
        <f t="shared" si="18"/>
        <v>8195.5295403010932</v>
      </c>
      <c r="H70" s="1692">
        <f t="shared" si="18"/>
        <v>13211.064258404413</v>
      </c>
      <c r="I70" s="1692">
        <f t="shared" si="18"/>
        <v>18873.644427270221</v>
      </c>
      <c r="J70" s="1692">
        <f t="shared" si="18"/>
        <v>25220.595346604576</v>
      </c>
      <c r="K70" s="1692">
        <f t="shared" si="18"/>
        <v>29519.122869925741</v>
      </c>
      <c r="L70" s="1692">
        <f t="shared" si="18"/>
        <v>34325.653795869992</v>
      </c>
    </row>
    <row r="71" spans="1:13" s="1634" customFormat="1">
      <c r="A71" s="1700" t="s">
        <v>2662</v>
      </c>
      <c r="B71" s="1692">
        <f t="shared" si="18"/>
        <v>0</v>
      </c>
      <c r="C71" s="1692">
        <f t="shared" si="18"/>
        <v>0</v>
      </c>
      <c r="D71" s="1692">
        <f t="shared" si="18"/>
        <v>0</v>
      </c>
      <c r="E71" s="1692">
        <f>F23*E$7</f>
        <v>0</v>
      </c>
      <c r="F71" s="1692">
        <f t="shared" si="18"/>
        <v>0</v>
      </c>
      <c r="G71" s="1692">
        <f t="shared" si="18"/>
        <v>20488.823850752735</v>
      </c>
      <c r="H71" s="1692">
        <f t="shared" si="18"/>
        <v>35229.504689078443</v>
      </c>
      <c r="I71" s="1692">
        <f t="shared" si="18"/>
        <v>51902.522174993108</v>
      </c>
      <c r="J71" s="1692">
        <f t="shared" si="18"/>
        <v>70617.666970492806</v>
      </c>
      <c r="K71" s="1692">
        <f t="shared" si="18"/>
        <v>91240.925234315917</v>
      </c>
      <c r="L71" s="1692">
        <f t="shared" si="18"/>
        <v>114418.84598623331</v>
      </c>
    </row>
    <row r="72" spans="1:13" s="1634" customFormat="1">
      <c r="A72" s="1700" t="s">
        <v>2663</v>
      </c>
      <c r="B72" s="1692">
        <f t="shared" si="18"/>
        <v>0</v>
      </c>
      <c r="C72" s="1692">
        <f t="shared" si="18"/>
        <v>0</v>
      </c>
      <c r="D72" s="1692">
        <f t="shared" si="18"/>
        <v>0</v>
      </c>
      <c r="E72" s="1692">
        <f>F24*E$7</f>
        <v>0</v>
      </c>
      <c r="F72" s="1692">
        <f t="shared" si="18"/>
        <v>0</v>
      </c>
      <c r="G72" s="1692">
        <f t="shared" si="18"/>
        <v>0</v>
      </c>
      <c r="H72" s="1692">
        <f t="shared" si="18"/>
        <v>0</v>
      </c>
      <c r="I72" s="1692">
        <f t="shared" si="18"/>
        <v>0</v>
      </c>
      <c r="J72" s="1692">
        <f t="shared" si="18"/>
        <v>0</v>
      </c>
      <c r="K72" s="1692">
        <f t="shared" si="18"/>
        <v>0</v>
      </c>
      <c r="L72" s="1692">
        <f t="shared" si="18"/>
        <v>0</v>
      </c>
    </row>
    <row r="73" spans="1:13" s="1634" customFormat="1">
      <c r="A73" s="1700" t="s">
        <v>2664</v>
      </c>
      <c r="B73" s="1692">
        <f t="shared" si="18"/>
        <v>0</v>
      </c>
      <c r="C73" s="1692">
        <f t="shared" si="18"/>
        <v>0</v>
      </c>
      <c r="D73" s="1692">
        <f t="shared" si="18"/>
        <v>0</v>
      </c>
      <c r="E73" s="1692">
        <f>F25*E$7</f>
        <v>0</v>
      </c>
      <c r="F73" s="1692">
        <f t="shared" si="18"/>
        <v>0</v>
      </c>
      <c r="G73" s="1692">
        <f t="shared" si="18"/>
        <v>0</v>
      </c>
      <c r="H73" s="1692">
        <f t="shared" si="18"/>
        <v>0</v>
      </c>
      <c r="I73" s="1692">
        <f t="shared" si="18"/>
        <v>0</v>
      </c>
      <c r="J73" s="1692">
        <f t="shared" si="18"/>
        <v>0</v>
      </c>
      <c r="K73" s="1692">
        <f t="shared" si="18"/>
        <v>0</v>
      </c>
      <c r="L73" s="1692">
        <f t="shared" si="18"/>
        <v>0</v>
      </c>
      <c r="M73" s="1694"/>
    </row>
    <row r="74" spans="1:13" s="1634" customFormat="1">
      <c r="A74" s="1697" t="s">
        <v>2700</v>
      </c>
      <c r="B74" s="1698"/>
      <c r="C74" s="1698"/>
      <c r="D74" s="1698"/>
      <c r="E74" s="1698"/>
      <c r="F74" s="1698"/>
      <c r="G74" s="1698"/>
      <c r="H74" s="1698"/>
      <c r="I74" s="1698"/>
      <c r="J74" s="1698"/>
      <c r="K74" s="1698"/>
      <c r="L74" s="1698"/>
    </row>
    <row r="75" spans="1:13" s="1634" customFormat="1">
      <c r="A75" s="1699" t="s">
        <v>2666</v>
      </c>
      <c r="B75" s="1692">
        <f t="shared" ref="B75:L81" si="19">B27*B$7</f>
        <v>1088758.2332348537</v>
      </c>
      <c r="C75" s="1692">
        <f t="shared" si="19"/>
        <v>1489583.263108545</v>
      </c>
      <c r="D75" s="1692">
        <f t="shared" si="19"/>
        <v>1785003.7427069612</v>
      </c>
      <c r="E75" s="1692">
        <f t="shared" si="19"/>
        <v>2112291.0251430692</v>
      </c>
      <c r="F75" s="1692">
        <f t="shared" si="19"/>
        <v>2472952.1026821272</v>
      </c>
      <c r="G75" s="1692">
        <f t="shared" si="19"/>
        <v>2868435.339105383</v>
      </c>
      <c r="H75" s="1692">
        <f t="shared" si="19"/>
        <v>3302766.0646011033</v>
      </c>
      <c r="I75" s="1692">
        <f t="shared" si="19"/>
        <v>3680360.6633176925</v>
      </c>
      <c r="J75" s="1692">
        <f t="shared" si="19"/>
        <v>4035295.2554567321</v>
      </c>
      <c r="K75" s="1692">
        <f t="shared" si="19"/>
        <v>4401032.8642434739</v>
      </c>
      <c r="L75" s="1692">
        <f t="shared" si="19"/>
        <v>4805591.5314217992</v>
      </c>
    </row>
    <row r="76" spans="1:13" s="1634" customFormat="1">
      <c r="A76" s="1699" t="s">
        <v>2667</v>
      </c>
      <c r="B76" s="1692">
        <f t="shared" si="19"/>
        <v>0</v>
      </c>
      <c r="C76" s="1692">
        <f t="shared" si="19"/>
        <v>26812.49873595381</v>
      </c>
      <c r="D76" s="1692">
        <f t="shared" si="19"/>
        <v>38945.536204515513</v>
      </c>
      <c r="E76" s="1692">
        <f t="shared" si="19"/>
        <v>49286.790586671617</v>
      </c>
      <c r="F76" s="1692">
        <f t="shared" si="19"/>
        <v>47937.225375068927</v>
      </c>
      <c r="G76" s="1692">
        <f t="shared" si="19"/>
        <v>46468.652493507201</v>
      </c>
      <c r="H76" s="1692">
        <f t="shared" si="19"/>
        <v>44944.040607091818</v>
      </c>
      <c r="I76" s="1692">
        <f t="shared" si="19"/>
        <v>43340.493380561966</v>
      </c>
      <c r="J76" s="1692">
        <f t="shared" si="19"/>
        <v>41699.026169406301</v>
      </c>
      <c r="K76" s="1692">
        <f t="shared" si="19"/>
        <v>39932.256450841254</v>
      </c>
      <c r="L76" s="1692">
        <f t="shared" si="19"/>
        <v>38308.325535754993</v>
      </c>
    </row>
    <row r="77" spans="1:13" s="1634" customFormat="1">
      <c r="A77" s="1695" t="s">
        <v>2668</v>
      </c>
      <c r="B77" s="1692">
        <f t="shared" si="19"/>
        <v>0</v>
      </c>
      <c r="C77" s="1692">
        <f t="shared" si="19"/>
        <v>8937.49957865127</v>
      </c>
      <c r="D77" s="1692">
        <f t="shared" si="19"/>
        <v>9736.3840511288781</v>
      </c>
      <c r="E77" s="1692">
        <f t="shared" si="19"/>
        <v>10561.455125715345</v>
      </c>
      <c r="F77" s="1692">
        <f t="shared" si="19"/>
        <v>11413.625089302124</v>
      </c>
      <c r="G77" s="1692">
        <f t="shared" si="19"/>
        <v>12293.29431045164</v>
      </c>
      <c r="H77" s="1692">
        <f t="shared" si="19"/>
        <v>13211.064258404413</v>
      </c>
      <c r="I77" s="1692">
        <f t="shared" si="19"/>
        <v>14155.233320452662</v>
      </c>
      <c r="J77" s="1692">
        <f t="shared" si="19"/>
        <v>15132.357207962743</v>
      </c>
      <c r="K77" s="1692">
        <f t="shared" si="19"/>
        <v>16101.339747232221</v>
      </c>
      <c r="L77" s="1692">
        <f t="shared" si="19"/>
        <v>17162.826897934996</v>
      </c>
    </row>
    <row r="78" spans="1:13" s="1634" customFormat="1">
      <c r="A78" s="1695" t="s">
        <v>2669</v>
      </c>
      <c r="B78" s="1692">
        <f t="shared" si="19"/>
        <v>272189.55830871343</v>
      </c>
      <c r="C78" s="1692">
        <f t="shared" si="19"/>
        <v>357499.98314605083</v>
      </c>
      <c r="D78" s="1692">
        <f t="shared" si="19"/>
        <v>454364.58905268105</v>
      </c>
      <c r="E78" s="1692">
        <f t="shared" si="19"/>
        <v>563277.60670481855</v>
      </c>
      <c r="F78" s="1692">
        <f t="shared" si="19"/>
        <v>684817.50535812753</v>
      </c>
      <c r="G78" s="1692">
        <f t="shared" si="19"/>
        <v>819552.95403010934</v>
      </c>
      <c r="H78" s="1692">
        <f t="shared" si="19"/>
        <v>946792.93851898296</v>
      </c>
      <c r="I78" s="1692">
        <f t="shared" si="19"/>
        <v>1085234.5545680376</v>
      </c>
      <c r="J78" s="1692">
        <f t="shared" si="19"/>
        <v>1210588.5766370196</v>
      </c>
      <c r="K78" s="1692">
        <f t="shared" si="19"/>
        <v>1341778.3122693519</v>
      </c>
      <c r="L78" s="1692">
        <f t="shared" si="19"/>
        <v>1458840.2863244745</v>
      </c>
    </row>
    <row r="79" spans="1:13" s="1634" customFormat="1">
      <c r="A79" s="1699" t="s">
        <v>2670</v>
      </c>
      <c r="B79" s="1692">
        <f t="shared" si="19"/>
        <v>0</v>
      </c>
      <c r="C79" s="1692">
        <f t="shared" si="19"/>
        <v>0</v>
      </c>
      <c r="D79" s="1692">
        <f t="shared" si="19"/>
        <v>32454.613503762932</v>
      </c>
      <c r="E79" s="1692">
        <f t="shared" si="19"/>
        <v>70409.700838102319</v>
      </c>
      <c r="F79" s="1692">
        <f t="shared" si="19"/>
        <v>152181.66785736167</v>
      </c>
      <c r="G79" s="1692">
        <f t="shared" si="19"/>
        <v>245865.88620903282</v>
      </c>
      <c r="H79" s="1692">
        <f t="shared" si="19"/>
        <v>352295.0468907844</v>
      </c>
      <c r="I79" s="1692">
        <f t="shared" si="19"/>
        <v>471841.11068175547</v>
      </c>
      <c r="J79" s="1692">
        <f t="shared" si="19"/>
        <v>580073.69297190523</v>
      </c>
      <c r="K79" s="1692">
        <f t="shared" si="19"/>
        <v>697724.72238006291</v>
      </c>
      <c r="L79" s="1692">
        <f t="shared" si="19"/>
        <v>800931.92190363316</v>
      </c>
      <c r="M79" s="1694"/>
    </row>
    <row r="80" spans="1:13" s="1634" customFormat="1">
      <c r="A80" s="1700" t="s">
        <v>2671</v>
      </c>
      <c r="B80" s="1692">
        <f t="shared" si="19"/>
        <v>0</v>
      </c>
      <c r="C80" s="1692">
        <f t="shared" si="19"/>
        <v>0</v>
      </c>
      <c r="D80" s="1692">
        <f t="shared" si="19"/>
        <v>0</v>
      </c>
      <c r="E80" s="1692">
        <f t="shared" si="19"/>
        <v>0</v>
      </c>
      <c r="F80" s="1692">
        <f t="shared" si="19"/>
        <v>0</v>
      </c>
      <c r="G80" s="1692">
        <f t="shared" si="19"/>
        <v>0</v>
      </c>
      <c r="H80" s="1692">
        <f t="shared" si="19"/>
        <v>0</v>
      </c>
      <c r="I80" s="1692">
        <f t="shared" si="19"/>
        <v>0</v>
      </c>
      <c r="J80" s="1692">
        <f t="shared" si="19"/>
        <v>0</v>
      </c>
      <c r="K80" s="1692">
        <f t="shared" si="19"/>
        <v>0</v>
      </c>
      <c r="L80" s="1692">
        <f t="shared" si="19"/>
        <v>0</v>
      </c>
      <c r="M80" s="1694"/>
    </row>
    <row r="81" spans="1:13" s="1634" customFormat="1">
      <c r="A81" s="1700" t="s">
        <v>2672</v>
      </c>
      <c r="B81" s="1692">
        <f t="shared" si="19"/>
        <v>0</v>
      </c>
      <c r="C81" s="1692">
        <f t="shared" si="19"/>
        <v>0</v>
      </c>
      <c r="D81" s="1692">
        <f t="shared" si="19"/>
        <v>0</v>
      </c>
      <c r="E81" s="1692">
        <f t="shared" si="19"/>
        <v>0</v>
      </c>
      <c r="F81" s="1692">
        <f t="shared" si="19"/>
        <v>0</v>
      </c>
      <c r="G81" s="1692">
        <f t="shared" si="19"/>
        <v>0</v>
      </c>
      <c r="H81" s="1692">
        <f t="shared" si="19"/>
        <v>70459.009378156887</v>
      </c>
      <c r="I81" s="1692">
        <f t="shared" si="19"/>
        <v>117960.27767043887</v>
      </c>
      <c r="J81" s="1692">
        <f t="shared" si="19"/>
        <v>161411.8102182693</v>
      </c>
      <c r="K81" s="1692">
        <f t="shared" si="19"/>
        <v>187848.96371770927</v>
      </c>
      <c r="L81" s="1692">
        <f t="shared" si="19"/>
        <v>205953.92277521995</v>
      </c>
      <c r="M81" s="1694"/>
    </row>
    <row r="82" spans="1:13" s="1634" customFormat="1">
      <c r="A82" s="1697" t="s">
        <v>2701</v>
      </c>
      <c r="B82" s="1698"/>
      <c r="C82" s="1698"/>
      <c r="D82" s="1698"/>
      <c r="E82" s="1698"/>
      <c r="F82" s="1698"/>
      <c r="G82" s="1698"/>
      <c r="H82" s="1698"/>
      <c r="I82" s="1698"/>
      <c r="J82" s="1698"/>
      <c r="K82" s="1698"/>
      <c r="L82" s="1698"/>
    </row>
    <row r="83" spans="1:13" s="1634" customFormat="1">
      <c r="A83" s="1695" t="s">
        <v>2674</v>
      </c>
      <c r="B83" s="1692">
        <f t="shared" ref="B83:L87" si="20">B35*B$7</f>
        <v>0</v>
      </c>
      <c r="C83" s="1692">
        <f t="shared" si="20"/>
        <v>0</v>
      </c>
      <c r="D83" s="1692">
        <f t="shared" si="20"/>
        <v>32454.613503762932</v>
      </c>
      <c r="E83" s="1692">
        <f t="shared" si="20"/>
        <v>88012.126047627884</v>
      </c>
      <c r="F83" s="1692">
        <f t="shared" si="20"/>
        <v>380454.1696434042</v>
      </c>
      <c r="G83" s="1692">
        <f t="shared" si="20"/>
        <v>614664.71552258194</v>
      </c>
      <c r="H83" s="1692">
        <f t="shared" si="20"/>
        <v>880737.61722696095</v>
      </c>
      <c r="I83" s="1692">
        <f t="shared" si="20"/>
        <v>1179602.7767043887</v>
      </c>
      <c r="J83" s="1692">
        <f t="shared" si="20"/>
        <v>1387132.7440632517</v>
      </c>
      <c r="K83" s="1692">
        <f t="shared" si="20"/>
        <v>1610133.9747232222</v>
      </c>
      <c r="L83" s="1692">
        <f t="shared" si="20"/>
        <v>1773492.1127866162</v>
      </c>
    </row>
    <row r="84" spans="1:13" s="1634" customFormat="1">
      <c r="A84" s="1695" t="s">
        <v>2675</v>
      </c>
      <c r="B84" s="1692">
        <f t="shared" si="20"/>
        <v>0</v>
      </c>
      <c r="C84" s="1692">
        <f t="shared" si="20"/>
        <v>0</v>
      </c>
      <c r="D84" s="1692">
        <f t="shared" si="20"/>
        <v>0</v>
      </c>
      <c r="E84" s="1692">
        <f t="shared" si="20"/>
        <v>17602.42520952558</v>
      </c>
      <c r="F84" s="1692">
        <f t="shared" si="20"/>
        <v>76090.833928680833</v>
      </c>
      <c r="G84" s="1692">
        <f t="shared" si="20"/>
        <v>122932.94310451641</v>
      </c>
      <c r="H84" s="1692">
        <f t="shared" si="20"/>
        <v>171743.83535925738</v>
      </c>
      <c r="I84" s="1692">
        <f t="shared" si="20"/>
        <v>221765.32202042508</v>
      </c>
      <c r="J84" s="1692">
        <f t="shared" si="20"/>
        <v>277426.54881265032</v>
      </c>
      <c r="K84" s="1692">
        <f t="shared" si="20"/>
        <v>375697.92743541853</v>
      </c>
      <c r="L84" s="1692">
        <f t="shared" si="20"/>
        <v>457675.38394493324</v>
      </c>
    </row>
    <row r="85" spans="1:13" s="1634" customFormat="1">
      <c r="A85" s="1696" t="s">
        <v>2676</v>
      </c>
      <c r="B85" s="1692">
        <f t="shared" si="20"/>
        <v>0</v>
      </c>
      <c r="C85" s="1692">
        <f t="shared" si="20"/>
        <v>0</v>
      </c>
      <c r="D85" s="1692">
        <f t="shared" si="20"/>
        <v>0</v>
      </c>
      <c r="E85" s="1692">
        <f t="shared" si="20"/>
        <v>0</v>
      </c>
      <c r="F85" s="1692">
        <f t="shared" si="20"/>
        <v>0</v>
      </c>
      <c r="G85" s="1692">
        <f t="shared" si="20"/>
        <v>0</v>
      </c>
      <c r="H85" s="1692">
        <f t="shared" si="20"/>
        <v>0</v>
      </c>
      <c r="I85" s="1692">
        <f t="shared" si="20"/>
        <v>0</v>
      </c>
      <c r="J85" s="1692">
        <f t="shared" si="20"/>
        <v>0</v>
      </c>
      <c r="K85" s="1692">
        <f t="shared" si="20"/>
        <v>0</v>
      </c>
      <c r="L85" s="1692">
        <f t="shared" si="20"/>
        <v>0</v>
      </c>
    </row>
    <row r="86" spans="1:13" s="1634" customFormat="1">
      <c r="A86" s="1696" t="s">
        <v>2677</v>
      </c>
      <c r="B86" s="1692">
        <f t="shared" si="20"/>
        <v>0</v>
      </c>
      <c r="C86" s="1692">
        <f t="shared" si="20"/>
        <v>0</v>
      </c>
      <c r="D86" s="1692">
        <f t="shared" si="20"/>
        <v>0</v>
      </c>
      <c r="E86" s="1692">
        <f t="shared" si="20"/>
        <v>0</v>
      </c>
      <c r="F86" s="1692">
        <f t="shared" si="20"/>
        <v>0</v>
      </c>
      <c r="G86" s="1692">
        <f t="shared" si="20"/>
        <v>0</v>
      </c>
      <c r="H86" s="1692">
        <f t="shared" si="20"/>
        <v>0</v>
      </c>
      <c r="I86" s="1692">
        <f t="shared" si="20"/>
        <v>0</v>
      </c>
      <c r="J86" s="1692">
        <f t="shared" si="20"/>
        <v>0</v>
      </c>
      <c r="K86" s="1692">
        <f t="shared" si="20"/>
        <v>0</v>
      </c>
      <c r="L86" s="1692">
        <f t="shared" si="20"/>
        <v>0</v>
      </c>
    </row>
    <row r="87" spans="1:13" s="1634" customFormat="1">
      <c r="A87" s="1700" t="s">
        <v>2678</v>
      </c>
      <c r="B87" s="1692">
        <f t="shared" si="20"/>
        <v>0</v>
      </c>
      <c r="C87" s="1692">
        <f t="shared" si="20"/>
        <v>0</v>
      </c>
      <c r="D87" s="1692">
        <f t="shared" si="20"/>
        <v>0</v>
      </c>
      <c r="E87" s="1692">
        <f t="shared" si="20"/>
        <v>0</v>
      </c>
      <c r="F87" s="1692">
        <f t="shared" si="20"/>
        <v>0</v>
      </c>
      <c r="G87" s="1692">
        <f t="shared" si="20"/>
        <v>0</v>
      </c>
      <c r="H87" s="1692">
        <f t="shared" si="20"/>
        <v>0</v>
      </c>
      <c r="I87" s="1692">
        <f t="shared" si="20"/>
        <v>0</v>
      </c>
      <c r="J87" s="1692">
        <f t="shared" si="20"/>
        <v>0</v>
      </c>
      <c r="K87" s="1692">
        <f t="shared" si="20"/>
        <v>0</v>
      </c>
      <c r="L87" s="1692">
        <f t="shared" si="20"/>
        <v>0</v>
      </c>
    </row>
    <row r="88" spans="1:13" s="1634" customFormat="1">
      <c r="A88" s="1697" t="s">
        <v>2702</v>
      </c>
      <c r="B88" s="1698"/>
      <c r="C88" s="1698"/>
      <c r="D88" s="1698"/>
      <c r="E88" s="1698"/>
      <c r="F88" s="1698"/>
      <c r="G88" s="1698"/>
      <c r="H88" s="1698"/>
      <c r="I88" s="1698"/>
      <c r="J88" s="1698"/>
      <c r="K88" s="1698"/>
      <c r="L88" s="1698"/>
    </row>
    <row r="89" spans="1:13" s="1634" customFormat="1">
      <c r="A89" s="1700" t="s">
        <v>2680</v>
      </c>
      <c r="B89" s="1692">
        <f t="shared" ref="B89:L89" si="21">B41*B$7</f>
        <v>0</v>
      </c>
      <c r="C89" s="1692">
        <f t="shared" si="21"/>
        <v>0</v>
      </c>
      <c r="D89" s="1692">
        <f t="shared" si="21"/>
        <v>0</v>
      </c>
      <c r="E89" s="1692">
        <f t="shared" si="21"/>
        <v>0</v>
      </c>
      <c r="F89" s="1692">
        <f t="shared" si="21"/>
        <v>0</v>
      </c>
      <c r="G89" s="1692">
        <f t="shared" si="21"/>
        <v>0</v>
      </c>
      <c r="H89" s="1692">
        <f t="shared" si="21"/>
        <v>44036.880861348051</v>
      </c>
      <c r="I89" s="1692">
        <f t="shared" si="21"/>
        <v>141552.33320452666</v>
      </c>
      <c r="J89" s="1692">
        <f t="shared" si="21"/>
        <v>252205.95346604576</v>
      </c>
      <c r="K89" s="1692">
        <f t="shared" si="21"/>
        <v>348862.36119003146</v>
      </c>
      <c r="L89" s="1692">
        <f t="shared" si="21"/>
        <v>457675.38394493324</v>
      </c>
    </row>
    <row r="90" spans="1:13" s="1634" customFormat="1">
      <c r="A90" s="1697" t="s">
        <v>2681</v>
      </c>
      <c r="B90" s="1698"/>
      <c r="C90" s="1698"/>
      <c r="D90" s="1698"/>
      <c r="E90" s="1698"/>
      <c r="F90" s="1698"/>
      <c r="G90" s="1698"/>
      <c r="H90" s="1698"/>
      <c r="I90" s="1698"/>
      <c r="J90" s="1698"/>
      <c r="K90" s="1698"/>
      <c r="L90" s="1698"/>
    </row>
    <row r="91" spans="1:13" s="1634" customFormat="1">
      <c r="A91" s="1699" t="s">
        <v>2682</v>
      </c>
      <c r="B91" s="1692">
        <f t="shared" ref="B91:L105" si="22">B43*B$7</f>
        <v>1088758.2332348537</v>
      </c>
      <c r="C91" s="1692">
        <f t="shared" si="22"/>
        <v>1191666.6104868359</v>
      </c>
      <c r="D91" s="1692">
        <f t="shared" si="22"/>
        <v>1298184.5401505174</v>
      </c>
      <c r="E91" s="1692">
        <f t="shared" si="22"/>
        <v>1408194.0167620461</v>
      </c>
      <c r="F91" s="1692">
        <f t="shared" si="22"/>
        <v>1521816.6785736168</v>
      </c>
      <c r="G91" s="1692">
        <f t="shared" si="22"/>
        <v>1639105.9080602187</v>
      </c>
      <c r="H91" s="1692">
        <f t="shared" si="22"/>
        <v>1761475.2344539219</v>
      </c>
      <c r="I91" s="1692">
        <f t="shared" si="22"/>
        <v>1887364.4427270219</v>
      </c>
      <c r="J91" s="1692">
        <f t="shared" si="22"/>
        <v>2017647.6277283661</v>
      </c>
      <c r="K91" s="1692">
        <f t="shared" si="22"/>
        <v>2146845.2996309628</v>
      </c>
      <c r="L91" s="1692">
        <f t="shared" si="22"/>
        <v>2288376.919724666</v>
      </c>
    </row>
    <row r="92" spans="1:13" s="1634" customFormat="1">
      <c r="A92" s="1699" t="s">
        <v>2683</v>
      </c>
      <c r="B92" s="1692">
        <f t="shared" si="22"/>
        <v>544379.11661742686</v>
      </c>
      <c r="C92" s="1692">
        <f t="shared" si="22"/>
        <v>595833.30524341797</v>
      </c>
      <c r="D92" s="1692">
        <f t="shared" si="22"/>
        <v>649092.27007525868</v>
      </c>
      <c r="E92" s="1692">
        <f t="shared" si="22"/>
        <v>704097.00838102307</v>
      </c>
      <c r="F92" s="1692">
        <f t="shared" si="22"/>
        <v>760908.33928680839</v>
      </c>
      <c r="G92" s="1692">
        <f t="shared" si="22"/>
        <v>819552.95403010934</v>
      </c>
      <c r="H92" s="1692">
        <f t="shared" si="22"/>
        <v>880737.61722696095</v>
      </c>
      <c r="I92" s="1692">
        <f t="shared" si="22"/>
        <v>943682.22136351094</v>
      </c>
      <c r="J92" s="1692">
        <f t="shared" si="22"/>
        <v>1008823.813864183</v>
      </c>
      <c r="K92" s="1692">
        <f t="shared" si="22"/>
        <v>1073422.6498154814</v>
      </c>
      <c r="L92" s="1692">
        <f t="shared" si="22"/>
        <v>2288376.919724666</v>
      </c>
    </row>
    <row r="93" spans="1:13" s="1634" customFormat="1">
      <c r="A93" s="1699" t="s">
        <v>2684</v>
      </c>
      <c r="B93" s="1692">
        <f t="shared" si="22"/>
        <v>272189.55830871343</v>
      </c>
      <c r="C93" s="1692">
        <f t="shared" si="22"/>
        <v>297916.65262170898</v>
      </c>
      <c r="D93" s="1692">
        <f t="shared" si="22"/>
        <v>324546.13503762934</v>
      </c>
      <c r="E93" s="1692">
        <f t="shared" si="22"/>
        <v>352048.50419051154</v>
      </c>
      <c r="F93" s="1692">
        <f t="shared" si="22"/>
        <v>380454.1696434042</v>
      </c>
      <c r="G93" s="1692">
        <f t="shared" si="22"/>
        <v>409776.47701505467</v>
      </c>
      <c r="H93" s="1692">
        <f t="shared" si="22"/>
        <v>440368.80861348048</v>
      </c>
      <c r="I93" s="1692">
        <f t="shared" si="22"/>
        <v>471841.11068175547</v>
      </c>
      <c r="J93" s="1692">
        <f t="shared" si="22"/>
        <v>504411.90693209152</v>
      </c>
      <c r="K93" s="1692">
        <f t="shared" si="22"/>
        <v>536711.32490774069</v>
      </c>
      <c r="L93" s="1692">
        <f t="shared" si="22"/>
        <v>572094.22993116651</v>
      </c>
    </row>
    <row r="94" spans="1:13" s="1634" customFormat="1">
      <c r="A94" s="1699" t="s">
        <v>2685</v>
      </c>
      <c r="B94" s="1692">
        <f t="shared" si="22"/>
        <v>244970.60247784207</v>
      </c>
      <c r="C94" s="1692">
        <f t="shared" si="22"/>
        <v>268124.98735953809</v>
      </c>
      <c r="D94" s="1692">
        <f t="shared" si="22"/>
        <v>292091.52153386635</v>
      </c>
      <c r="E94" s="1692">
        <f t="shared" si="22"/>
        <v>301001.47108288732</v>
      </c>
      <c r="F94" s="1692">
        <f t="shared" si="22"/>
        <v>309023.89929285494</v>
      </c>
      <c r="G94" s="1692">
        <f t="shared" si="22"/>
        <v>316198.89628270414</v>
      </c>
      <c r="H94" s="1692">
        <f t="shared" si="22"/>
        <v>322814.83222866018</v>
      </c>
      <c r="I94" s="1692">
        <f t="shared" si="22"/>
        <v>335509.20688276307</v>
      </c>
      <c r="J94" s="1692">
        <f t="shared" si="22"/>
        <v>347909.05233905744</v>
      </c>
      <c r="K94" s="1692">
        <f t="shared" si="22"/>
        <v>359081.38584014028</v>
      </c>
      <c r="L94" s="1692">
        <f t="shared" si="22"/>
        <v>371271.34830188175</v>
      </c>
    </row>
    <row r="95" spans="1:13" s="1634" customFormat="1">
      <c r="A95" s="1700" t="s">
        <v>2686</v>
      </c>
      <c r="B95" s="1692">
        <f t="shared" si="22"/>
        <v>0</v>
      </c>
      <c r="C95" s="1692">
        <f t="shared" si="22"/>
        <v>0</v>
      </c>
      <c r="D95" s="1692">
        <f t="shared" si="22"/>
        <v>0</v>
      </c>
      <c r="E95" s="1692">
        <f t="shared" si="22"/>
        <v>17426.400957430353</v>
      </c>
      <c r="F95" s="1692">
        <f t="shared" si="22"/>
        <v>48861.729007302478</v>
      </c>
      <c r="G95" s="1692">
        <f t="shared" si="22"/>
        <v>84688.381571758364</v>
      </c>
      <c r="H95" s="1692">
        <f t="shared" si="22"/>
        <v>125233.78293820944</v>
      </c>
      <c r="I95" s="1692">
        <f t="shared" si="22"/>
        <v>163763.36230940951</v>
      </c>
      <c r="J95" s="1692">
        <f t="shared" si="22"/>
        <v>207177.36112516886</v>
      </c>
      <c r="K95" s="1692">
        <f t="shared" si="22"/>
        <v>255174.55603383083</v>
      </c>
      <c r="L95" s="1692">
        <f t="shared" si="22"/>
        <v>309669.69819408579</v>
      </c>
    </row>
    <row r="96" spans="1:13" s="1634" customFormat="1">
      <c r="A96" s="1699" t="s">
        <v>2687</v>
      </c>
      <c r="B96" s="1692">
        <f t="shared" si="22"/>
        <v>326627.46997045615</v>
      </c>
      <c r="C96" s="1692">
        <f t="shared" si="22"/>
        <v>417083.31367039261</v>
      </c>
      <c r="D96" s="1692">
        <f t="shared" si="22"/>
        <v>519273.81606020691</v>
      </c>
      <c r="E96" s="1692">
        <f t="shared" si="22"/>
        <v>535113.72636957758</v>
      </c>
      <c r="F96" s="1692">
        <f t="shared" si="22"/>
        <v>549375.82096507563</v>
      </c>
      <c r="G96" s="1692">
        <f t="shared" si="22"/>
        <v>562131.37116925197</v>
      </c>
      <c r="H96" s="1692">
        <f t="shared" si="22"/>
        <v>573893.03507317381</v>
      </c>
      <c r="I96" s="1692">
        <f t="shared" si="22"/>
        <v>596460.81223602325</v>
      </c>
      <c r="J96" s="1692">
        <f t="shared" si="22"/>
        <v>618504.98193610227</v>
      </c>
      <c r="K96" s="1692">
        <f t="shared" si="22"/>
        <v>638366.90816024947</v>
      </c>
      <c r="L96" s="1692">
        <f t="shared" si="22"/>
        <v>660037.95253667864</v>
      </c>
    </row>
    <row r="97" spans="1:13" s="1634" customFormat="1">
      <c r="A97" s="1700" t="s">
        <v>2688</v>
      </c>
      <c r="B97" s="1692">
        <f t="shared" si="22"/>
        <v>0</v>
      </c>
      <c r="C97" s="1692">
        <f t="shared" si="22"/>
        <v>0</v>
      </c>
      <c r="D97" s="1692">
        <f t="shared" si="22"/>
        <v>0</v>
      </c>
      <c r="E97" s="1692">
        <f t="shared" si="22"/>
        <v>30980.268368765031</v>
      </c>
      <c r="F97" s="1692">
        <f t="shared" si="22"/>
        <v>86865.296012982071</v>
      </c>
      <c r="G97" s="1692">
        <f t="shared" si="22"/>
        <v>150557.1227942369</v>
      </c>
      <c r="H97" s="1692">
        <f t="shared" si="22"/>
        <v>222637.83633459435</v>
      </c>
      <c r="I97" s="1692">
        <f t="shared" si="22"/>
        <v>291134.86632783897</v>
      </c>
      <c r="J97" s="1692">
        <f t="shared" si="22"/>
        <v>368315.30866696674</v>
      </c>
      <c r="K97" s="1692">
        <f t="shared" si="22"/>
        <v>453643.65517125477</v>
      </c>
      <c r="L97" s="1692">
        <f t="shared" si="22"/>
        <v>550523.90790059709</v>
      </c>
    </row>
    <row r="98" spans="1:13" s="1634" customFormat="1">
      <c r="A98" s="1699" t="s">
        <v>2689</v>
      </c>
      <c r="B98" s="1692">
        <f t="shared" si="22"/>
        <v>136094.77915435671</v>
      </c>
      <c r="C98" s="1692">
        <f t="shared" si="22"/>
        <v>178749.99157302541</v>
      </c>
      <c r="D98" s="1692">
        <f t="shared" si="22"/>
        <v>227182.29452634053</v>
      </c>
      <c r="E98" s="1692">
        <f t="shared" si="22"/>
        <v>234112.25528669017</v>
      </c>
      <c r="F98" s="1692">
        <f t="shared" si="22"/>
        <v>240351.92167222057</v>
      </c>
      <c r="G98" s="1692">
        <f t="shared" si="22"/>
        <v>245932.47488654772</v>
      </c>
      <c r="H98" s="1692">
        <f t="shared" si="22"/>
        <v>251078.20284451352</v>
      </c>
      <c r="I98" s="1692">
        <f t="shared" si="22"/>
        <v>260951.60535326018</v>
      </c>
      <c r="J98" s="1692">
        <f t="shared" si="22"/>
        <v>270595.92959704471</v>
      </c>
      <c r="K98" s="1692">
        <f t="shared" si="22"/>
        <v>279285.52232010919</v>
      </c>
      <c r="L98" s="1692">
        <f t="shared" si="22"/>
        <v>288766.60423479695</v>
      </c>
    </row>
    <row r="99" spans="1:13" s="1634" customFormat="1">
      <c r="A99" s="1700" t="s">
        <v>2690</v>
      </c>
      <c r="B99" s="1692">
        <f t="shared" si="22"/>
        <v>0</v>
      </c>
      <c r="C99" s="1692">
        <f t="shared" si="22"/>
        <v>0</v>
      </c>
      <c r="D99" s="1692">
        <f t="shared" si="22"/>
        <v>0</v>
      </c>
      <c r="E99" s="1692">
        <f t="shared" si="22"/>
        <v>13553.867411334715</v>
      </c>
      <c r="F99" s="1692">
        <f t="shared" si="22"/>
        <v>38003.567005679695</v>
      </c>
      <c r="G99" s="1692">
        <f t="shared" si="22"/>
        <v>65868.741222478726</v>
      </c>
      <c r="H99" s="1692">
        <f t="shared" si="22"/>
        <v>97404.053396385076</v>
      </c>
      <c r="I99" s="1692">
        <f t="shared" si="22"/>
        <v>127371.50401842962</v>
      </c>
      <c r="J99" s="1692">
        <f t="shared" si="22"/>
        <v>161137.94754179803</v>
      </c>
      <c r="K99" s="1692">
        <f t="shared" si="22"/>
        <v>198469.099137424</v>
      </c>
      <c r="L99" s="1692">
        <f t="shared" si="22"/>
        <v>240854.20970651126</v>
      </c>
    </row>
    <row r="100" spans="1:13" s="1634" customFormat="1">
      <c r="A100" s="1699" t="s">
        <v>2691</v>
      </c>
      <c r="B100" s="1692">
        <f t="shared" si="22"/>
        <v>326627.46997045615</v>
      </c>
      <c r="C100" s="1692">
        <f t="shared" si="22"/>
        <v>417083.31367039261</v>
      </c>
      <c r="D100" s="1692">
        <f t="shared" si="22"/>
        <v>519273.81606020691</v>
      </c>
      <c r="E100" s="1692">
        <f t="shared" si="22"/>
        <v>535113.72636957758</v>
      </c>
      <c r="F100" s="1692">
        <f t="shared" si="22"/>
        <v>549375.82096507563</v>
      </c>
      <c r="G100" s="1692">
        <f t="shared" si="22"/>
        <v>562131.37116925197</v>
      </c>
      <c r="H100" s="1692">
        <f t="shared" si="22"/>
        <v>573893.03507317381</v>
      </c>
      <c r="I100" s="1692">
        <f t="shared" si="22"/>
        <v>596460.81223602325</v>
      </c>
      <c r="J100" s="1692">
        <f t="shared" si="22"/>
        <v>618504.98193610227</v>
      </c>
      <c r="K100" s="1692">
        <f t="shared" si="22"/>
        <v>638366.90816024947</v>
      </c>
      <c r="L100" s="1692">
        <f t="shared" si="22"/>
        <v>660037.95253667864</v>
      </c>
    </row>
    <row r="101" spans="1:13" s="1634" customFormat="1">
      <c r="A101" s="1700" t="s">
        <v>2692</v>
      </c>
      <c r="B101" s="1692">
        <f t="shared" si="22"/>
        <v>0</v>
      </c>
      <c r="C101" s="1692">
        <f t="shared" si="22"/>
        <v>0</v>
      </c>
      <c r="D101" s="1692">
        <f t="shared" si="22"/>
        <v>0</v>
      </c>
      <c r="E101" s="1692">
        <f t="shared" si="22"/>
        <v>30980.268368765031</v>
      </c>
      <c r="F101" s="1692">
        <f t="shared" si="22"/>
        <v>86865.296012982071</v>
      </c>
      <c r="G101" s="1692">
        <f t="shared" si="22"/>
        <v>150557.1227942369</v>
      </c>
      <c r="H101" s="1692">
        <f t="shared" si="22"/>
        <v>222637.83633459435</v>
      </c>
      <c r="I101" s="1692">
        <f t="shared" si="22"/>
        <v>291134.86632783897</v>
      </c>
      <c r="J101" s="1692">
        <f t="shared" si="22"/>
        <v>368315.30866696674</v>
      </c>
      <c r="K101" s="1692">
        <f t="shared" si="22"/>
        <v>453643.65517125477</v>
      </c>
      <c r="L101" s="1692">
        <f t="shared" si="22"/>
        <v>550523.90790059709</v>
      </c>
    </row>
    <row r="102" spans="1:13" s="1634" customFormat="1">
      <c r="A102" s="1699" t="s">
        <v>2693</v>
      </c>
      <c r="B102" s="1692">
        <f t="shared" si="22"/>
        <v>76213.076326439768</v>
      </c>
      <c r="C102" s="1692">
        <f t="shared" si="22"/>
        <v>107249.99494381524</v>
      </c>
      <c r="D102" s="1692">
        <f t="shared" si="22"/>
        <v>142800.2994165569</v>
      </c>
      <c r="E102" s="1692">
        <f t="shared" si="22"/>
        <v>154901.3418438251</v>
      </c>
      <c r="F102" s="1692">
        <f t="shared" si="22"/>
        <v>167399.83464309786</v>
      </c>
      <c r="G102" s="1692">
        <f t="shared" si="22"/>
        <v>180301.64988662407</v>
      </c>
      <c r="H102" s="1692">
        <f t="shared" si="22"/>
        <v>193762.27578993142</v>
      </c>
      <c r="I102" s="1692">
        <f t="shared" si="22"/>
        <v>207610.08869997243</v>
      </c>
      <c r="J102" s="1692">
        <f t="shared" si="22"/>
        <v>221941.23905012026</v>
      </c>
      <c r="K102" s="1692">
        <f t="shared" si="22"/>
        <v>236152.98295940593</v>
      </c>
      <c r="L102" s="1692">
        <f t="shared" si="22"/>
        <v>251721.46116971329</v>
      </c>
    </row>
    <row r="103" spans="1:13" s="1634" customFormat="1">
      <c r="A103" s="1701" t="s">
        <v>2694</v>
      </c>
      <c r="B103" s="1692">
        <f t="shared" si="22"/>
        <v>0</v>
      </c>
      <c r="C103" s="1692">
        <f t="shared" si="22"/>
        <v>0</v>
      </c>
      <c r="D103" s="1692">
        <f t="shared" si="22"/>
        <v>0</v>
      </c>
      <c r="E103" s="1692">
        <f t="shared" si="22"/>
        <v>0</v>
      </c>
      <c r="F103" s="1692">
        <f t="shared" si="22"/>
        <v>19022.708482170208</v>
      </c>
      <c r="G103" s="1692">
        <f t="shared" si="22"/>
        <v>40977.64770150547</v>
      </c>
      <c r="H103" s="1692">
        <f t="shared" si="22"/>
        <v>66055.321292022069</v>
      </c>
      <c r="I103" s="1692">
        <f t="shared" si="22"/>
        <v>94368.222136351091</v>
      </c>
      <c r="J103" s="1692">
        <f t="shared" si="22"/>
        <v>126102.97673302288</v>
      </c>
      <c r="K103" s="1692">
        <f t="shared" si="22"/>
        <v>150279.17097416741</v>
      </c>
      <c r="L103" s="1692">
        <f t="shared" si="22"/>
        <v>177349.21127866162</v>
      </c>
    </row>
    <row r="104" spans="1:13" s="1634" customFormat="1">
      <c r="A104" s="1702" t="s">
        <v>2695</v>
      </c>
      <c r="B104" s="1692">
        <f t="shared" si="22"/>
        <v>0</v>
      </c>
      <c r="C104" s="1692">
        <f t="shared" si="22"/>
        <v>0</v>
      </c>
      <c r="D104" s="1692">
        <f t="shared" si="22"/>
        <v>0</v>
      </c>
      <c r="E104" s="1692">
        <f t="shared" si="22"/>
        <v>0</v>
      </c>
      <c r="F104" s="1692">
        <f t="shared" si="22"/>
        <v>0</v>
      </c>
      <c r="G104" s="1692">
        <f t="shared" si="22"/>
        <v>0</v>
      </c>
      <c r="H104" s="1692">
        <f t="shared" si="22"/>
        <v>0</v>
      </c>
      <c r="I104" s="1692">
        <f t="shared" si="22"/>
        <v>0</v>
      </c>
      <c r="J104" s="1692">
        <f t="shared" si="22"/>
        <v>0</v>
      </c>
      <c r="K104" s="1692">
        <f t="shared" si="22"/>
        <v>0</v>
      </c>
      <c r="L104" s="1692">
        <f t="shared" si="22"/>
        <v>0</v>
      </c>
    </row>
    <row r="105" spans="1:13" s="1634" customFormat="1">
      <c r="A105" s="1703" t="s">
        <v>2696</v>
      </c>
      <c r="B105" s="1692">
        <f t="shared" si="22"/>
        <v>0</v>
      </c>
      <c r="C105" s="1692">
        <f t="shared" si="22"/>
        <v>0</v>
      </c>
      <c r="D105" s="1692">
        <f t="shared" si="22"/>
        <v>0</v>
      </c>
      <c r="E105" s="1692">
        <f t="shared" si="22"/>
        <v>0</v>
      </c>
      <c r="F105" s="1692">
        <f t="shared" si="22"/>
        <v>0</v>
      </c>
      <c r="G105" s="1692">
        <f t="shared" si="22"/>
        <v>0</v>
      </c>
      <c r="H105" s="1692">
        <f t="shared" si="22"/>
        <v>0</v>
      </c>
      <c r="I105" s="1692">
        <f t="shared" si="22"/>
        <v>0</v>
      </c>
      <c r="J105" s="1692">
        <f t="shared" si="22"/>
        <v>0</v>
      </c>
      <c r="K105" s="1692">
        <f t="shared" si="22"/>
        <v>0</v>
      </c>
      <c r="L105" s="1692">
        <f t="shared" si="22"/>
        <v>0</v>
      </c>
    </row>
    <row r="106" spans="1:13" s="1634" customFormat="1" ht="15.75">
      <c r="A106" s="1646" t="s">
        <v>2703</v>
      </c>
      <c r="B106" s="1694"/>
      <c r="C106" s="1694"/>
      <c r="D106" s="1694"/>
      <c r="E106" s="1694"/>
      <c r="F106" s="1694"/>
      <c r="G106" s="1694"/>
      <c r="H106" s="1694"/>
      <c r="I106" s="1694"/>
      <c r="J106" s="1694"/>
      <c r="K106" s="1694"/>
      <c r="L106" s="1694"/>
    </row>
    <row r="107" spans="1:13" s="1634" customFormat="1">
      <c r="A107" s="1648" t="s">
        <v>2704</v>
      </c>
      <c r="B107" s="1704">
        <v>0.159</v>
      </c>
      <c r="C107" s="1705">
        <f t="shared" ref="C107:L109" si="23">$B107</f>
        <v>0.159</v>
      </c>
      <c r="D107" s="1705">
        <f t="shared" si="23"/>
        <v>0.159</v>
      </c>
      <c r="E107" s="1705">
        <f t="shared" si="23"/>
        <v>0.159</v>
      </c>
      <c r="F107" s="1705">
        <f t="shared" si="23"/>
        <v>0.159</v>
      </c>
      <c r="G107" s="1705">
        <f t="shared" si="23"/>
        <v>0.159</v>
      </c>
      <c r="H107" s="1705">
        <f t="shared" si="23"/>
        <v>0.159</v>
      </c>
      <c r="I107" s="1705">
        <f t="shared" si="23"/>
        <v>0.159</v>
      </c>
      <c r="J107" s="1705">
        <f t="shared" si="23"/>
        <v>0.159</v>
      </c>
      <c r="K107" s="1705">
        <f t="shared" si="23"/>
        <v>0.159</v>
      </c>
      <c r="L107" s="1705">
        <f t="shared" si="23"/>
        <v>0.159</v>
      </c>
    </row>
    <row r="108" spans="1:13" s="1634" customFormat="1">
      <c r="A108" s="1651" t="s">
        <v>2651</v>
      </c>
      <c r="B108" s="1704">
        <v>0.1908</v>
      </c>
      <c r="C108" s="1705">
        <f t="shared" si="23"/>
        <v>0.1908</v>
      </c>
      <c r="D108" s="1705">
        <f t="shared" si="23"/>
        <v>0.1908</v>
      </c>
      <c r="E108" s="1705">
        <f t="shared" si="23"/>
        <v>0.1908</v>
      </c>
      <c r="F108" s="1705">
        <f t="shared" si="23"/>
        <v>0.1908</v>
      </c>
      <c r="G108" s="1705">
        <f t="shared" si="23"/>
        <v>0.1908</v>
      </c>
      <c r="H108" s="1705">
        <f t="shared" si="23"/>
        <v>0.1908</v>
      </c>
      <c r="I108" s="1705">
        <f t="shared" si="23"/>
        <v>0.1908</v>
      </c>
      <c r="J108" s="1705">
        <f t="shared" si="23"/>
        <v>0.1908</v>
      </c>
      <c r="K108" s="1705">
        <f t="shared" si="23"/>
        <v>0.1908</v>
      </c>
      <c r="L108" s="1705">
        <f t="shared" si="23"/>
        <v>0.1908</v>
      </c>
    </row>
    <row r="109" spans="1:13" s="1634" customFormat="1">
      <c r="A109" s="1651" t="s">
        <v>2652</v>
      </c>
      <c r="B109" s="1704">
        <v>0.23849999999999999</v>
      </c>
      <c r="C109" s="1705">
        <f t="shared" si="23"/>
        <v>0.23849999999999999</v>
      </c>
      <c r="D109" s="1705">
        <f t="shared" si="23"/>
        <v>0.23849999999999999</v>
      </c>
      <c r="E109" s="1705">
        <f t="shared" si="23"/>
        <v>0.23849999999999999</v>
      </c>
      <c r="F109" s="1705">
        <f t="shared" si="23"/>
        <v>0.23849999999999999</v>
      </c>
      <c r="G109" s="1705">
        <f t="shared" si="23"/>
        <v>0.23849999999999999</v>
      </c>
      <c r="H109" s="1705">
        <f t="shared" si="23"/>
        <v>0.23849999999999999</v>
      </c>
      <c r="I109" s="1705">
        <f t="shared" si="23"/>
        <v>0.23849999999999999</v>
      </c>
      <c r="J109" s="1705">
        <f t="shared" si="23"/>
        <v>0.23849999999999999</v>
      </c>
      <c r="K109" s="1705">
        <f t="shared" si="23"/>
        <v>0.23849999999999999</v>
      </c>
      <c r="L109" s="1705">
        <f t="shared" si="23"/>
        <v>0.23849999999999999</v>
      </c>
      <c r="M109" s="1694"/>
    </row>
    <row r="110" spans="1:13" s="1634" customFormat="1">
      <c r="A110" s="1651" t="s">
        <v>2698</v>
      </c>
      <c r="B110" s="1706"/>
      <c r="C110" s="1706"/>
      <c r="D110" s="1706"/>
      <c r="E110" s="1706"/>
      <c r="F110" s="1706"/>
      <c r="G110" s="1706"/>
      <c r="H110" s="1706"/>
      <c r="I110" s="1706"/>
      <c r="J110" s="1706"/>
      <c r="K110" s="1706"/>
      <c r="L110" s="1706"/>
      <c r="M110" s="1694"/>
    </row>
    <row r="111" spans="1:13" s="1634" customFormat="1">
      <c r="A111" s="1695" t="s">
        <v>2654</v>
      </c>
      <c r="B111" s="1704">
        <v>1.2242999999999999</v>
      </c>
      <c r="C111" s="1705">
        <f t="shared" ref="C111:L112" si="24">$B111</f>
        <v>1.2242999999999999</v>
      </c>
      <c r="D111" s="1705">
        <f t="shared" si="24"/>
        <v>1.2242999999999999</v>
      </c>
      <c r="E111" s="1705">
        <f t="shared" si="24"/>
        <v>1.2242999999999999</v>
      </c>
      <c r="F111" s="1705">
        <f t="shared" si="24"/>
        <v>1.2242999999999999</v>
      </c>
      <c r="G111" s="1705">
        <f t="shared" si="24"/>
        <v>1.2242999999999999</v>
      </c>
      <c r="H111" s="1705">
        <f t="shared" si="24"/>
        <v>1.2242999999999999</v>
      </c>
      <c r="I111" s="1705">
        <f t="shared" si="24"/>
        <v>1.2242999999999999</v>
      </c>
      <c r="J111" s="1705">
        <f t="shared" si="24"/>
        <v>1.2242999999999999</v>
      </c>
      <c r="K111" s="1705">
        <f t="shared" si="24"/>
        <v>1.2242999999999999</v>
      </c>
      <c r="L111" s="1705">
        <f t="shared" si="24"/>
        <v>1.2242999999999999</v>
      </c>
    </row>
    <row r="112" spans="1:13" s="1634" customFormat="1">
      <c r="A112" s="1696" t="s">
        <v>2655</v>
      </c>
      <c r="B112" s="1704">
        <v>0.43725000000000008</v>
      </c>
      <c r="C112" s="1705">
        <f t="shared" si="24"/>
        <v>0.43725000000000008</v>
      </c>
      <c r="D112" s="1705">
        <f t="shared" si="24"/>
        <v>0.43725000000000008</v>
      </c>
      <c r="E112" s="1705">
        <f t="shared" si="24"/>
        <v>0.43725000000000008</v>
      </c>
      <c r="F112" s="1705">
        <f t="shared" si="24"/>
        <v>0.43725000000000008</v>
      </c>
      <c r="G112" s="1705">
        <f t="shared" si="24"/>
        <v>0.43725000000000008</v>
      </c>
      <c r="H112" s="1705">
        <f t="shared" si="24"/>
        <v>0.43725000000000008</v>
      </c>
      <c r="I112" s="1705">
        <f t="shared" si="24"/>
        <v>0.43725000000000008</v>
      </c>
      <c r="J112" s="1705">
        <f t="shared" si="24"/>
        <v>0.43725000000000008</v>
      </c>
      <c r="K112" s="1705">
        <f t="shared" si="24"/>
        <v>0.43725000000000008</v>
      </c>
      <c r="L112" s="1705">
        <f t="shared" si="24"/>
        <v>0.43725000000000008</v>
      </c>
    </row>
    <row r="113" spans="1:13" s="1634" customFormat="1">
      <c r="A113" s="1697" t="s">
        <v>2656</v>
      </c>
      <c r="B113" s="1707"/>
      <c r="C113" s="1706"/>
      <c r="D113" s="1706"/>
      <c r="E113" s="1706"/>
      <c r="F113" s="1706"/>
      <c r="G113" s="1706"/>
      <c r="H113" s="1706"/>
      <c r="I113" s="1706"/>
      <c r="J113" s="1706"/>
      <c r="K113" s="1706"/>
      <c r="L113" s="1706"/>
    </row>
    <row r="114" spans="1:13" s="1634" customFormat="1">
      <c r="A114" s="1699" t="s">
        <v>2657</v>
      </c>
      <c r="B114" s="1704">
        <v>4.9941899999999997</v>
      </c>
      <c r="C114" s="1705">
        <f t="shared" ref="C114:L121" si="25">$B114</f>
        <v>4.9941899999999997</v>
      </c>
      <c r="D114" s="1705">
        <f t="shared" si="25"/>
        <v>4.9941899999999997</v>
      </c>
      <c r="E114" s="1705">
        <f t="shared" si="25"/>
        <v>4.9941899999999997</v>
      </c>
      <c r="F114" s="1705">
        <f t="shared" si="25"/>
        <v>4.9941899999999997</v>
      </c>
      <c r="G114" s="1705">
        <f t="shared" si="25"/>
        <v>4.9941899999999997</v>
      </c>
      <c r="H114" s="1705">
        <f t="shared" si="25"/>
        <v>4.9941899999999997</v>
      </c>
      <c r="I114" s="1705">
        <f t="shared" si="25"/>
        <v>4.9941899999999997</v>
      </c>
      <c r="J114" s="1705">
        <f t="shared" si="25"/>
        <v>4.9941899999999997</v>
      </c>
      <c r="K114" s="1705">
        <f t="shared" si="25"/>
        <v>4.9941899999999997</v>
      </c>
      <c r="L114" s="1705">
        <f t="shared" si="25"/>
        <v>4.9941899999999997</v>
      </c>
    </row>
    <row r="115" spans="1:13" s="1634" customFormat="1">
      <c r="A115" s="1700" t="s">
        <v>2658</v>
      </c>
      <c r="B115" s="1704">
        <v>1.7836392857142858</v>
      </c>
      <c r="C115" s="1705">
        <f t="shared" si="25"/>
        <v>1.7836392857142858</v>
      </c>
      <c r="D115" s="1705">
        <f t="shared" si="25"/>
        <v>1.7836392857142858</v>
      </c>
      <c r="E115" s="1705">
        <f t="shared" si="25"/>
        <v>1.7836392857142858</v>
      </c>
      <c r="F115" s="1705">
        <f t="shared" si="25"/>
        <v>1.7836392857142858</v>
      </c>
      <c r="G115" s="1705">
        <f t="shared" si="25"/>
        <v>1.7836392857142858</v>
      </c>
      <c r="H115" s="1705">
        <f t="shared" si="25"/>
        <v>1.7836392857142858</v>
      </c>
      <c r="I115" s="1705">
        <f t="shared" si="25"/>
        <v>1.7836392857142858</v>
      </c>
      <c r="J115" s="1705">
        <f t="shared" si="25"/>
        <v>1.7836392857142858</v>
      </c>
      <c r="K115" s="1705">
        <f t="shared" si="25"/>
        <v>1.7836392857142858</v>
      </c>
      <c r="L115" s="1705">
        <f t="shared" si="25"/>
        <v>1.7836392857142858</v>
      </c>
    </row>
    <row r="116" spans="1:13" s="1634" customFormat="1">
      <c r="A116" s="1699" t="s">
        <v>2659</v>
      </c>
      <c r="B116" s="1704">
        <v>9.3062699999999996</v>
      </c>
      <c r="C116" s="1705">
        <f t="shared" si="25"/>
        <v>9.3062699999999996</v>
      </c>
      <c r="D116" s="1705">
        <f t="shared" si="25"/>
        <v>9.3062699999999996</v>
      </c>
      <c r="E116" s="1705">
        <f t="shared" si="25"/>
        <v>9.3062699999999996</v>
      </c>
      <c r="F116" s="1705">
        <f t="shared" si="25"/>
        <v>9.3062699999999996</v>
      </c>
      <c r="G116" s="1705">
        <f t="shared" si="25"/>
        <v>9.3062699999999996</v>
      </c>
      <c r="H116" s="1705">
        <f t="shared" si="25"/>
        <v>9.3062699999999996</v>
      </c>
      <c r="I116" s="1705">
        <f t="shared" si="25"/>
        <v>9.3062699999999996</v>
      </c>
      <c r="J116" s="1705">
        <f t="shared" si="25"/>
        <v>9.3062699999999996</v>
      </c>
      <c r="K116" s="1705">
        <f t="shared" si="25"/>
        <v>9.3062699999999996</v>
      </c>
      <c r="L116" s="1705">
        <f t="shared" si="25"/>
        <v>9.3062699999999996</v>
      </c>
    </row>
    <row r="117" spans="1:13" s="1634" customFormat="1">
      <c r="A117" s="1699" t="s">
        <v>2660</v>
      </c>
      <c r="B117" s="1704">
        <v>65.143890000000013</v>
      </c>
      <c r="C117" s="1705">
        <f t="shared" si="25"/>
        <v>65.143890000000013</v>
      </c>
      <c r="D117" s="1705">
        <f t="shared" si="25"/>
        <v>65.143890000000013</v>
      </c>
      <c r="E117" s="1705">
        <f t="shared" si="25"/>
        <v>65.143890000000013</v>
      </c>
      <c r="F117" s="1705">
        <f t="shared" si="25"/>
        <v>65.143890000000013</v>
      </c>
      <c r="G117" s="1705">
        <f t="shared" si="25"/>
        <v>65.143890000000013</v>
      </c>
      <c r="H117" s="1705">
        <f t="shared" si="25"/>
        <v>65.143890000000013</v>
      </c>
      <c r="I117" s="1705">
        <f t="shared" si="25"/>
        <v>65.143890000000013</v>
      </c>
      <c r="J117" s="1705">
        <f t="shared" si="25"/>
        <v>65.143890000000013</v>
      </c>
      <c r="K117" s="1705">
        <f t="shared" si="25"/>
        <v>65.143890000000013</v>
      </c>
      <c r="L117" s="1705">
        <f t="shared" si="25"/>
        <v>65.143890000000013</v>
      </c>
    </row>
    <row r="118" spans="1:13" s="1634" customFormat="1">
      <c r="A118" s="1699" t="s">
        <v>2661</v>
      </c>
      <c r="B118" s="1704">
        <v>6.9797025000000001</v>
      </c>
      <c r="C118" s="1705">
        <f t="shared" si="25"/>
        <v>6.9797025000000001</v>
      </c>
      <c r="D118" s="1705">
        <f t="shared" si="25"/>
        <v>6.9797025000000001</v>
      </c>
      <c r="E118" s="1705">
        <f t="shared" si="25"/>
        <v>6.9797025000000001</v>
      </c>
      <c r="F118" s="1705">
        <f t="shared" si="25"/>
        <v>6.9797025000000001</v>
      </c>
      <c r="G118" s="1705">
        <f t="shared" si="25"/>
        <v>6.9797025000000001</v>
      </c>
      <c r="H118" s="1705">
        <f t="shared" si="25"/>
        <v>6.9797025000000001</v>
      </c>
      <c r="I118" s="1705">
        <f t="shared" si="25"/>
        <v>6.9797025000000001</v>
      </c>
      <c r="J118" s="1705">
        <f t="shared" si="25"/>
        <v>6.9797025000000001</v>
      </c>
      <c r="K118" s="1705">
        <f t="shared" si="25"/>
        <v>6.9797025000000001</v>
      </c>
      <c r="L118" s="1705">
        <f t="shared" si="25"/>
        <v>6.9797025000000001</v>
      </c>
    </row>
    <row r="119" spans="1:13" s="1634" customFormat="1">
      <c r="A119" s="1700" t="s">
        <v>2662</v>
      </c>
      <c r="B119" s="1704">
        <v>58.629501000000005</v>
      </c>
      <c r="C119" s="1705">
        <f t="shared" si="25"/>
        <v>58.629501000000005</v>
      </c>
      <c r="D119" s="1705">
        <f t="shared" si="25"/>
        <v>58.629501000000005</v>
      </c>
      <c r="E119" s="1705">
        <f t="shared" si="25"/>
        <v>58.629501000000005</v>
      </c>
      <c r="F119" s="1705">
        <f t="shared" si="25"/>
        <v>58.629501000000005</v>
      </c>
      <c r="G119" s="1705">
        <f t="shared" si="25"/>
        <v>58.629501000000005</v>
      </c>
      <c r="H119" s="1705">
        <f t="shared" si="25"/>
        <v>58.629501000000005</v>
      </c>
      <c r="I119" s="1705">
        <f t="shared" si="25"/>
        <v>58.629501000000005</v>
      </c>
      <c r="J119" s="1705">
        <f t="shared" si="25"/>
        <v>58.629501000000005</v>
      </c>
      <c r="K119" s="1705">
        <f t="shared" si="25"/>
        <v>58.629501000000005</v>
      </c>
      <c r="L119" s="1705">
        <f t="shared" si="25"/>
        <v>58.629501000000005</v>
      </c>
    </row>
    <row r="120" spans="1:13" s="1634" customFormat="1">
      <c r="A120" s="1700" t="s">
        <v>2663</v>
      </c>
      <c r="B120" s="1704">
        <v>52.766550900000006</v>
      </c>
      <c r="C120" s="1705">
        <f t="shared" si="25"/>
        <v>52.766550900000006</v>
      </c>
      <c r="D120" s="1705">
        <f t="shared" si="25"/>
        <v>52.766550900000006</v>
      </c>
      <c r="E120" s="1705">
        <f t="shared" si="25"/>
        <v>52.766550900000006</v>
      </c>
      <c r="F120" s="1705">
        <f t="shared" si="25"/>
        <v>52.766550900000006</v>
      </c>
      <c r="G120" s="1705">
        <f t="shared" si="25"/>
        <v>52.766550900000006</v>
      </c>
      <c r="H120" s="1705">
        <f t="shared" si="25"/>
        <v>52.766550900000006</v>
      </c>
      <c r="I120" s="1705">
        <f t="shared" si="25"/>
        <v>52.766550900000006</v>
      </c>
      <c r="J120" s="1705">
        <f t="shared" si="25"/>
        <v>52.766550900000006</v>
      </c>
      <c r="K120" s="1705">
        <f t="shared" si="25"/>
        <v>52.766550900000006</v>
      </c>
      <c r="L120" s="1705">
        <f t="shared" si="25"/>
        <v>52.766550900000006</v>
      </c>
    </row>
    <row r="121" spans="1:13" s="1634" customFormat="1">
      <c r="A121" s="1700" t="s">
        <v>2664</v>
      </c>
      <c r="B121" s="1704">
        <v>47.489895810000007</v>
      </c>
      <c r="C121" s="1705">
        <f t="shared" si="25"/>
        <v>47.489895810000007</v>
      </c>
      <c r="D121" s="1705">
        <f t="shared" si="25"/>
        <v>47.489895810000007</v>
      </c>
      <c r="E121" s="1705">
        <f t="shared" si="25"/>
        <v>47.489895810000007</v>
      </c>
      <c r="F121" s="1705">
        <f t="shared" si="25"/>
        <v>47.489895810000007</v>
      </c>
      <c r="G121" s="1705">
        <f t="shared" si="25"/>
        <v>47.489895810000007</v>
      </c>
      <c r="H121" s="1705">
        <f t="shared" si="25"/>
        <v>47.489895810000007</v>
      </c>
      <c r="I121" s="1705">
        <f t="shared" si="25"/>
        <v>47.489895810000007</v>
      </c>
      <c r="J121" s="1705">
        <f t="shared" si="25"/>
        <v>47.489895810000007</v>
      </c>
      <c r="K121" s="1705">
        <f t="shared" si="25"/>
        <v>47.489895810000007</v>
      </c>
      <c r="L121" s="1705">
        <f t="shared" si="25"/>
        <v>47.489895810000007</v>
      </c>
      <c r="M121" s="1694"/>
    </row>
    <row r="122" spans="1:13" s="1634" customFormat="1">
      <c r="A122" s="1697" t="s">
        <v>2700</v>
      </c>
      <c r="B122" s="1707"/>
      <c r="C122" s="1706"/>
      <c r="D122" s="1706"/>
      <c r="E122" s="1706"/>
      <c r="F122" s="1706"/>
      <c r="G122" s="1706"/>
      <c r="H122" s="1706"/>
      <c r="I122" s="1706"/>
      <c r="J122" s="1706"/>
      <c r="K122" s="1706"/>
      <c r="L122" s="1706"/>
    </row>
    <row r="123" spans="1:13" s="1634" customFormat="1">
      <c r="A123" s="1699" t="s">
        <v>2666</v>
      </c>
      <c r="B123" s="1704">
        <v>1.4771099999999999</v>
      </c>
      <c r="C123" s="1705">
        <f t="shared" ref="C123:L129" si="26">$B123</f>
        <v>1.4771099999999999</v>
      </c>
      <c r="D123" s="1705">
        <f t="shared" si="26"/>
        <v>1.4771099999999999</v>
      </c>
      <c r="E123" s="1705">
        <f t="shared" si="26"/>
        <v>1.4771099999999999</v>
      </c>
      <c r="F123" s="1705">
        <f t="shared" si="26"/>
        <v>1.4771099999999999</v>
      </c>
      <c r="G123" s="1705">
        <f t="shared" si="26"/>
        <v>1.4771099999999999</v>
      </c>
      <c r="H123" s="1705">
        <f t="shared" si="26"/>
        <v>1.4771099999999999</v>
      </c>
      <c r="I123" s="1705">
        <f t="shared" si="26"/>
        <v>1.4771099999999999</v>
      </c>
      <c r="J123" s="1705">
        <f t="shared" si="26"/>
        <v>1.4771099999999999</v>
      </c>
      <c r="K123" s="1705">
        <f t="shared" si="26"/>
        <v>1.4771099999999999</v>
      </c>
      <c r="L123" s="1705">
        <f t="shared" si="26"/>
        <v>1.4771099999999999</v>
      </c>
    </row>
    <row r="124" spans="1:13" s="1634" customFormat="1">
      <c r="A124" s="1699" t="s">
        <v>2667</v>
      </c>
      <c r="B124" s="1704">
        <v>1.5438900000000002</v>
      </c>
      <c r="C124" s="1705">
        <f t="shared" si="26"/>
        <v>1.5438900000000002</v>
      </c>
      <c r="D124" s="1705">
        <f t="shared" si="26"/>
        <v>1.5438900000000002</v>
      </c>
      <c r="E124" s="1705">
        <f t="shared" si="26"/>
        <v>1.5438900000000002</v>
      </c>
      <c r="F124" s="1705">
        <f t="shared" si="26"/>
        <v>1.5438900000000002</v>
      </c>
      <c r="G124" s="1705">
        <f t="shared" si="26"/>
        <v>1.5438900000000002</v>
      </c>
      <c r="H124" s="1705">
        <f t="shared" si="26"/>
        <v>1.5438900000000002</v>
      </c>
      <c r="I124" s="1705">
        <f t="shared" si="26"/>
        <v>1.5438900000000002</v>
      </c>
      <c r="J124" s="1705">
        <f t="shared" si="26"/>
        <v>1.5438900000000002</v>
      </c>
      <c r="K124" s="1705">
        <f t="shared" si="26"/>
        <v>1.5438900000000002</v>
      </c>
      <c r="L124" s="1705">
        <f t="shared" si="26"/>
        <v>1.5438900000000002</v>
      </c>
    </row>
    <row r="125" spans="1:13" s="1634" customFormat="1">
      <c r="A125" s="1695" t="s">
        <v>2668</v>
      </c>
      <c r="B125" s="1704">
        <v>1.4032544999999996</v>
      </c>
      <c r="C125" s="1705">
        <f t="shared" si="26"/>
        <v>1.4032544999999996</v>
      </c>
      <c r="D125" s="1705">
        <f t="shared" si="26"/>
        <v>1.4032544999999996</v>
      </c>
      <c r="E125" s="1705">
        <f t="shared" si="26"/>
        <v>1.4032544999999996</v>
      </c>
      <c r="F125" s="1705">
        <f t="shared" si="26"/>
        <v>1.4032544999999996</v>
      </c>
      <c r="G125" s="1705">
        <f t="shared" si="26"/>
        <v>1.4032544999999996</v>
      </c>
      <c r="H125" s="1705">
        <f t="shared" si="26"/>
        <v>1.4032544999999996</v>
      </c>
      <c r="I125" s="1705">
        <f t="shared" si="26"/>
        <v>1.4032544999999996</v>
      </c>
      <c r="J125" s="1705">
        <f t="shared" si="26"/>
        <v>1.4032544999999996</v>
      </c>
      <c r="K125" s="1705">
        <f t="shared" si="26"/>
        <v>1.4032544999999996</v>
      </c>
      <c r="L125" s="1705">
        <f t="shared" si="26"/>
        <v>1.4032544999999996</v>
      </c>
    </row>
    <row r="126" spans="1:13" s="1634" customFormat="1">
      <c r="A126" s="1695" t="s">
        <v>2669</v>
      </c>
      <c r="B126" s="1704">
        <v>1.4032544999999996</v>
      </c>
      <c r="C126" s="1705">
        <f t="shared" si="26"/>
        <v>1.4032544999999996</v>
      </c>
      <c r="D126" s="1705">
        <f t="shared" si="26"/>
        <v>1.4032544999999996</v>
      </c>
      <c r="E126" s="1705">
        <f t="shared" si="26"/>
        <v>1.4032544999999996</v>
      </c>
      <c r="F126" s="1705">
        <f t="shared" si="26"/>
        <v>1.4032544999999996</v>
      </c>
      <c r="G126" s="1705">
        <f t="shared" si="26"/>
        <v>1.4032544999999996</v>
      </c>
      <c r="H126" s="1705">
        <f t="shared" si="26"/>
        <v>1.4032544999999996</v>
      </c>
      <c r="I126" s="1705">
        <f t="shared" si="26"/>
        <v>1.4032544999999996</v>
      </c>
      <c r="J126" s="1705">
        <f t="shared" si="26"/>
        <v>1.4032544999999996</v>
      </c>
      <c r="K126" s="1705">
        <f t="shared" si="26"/>
        <v>1.4032544999999996</v>
      </c>
      <c r="L126" s="1705">
        <f t="shared" si="26"/>
        <v>1.4032544999999996</v>
      </c>
    </row>
    <row r="127" spans="1:13" s="1634" customFormat="1">
      <c r="A127" s="1699" t="s">
        <v>2670</v>
      </c>
      <c r="B127" s="1704">
        <v>1.4032544999999996</v>
      </c>
      <c r="C127" s="1705">
        <f t="shared" si="26"/>
        <v>1.4032544999999996</v>
      </c>
      <c r="D127" s="1705">
        <f t="shared" si="26"/>
        <v>1.4032544999999996</v>
      </c>
      <c r="E127" s="1705">
        <f t="shared" si="26"/>
        <v>1.4032544999999996</v>
      </c>
      <c r="F127" s="1705">
        <f t="shared" si="26"/>
        <v>1.4032544999999996</v>
      </c>
      <c r="G127" s="1705">
        <f t="shared" si="26"/>
        <v>1.4032544999999996</v>
      </c>
      <c r="H127" s="1705">
        <f t="shared" si="26"/>
        <v>1.4032544999999996</v>
      </c>
      <c r="I127" s="1705">
        <f t="shared" si="26"/>
        <v>1.4032544999999996</v>
      </c>
      <c r="J127" s="1705">
        <f t="shared" si="26"/>
        <v>1.4032544999999996</v>
      </c>
      <c r="K127" s="1705">
        <f t="shared" si="26"/>
        <v>1.4032544999999996</v>
      </c>
      <c r="L127" s="1705">
        <f t="shared" si="26"/>
        <v>1.4032544999999996</v>
      </c>
      <c r="M127" s="1694"/>
    </row>
    <row r="128" spans="1:13" s="1634" customFormat="1">
      <c r="A128" s="1700" t="s">
        <v>2671</v>
      </c>
      <c r="B128" s="1704">
        <v>0</v>
      </c>
      <c r="C128" s="1705">
        <f t="shared" si="26"/>
        <v>0</v>
      </c>
      <c r="D128" s="1705">
        <f t="shared" si="26"/>
        <v>0</v>
      </c>
      <c r="E128" s="1705">
        <f t="shared" si="26"/>
        <v>0</v>
      </c>
      <c r="F128" s="1705">
        <f t="shared" si="26"/>
        <v>0</v>
      </c>
      <c r="G128" s="1705">
        <f t="shared" si="26"/>
        <v>0</v>
      </c>
      <c r="H128" s="1705">
        <f t="shared" si="26"/>
        <v>0</v>
      </c>
      <c r="I128" s="1705">
        <f t="shared" si="26"/>
        <v>0</v>
      </c>
      <c r="J128" s="1705">
        <f t="shared" si="26"/>
        <v>0</v>
      </c>
      <c r="K128" s="1705">
        <f t="shared" si="26"/>
        <v>0</v>
      </c>
      <c r="L128" s="1705">
        <f t="shared" si="26"/>
        <v>0</v>
      </c>
      <c r="M128" s="1694"/>
    </row>
    <row r="129" spans="1:13" s="1634" customFormat="1">
      <c r="A129" s="1700" t="s">
        <v>2672</v>
      </c>
      <c r="B129" s="1704">
        <v>1.5438900000000002</v>
      </c>
      <c r="C129" s="1705">
        <f t="shared" si="26"/>
        <v>1.5438900000000002</v>
      </c>
      <c r="D129" s="1705">
        <f t="shared" si="26"/>
        <v>1.5438900000000002</v>
      </c>
      <c r="E129" s="1705">
        <f t="shared" si="26"/>
        <v>1.5438900000000002</v>
      </c>
      <c r="F129" s="1705">
        <f t="shared" si="26"/>
        <v>1.5438900000000002</v>
      </c>
      <c r="G129" s="1705">
        <f t="shared" si="26"/>
        <v>1.5438900000000002</v>
      </c>
      <c r="H129" s="1705">
        <f t="shared" si="26"/>
        <v>1.5438900000000002</v>
      </c>
      <c r="I129" s="1705">
        <f t="shared" si="26"/>
        <v>1.5438900000000002</v>
      </c>
      <c r="J129" s="1705">
        <f t="shared" si="26"/>
        <v>1.5438900000000002</v>
      </c>
      <c r="K129" s="1705">
        <f t="shared" si="26"/>
        <v>1.5438900000000002</v>
      </c>
      <c r="L129" s="1705">
        <f t="shared" si="26"/>
        <v>1.5438900000000002</v>
      </c>
      <c r="M129" s="1694"/>
    </row>
    <row r="130" spans="1:13" s="1634" customFormat="1">
      <c r="A130" s="1697" t="s">
        <v>2701</v>
      </c>
      <c r="B130" s="1707"/>
      <c r="C130" s="1706"/>
      <c r="D130" s="1706"/>
      <c r="E130" s="1706"/>
      <c r="F130" s="1706"/>
      <c r="G130" s="1706"/>
      <c r="H130" s="1706"/>
      <c r="I130" s="1706"/>
      <c r="J130" s="1706"/>
      <c r="K130" s="1706"/>
      <c r="L130" s="1706"/>
    </row>
    <row r="131" spans="1:13" s="1634" customFormat="1">
      <c r="A131" s="1695" t="s">
        <v>2674</v>
      </c>
      <c r="B131" s="1704">
        <v>1.4623388999999998</v>
      </c>
      <c r="C131" s="1705">
        <f t="shared" ref="C131:L135" si="27">$B131</f>
        <v>1.4623388999999998</v>
      </c>
      <c r="D131" s="1705">
        <f t="shared" si="27"/>
        <v>1.4623388999999998</v>
      </c>
      <c r="E131" s="1705">
        <f t="shared" si="27"/>
        <v>1.4623388999999998</v>
      </c>
      <c r="F131" s="1705">
        <f t="shared" si="27"/>
        <v>1.4623388999999998</v>
      </c>
      <c r="G131" s="1705">
        <f t="shared" si="27"/>
        <v>1.4623388999999998</v>
      </c>
      <c r="H131" s="1705">
        <f t="shared" si="27"/>
        <v>1.4623388999999998</v>
      </c>
      <c r="I131" s="1705">
        <f t="shared" si="27"/>
        <v>1.4623388999999998</v>
      </c>
      <c r="J131" s="1705">
        <f t="shared" si="27"/>
        <v>1.4623388999999998</v>
      </c>
      <c r="K131" s="1705">
        <f t="shared" si="27"/>
        <v>1.4623388999999998</v>
      </c>
      <c r="L131" s="1705">
        <f t="shared" si="27"/>
        <v>1.4623388999999998</v>
      </c>
    </row>
    <row r="132" spans="1:13" s="1634" customFormat="1">
      <c r="A132" s="1695" t="s">
        <v>2675</v>
      </c>
      <c r="B132" s="1704">
        <v>1.6248209999999998</v>
      </c>
      <c r="C132" s="1705">
        <f t="shared" si="27"/>
        <v>1.6248209999999998</v>
      </c>
      <c r="D132" s="1705">
        <f t="shared" si="27"/>
        <v>1.6248209999999998</v>
      </c>
      <c r="E132" s="1705">
        <f t="shared" si="27"/>
        <v>1.6248209999999998</v>
      </c>
      <c r="F132" s="1705">
        <f t="shared" si="27"/>
        <v>1.6248209999999998</v>
      </c>
      <c r="G132" s="1705">
        <f t="shared" si="27"/>
        <v>1.6248209999999998</v>
      </c>
      <c r="H132" s="1705">
        <f t="shared" si="27"/>
        <v>1.6248209999999998</v>
      </c>
      <c r="I132" s="1705">
        <f t="shared" si="27"/>
        <v>1.6248209999999998</v>
      </c>
      <c r="J132" s="1705">
        <f t="shared" si="27"/>
        <v>1.6248209999999998</v>
      </c>
      <c r="K132" s="1705">
        <f t="shared" si="27"/>
        <v>1.6248209999999998</v>
      </c>
      <c r="L132" s="1705">
        <f t="shared" si="27"/>
        <v>1.6248209999999998</v>
      </c>
    </row>
    <row r="133" spans="1:13" s="1634" customFormat="1">
      <c r="A133" s="1696" t="s">
        <v>2676</v>
      </c>
      <c r="B133" s="1704">
        <v>1.4623388999999998</v>
      </c>
      <c r="C133" s="1705">
        <f t="shared" si="27"/>
        <v>1.4623388999999998</v>
      </c>
      <c r="D133" s="1705">
        <f t="shared" si="27"/>
        <v>1.4623388999999998</v>
      </c>
      <c r="E133" s="1705">
        <f t="shared" si="27"/>
        <v>1.4623388999999998</v>
      </c>
      <c r="F133" s="1705">
        <f t="shared" si="27"/>
        <v>1.4623388999999998</v>
      </c>
      <c r="G133" s="1705">
        <f t="shared" si="27"/>
        <v>1.4623388999999998</v>
      </c>
      <c r="H133" s="1705">
        <f t="shared" si="27"/>
        <v>1.4623388999999998</v>
      </c>
      <c r="I133" s="1705">
        <f t="shared" si="27"/>
        <v>1.4623388999999998</v>
      </c>
      <c r="J133" s="1705">
        <f t="shared" si="27"/>
        <v>1.4623388999999998</v>
      </c>
      <c r="K133" s="1705">
        <f t="shared" si="27"/>
        <v>1.4623388999999998</v>
      </c>
      <c r="L133" s="1705">
        <f t="shared" si="27"/>
        <v>1.4623388999999998</v>
      </c>
    </row>
    <row r="134" spans="1:13" s="1634" customFormat="1">
      <c r="A134" s="1696" t="s">
        <v>2677</v>
      </c>
      <c r="B134" s="1704">
        <v>1.3161050099999998</v>
      </c>
      <c r="C134" s="1705">
        <f t="shared" si="27"/>
        <v>1.3161050099999998</v>
      </c>
      <c r="D134" s="1705">
        <f t="shared" si="27"/>
        <v>1.3161050099999998</v>
      </c>
      <c r="E134" s="1705">
        <f t="shared" si="27"/>
        <v>1.3161050099999998</v>
      </c>
      <c r="F134" s="1705">
        <f t="shared" si="27"/>
        <v>1.3161050099999998</v>
      </c>
      <c r="G134" s="1705">
        <f t="shared" si="27"/>
        <v>1.3161050099999998</v>
      </c>
      <c r="H134" s="1705">
        <f t="shared" si="27"/>
        <v>1.3161050099999998</v>
      </c>
      <c r="I134" s="1705">
        <f t="shared" si="27"/>
        <v>1.3161050099999998</v>
      </c>
      <c r="J134" s="1705">
        <f t="shared" si="27"/>
        <v>1.3161050099999998</v>
      </c>
      <c r="K134" s="1705">
        <f t="shared" si="27"/>
        <v>1.3161050099999998</v>
      </c>
      <c r="L134" s="1705">
        <f t="shared" si="27"/>
        <v>1.3161050099999998</v>
      </c>
    </row>
    <row r="135" spans="1:13" s="1634" customFormat="1">
      <c r="A135" s="1700" t="s">
        <v>2678</v>
      </c>
      <c r="B135" s="1704">
        <v>0</v>
      </c>
      <c r="C135" s="1705">
        <f t="shared" si="27"/>
        <v>0</v>
      </c>
      <c r="D135" s="1705">
        <f t="shared" si="27"/>
        <v>0</v>
      </c>
      <c r="E135" s="1705">
        <f t="shared" si="27"/>
        <v>0</v>
      </c>
      <c r="F135" s="1705">
        <f t="shared" si="27"/>
        <v>0</v>
      </c>
      <c r="G135" s="1705">
        <f t="shared" si="27"/>
        <v>0</v>
      </c>
      <c r="H135" s="1705">
        <f t="shared" si="27"/>
        <v>0</v>
      </c>
      <c r="I135" s="1705">
        <f t="shared" si="27"/>
        <v>0</v>
      </c>
      <c r="J135" s="1705">
        <f t="shared" si="27"/>
        <v>0</v>
      </c>
      <c r="K135" s="1705">
        <f t="shared" si="27"/>
        <v>0</v>
      </c>
      <c r="L135" s="1705">
        <f t="shared" si="27"/>
        <v>0</v>
      </c>
    </row>
    <row r="136" spans="1:13" s="1634" customFormat="1">
      <c r="A136" s="1697" t="s">
        <v>2702</v>
      </c>
      <c r="B136" s="1707"/>
      <c r="C136" s="1706"/>
      <c r="D136" s="1706"/>
      <c r="E136" s="1706"/>
      <c r="F136" s="1706"/>
      <c r="G136" s="1706"/>
      <c r="H136" s="1706"/>
      <c r="I136" s="1706"/>
      <c r="J136" s="1706"/>
      <c r="K136" s="1706"/>
      <c r="L136" s="1706"/>
    </row>
    <row r="137" spans="1:13" s="1634" customFormat="1">
      <c r="A137" s="1700" t="s">
        <v>2680</v>
      </c>
      <c r="B137" s="1704">
        <v>1.4771099999999999</v>
      </c>
      <c r="C137" s="1705">
        <f t="shared" ref="C137:L137" si="28">$B137</f>
        <v>1.4771099999999999</v>
      </c>
      <c r="D137" s="1705">
        <f t="shared" si="28"/>
        <v>1.4771099999999999</v>
      </c>
      <c r="E137" s="1705">
        <f t="shared" si="28"/>
        <v>1.4771099999999999</v>
      </c>
      <c r="F137" s="1705">
        <f t="shared" si="28"/>
        <v>1.4771099999999999</v>
      </c>
      <c r="G137" s="1705">
        <f t="shared" si="28"/>
        <v>1.4771099999999999</v>
      </c>
      <c r="H137" s="1705">
        <f t="shared" si="28"/>
        <v>1.4771099999999999</v>
      </c>
      <c r="I137" s="1705">
        <f t="shared" si="28"/>
        <v>1.4771099999999999</v>
      </c>
      <c r="J137" s="1705">
        <f t="shared" si="28"/>
        <v>1.4771099999999999</v>
      </c>
      <c r="K137" s="1705">
        <f t="shared" si="28"/>
        <v>1.4771099999999999</v>
      </c>
      <c r="L137" s="1705">
        <f t="shared" si="28"/>
        <v>1.4771099999999999</v>
      </c>
    </row>
    <row r="138" spans="1:13" s="1634" customFormat="1">
      <c r="A138" s="1697" t="s">
        <v>2681</v>
      </c>
      <c r="B138" s="1708"/>
      <c r="C138" s="1706"/>
      <c r="D138" s="1706"/>
      <c r="E138" s="1706"/>
      <c r="F138" s="1706"/>
      <c r="G138" s="1706"/>
      <c r="H138" s="1706"/>
      <c r="I138" s="1706"/>
      <c r="J138" s="1706"/>
      <c r="K138" s="1706"/>
      <c r="L138" s="1706"/>
    </row>
    <row r="139" spans="1:13" s="1634" customFormat="1">
      <c r="A139" s="1699" t="s">
        <v>2682</v>
      </c>
      <c r="B139" s="1704">
        <v>0.1908</v>
      </c>
      <c r="C139" s="1705">
        <f t="shared" ref="C139:L153" si="29">$B139</f>
        <v>0.1908</v>
      </c>
      <c r="D139" s="1705">
        <f t="shared" si="29"/>
        <v>0.1908</v>
      </c>
      <c r="E139" s="1705">
        <f t="shared" si="29"/>
        <v>0.1908</v>
      </c>
      <c r="F139" s="1705">
        <f t="shared" si="29"/>
        <v>0.1908</v>
      </c>
      <c r="G139" s="1705">
        <f t="shared" si="29"/>
        <v>0.1908</v>
      </c>
      <c r="H139" s="1705">
        <f t="shared" si="29"/>
        <v>0.1908</v>
      </c>
      <c r="I139" s="1705">
        <f t="shared" si="29"/>
        <v>0.1908</v>
      </c>
      <c r="J139" s="1705">
        <f t="shared" si="29"/>
        <v>0.1908</v>
      </c>
      <c r="K139" s="1705">
        <f t="shared" si="29"/>
        <v>0.1908</v>
      </c>
      <c r="L139" s="1705">
        <f t="shared" si="29"/>
        <v>0.1908</v>
      </c>
    </row>
    <row r="140" spans="1:13" s="1634" customFormat="1">
      <c r="A140" s="1699" t="s">
        <v>2683</v>
      </c>
      <c r="B140" s="1704">
        <v>0.58830000000000005</v>
      </c>
      <c r="C140" s="1705">
        <f t="shared" si="29"/>
        <v>0.58830000000000005</v>
      </c>
      <c r="D140" s="1705">
        <f t="shared" si="29"/>
        <v>0.58830000000000005</v>
      </c>
      <c r="E140" s="1705">
        <f t="shared" si="29"/>
        <v>0.58830000000000005</v>
      </c>
      <c r="F140" s="1705">
        <f t="shared" si="29"/>
        <v>0.58830000000000005</v>
      </c>
      <c r="G140" s="1705">
        <f t="shared" si="29"/>
        <v>0.58830000000000005</v>
      </c>
      <c r="H140" s="1705">
        <f t="shared" si="29"/>
        <v>0.58830000000000005</v>
      </c>
      <c r="I140" s="1705">
        <f t="shared" si="29"/>
        <v>0.58830000000000005</v>
      </c>
      <c r="J140" s="1705">
        <f t="shared" si="29"/>
        <v>0.58830000000000005</v>
      </c>
      <c r="K140" s="1705">
        <f t="shared" si="29"/>
        <v>0.58830000000000005</v>
      </c>
      <c r="L140" s="1705">
        <f t="shared" si="29"/>
        <v>0.58830000000000005</v>
      </c>
    </row>
    <row r="141" spans="1:13" s="1634" customFormat="1">
      <c r="A141" s="1699" t="s">
        <v>2684</v>
      </c>
      <c r="B141" s="1704">
        <v>1.762356</v>
      </c>
      <c r="C141" s="1705">
        <f t="shared" si="29"/>
        <v>1.762356</v>
      </c>
      <c r="D141" s="1705">
        <f t="shared" si="29"/>
        <v>1.762356</v>
      </c>
      <c r="E141" s="1705">
        <f t="shared" si="29"/>
        <v>1.762356</v>
      </c>
      <c r="F141" s="1705">
        <f t="shared" si="29"/>
        <v>1.762356</v>
      </c>
      <c r="G141" s="1705">
        <f t="shared" si="29"/>
        <v>1.762356</v>
      </c>
      <c r="H141" s="1705">
        <f t="shared" si="29"/>
        <v>1.762356</v>
      </c>
      <c r="I141" s="1705">
        <f t="shared" si="29"/>
        <v>1.762356</v>
      </c>
      <c r="J141" s="1705">
        <f t="shared" si="29"/>
        <v>1.762356</v>
      </c>
      <c r="K141" s="1705">
        <f t="shared" si="29"/>
        <v>1.762356</v>
      </c>
      <c r="L141" s="1705">
        <f t="shared" si="29"/>
        <v>1.762356</v>
      </c>
    </row>
    <row r="142" spans="1:13" s="1634" customFormat="1">
      <c r="A142" s="1699" t="s">
        <v>2685</v>
      </c>
      <c r="B142" s="1704">
        <v>0.48336000000000001</v>
      </c>
      <c r="C142" s="1705">
        <f t="shared" si="29"/>
        <v>0.48336000000000001</v>
      </c>
      <c r="D142" s="1705">
        <f t="shared" si="29"/>
        <v>0.48336000000000001</v>
      </c>
      <c r="E142" s="1705">
        <f t="shared" si="29"/>
        <v>0.48336000000000001</v>
      </c>
      <c r="F142" s="1705">
        <f t="shared" si="29"/>
        <v>0.48336000000000001</v>
      </c>
      <c r="G142" s="1705">
        <f t="shared" si="29"/>
        <v>0.48336000000000001</v>
      </c>
      <c r="H142" s="1705">
        <f t="shared" si="29"/>
        <v>0.48336000000000001</v>
      </c>
      <c r="I142" s="1705">
        <f t="shared" si="29"/>
        <v>0.48336000000000001</v>
      </c>
      <c r="J142" s="1705">
        <f t="shared" si="29"/>
        <v>0.48336000000000001</v>
      </c>
      <c r="K142" s="1705">
        <f t="shared" si="29"/>
        <v>0.48336000000000001</v>
      </c>
      <c r="L142" s="1705">
        <f t="shared" si="29"/>
        <v>0.48336000000000001</v>
      </c>
    </row>
    <row r="143" spans="1:13" s="1634" customFormat="1">
      <c r="A143" s="1700" t="s">
        <v>2686</v>
      </c>
      <c r="B143" s="1704">
        <v>0.36252000000000006</v>
      </c>
      <c r="C143" s="1705">
        <f t="shared" si="29"/>
        <v>0.36252000000000006</v>
      </c>
      <c r="D143" s="1705">
        <f t="shared" si="29"/>
        <v>0.36252000000000006</v>
      </c>
      <c r="E143" s="1705">
        <f t="shared" si="29"/>
        <v>0.36252000000000006</v>
      </c>
      <c r="F143" s="1705">
        <f t="shared" si="29"/>
        <v>0.36252000000000006</v>
      </c>
      <c r="G143" s="1705">
        <f t="shared" si="29"/>
        <v>0.36252000000000006</v>
      </c>
      <c r="H143" s="1705">
        <f t="shared" si="29"/>
        <v>0.36252000000000006</v>
      </c>
      <c r="I143" s="1705">
        <f t="shared" si="29"/>
        <v>0.36252000000000006</v>
      </c>
      <c r="J143" s="1705">
        <f t="shared" si="29"/>
        <v>0.36252000000000006</v>
      </c>
      <c r="K143" s="1705">
        <f t="shared" si="29"/>
        <v>0.36252000000000006</v>
      </c>
      <c r="L143" s="1705">
        <f t="shared" si="29"/>
        <v>0.36252000000000006</v>
      </c>
    </row>
    <row r="144" spans="1:13" s="1634" customFormat="1">
      <c r="A144" s="1699" t="s">
        <v>2687</v>
      </c>
      <c r="B144" s="1704">
        <v>1.43736</v>
      </c>
      <c r="C144" s="1705">
        <f t="shared" si="29"/>
        <v>1.43736</v>
      </c>
      <c r="D144" s="1705">
        <f t="shared" si="29"/>
        <v>1.43736</v>
      </c>
      <c r="E144" s="1705">
        <f t="shared" si="29"/>
        <v>1.43736</v>
      </c>
      <c r="F144" s="1705">
        <f t="shared" si="29"/>
        <v>1.43736</v>
      </c>
      <c r="G144" s="1705">
        <f t="shared" si="29"/>
        <v>1.43736</v>
      </c>
      <c r="H144" s="1705">
        <f t="shared" si="29"/>
        <v>1.43736</v>
      </c>
      <c r="I144" s="1705">
        <f t="shared" si="29"/>
        <v>1.43736</v>
      </c>
      <c r="J144" s="1705">
        <f t="shared" si="29"/>
        <v>1.43736</v>
      </c>
      <c r="K144" s="1705">
        <f t="shared" si="29"/>
        <v>1.43736</v>
      </c>
      <c r="L144" s="1705">
        <f t="shared" si="29"/>
        <v>1.43736</v>
      </c>
    </row>
    <row r="145" spans="1:13" s="1634" customFormat="1">
      <c r="A145" s="1700" t="s">
        <v>2688</v>
      </c>
      <c r="B145" s="1704">
        <v>1.07802</v>
      </c>
      <c r="C145" s="1705">
        <f t="shared" si="29"/>
        <v>1.07802</v>
      </c>
      <c r="D145" s="1705">
        <f t="shared" si="29"/>
        <v>1.07802</v>
      </c>
      <c r="E145" s="1705">
        <f t="shared" si="29"/>
        <v>1.07802</v>
      </c>
      <c r="F145" s="1705">
        <f t="shared" si="29"/>
        <v>1.07802</v>
      </c>
      <c r="G145" s="1705">
        <f t="shared" si="29"/>
        <v>1.07802</v>
      </c>
      <c r="H145" s="1705">
        <f t="shared" si="29"/>
        <v>1.07802</v>
      </c>
      <c r="I145" s="1705">
        <f t="shared" si="29"/>
        <v>1.07802</v>
      </c>
      <c r="J145" s="1705">
        <f t="shared" si="29"/>
        <v>1.07802</v>
      </c>
      <c r="K145" s="1705">
        <f t="shared" si="29"/>
        <v>1.07802</v>
      </c>
      <c r="L145" s="1705">
        <f t="shared" si="29"/>
        <v>1.07802</v>
      </c>
    </row>
    <row r="146" spans="1:13" s="1634" customFormat="1">
      <c r="A146" s="1699" t="s">
        <v>2689</v>
      </c>
      <c r="B146" s="1704">
        <v>1.272</v>
      </c>
      <c r="C146" s="1705">
        <f t="shared" si="29"/>
        <v>1.272</v>
      </c>
      <c r="D146" s="1705">
        <f t="shared" si="29"/>
        <v>1.272</v>
      </c>
      <c r="E146" s="1705">
        <f t="shared" si="29"/>
        <v>1.272</v>
      </c>
      <c r="F146" s="1705">
        <f t="shared" si="29"/>
        <v>1.272</v>
      </c>
      <c r="G146" s="1705">
        <f t="shared" si="29"/>
        <v>1.272</v>
      </c>
      <c r="H146" s="1705">
        <f t="shared" si="29"/>
        <v>1.272</v>
      </c>
      <c r="I146" s="1705">
        <f t="shared" si="29"/>
        <v>1.272</v>
      </c>
      <c r="J146" s="1705">
        <f t="shared" si="29"/>
        <v>1.272</v>
      </c>
      <c r="K146" s="1705">
        <f t="shared" si="29"/>
        <v>1.272</v>
      </c>
      <c r="L146" s="1705">
        <f t="shared" si="29"/>
        <v>1.272</v>
      </c>
    </row>
    <row r="147" spans="1:13" s="1634" customFormat="1">
      <c r="A147" s="1700" t="s">
        <v>2690</v>
      </c>
      <c r="B147" s="1704">
        <v>0.95399999999999996</v>
      </c>
      <c r="C147" s="1705">
        <f t="shared" si="29"/>
        <v>0.95399999999999996</v>
      </c>
      <c r="D147" s="1705">
        <f t="shared" si="29"/>
        <v>0.95399999999999996</v>
      </c>
      <c r="E147" s="1705">
        <f t="shared" si="29"/>
        <v>0.95399999999999996</v>
      </c>
      <c r="F147" s="1705">
        <f t="shared" si="29"/>
        <v>0.95399999999999996</v>
      </c>
      <c r="G147" s="1705">
        <f t="shared" si="29"/>
        <v>0.95399999999999996</v>
      </c>
      <c r="H147" s="1705">
        <f t="shared" si="29"/>
        <v>0.95399999999999996</v>
      </c>
      <c r="I147" s="1705">
        <f t="shared" si="29"/>
        <v>0.95399999999999996</v>
      </c>
      <c r="J147" s="1705">
        <f t="shared" si="29"/>
        <v>0.95399999999999996</v>
      </c>
      <c r="K147" s="1705">
        <f t="shared" si="29"/>
        <v>0.95399999999999996</v>
      </c>
      <c r="L147" s="1705">
        <f t="shared" si="29"/>
        <v>0.95399999999999996</v>
      </c>
    </row>
    <row r="148" spans="1:13" s="1634" customFormat="1">
      <c r="A148" s="1699" t="s">
        <v>2691</v>
      </c>
      <c r="B148" s="1704">
        <v>0.61055999999999999</v>
      </c>
      <c r="C148" s="1705">
        <f t="shared" si="29"/>
        <v>0.61055999999999999</v>
      </c>
      <c r="D148" s="1705">
        <f t="shared" si="29"/>
        <v>0.61055999999999999</v>
      </c>
      <c r="E148" s="1705">
        <f t="shared" si="29"/>
        <v>0.61055999999999999</v>
      </c>
      <c r="F148" s="1705">
        <f t="shared" si="29"/>
        <v>0.61055999999999999</v>
      </c>
      <c r="G148" s="1705">
        <f t="shared" si="29"/>
        <v>0.61055999999999999</v>
      </c>
      <c r="H148" s="1705">
        <f t="shared" si="29"/>
        <v>0.61055999999999999</v>
      </c>
      <c r="I148" s="1705">
        <f t="shared" si="29"/>
        <v>0.61055999999999999</v>
      </c>
      <c r="J148" s="1705">
        <f t="shared" si="29"/>
        <v>0.61055999999999999</v>
      </c>
      <c r="K148" s="1705">
        <f t="shared" si="29"/>
        <v>0.61055999999999999</v>
      </c>
      <c r="L148" s="1705">
        <f t="shared" si="29"/>
        <v>0.61055999999999999</v>
      </c>
    </row>
    <row r="149" spans="1:13" s="1634" customFormat="1">
      <c r="A149" s="1700" t="s">
        <v>2692</v>
      </c>
      <c r="B149" s="1704">
        <v>0.45791999999999999</v>
      </c>
      <c r="C149" s="1705">
        <f t="shared" si="29"/>
        <v>0.45791999999999999</v>
      </c>
      <c r="D149" s="1705">
        <f t="shared" si="29"/>
        <v>0.45791999999999999</v>
      </c>
      <c r="E149" s="1705">
        <f t="shared" si="29"/>
        <v>0.45791999999999999</v>
      </c>
      <c r="F149" s="1705">
        <f t="shared" si="29"/>
        <v>0.45791999999999999</v>
      </c>
      <c r="G149" s="1705">
        <f t="shared" si="29"/>
        <v>0.45791999999999999</v>
      </c>
      <c r="H149" s="1705">
        <f t="shared" si="29"/>
        <v>0.45791999999999999</v>
      </c>
      <c r="I149" s="1705">
        <f t="shared" si="29"/>
        <v>0.45791999999999999</v>
      </c>
      <c r="J149" s="1705">
        <f t="shared" si="29"/>
        <v>0.45791999999999999</v>
      </c>
      <c r="K149" s="1705">
        <f t="shared" si="29"/>
        <v>0.45791999999999999</v>
      </c>
      <c r="L149" s="1705">
        <f t="shared" si="29"/>
        <v>0.45791999999999999</v>
      </c>
    </row>
    <row r="150" spans="1:13" s="1634" customFormat="1">
      <c r="A150" s="1699" t="s">
        <v>2693</v>
      </c>
      <c r="B150" s="1704">
        <v>0.63600000000000001</v>
      </c>
      <c r="C150" s="1705">
        <f t="shared" si="29"/>
        <v>0.63600000000000001</v>
      </c>
      <c r="D150" s="1705">
        <f t="shared" si="29"/>
        <v>0.63600000000000001</v>
      </c>
      <c r="E150" s="1705">
        <f t="shared" si="29"/>
        <v>0.63600000000000001</v>
      </c>
      <c r="F150" s="1705">
        <f t="shared" si="29"/>
        <v>0.63600000000000001</v>
      </c>
      <c r="G150" s="1705">
        <f t="shared" si="29"/>
        <v>0.63600000000000001</v>
      </c>
      <c r="H150" s="1705">
        <f t="shared" si="29"/>
        <v>0.63600000000000001</v>
      </c>
      <c r="I150" s="1705">
        <f t="shared" si="29"/>
        <v>0.63600000000000001</v>
      </c>
      <c r="J150" s="1705">
        <f t="shared" si="29"/>
        <v>0.63600000000000001</v>
      </c>
      <c r="K150" s="1705">
        <f t="shared" si="29"/>
        <v>0.63600000000000001</v>
      </c>
      <c r="L150" s="1705">
        <f t="shared" si="29"/>
        <v>0.63600000000000001</v>
      </c>
    </row>
    <row r="151" spans="1:13" s="1634" customFormat="1">
      <c r="A151" s="1701" t="s">
        <v>2694</v>
      </c>
      <c r="B151" s="1704">
        <v>1.7248319999999999</v>
      </c>
      <c r="C151" s="1705">
        <f t="shared" si="29"/>
        <v>1.7248319999999999</v>
      </c>
      <c r="D151" s="1705">
        <f t="shared" si="29"/>
        <v>1.7248319999999999</v>
      </c>
      <c r="E151" s="1705">
        <f t="shared" si="29"/>
        <v>1.7248319999999999</v>
      </c>
      <c r="F151" s="1705">
        <f t="shared" si="29"/>
        <v>1.7248319999999999</v>
      </c>
      <c r="G151" s="1705">
        <f t="shared" si="29"/>
        <v>1.7248319999999999</v>
      </c>
      <c r="H151" s="1705">
        <f t="shared" si="29"/>
        <v>1.7248319999999999</v>
      </c>
      <c r="I151" s="1705">
        <f t="shared" si="29"/>
        <v>1.7248319999999999</v>
      </c>
      <c r="J151" s="1705">
        <f t="shared" si="29"/>
        <v>1.7248319999999999</v>
      </c>
      <c r="K151" s="1705">
        <f t="shared" si="29"/>
        <v>1.7248319999999999</v>
      </c>
      <c r="L151" s="1705">
        <f t="shared" si="29"/>
        <v>1.7248319999999999</v>
      </c>
    </row>
    <row r="152" spans="1:13" s="1710" customFormat="1">
      <c r="A152" s="1709" t="s">
        <v>2695</v>
      </c>
      <c r="B152" s="1704">
        <v>2.0697983999999998</v>
      </c>
      <c r="C152" s="1705">
        <f t="shared" si="29"/>
        <v>2.0697983999999998</v>
      </c>
      <c r="D152" s="1705">
        <f t="shared" si="29"/>
        <v>2.0697983999999998</v>
      </c>
      <c r="E152" s="1705">
        <f t="shared" si="29"/>
        <v>2.0697983999999998</v>
      </c>
      <c r="F152" s="1705">
        <f t="shared" si="29"/>
        <v>2.0697983999999998</v>
      </c>
      <c r="G152" s="1705">
        <f t="shared" si="29"/>
        <v>2.0697983999999998</v>
      </c>
      <c r="H152" s="1705">
        <f t="shared" si="29"/>
        <v>2.0697983999999998</v>
      </c>
      <c r="I152" s="1705">
        <f t="shared" si="29"/>
        <v>2.0697983999999998</v>
      </c>
      <c r="J152" s="1705">
        <f t="shared" si="29"/>
        <v>2.0697983999999998</v>
      </c>
      <c r="K152" s="1705">
        <f t="shared" si="29"/>
        <v>2.0697983999999998</v>
      </c>
      <c r="L152" s="1705">
        <f t="shared" si="29"/>
        <v>2.0697983999999998</v>
      </c>
    </row>
    <row r="153" spans="1:13" s="1634" customFormat="1">
      <c r="A153" s="1703" t="s">
        <v>2696</v>
      </c>
      <c r="B153" s="1704">
        <v>1.7248319999999999</v>
      </c>
      <c r="C153" s="1705">
        <f t="shared" si="29"/>
        <v>1.7248319999999999</v>
      </c>
      <c r="D153" s="1705">
        <f t="shared" si="29"/>
        <v>1.7248319999999999</v>
      </c>
      <c r="E153" s="1705">
        <f t="shared" si="29"/>
        <v>1.7248319999999999</v>
      </c>
      <c r="F153" s="1705">
        <f t="shared" si="29"/>
        <v>1.7248319999999999</v>
      </c>
      <c r="G153" s="1705">
        <f t="shared" si="29"/>
        <v>1.7248319999999999</v>
      </c>
      <c r="H153" s="1705">
        <f t="shared" si="29"/>
        <v>1.7248319999999999</v>
      </c>
      <c r="I153" s="1705">
        <f t="shared" si="29"/>
        <v>1.7248319999999999</v>
      </c>
      <c r="J153" s="1705">
        <f t="shared" si="29"/>
        <v>1.7248319999999999</v>
      </c>
      <c r="K153" s="1705">
        <f t="shared" si="29"/>
        <v>1.7248319999999999</v>
      </c>
      <c r="L153" s="1705">
        <f t="shared" si="29"/>
        <v>1.7248319999999999</v>
      </c>
    </row>
    <row r="154" spans="1:13" s="1694" customFormat="1" ht="15.75">
      <c r="A154" s="1711" t="s">
        <v>2705</v>
      </c>
      <c r="B154" s="1706"/>
      <c r="C154" s="1706"/>
      <c r="D154" s="1706"/>
      <c r="E154" s="1706"/>
      <c r="F154" s="1706"/>
      <c r="G154" s="1706"/>
      <c r="H154" s="1706"/>
      <c r="I154" s="1706"/>
      <c r="J154" s="1706"/>
      <c r="K154" s="1706"/>
      <c r="L154" s="1706"/>
    </row>
    <row r="155" spans="1:13" s="1634" customFormat="1">
      <c r="A155" s="1648" t="s">
        <v>2650</v>
      </c>
      <c r="B155" s="1712">
        <v>365</v>
      </c>
      <c r="C155" s="1712">
        <v>365</v>
      </c>
      <c r="D155" s="1712">
        <v>365</v>
      </c>
      <c r="E155" s="1712">
        <v>365</v>
      </c>
      <c r="F155" s="1712">
        <v>365</v>
      </c>
      <c r="G155" s="1712">
        <v>365</v>
      </c>
      <c r="H155" s="1712">
        <v>365</v>
      </c>
      <c r="I155" s="1712">
        <v>365</v>
      </c>
      <c r="J155" s="1712">
        <v>365</v>
      </c>
      <c r="K155" s="1712">
        <v>365</v>
      </c>
      <c r="L155" s="1712">
        <v>365</v>
      </c>
    </row>
    <row r="156" spans="1:13" s="1634" customFormat="1">
      <c r="A156" s="1651" t="s">
        <v>2651</v>
      </c>
      <c r="B156" s="1712">
        <v>365</v>
      </c>
      <c r="C156" s="1712">
        <v>365</v>
      </c>
      <c r="D156" s="1712">
        <v>365</v>
      </c>
      <c r="E156" s="1712">
        <v>365</v>
      </c>
      <c r="F156" s="1712">
        <v>365</v>
      </c>
      <c r="G156" s="1712">
        <v>365</v>
      </c>
      <c r="H156" s="1712">
        <v>365</v>
      </c>
      <c r="I156" s="1712">
        <v>365</v>
      </c>
      <c r="J156" s="1712">
        <v>365</v>
      </c>
      <c r="K156" s="1712">
        <v>365</v>
      </c>
      <c r="L156" s="1712">
        <v>365</v>
      </c>
    </row>
    <row r="157" spans="1:13" s="1634" customFormat="1">
      <c r="A157" s="1651" t="s">
        <v>2652</v>
      </c>
      <c r="B157" s="1712">
        <v>365</v>
      </c>
      <c r="C157" s="1712">
        <v>365</v>
      </c>
      <c r="D157" s="1712">
        <v>365</v>
      </c>
      <c r="E157" s="1712">
        <v>365</v>
      </c>
      <c r="F157" s="1712">
        <v>365</v>
      </c>
      <c r="G157" s="1712">
        <v>365</v>
      </c>
      <c r="H157" s="1712">
        <v>365</v>
      </c>
      <c r="I157" s="1712">
        <v>365</v>
      </c>
      <c r="J157" s="1712">
        <v>365</v>
      </c>
      <c r="K157" s="1712">
        <v>365</v>
      </c>
      <c r="L157" s="1712">
        <v>365</v>
      </c>
      <c r="M157" s="1694"/>
    </row>
    <row r="158" spans="1:13" s="1634" customFormat="1">
      <c r="A158" s="1651" t="s">
        <v>2698</v>
      </c>
      <c r="B158" s="1693"/>
      <c r="C158" s="1693"/>
      <c r="D158" s="1693"/>
      <c r="E158" s="1693"/>
      <c r="F158" s="1693"/>
      <c r="G158" s="1693"/>
      <c r="H158" s="1693"/>
      <c r="I158" s="1693"/>
      <c r="J158" s="1693"/>
      <c r="K158" s="1693"/>
      <c r="L158" s="1693"/>
      <c r="M158" s="1694"/>
    </row>
    <row r="159" spans="1:13" s="1634" customFormat="1">
      <c r="A159" s="1695" t="s">
        <v>2654</v>
      </c>
      <c r="B159" s="1712">
        <v>365</v>
      </c>
      <c r="C159" s="1712">
        <v>365</v>
      </c>
      <c r="D159" s="1712">
        <v>365</v>
      </c>
      <c r="E159" s="1712">
        <v>365</v>
      </c>
      <c r="F159" s="1712">
        <v>365</v>
      </c>
      <c r="G159" s="1712">
        <v>365</v>
      </c>
      <c r="H159" s="1712">
        <v>365</v>
      </c>
      <c r="I159" s="1712">
        <v>365</v>
      </c>
      <c r="J159" s="1712">
        <v>365</v>
      </c>
      <c r="K159" s="1712">
        <v>365</v>
      </c>
      <c r="L159" s="1712">
        <v>365</v>
      </c>
    </row>
    <row r="160" spans="1:13" s="1634" customFormat="1">
      <c r="A160" s="1696" t="s">
        <v>2655</v>
      </c>
      <c r="B160" s="1712">
        <v>365</v>
      </c>
      <c r="C160" s="1712">
        <v>365</v>
      </c>
      <c r="D160" s="1712">
        <v>365</v>
      </c>
      <c r="E160" s="1712">
        <v>365</v>
      </c>
      <c r="F160" s="1712">
        <v>365</v>
      </c>
      <c r="G160" s="1712">
        <v>365</v>
      </c>
      <c r="H160" s="1712">
        <v>365</v>
      </c>
      <c r="I160" s="1712">
        <v>365</v>
      </c>
      <c r="J160" s="1712">
        <v>365</v>
      </c>
      <c r="K160" s="1712">
        <v>365</v>
      </c>
      <c r="L160" s="1712">
        <v>365</v>
      </c>
    </row>
    <row r="161" spans="1:13" s="1634" customFormat="1">
      <c r="A161" s="1697" t="s">
        <v>2699</v>
      </c>
      <c r="B161" s="1698"/>
      <c r="C161" s="1698"/>
      <c r="D161" s="1698"/>
      <c r="E161" s="1698"/>
      <c r="F161" s="1698"/>
      <c r="G161" s="1698"/>
      <c r="H161" s="1698"/>
      <c r="I161" s="1698"/>
      <c r="J161" s="1698"/>
      <c r="K161" s="1698"/>
      <c r="L161" s="1698"/>
    </row>
    <row r="162" spans="1:13" s="1634" customFormat="1">
      <c r="A162" s="1699" t="s">
        <v>2657</v>
      </c>
      <c r="B162" s="1712">
        <v>365</v>
      </c>
      <c r="C162" s="1712">
        <v>365</v>
      </c>
      <c r="D162" s="1712">
        <v>365</v>
      </c>
      <c r="E162" s="1712">
        <v>365</v>
      </c>
      <c r="F162" s="1712">
        <v>365</v>
      </c>
      <c r="G162" s="1712">
        <v>365</v>
      </c>
      <c r="H162" s="1712">
        <v>365</v>
      </c>
      <c r="I162" s="1712">
        <v>365</v>
      </c>
      <c r="J162" s="1712">
        <v>365</v>
      </c>
      <c r="K162" s="1712">
        <v>365</v>
      </c>
      <c r="L162" s="1712">
        <v>365</v>
      </c>
    </row>
    <row r="163" spans="1:13" s="1634" customFormat="1">
      <c r="A163" s="1700" t="s">
        <v>2658</v>
      </c>
      <c r="B163" s="1712">
        <v>365</v>
      </c>
      <c r="C163" s="1712">
        <v>365</v>
      </c>
      <c r="D163" s="1712">
        <v>365</v>
      </c>
      <c r="E163" s="1712">
        <v>365</v>
      </c>
      <c r="F163" s="1712">
        <v>365</v>
      </c>
      <c r="G163" s="1712">
        <v>365</v>
      </c>
      <c r="H163" s="1712">
        <v>365</v>
      </c>
      <c r="I163" s="1712">
        <v>365</v>
      </c>
      <c r="J163" s="1712">
        <v>365</v>
      </c>
      <c r="K163" s="1712">
        <v>365</v>
      </c>
      <c r="L163" s="1712">
        <v>365</v>
      </c>
    </row>
    <row r="164" spans="1:13" s="1634" customFormat="1">
      <c r="A164" s="1699" t="s">
        <v>2659</v>
      </c>
      <c r="B164" s="1712">
        <v>365</v>
      </c>
      <c r="C164" s="1712">
        <v>365</v>
      </c>
      <c r="D164" s="1712">
        <v>365</v>
      </c>
      <c r="E164" s="1712">
        <v>365</v>
      </c>
      <c r="F164" s="1712">
        <v>365</v>
      </c>
      <c r="G164" s="1712">
        <v>365</v>
      </c>
      <c r="H164" s="1712">
        <v>365</v>
      </c>
      <c r="I164" s="1712">
        <v>365</v>
      </c>
      <c r="J164" s="1712">
        <v>365</v>
      </c>
      <c r="K164" s="1712">
        <v>365</v>
      </c>
      <c r="L164" s="1712">
        <v>365</v>
      </c>
    </row>
    <row r="165" spans="1:13" s="1634" customFormat="1">
      <c r="A165" s="1699" t="s">
        <v>2660</v>
      </c>
      <c r="B165" s="1712">
        <v>52</v>
      </c>
      <c r="C165" s="1712">
        <v>52</v>
      </c>
      <c r="D165" s="1712">
        <v>52</v>
      </c>
      <c r="E165" s="1712">
        <v>52</v>
      </c>
      <c r="F165" s="1712">
        <v>52</v>
      </c>
      <c r="G165" s="1712">
        <v>52</v>
      </c>
      <c r="H165" s="1712">
        <v>52</v>
      </c>
      <c r="I165" s="1712">
        <v>52</v>
      </c>
      <c r="J165" s="1712">
        <v>52</v>
      </c>
      <c r="K165" s="1712">
        <v>52</v>
      </c>
      <c r="L165" s="1712">
        <v>52</v>
      </c>
    </row>
    <row r="166" spans="1:13" s="1634" customFormat="1">
      <c r="A166" s="1699" t="s">
        <v>2661</v>
      </c>
      <c r="B166" s="1712">
        <v>365</v>
      </c>
      <c r="C166" s="1712">
        <v>365</v>
      </c>
      <c r="D166" s="1712">
        <v>365</v>
      </c>
      <c r="E166" s="1712">
        <v>365</v>
      </c>
      <c r="F166" s="1712">
        <v>365</v>
      </c>
      <c r="G166" s="1712">
        <v>365</v>
      </c>
      <c r="H166" s="1712">
        <v>365</v>
      </c>
      <c r="I166" s="1712">
        <v>365</v>
      </c>
      <c r="J166" s="1712">
        <v>365</v>
      </c>
      <c r="K166" s="1712">
        <v>365</v>
      </c>
      <c r="L166" s="1712">
        <v>365</v>
      </c>
    </row>
    <row r="167" spans="1:13" s="1634" customFormat="1">
      <c r="A167" s="1700" t="s">
        <v>2662</v>
      </c>
      <c r="B167" s="1712">
        <v>52</v>
      </c>
      <c r="C167" s="1712">
        <v>52</v>
      </c>
      <c r="D167" s="1712">
        <v>52</v>
      </c>
      <c r="E167" s="1712">
        <v>52</v>
      </c>
      <c r="F167" s="1712">
        <v>52</v>
      </c>
      <c r="G167" s="1712">
        <v>52</v>
      </c>
      <c r="H167" s="1712">
        <v>52</v>
      </c>
      <c r="I167" s="1712">
        <v>52</v>
      </c>
      <c r="J167" s="1712">
        <v>52</v>
      </c>
      <c r="K167" s="1712">
        <v>52</v>
      </c>
      <c r="L167" s="1712">
        <v>52</v>
      </c>
    </row>
    <row r="168" spans="1:13" s="1634" customFormat="1">
      <c r="A168" s="1700" t="s">
        <v>2663</v>
      </c>
      <c r="B168" s="1712">
        <v>52</v>
      </c>
      <c r="C168" s="1712">
        <v>52</v>
      </c>
      <c r="D168" s="1712">
        <v>52</v>
      </c>
      <c r="E168" s="1712">
        <v>52</v>
      </c>
      <c r="F168" s="1712">
        <v>52</v>
      </c>
      <c r="G168" s="1712">
        <v>52</v>
      </c>
      <c r="H168" s="1712">
        <v>52</v>
      </c>
      <c r="I168" s="1712">
        <v>52</v>
      </c>
      <c r="J168" s="1712">
        <v>52</v>
      </c>
      <c r="K168" s="1712">
        <v>52</v>
      </c>
      <c r="L168" s="1712">
        <v>52</v>
      </c>
    </row>
    <row r="169" spans="1:13" s="1634" customFormat="1">
      <c r="A169" s="1700" t="s">
        <v>2664</v>
      </c>
      <c r="B169" s="1712">
        <v>52</v>
      </c>
      <c r="C169" s="1712">
        <v>52</v>
      </c>
      <c r="D169" s="1712">
        <v>52</v>
      </c>
      <c r="E169" s="1712">
        <v>52</v>
      </c>
      <c r="F169" s="1712">
        <v>52</v>
      </c>
      <c r="G169" s="1712">
        <v>52</v>
      </c>
      <c r="H169" s="1712">
        <v>52</v>
      </c>
      <c r="I169" s="1712">
        <v>52</v>
      </c>
      <c r="J169" s="1712">
        <v>52</v>
      </c>
      <c r="K169" s="1712">
        <v>52</v>
      </c>
      <c r="L169" s="1712">
        <v>52</v>
      </c>
      <c r="M169" s="1694"/>
    </row>
    <row r="170" spans="1:13" s="1634" customFormat="1">
      <c r="A170" s="1697" t="s">
        <v>2700</v>
      </c>
      <c r="B170" s="1698"/>
      <c r="C170" s="1698"/>
      <c r="D170" s="1698"/>
      <c r="E170" s="1698"/>
      <c r="F170" s="1698"/>
      <c r="G170" s="1698"/>
      <c r="H170" s="1698"/>
      <c r="I170" s="1698"/>
      <c r="J170" s="1698"/>
      <c r="K170" s="1698"/>
      <c r="L170" s="1698"/>
    </row>
    <row r="171" spans="1:13" s="1634" customFormat="1">
      <c r="A171" s="1699" t="s">
        <v>2666</v>
      </c>
      <c r="B171" s="1712">
        <v>365</v>
      </c>
      <c r="C171" s="1712">
        <v>365</v>
      </c>
      <c r="D171" s="1712">
        <v>365</v>
      </c>
      <c r="E171" s="1712">
        <v>365</v>
      </c>
      <c r="F171" s="1712">
        <v>365</v>
      </c>
      <c r="G171" s="1712">
        <v>365</v>
      </c>
      <c r="H171" s="1712">
        <v>365</v>
      </c>
      <c r="I171" s="1712">
        <v>365</v>
      </c>
      <c r="J171" s="1712">
        <v>365</v>
      </c>
      <c r="K171" s="1712">
        <v>365</v>
      </c>
      <c r="L171" s="1712">
        <v>365</v>
      </c>
    </row>
    <row r="172" spans="1:13" s="1634" customFormat="1">
      <c r="A172" s="1699" t="s">
        <v>2667</v>
      </c>
      <c r="B172" s="1712">
        <v>365</v>
      </c>
      <c r="C172" s="1712">
        <v>365</v>
      </c>
      <c r="D172" s="1712">
        <v>365</v>
      </c>
      <c r="E172" s="1712">
        <v>365</v>
      </c>
      <c r="F172" s="1712">
        <v>365</v>
      </c>
      <c r="G172" s="1712">
        <v>365</v>
      </c>
      <c r="H172" s="1712">
        <v>365</v>
      </c>
      <c r="I172" s="1712">
        <v>365</v>
      </c>
      <c r="J172" s="1712">
        <v>365</v>
      </c>
      <c r="K172" s="1712">
        <v>365</v>
      </c>
      <c r="L172" s="1712">
        <v>365</v>
      </c>
    </row>
    <row r="173" spans="1:13" s="1634" customFormat="1">
      <c r="A173" s="1695" t="s">
        <v>2668</v>
      </c>
      <c r="B173" s="1712">
        <v>365</v>
      </c>
      <c r="C173" s="1712">
        <v>365</v>
      </c>
      <c r="D173" s="1712">
        <v>365</v>
      </c>
      <c r="E173" s="1712">
        <v>365</v>
      </c>
      <c r="F173" s="1712">
        <v>365</v>
      </c>
      <c r="G173" s="1712">
        <v>365</v>
      </c>
      <c r="H173" s="1712">
        <v>365</v>
      </c>
      <c r="I173" s="1712">
        <v>365</v>
      </c>
      <c r="J173" s="1712">
        <v>365</v>
      </c>
      <c r="K173" s="1712">
        <v>365</v>
      </c>
      <c r="L173" s="1712">
        <v>365</v>
      </c>
    </row>
    <row r="174" spans="1:13" s="1634" customFormat="1">
      <c r="A174" s="1695" t="s">
        <v>2669</v>
      </c>
      <c r="B174" s="1712">
        <v>365</v>
      </c>
      <c r="C174" s="1712">
        <v>365</v>
      </c>
      <c r="D174" s="1712">
        <v>365</v>
      </c>
      <c r="E174" s="1712">
        <v>365</v>
      </c>
      <c r="F174" s="1712">
        <v>365</v>
      </c>
      <c r="G174" s="1712">
        <v>365</v>
      </c>
      <c r="H174" s="1712">
        <v>365</v>
      </c>
      <c r="I174" s="1712">
        <v>365</v>
      </c>
      <c r="J174" s="1712">
        <v>365</v>
      </c>
      <c r="K174" s="1712">
        <v>365</v>
      </c>
      <c r="L174" s="1712">
        <v>365</v>
      </c>
    </row>
    <row r="175" spans="1:13" s="1634" customFormat="1">
      <c r="A175" s="1699" t="s">
        <v>2670</v>
      </c>
      <c r="B175" s="1712">
        <v>365</v>
      </c>
      <c r="C175" s="1712">
        <v>365</v>
      </c>
      <c r="D175" s="1712">
        <v>365</v>
      </c>
      <c r="E175" s="1712">
        <v>365</v>
      </c>
      <c r="F175" s="1712">
        <v>365</v>
      </c>
      <c r="G175" s="1712">
        <v>365</v>
      </c>
      <c r="H175" s="1712">
        <v>365</v>
      </c>
      <c r="I175" s="1712">
        <v>365</v>
      </c>
      <c r="J175" s="1712">
        <v>365</v>
      </c>
      <c r="K175" s="1712">
        <v>365</v>
      </c>
      <c r="L175" s="1712">
        <v>365</v>
      </c>
      <c r="M175" s="1694"/>
    </row>
    <row r="176" spans="1:13" s="1634" customFormat="1">
      <c r="A176" s="1700" t="s">
        <v>2671</v>
      </c>
      <c r="B176" s="1712">
        <v>365</v>
      </c>
      <c r="C176" s="1712">
        <v>365</v>
      </c>
      <c r="D176" s="1712">
        <v>365</v>
      </c>
      <c r="E176" s="1712">
        <v>365</v>
      </c>
      <c r="F176" s="1712">
        <v>365</v>
      </c>
      <c r="G176" s="1712">
        <v>365</v>
      </c>
      <c r="H176" s="1712">
        <v>365</v>
      </c>
      <c r="I176" s="1712">
        <v>365</v>
      </c>
      <c r="J176" s="1712">
        <v>365</v>
      </c>
      <c r="K176" s="1712">
        <v>365</v>
      </c>
      <c r="L176" s="1712">
        <v>365</v>
      </c>
      <c r="M176" s="1694"/>
    </row>
    <row r="177" spans="1:13" s="1634" customFormat="1">
      <c r="A177" s="1700" t="s">
        <v>2672</v>
      </c>
      <c r="B177" s="1712">
        <v>365</v>
      </c>
      <c r="C177" s="1712">
        <v>365</v>
      </c>
      <c r="D177" s="1712">
        <v>365</v>
      </c>
      <c r="E177" s="1712">
        <v>365</v>
      </c>
      <c r="F177" s="1712">
        <v>365</v>
      </c>
      <c r="G177" s="1712">
        <v>365</v>
      </c>
      <c r="H177" s="1712">
        <v>365</v>
      </c>
      <c r="I177" s="1712">
        <v>365</v>
      </c>
      <c r="J177" s="1712">
        <v>365</v>
      </c>
      <c r="K177" s="1712">
        <v>365</v>
      </c>
      <c r="L177" s="1712">
        <v>365</v>
      </c>
      <c r="M177" s="1694"/>
    </row>
    <row r="178" spans="1:13" s="1634" customFormat="1">
      <c r="A178" s="1697" t="s">
        <v>2701</v>
      </c>
      <c r="B178" s="1698"/>
      <c r="C178" s="1698"/>
      <c r="D178" s="1698"/>
      <c r="E178" s="1698"/>
      <c r="F178" s="1698"/>
      <c r="G178" s="1698"/>
      <c r="H178" s="1698"/>
      <c r="I178" s="1698"/>
      <c r="J178" s="1698"/>
      <c r="K178" s="1698"/>
      <c r="L178" s="1698"/>
    </row>
    <row r="179" spans="1:13" s="1634" customFormat="1">
      <c r="A179" s="1695" t="s">
        <v>2674</v>
      </c>
      <c r="B179" s="1712">
        <v>365</v>
      </c>
      <c r="C179" s="1712">
        <v>365</v>
      </c>
      <c r="D179" s="1712">
        <v>365</v>
      </c>
      <c r="E179" s="1712">
        <v>365</v>
      </c>
      <c r="F179" s="1712">
        <v>365</v>
      </c>
      <c r="G179" s="1712">
        <v>365</v>
      </c>
      <c r="H179" s="1712">
        <v>365</v>
      </c>
      <c r="I179" s="1712">
        <v>365</v>
      </c>
      <c r="J179" s="1712">
        <v>365</v>
      </c>
      <c r="K179" s="1712">
        <v>365</v>
      </c>
      <c r="L179" s="1712">
        <v>365</v>
      </c>
    </row>
    <row r="180" spans="1:13" s="1634" customFormat="1">
      <c r="A180" s="1695" t="s">
        <v>2675</v>
      </c>
      <c r="B180" s="1712">
        <v>365</v>
      </c>
      <c r="C180" s="1712">
        <v>365</v>
      </c>
      <c r="D180" s="1712">
        <v>365</v>
      </c>
      <c r="E180" s="1712">
        <v>365</v>
      </c>
      <c r="F180" s="1712">
        <v>365</v>
      </c>
      <c r="G180" s="1712">
        <v>365</v>
      </c>
      <c r="H180" s="1712">
        <v>365</v>
      </c>
      <c r="I180" s="1712">
        <v>365</v>
      </c>
      <c r="J180" s="1712">
        <v>365</v>
      </c>
      <c r="K180" s="1712">
        <v>365</v>
      </c>
      <c r="L180" s="1712">
        <v>365</v>
      </c>
    </row>
    <row r="181" spans="1:13" s="1634" customFormat="1">
      <c r="A181" s="1696" t="s">
        <v>2676</v>
      </c>
      <c r="B181" s="1712">
        <v>365</v>
      </c>
      <c r="C181" s="1712">
        <v>365</v>
      </c>
      <c r="D181" s="1712">
        <v>365</v>
      </c>
      <c r="E181" s="1712">
        <v>365</v>
      </c>
      <c r="F181" s="1712">
        <v>365</v>
      </c>
      <c r="G181" s="1712">
        <v>365</v>
      </c>
      <c r="H181" s="1712">
        <v>365</v>
      </c>
      <c r="I181" s="1712">
        <v>365</v>
      </c>
      <c r="J181" s="1712">
        <v>365</v>
      </c>
      <c r="K181" s="1712">
        <v>365</v>
      </c>
      <c r="L181" s="1712">
        <v>365</v>
      </c>
    </row>
    <row r="182" spans="1:13" s="1634" customFormat="1">
      <c r="A182" s="1696" t="s">
        <v>2677</v>
      </c>
      <c r="B182" s="1712">
        <v>365</v>
      </c>
      <c r="C182" s="1712">
        <v>365</v>
      </c>
      <c r="D182" s="1712">
        <v>365</v>
      </c>
      <c r="E182" s="1712">
        <v>365</v>
      </c>
      <c r="F182" s="1712">
        <v>365</v>
      </c>
      <c r="G182" s="1712">
        <v>365</v>
      </c>
      <c r="H182" s="1712">
        <v>365</v>
      </c>
      <c r="I182" s="1712">
        <v>365</v>
      </c>
      <c r="J182" s="1712">
        <v>365</v>
      </c>
      <c r="K182" s="1712">
        <v>365</v>
      </c>
      <c r="L182" s="1712">
        <v>365</v>
      </c>
    </row>
    <row r="183" spans="1:13" s="1634" customFormat="1">
      <c r="A183" s="1700" t="s">
        <v>2678</v>
      </c>
      <c r="B183" s="1712">
        <v>365</v>
      </c>
      <c r="C183" s="1712">
        <v>365</v>
      </c>
      <c r="D183" s="1712">
        <v>365</v>
      </c>
      <c r="E183" s="1712">
        <v>365</v>
      </c>
      <c r="F183" s="1712">
        <v>365</v>
      </c>
      <c r="G183" s="1712">
        <v>365</v>
      </c>
      <c r="H183" s="1712">
        <v>365</v>
      </c>
      <c r="I183" s="1712">
        <v>365</v>
      </c>
      <c r="J183" s="1712">
        <v>365</v>
      </c>
      <c r="K183" s="1712">
        <v>365</v>
      </c>
      <c r="L183" s="1712">
        <v>365</v>
      </c>
    </row>
    <row r="184" spans="1:13" s="1634" customFormat="1">
      <c r="A184" s="1697" t="s">
        <v>2702</v>
      </c>
      <c r="B184" s="1698"/>
      <c r="C184" s="1698"/>
      <c r="D184" s="1698"/>
      <c r="E184" s="1698"/>
      <c r="F184" s="1698"/>
      <c r="G184" s="1698"/>
      <c r="H184" s="1698"/>
      <c r="I184" s="1698"/>
      <c r="J184" s="1698"/>
      <c r="K184" s="1698"/>
      <c r="L184" s="1698"/>
    </row>
    <row r="185" spans="1:13" s="1634" customFormat="1">
      <c r="A185" s="1700" t="s">
        <v>2680</v>
      </c>
      <c r="B185" s="1712">
        <v>365</v>
      </c>
      <c r="C185" s="1712">
        <v>365</v>
      </c>
      <c r="D185" s="1712">
        <v>365</v>
      </c>
      <c r="E185" s="1712">
        <v>365</v>
      </c>
      <c r="F185" s="1712">
        <v>365</v>
      </c>
      <c r="G185" s="1712">
        <v>365</v>
      </c>
      <c r="H185" s="1712">
        <v>365</v>
      </c>
      <c r="I185" s="1712">
        <v>365</v>
      </c>
      <c r="J185" s="1712">
        <v>365</v>
      </c>
      <c r="K185" s="1712">
        <v>365</v>
      </c>
      <c r="L185" s="1712">
        <v>365</v>
      </c>
    </row>
    <row r="186" spans="1:13" s="1634" customFormat="1">
      <c r="A186" s="1697" t="s">
        <v>2681</v>
      </c>
      <c r="B186" s="1698"/>
      <c r="C186" s="1698"/>
      <c r="D186" s="1698"/>
      <c r="E186" s="1698"/>
      <c r="F186" s="1698"/>
      <c r="G186" s="1698"/>
      <c r="H186" s="1698"/>
      <c r="I186" s="1698"/>
      <c r="J186" s="1698"/>
      <c r="K186" s="1698"/>
      <c r="L186" s="1698"/>
    </row>
    <row r="187" spans="1:13" s="1634" customFormat="1">
      <c r="A187" s="1699" t="s">
        <v>2682</v>
      </c>
      <c r="B187" s="1712">
        <v>365</v>
      </c>
      <c r="C187" s="1712">
        <v>365</v>
      </c>
      <c r="D187" s="1712">
        <v>365</v>
      </c>
      <c r="E187" s="1712">
        <v>365</v>
      </c>
      <c r="F187" s="1712">
        <v>365</v>
      </c>
      <c r="G187" s="1712">
        <v>365</v>
      </c>
      <c r="H187" s="1712">
        <v>365</v>
      </c>
      <c r="I187" s="1712">
        <v>365</v>
      </c>
      <c r="J187" s="1712">
        <v>365</v>
      </c>
      <c r="K187" s="1712">
        <v>365</v>
      </c>
      <c r="L187" s="1712">
        <v>365</v>
      </c>
    </row>
    <row r="188" spans="1:13" s="1634" customFormat="1">
      <c r="A188" s="1699" t="s">
        <v>2683</v>
      </c>
      <c r="B188" s="1712">
        <v>365</v>
      </c>
      <c r="C188" s="1712">
        <v>365</v>
      </c>
      <c r="D188" s="1712">
        <v>365</v>
      </c>
      <c r="E188" s="1712">
        <v>365</v>
      </c>
      <c r="F188" s="1712">
        <v>365</v>
      </c>
      <c r="G188" s="1712">
        <v>365</v>
      </c>
      <c r="H188" s="1712">
        <v>365</v>
      </c>
      <c r="I188" s="1712">
        <v>365</v>
      </c>
      <c r="J188" s="1712">
        <v>365</v>
      </c>
      <c r="K188" s="1712">
        <v>365</v>
      </c>
      <c r="L188" s="1712">
        <v>365</v>
      </c>
    </row>
    <row r="189" spans="1:13" s="1634" customFormat="1">
      <c r="A189" s="1699" t="s">
        <v>2684</v>
      </c>
      <c r="B189" s="1712">
        <v>365</v>
      </c>
      <c r="C189" s="1712">
        <v>365</v>
      </c>
      <c r="D189" s="1712">
        <v>365</v>
      </c>
      <c r="E189" s="1712">
        <v>365</v>
      </c>
      <c r="F189" s="1712">
        <v>365</v>
      </c>
      <c r="G189" s="1712">
        <v>365</v>
      </c>
      <c r="H189" s="1712">
        <v>365</v>
      </c>
      <c r="I189" s="1712">
        <v>365</v>
      </c>
      <c r="J189" s="1712">
        <v>365</v>
      </c>
      <c r="K189" s="1712">
        <v>365</v>
      </c>
      <c r="L189" s="1712">
        <v>365</v>
      </c>
    </row>
    <row r="190" spans="1:13" s="1634" customFormat="1">
      <c r="A190" s="1699" t="s">
        <v>2685</v>
      </c>
      <c r="B190" s="1712">
        <v>365</v>
      </c>
      <c r="C190" s="1712">
        <v>365</v>
      </c>
      <c r="D190" s="1712">
        <v>365</v>
      </c>
      <c r="E190" s="1712">
        <v>365</v>
      </c>
      <c r="F190" s="1712">
        <v>365</v>
      </c>
      <c r="G190" s="1712">
        <v>365</v>
      </c>
      <c r="H190" s="1712">
        <v>365</v>
      </c>
      <c r="I190" s="1712">
        <v>365</v>
      </c>
      <c r="J190" s="1712">
        <v>365</v>
      </c>
      <c r="K190" s="1712">
        <v>365</v>
      </c>
      <c r="L190" s="1712">
        <v>365</v>
      </c>
    </row>
    <row r="191" spans="1:13" s="1634" customFormat="1">
      <c r="A191" s="1700" t="s">
        <v>2686</v>
      </c>
      <c r="B191" s="1712">
        <v>365</v>
      </c>
      <c r="C191" s="1712">
        <v>365</v>
      </c>
      <c r="D191" s="1712">
        <v>365</v>
      </c>
      <c r="E191" s="1712">
        <v>365</v>
      </c>
      <c r="F191" s="1712">
        <v>365</v>
      </c>
      <c r="G191" s="1712">
        <v>365</v>
      </c>
      <c r="H191" s="1712">
        <v>365</v>
      </c>
      <c r="I191" s="1712">
        <v>365</v>
      </c>
      <c r="J191" s="1712">
        <v>365</v>
      </c>
      <c r="K191" s="1712">
        <v>365</v>
      </c>
      <c r="L191" s="1712">
        <v>365</v>
      </c>
    </row>
    <row r="192" spans="1:13" s="1634" customFormat="1">
      <c r="A192" s="1699" t="s">
        <v>2687</v>
      </c>
      <c r="B192" s="1712">
        <v>365</v>
      </c>
      <c r="C192" s="1712">
        <v>365</v>
      </c>
      <c r="D192" s="1712">
        <v>365</v>
      </c>
      <c r="E192" s="1712">
        <v>365</v>
      </c>
      <c r="F192" s="1712">
        <v>365</v>
      </c>
      <c r="G192" s="1712">
        <v>365</v>
      </c>
      <c r="H192" s="1712">
        <v>365</v>
      </c>
      <c r="I192" s="1712">
        <v>365</v>
      </c>
      <c r="J192" s="1712">
        <v>365</v>
      </c>
      <c r="K192" s="1712">
        <v>365</v>
      </c>
      <c r="L192" s="1712">
        <v>365</v>
      </c>
    </row>
    <row r="193" spans="1:13" s="1634" customFormat="1">
      <c r="A193" s="1700" t="s">
        <v>2688</v>
      </c>
      <c r="B193" s="1712">
        <v>365</v>
      </c>
      <c r="C193" s="1712">
        <v>365</v>
      </c>
      <c r="D193" s="1712">
        <v>365</v>
      </c>
      <c r="E193" s="1712">
        <v>365</v>
      </c>
      <c r="F193" s="1712">
        <v>365</v>
      </c>
      <c r="G193" s="1712">
        <v>365</v>
      </c>
      <c r="H193" s="1712">
        <v>365</v>
      </c>
      <c r="I193" s="1712">
        <v>365</v>
      </c>
      <c r="J193" s="1712">
        <v>365</v>
      </c>
      <c r="K193" s="1712">
        <v>365</v>
      </c>
      <c r="L193" s="1712">
        <v>365</v>
      </c>
    </row>
    <row r="194" spans="1:13" s="1634" customFormat="1">
      <c r="A194" s="1699" t="s">
        <v>2689</v>
      </c>
      <c r="B194" s="1712">
        <v>365</v>
      </c>
      <c r="C194" s="1712">
        <v>365</v>
      </c>
      <c r="D194" s="1712">
        <v>365</v>
      </c>
      <c r="E194" s="1712">
        <v>365</v>
      </c>
      <c r="F194" s="1712">
        <v>365</v>
      </c>
      <c r="G194" s="1712">
        <v>365</v>
      </c>
      <c r="H194" s="1712">
        <v>365</v>
      </c>
      <c r="I194" s="1712">
        <v>365</v>
      </c>
      <c r="J194" s="1712">
        <v>365</v>
      </c>
      <c r="K194" s="1712">
        <v>365</v>
      </c>
      <c r="L194" s="1712">
        <v>365</v>
      </c>
    </row>
    <row r="195" spans="1:13" s="1634" customFormat="1">
      <c r="A195" s="1700" t="s">
        <v>2690</v>
      </c>
      <c r="B195" s="1712">
        <v>365</v>
      </c>
      <c r="C195" s="1712">
        <v>365</v>
      </c>
      <c r="D195" s="1712">
        <v>365</v>
      </c>
      <c r="E195" s="1712">
        <v>365</v>
      </c>
      <c r="F195" s="1712">
        <v>365</v>
      </c>
      <c r="G195" s="1712">
        <v>365</v>
      </c>
      <c r="H195" s="1712">
        <v>365</v>
      </c>
      <c r="I195" s="1712">
        <v>365</v>
      </c>
      <c r="J195" s="1712">
        <v>365</v>
      </c>
      <c r="K195" s="1712">
        <v>365</v>
      </c>
      <c r="L195" s="1712">
        <v>365</v>
      </c>
    </row>
    <row r="196" spans="1:13" s="1634" customFormat="1">
      <c r="A196" s="1699" t="s">
        <v>2691</v>
      </c>
      <c r="B196" s="1712">
        <v>365</v>
      </c>
      <c r="C196" s="1712">
        <v>365</v>
      </c>
      <c r="D196" s="1712">
        <v>365</v>
      </c>
      <c r="E196" s="1712">
        <v>365</v>
      </c>
      <c r="F196" s="1712">
        <v>365</v>
      </c>
      <c r="G196" s="1712">
        <v>365</v>
      </c>
      <c r="H196" s="1712">
        <v>365</v>
      </c>
      <c r="I196" s="1712">
        <v>365</v>
      </c>
      <c r="J196" s="1712">
        <v>365</v>
      </c>
      <c r="K196" s="1712">
        <v>365</v>
      </c>
      <c r="L196" s="1712">
        <v>365</v>
      </c>
    </row>
    <row r="197" spans="1:13" s="1634" customFormat="1">
      <c r="A197" s="1700" t="s">
        <v>2692</v>
      </c>
      <c r="B197" s="1712">
        <v>365</v>
      </c>
      <c r="C197" s="1712">
        <v>365</v>
      </c>
      <c r="D197" s="1712">
        <v>365</v>
      </c>
      <c r="E197" s="1712">
        <v>365</v>
      </c>
      <c r="F197" s="1712">
        <v>365</v>
      </c>
      <c r="G197" s="1712">
        <v>365</v>
      </c>
      <c r="H197" s="1712">
        <v>365</v>
      </c>
      <c r="I197" s="1712">
        <v>365</v>
      </c>
      <c r="J197" s="1712">
        <v>365</v>
      </c>
      <c r="K197" s="1712">
        <v>365</v>
      </c>
      <c r="L197" s="1712">
        <v>365</v>
      </c>
    </row>
    <row r="198" spans="1:13" s="1634" customFormat="1">
      <c r="A198" s="1699" t="s">
        <v>2693</v>
      </c>
      <c r="B198" s="1712">
        <v>365</v>
      </c>
      <c r="C198" s="1712">
        <v>365</v>
      </c>
      <c r="D198" s="1712">
        <v>365</v>
      </c>
      <c r="E198" s="1712">
        <v>365</v>
      </c>
      <c r="F198" s="1712">
        <v>365</v>
      </c>
      <c r="G198" s="1712">
        <v>365</v>
      </c>
      <c r="H198" s="1712">
        <v>365</v>
      </c>
      <c r="I198" s="1712">
        <v>365</v>
      </c>
      <c r="J198" s="1712">
        <v>365</v>
      </c>
      <c r="K198" s="1712">
        <v>365</v>
      </c>
      <c r="L198" s="1712">
        <v>365</v>
      </c>
    </row>
    <row r="199" spans="1:13" s="1634" customFormat="1">
      <c r="A199" s="1701" t="s">
        <v>2694</v>
      </c>
      <c r="B199" s="1712">
        <v>156</v>
      </c>
      <c r="C199" s="1712">
        <v>156</v>
      </c>
      <c r="D199" s="1712">
        <v>156</v>
      </c>
      <c r="E199" s="1712">
        <v>156</v>
      </c>
      <c r="F199" s="1712">
        <v>156</v>
      </c>
      <c r="G199" s="1712">
        <v>156</v>
      </c>
      <c r="H199" s="1712">
        <v>156</v>
      </c>
      <c r="I199" s="1712">
        <v>156</v>
      </c>
      <c r="J199" s="1712">
        <v>156</v>
      </c>
      <c r="K199" s="1712">
        <v>156</v>
      </c>
      <c r="L199" s="1712">
        <v>156</v>
      </c>
    </row>
    <row r="200" spans="1:13" s="1634" customFormat="1">
      <c r="A200" s="1709" t="s">
        <v>2695</v>
      </c>
      <c r="B200" s="1712">
        <v>365</v>
      </c>
      <c r="C200" s="1712">
        <v>365</v>
      </c>
      <c r="D200" s="1712">
        <v>365</v>
      </c>
      <c r="E200" s="1712">
        <v>365</v>
      </c>
      <c r="F200" s="1712">
        <v>365</v>
      </c>
      <c r="G200" s="1712">
        <v>365</v>
      </c>
      <c r="H200" s="1712">
        <v>365</v>
      </c>
      <c r="I200" s="1712">
        <v>365</v>
      </c>
      <c r="J200" s="1712">
        <v>365</v>
      </c>
      <c r="K200" s="1712">
        <v>365</v>
      </c>
      <c r="L200" s="1712">
        <v>365</v>
      </c>
    </row>
    <row r="201" spans="1:13" s="1634" customFormat="1">
      <c r="A201" s="1703" t="s">
        <v>2696</v>
      </c>
      <c r="B201" s="1712">
        <v>156</v>
      </c>
      <c r="C201" s="1712">
        <v>156</v>
      </c>
      <c r="D201" s="1712">
        <v>156</v>
      </c>
      <c r="E201" s="1712">
        <v>156</v>
      </c>
      <c r="F201" s="1712">
        <v>156</v>
      </c>
      <c r="G201" s="1712">
        <v>156</v>
      </c>
      <c r="H201" s="1712">
        <v>156</v>
      </c>
      <c r="I201" s="1712">
        <v>156</v>
      </c>
      <c r="J201" s="1712">
        <v>156</v>
      </c>
      <c r="K201" s="1712">
        <v>156</v>
      </c>
      <c r="L201" s="1712">
        <v>156</v>
      </c>
    </row>
    <row r="202" spans="1:13" s="1694" customFormat="1" ht="15.75">
      <c r="A202" s="1711" t="s">
        <v>2706</v>
      </c>
      <c r="B202" s="1706"/>
      <c r="C202" s="1706"/>
      <c r="D202" s="1706"/>
      <c r="E202" s="1706"/>
      <c r="F202" s="1706"/>
      <c r="G202" s="1706"/>
      <c r="H202" s="1706"/>
      <c r="I202" s="1706"/>
      <c r="J202" s="1706"/>
      <c r="K202" s="1706"/>
      <c r="L202" s="1706"/>
    </row>
    <row r="203" spans="1:13" s="1634" customFormat="1">
      <c r="A203" s="1648" t="s">
        <v>2650</v>
      </c>
      <c r="B203" s="1713">
        <f t="shared" ref="B203:L205" si="30">B155*B107</f>
        <v>58.035000000000004</v>
      </c>
      <c r="C203" s="1713">
        <f t="shared" si="30"/>
        <v>58.035000000000004</v>
      </c>
      <c r="D203" s="1713">
        <f t="shared" si="30"/>
        <v>58.035000000000004</v>
      </c>
      <c r="E203" s="1713">
        <f t="shared" si="30"/>
        <v>58.035000000000004</v>
      </c>
      <c r="F203" s="1713">
        <f t="shared" si="30"/>
        <v>58.035000000000004</v>
      </c>
      <c r="G203" s="1713">
        <f t="shared" si="30"/>
        <v>58.035000000000004</v>
      </c>
      <c r="H203" s="1713">
        <f t="shared" si="30"/>
        <v>58.035000000000004</v>
      </c>
      <c r="I203" s="1713">
        <f t="shared" si="30"/>
        <v>58.035000000000004</v>
      </c>
      <c r="J203" s="1713">
        <f t="shared" si="30"/>
        <v>58.035000000000004</v>
      </c>
      <c r="K203" s="1713">
        <f t="shared" si="30"/>
        <v>58.035000000000004</v>
      </c>
      <c r="L203" s="1713">
        <f t="shared" si="30"/>
        <v>58.035000000000004</v>
      </c>
    </row>
    <row r="204" spans="1:13" s="1634" customFormat="1">
      <c r="A204" s="1651" t="s">
        <v>2651</v>
      </c>
      <c r="B204" s="1713">
        <f t="shared" si="30"/>
        <v>69.641999999999996</v>
      </c>
      <c r="C204" s="1713">
        <f t="shared" si="30"/>
        <v>69.641999999999996</v>
      </c>
      <c r="D204" s="1713">
        <f t="shared" si="30"/>
        <v>69.641999999999996</v>
      </c>
      <c r="E204" s="1713">
        <f t="shared" si="30"/>
        <v>69.641999999999996</v>
      </c>
      <c r="F204" s="1713">
        <f t="shared" si="30"/>
        <v>69.641999999999996</v>
      </c>
      <c r="G204" s="1713">
        <f t="shared" si="30"/>
        <v>69.641999999999996</v>
      </c>
      <c r="H204" s="1713">
        <f t="shared" si="30"/>
        <v>69.641999999999996</v>
      </c>
      <c r="I204" s="1713">
        <f t="shared" si="30"/>
        <v>69.641999999999996</v>
      </c>
      <c r="J204" s="1713">
        <f t="shared" si="30"/>
        <v>69.641999999999996</v>
      </c>
      <c r="K204" s="1713">
        <f t="shared" si="30"/>
        <v>69.641999999999996</v>
      </c>
      <c r="L204" s="1713">
        <f t="shared" si="30"/>
        <v>69.641999999999996</v>
      </c>
    </row>
    <row r="205" spans="1:13" s="1634" customFormat="1">
      <c r="A205" s="1651" t="s">
        <v>2652</v>
      </c>
      <c r="B205" s="1713">
        <f t="shared" si="30"/>
        <v>87.052499999999995</v>
      </c>
      <c r="C205" s="1713">
        <f t="shared" si="30"/>
        <v>87.052499999999995</v>
      </c>
      <c r="D205" s="1713">
        <f t="shared" si="30"/>
        <v>87.052499999999995</v>
      </c>
      <c r="E205" s="1713">
        <f t="shared" si="30"/>
        <v>87.052499999999995</v>
      </c>
      <c r="F205" s="1713">
        <f t="shared" si="30"/>
        <v>87.052499999999995</v>
      </c>
      <c r="G205" s="1713">
        <f t="shared" si="30"/>
        <v>87.052499999999995</v>
      </c>
      <c r="H205" s="1713">
        <f t="shared" si="30"/>
        <v>87.052499999999995</v>
      </c>
      <c r="I205" s="1713">
        <f t="shared" si="30"/>
        <v>87.052499999999995</v>
      </c>
      <c r="J205" s="1713">
        <f t="shared" si="30"/>
        <v>87.052499999999995</v>
      </c>
      <c r="K205" s="1713">
        <f t="shared" si="30"/>
        <v>87.052499999999995</v>
      </c>
      <c r="L205" s="1713">
        <f t="shared" si="30"/>
        <v>87.052499999999995</v>
      </c>
      <c r="M205" s="1694"/>
    </row>
    <row r="206" spans="1:13" s="1634" customFormat="1">
      <c r="A206" s="1651" t="s">
        <v>2707</v>
      </c>
      <c r="B206" s="1706"/>
      <c r="C206" s="1706"/>
      <c r="D206" s="1706"/>
      <c r="E206" s="1706"/>
      <c r="F206" s="1706"/>
      <c r="G206" s="1706"/>
      <c r="H206" s="1706"/>
      <c r="I206" s="1706"/>
      <c r="J206" s="1706"/>
      <c r="K206" s="1706"/>
      <c r="L206" s="1706"/>
      <c r="M206" s="1694"/>
    </row>
    <row r="207" spans="1:13" s="1634" customFormat="1">
      <c r="A207" s="1695" t="s">
        <v>2654</v>
      </c>
      <c r="B207" s="1713">
        <f t="shared" ref="B207:L208" si="31">B159*B111</f>
        <v>446.86949999999996</v>
      </c>
      <c r="C207" s="1713">
        <f t="shared" si="31"/>
        <v>446.86949999999996</v>
      </c>
      <c r="D207" s="1713">
        <f t="shared" si="31"/>
        <v>446.86949999999996</v>
      </c>
      <c r="E207" s="1713">
        <f t="shared" si="31"/>
        <v>446.86949999999996</v>
      </c>
      <c r="F207" s="1713">
        <f t="shared" si="31"/>
        <v>446.86949999999996</v>
      </c>
      <c r="G207" s="1713">
        <f t="shared" si="31"/>
        <v>446.86949999999996</v>
      </c>
      <c r="H207" s="1713">
        <f t="shared" si="31"/>
        <v>446.86949999999996</v>
      </c>
      <c r="I207" s="1713">
        <f t="shared" si="31"/>
        <v>446.86949999999996</v>
      </c>
      <c r="J207" s="1713">
        <f t="shared" si="31"/>
        <v>446.86949999999996</v>
      </c>
      <c r="K207" s="1713">
        <f t="shared" si="31"/>
        <v>446.86949999999996</v>
      </c>
      <c r="L207" s="1713">
        <f t="shared" si="31"/>
        <v>446.86949999999996</v>
      </c>
    </row>
    <row r="208" spans="1:13" s="1634" customFormat="1">
      <c r="A208" s="1696" t="s">
        <v>2655</v>
      </c>
      <c r="B208" s="1713">
        <f t="shared" si="31"/>
        <v>159.59625000000003</v>
      </c>
      <c r="C208" s="1713">
        <f t="shared" si="31"/>
        <v>159.59625000000003</v>
      </c>
      <c r="D208" s="1713">
        <f t="shared" si="31"/>
        <v>159.59625000000003</v>
      </c>
      <c r="E208" s="1713">
        <f t="shared" si="31"/>
        <v>159.59625000000003</v>
      </c>
      <c r="F208" s="1713">
        <f t="shared" si="31"/>
        <v>159.59625000000003</v>
      </c>
      <c r="G208" s="1713">
        <f t="shared" si="31"/>
        <v>159.59625000000003</v>
      </c>
      <c r="H208" s="1713">
        <f t="shared" si="31"/>
        <v>159.59625000000003</v>
      </c>
      <c r="I208" s="1713">
        <f t="shared" si="31"/>
        <v>159.59625000000003</v>
      </c>
      <c r="J208" s="1713">
        <f t="shared" si="31"/>
        <v>159.59625000000003</v>
      </c>
      <c r="K208" s="1713">
        <f t="shared" si="31"/>
        <v>159.59625000000003</v>
      </c>
      <c r="L208" s="1713">
        <f t="shared" si="31"/>
        <v>159.59625000000003</v>
      </c>
    </row>
    <row r="209" spans="1:13" s="1634" customFormat="1">
      <c r="A209" s="1697" t="s">
        <v>2656</v>
      </c>
      <c r="B209" s="1714"/>
      <c r="C209" s="1714"/>
      <c r="D209" s="1714"/>
      <c r="E209" s="1714"/>
      <c r="F209" s="1714"/>
      <c r="G209" s="1714"/>
      <c r="H209" s="1714"/>
      <c r="I209" s="1714"/>
      <c r="J209" s="1714"/>
      <c r="K209" s="1714"/>
      <c r="L209" s="1714"/>
    </row>
    <row r="210" spans="1:13" s="1634" customFormat="1">
      <c r="A210" s="1699" t="s">
        <v>2657</v>
      </c>
      <c r="B210" s="1713">
        <f t="shared" ref="B210:L217" si="32">B162*B114</f>
        <v>1822.8793499999999</v>
      </c>
      <c r="C210" s="1713">
        <f t="shared" si="32"/>
        <v>1822.8793499999999</v>
      </c>
      <c r="D210" s="1713">
        <f t="shared" si="32"/>
        <v>1822.8793499999999</v>
      </c>
      <c r="E210" s="1713">
        <f t="shared" si="32"/>
        <v>1822.8793499999999</v>
      </c>
      <c r="F210" s="1713">
        <f t="shared" si="32"/>
        <v>1822.8793499999999</v>
      </c>
      <c r="G210" s="1713">
        <f t="shared" si="32"/>
        <v>1822.8793499999999</v>
      </c>
      <c r="H210" s="1713">
        <f t="shared" si="32"/>
        <v>1822.8793499999999</v>
      </c>
      <c r="I210" s="1713">
        <f t="shared" si="32"/>
        <v>1822.8793499999999</v>
      </c>
      <c r="J210" s="1713">
        <f t="shared" si="32"/>
        <v>1822.8793499999999</v>
      </c>
      <c r="K210" s="1713">
        <f t="shared" si="32"/>
        <v>1822.8793499999999</v>
      </c>
      <c r="L210" s="1713">
        <f t="shared" si="32"/>
        <v>1822.8793499999999</v>
      </c>
    </row>
    <row r="211" spans="1:13" s="1634" customFormat="1">
      <c r="A211" s="1700" t="s">
        <v>2658</v>
      </c>
      <c r="B211" s="1713">
        <f t="shared" si="32"/>
        <v>651.02833928571431</v>
      </c>
      <c r="C211" s="1713">
        <f t="shared" si="32"/>
        <v>651.02833928571431</v>
      </c>
      <c r="D211" s="1713">
        <f t="shared" si="32"/>
        <v>651.02833928571431</v>
      </c>
      <c r="E211" s="1713">
        <f t="shared" si="32"/>
        <v>651.02833928571431</v>
      </c>
      <c r="F211" s="1713">
        <f t="shared" si="32"/>
        <v>651.02833928571431</v>
      </c>
      <c r="G211" s="1713">
        <f t="shared" si="32"/>
        <v>651.02833928571431</v>
      </c>
      <c r="H211" s="1713">
        <f t="shared" si="32"/>
        <v>651.02833928571431</v>
      </c>
      <c r="I211" s="1713">
        <f t="shared" si="32"/>
        <v>651.02833928571431</v>
      </c>
      <c r="J211" s="1713">
        <f t="shared" si="32"/>
        <v>651.02833928571431</v>
      </c>
      <c r="K211" s="1713">
        <f t="shared" si="32"/>
        <v>651.02833928571431</v>
      </c>
      <c r="L211" s="1713">
        <f t="shared" si="32"/>
        <v>651.02833928571431</v>
      </c>
    </row>
    <row r="212" spans="1:13" s="1634" customFormat="1">
      <c r="A212" s="1699" t="s">
        <v>2659</v>
      </c>
      <c r="B212" s="1713">
        <f t="shared" si="32"/>
        <v>3396.7885499999998</v>
      </c>
      <c r="C212" s="1713">
        <f t="shared" si="32"/>
        <v>3396.7885499999998</v>
      </c>
      <c r="D212" s="1713">
        <f t="shared" si="32"/>
        <v>3396.7885499999998</v>
      </c>
      <c r="E212" s="1713">
        <f t="shared" si="32"/>
        <v>3396.7885499999998</v>
      </c>
      <c r="F212" s="1713">
        <f t="shared" si="32"/>
        <v>3396.7885499999998</v>
      </c>
      <c r="G212" s="1713">
        <f t="shared" si="32"/>
        <v>3396.7885499999998</v>
      </c>
      <c r="H212" s="1713">
        <f t="shared" si="32"/>
        <v>3396.7885499999998</v>
      </c>
      <c r="I212" s="1713">
        <f t="shared" si="32"/>
        <v>3396.7885499999998</v>
      </c>
      <c r="J212" s="1713">
        <f t="shared" si="32"/>
        <v>3396.7885499999998</v>
      </c>
      <c r="K212" s="1713">
        <f t="shared" si="32"/>
        <v>3396.7885499999998</v>
      </c>
      <c r="L212" s="1713">
        <f t="shared" si="32"/>
        <v>3396.7885499999998</v>
      </c>
    </row>
    <row r="213" spans="1:13" s="1634" customFormat="1">
      <c r="A213" s="1699" t="s">
        <v>2660</v>
      </c>
      <c r="B213" s="1713">
        <f t="shared" si="32"/>
        <v>3387.4822800000006</v>
      </c>
      <c r="C213" s="1713">
        <f t="shared" si="32"/>
        <v>3387.4822800000006</v>
      </c>
      <c r="D213" s="1713">
        <f t="shared" si="32"/>
        <v>3387.4822800000006</v>
      </c>
      <c r="E213" s="1713">
        <f t="shared" si="32"/>
        <v>3387.4822800000006</v>
      </c>
      <c r="F213" s="1713">
        <f t="shared" si="32"/>
        <v>3387.4822800000006</v>
      </c>
      <c r="G213" s="1713">
        <f t="shared" si="32"/>
        <v>3387.4822800000006</v>
      </c>
      <c r="H213" s="1713">
        <f t="shared" si="32"/>
        <v>3387.4822800000006</v>
      </c>
      <c r="I213" s="1713">
        <f t="shared" si="32"/>
        <v>3387.4822800000006</v>
      </c>
      <c r="J213" s="1713">
        <f t="shared" si="32"/>
        <v>3387.4822800000006</v>
      </c>
      <c r="K213" s="1713">
        <f t="shared" si="32"/>
        <v>3387.4822800000006</v>
      </c>
      <c r="L213" s="1713">
        <f t="shared" si="32"/>
        <v>3387.4822800000006</v>
      </c>
    </row>
    <row r="214" spans="1:13" s="1634" customFormat="1">
      <c r="A214" s="1699" t="s">
        <v>2661</v>
      </c>
      <c r="B214" s="1713">
        <f t="shared" si="32"/>
        <v>2547.5914124999999</v>
      </c>
      <c r="C214" s="1713">
        <f t="shared" si="32"/>
        <v>2547.5914124999999</v>
      </c>
      <c r="D214" s="1713">
        <f t="shared" si="32"/>
        <v>2547.5914124999999</v>
      </c>
      <c r="E214" s="1713">
        <f t="shared" si="32"/>
        <v>2547.5914124999999</v>
      </c>
      <c r="F214" s="1713">
        <f t="shared" si="32"/>
        <v>2547.5914124999999</v>
      </c>
      <c r="G214" s="1713">
        <f t="shared" si="32"/>
        <v>2547.5914124999999</v>
      </c>
      <c r="H214" s="1713">
        <f t="shared" si="32"/>
        <v>2547.5914124999999</v>
      </c>
      <c r="I214" s="1713">
        <f t="shared" si="32"/>
        <v>2547.5914124999999</v>
      </c>
      <c r="J214" s="1713">
        <f t="shared" si="32"/>
        <v>2547.5914124999999</v>
      </c>
      <c r="K214" s="1713">
        <f t="shared" si="32"/>
        <v>2547.5914124999999</v>
      </c>
      <c r="L214" s="1713">
        <f t="shared" si="32"/>
        <v>2547.5914124999999</v>
      </c>
    </row>
    <row r="215" spans="1:13" s="1634" customFormat="1">
      <c r="A215" s="1700" t="s">
        <v>2662</v>
      </c>
      <c r="B215" s="1713">
        <f t="shared" si="32"/>
        <v>3048.7340520000002</v>
      </c>
      <c r="C215" s="1713">
        <f t="shared" si="32"/>
        <v>3048.7340520000002</v>
      </c>
      <c r="D215" s="1713">
        <f t="shared" si="32"/>
        <v>3048.7340520000002</v>
      </c>
      <c r="E215" s="1713">
        <f t="shared" si="32"/>
        <v>3048.7340520000002</v>
      </c>
      <c r="F215" s="1713">
        <f t="shared" si="32"/>
        <v>3048.7340520000002</v>
      </c>
      <c r="G215" s="1713">
        <f t="shared" si="32"/>
        <v>3048.7340520000002</v>
      </c>
      <c r="H215" s="1713">
        <f t="shared" si="32"/>
        <v>3048.7340520000002</v>
      </c>
      <c r="I215" s="1713">
        <f t="shared" si="32"/>
        <v>3048.7340520000002</v>
      </c>
      <c r="J215" s="1713">
        <f t="shared" si="32"/>
        <v>3048.7340520000002</v>
      </c>
      <c r="K215" s="1713">
        <f t="shared" si="32"/>
        <v>3048.7340520000002</v>
      </c>
      <c r="L215" s="1713">
        <f t="shared" si="32"/>
        <v>3048.7340520000002</v>
      </c>
    </row>
    <row r="216" spans="1:13" s="1634" customFormat="1">
      <c r="A216" s="1700" t="s">
        <v>2663</v>
      </c>
      <c r="B216" s="1713">
        <f t="shared" si="32"/>
        <v>2743.8606468000003</v>
      </c>
      <c r="C216" s="1713">
        <f t="shared" si="32"/>
        <v>2743.8606468000003</v>
      </c>
      <c r="D216" s="1713">
        <f t="shared" si="32"/>
        <v>2743.8606468000003</v>
      </c>
      <c r="E216" s="1713">
        <f t="shared" si="32"/>
        <v>2743.8606468000003</v>
      </c>
      <c r="F216" s="1713">
        <f t="shared" si="32"/>
        <v>2743.8606468000003</v>
      </c>
      <c r="G216" s="1713">
        <f t="shared" si="32"/>
        <v>2743.8606468000003</v>
      </c>
      <c r="H216" s="1713">
        <f t="shared" si="32"/>
        <v>2743.8606468000003</v>
      </c>
      <c r="I216" s="1713">
        <f t="shared" si="32"/>
        <v>2743.8606468000003</v>
      </c>
      <c r="J216" s="1713">
        <f t="shared" si="32"/>
        <v>2743.8606468000003</v>
      </c>
      <c r="K216" s="1713">
        <f t="shared" si="32"/>
        <v>2743.8606468000003</v>
      </c>
      <c r="L216" s="1713">
        <f t="shared" si="32"/>
        <v>2743.8606468000003</v>
      </c>
    </row>
    <row r="217" spans="1:13" s="1634" customFormat="1">
      <c r="A217" s="1700" t="s">
        <v>2664</v>
      </c>
      <c r="B217" s="1713">
        <f t="shared" si="32"/>
        <v>2469.4745821200004</v>
      </c>
      <c r="C217" s="1713">
        <f t="shared" si="32"/>
        <v>2469.4745821200004</v>
      </c>
      <c r="D217" s="1713">
        <f t="shared" si="32"/>
        <v>2469.4745821200004</v>
      </c>
      <c r="E217" s="1713">
        <f t="shared" si="32"/>
        <v>2469.4745821200004</v>
      </c>
      <c r="F217" s="1713">
        <f t="shared" si="32"/>
        <v>2469.4745821200004</v>
      </c>
      <c r="G217" s="1713">
        <f t="shared" si="32"/>
        <v>2469.4745821200004</v>
      </c>
      <c r="H217" s="1713">
        <f t="shared" si="32"/>
        <v>2469.4745821200004</v>
      </c>
      <c r="I217" s="1713">
        <f t="shared" si="32"/>
        <v>2469.4745821200004</v>
      </c>
      <c r="J217" s="1713">
        <f t="shared" si="32"/>
        <v>2469.4745821200004</v>
      </c>
      <c r="K217" s="1713">
        <f t="shared" si="32"/>
        <v>2469.4745821200004</v>
      </c>
      <c r="L217" s="1713">
        <f t="shared" si="32"/>
        <v>2469.4745821200004</v>
      </c>
      <c r="M217" s="1694"/>
    </row>
    <row r="218" spans="1:13" s="1634" customFormat="1">
      <c r="A218" s="1697" t="s">
        <v>2665</v>
      </c>
      <c r="B218" s="1714"/>
      <c r="C218" s="1714"/>
      <c r="D218" s="1714"/>
      <c r="E218" s="1714"/>
      <c r="F218" s="1714"/>
      <c r="G218" s="1714"/>
      <c r="H218" s="1714"/>
      <c r="I218" s="1714"/>
      <c r="J218" s="1714"/>
      <c r="K218" s="1714"/>
      <c r="L218" s="1714"/>
    </row>
    <row r="219" spans="1:13" s="1634" customFormat="1">
      <c r="A219" s="1699" t="s">
        <v>2666</v>
      </c>
      <c r="B219" s="1713">
        <f t="shared" ref="B219:L225" si="33">B171*B123</f>
        <v>539.14514999999994</v>
      </c>
      <c r="C219" s="1713">
        <f t="shared" si="33"/>
        <v>539.14514999999994</v>
      </c>
      <c r="D219" s="1713">
        <f t="shared" si="33"/>
        <v>539.14514999999994</v>
      </c>
      <c r="E219" s="1713">
        <f t="shared" si="33"/>
        <v>539.14514999999994</v>
      </c>
      <c r="F219" s="1713">
        <f t="shared" si="33"/>
        <v>539.14514999999994</v>
      </c>
      <c r="G219" s="1713">
        <f t="shared" si="33"/>
        <v>539.14514999999994</v>
      </c>
      <c r="H219" s="1713">
        <f t="shared" si="33"/>
        <v>539.14514999999994</v>
      </c>
      <c r="I219" s="1713">
        <f t="shared" si="33"/>
        <v>539.14514999999994</v>
      </c>
      <c r="J219" s="1713">
        <f t="shared" si="33"/>
        <v>539.14514999999994</v>
      </c>
      <c r="K219" s="1713">
        <f t="shared" si="33"/>
        <v>539.14514999999994</v>
      </c>
      <c r="L219" s="1713">
        <f t="shared" si="33"/>
        <v>539.14514999999994</v>
      </c>
    </row>
    <row r="220" spans="1:13" s="1634" customFormat="1">
      <c r="A220" s="1699" t="s">
        <v>2667</v>
      </c>
      <c r="B220" s="1713">
        <f t="shared" si="33"/>
        <v>563.51985000000002</v>
      </c>
      <c r="C220" s="1713">
        <f t="shared" si="33"/>
        <v>563.51985000000002</v>
      </c>
      <c r="D220" s="1713">
        <f t="shared" si="33"/>
        <v>563.51985000000002</v>
      </c>
      <c r="E220" s="1713">
        <f t="shared" si="33"/>
        <v>563.51985000000002</v>
      </c>
      <c r="F220" s="1713">
        <f t="shared" si="33"/>
        <v>563.51985000000002</v>
      </c>
      <c r="G220" s="1713">
        <f t="shared" si="33"/>
        <v>563.51985000000002</v>
      </c>
      <c r="H220" s="1713">
        <f t="shared" si="33"/>
        <v>563.51985000000002</v>
      </c>
      <c r="I220" s="1713">
        <f t="shared" si="33"/>
        <v>563.51985000000002</v>
      </c>
      <c r="J220" s="1713">
        <f t="shared" si="33"/>
        <v>563.51985000000002</v>
      </c>
      <c r="K220" s="1713">
        <f t="shared" si="33"/>
        <v>563.51985000000002</v>
      </c>
      <c r="L220" s="1713">
        <f t="shared" si="33"/>
        <v>563.51985000000002</v>
      </c>
    </row>
    <row r="221" spans="1:13" s="1634" customFormat="1">
      <c r="A221" s="1695" t="s">
        <v>2668</v>
      </c>
      <c r="B221" s="1713">
        <f t="shared" si="33"/>
        <v>512.18789249999986</v>
      </c>
      <c r="C221" s="1713">
        <f t="shared" si="33"/>
        <v>512.18789249999986</v>
      </c>
      <c r="D221" s="1713">
        <f t="shared" si="33"/>
        <v>512.18789249999986</v>
      </c>
      <c r="E221" s="1713">
        <f t="shared" si="33"/>
        <v>512.18789249999986</v>
      </c>
      <c r="F221" s="1713">
        <f t="shared" si="33"/>
        <v>512.18789249999986</v>
      </c>
      <c r="G221" s="1713">
        <f t="shared" si="33"/>
        <v>512.18789249999986</v>
      </c>
      <c r="H221" s="1713">
        <f t="shared" si="33"/>
        <v>512.18789249999986</v>
      </c>
      <c r="I221" s="1713">
        <f t="shared" si="33"/>
        <v>512.18789249999986</v>
      </c>
      <c r="J221" s="1713">
        <f t="shared" si="33"/>
        <v>512.18789249999986</v>
      </c>
      <c r="K221" s="1713">
        <f t="shared" si="33"/>
        <v>512.18789249999986</v>
      </c>
      <c r="L221" s="1713">
        <f t="shared" si="33"/>
        <v>512.18789249999986</v>
      </c>
    </row>
    <row r="222" spans="1:13" s="1634" customFormat="1">
      <c r="A222" s="1695" t="s">
        <v>2669</v>
      </c>
      <c r="B222" s="1713">
        <f t="shared" si="33"/>
        <v>512.18789249999986</v>
      </c>
      <c r="C222" s="1713">
        <f t="shared" si="33"/>
        <v>512.18789249999986</v>
      </c>
      <c r="D222" s="1713">
        <f t="shared" si="33"/>
        <v>512.18789249999986</v>
      </c>
      <c r="E222" s="1713">
        <f t="shared" si="33"/>
        <v>512.18789249999986</v>
      </c>
      <c r="F222" s="1713">
        <f t="shared" si="33"/>
        <v>512.18789249999986</v>
      </c>
      <c r="G222" s="1713">
        <f t="shared" si="33"/>
        <v>512.18789249999986</v>
      </c>
      <c r="H222" s="1713">
        <f t="shared" si="33"/>
        <v>512.18789249999986</v>
      </c>
      <c r="I222" s="1713">
        <f t="shared" si="33"/>
        <v>512.18789249999986</v>
      </c>
      <c r="J222" s="1713">
        <f t="shared" si="33"/>
        <v>512.18789249999986</v>
      </c>
      <c r="K222" s="1713">
        <f t="shared" si="33"/>
        <v>512.18789249999986</v>
      </c>
      <c r="L222" s="1713">
        <f t="shared" si="33"/>
        <v>512.18789249999986</v>
      </c>
    </row>
    <row r="223" spans="1:13" s="1634" customFormat="1">
      <c r="A223" s="1699" t="s">
        <v>2670</v>
      </c>
      <c r="B223" s="1713">
        <f t="shared" si="33"/>
        <v>512.18789249999986</v>
      </c>
      <c r="C223" s="1713">
        <f t="shared" si="33"/>
        <v>512.18789249999986</v>
      </c>
      <c r="D223" s="1713">
        <f t="shared" si="33"/>
        <v>512.18789249999986</v>
      </c>
      <c r="E223" s="1713">
        <f t="shared" si="33"/>
        <v>512.18789249999986</v>
      </c>
      <c r="F223" s="1713">
        <f t="shared" si="33"/>
        <v>512.18789249999986</v>
      </c>
      <c r="G223" s="1713">
        <f t="shared" si="33"/>
        <v>512.18789249999986</v>
      </c>
      <c r="H223" s="1713">
        <f t="shared" si="33"/>
        <v>512.18789249999986</v>
      </c>
      <c r="I223" s="1713">
        <f t="shared" si="33"/>
        <v>512.18789249999986</v>
      </c>
      <c r="J223" s="1713">
        <f t="shared" si="33"/>
        <v>512.18789249999986</v>
      </c>
      <c r="K223" s="1713">
        <f t="shared" si="33"/>
        <v>512.18789249999986</v>
      </c>
      <c r="L223" s="1713">
        <f t="shared" si="33"/>
        <v>512.18789249999986</v>
      </c>
      <c r="M223" s="1694"/>
    </row>
    <row r="224" spans="1:13" s="1634" customFormat="1">
      <c r="A224" s="1700" t="s">
        <v>2671</v>
      </c>
      <c r="B224" s="1713">
        <f t="shared" si="33"/>
        <v>0</v>
      </c>
      <c r="C224" s="1713">
        <f t="shared" si="33"/>
        <v>0</v>
      </c>
      <c r="D224" s="1713">
        <f t="shared" si="33"/>
        <v>0</v>
      </c>
      <c r="E224" s="1713">
        <f t="shared" si="33"/>
        <v>0</v>
      </c>
      <c r="F224" s="1713">
        <f t="shared" si="33"/>
        <v>0</v>
      </c>
      <c r="G224" s="1713">
        <f t="shared" si="33"/>
        <v>0</v>
      </c>
      <c r="H224" s="1713">
        <f t="shared" si="33"/>
        <v>0</v>
      </c>
      <c r="I224" s="1713">
        <f t="shared" si="33"/>
        <v>0</v>
      </c>
      <c r="J224" s="1713">
        <f t="shared" si="33"/>
        <v>0</v>
      </c>
      <c r="K224" s="1713">
        <f t="shared" si="33"/>
        <v>0</v>
      </c>
      <c r="L224" s="1713">
        <f t="shared" si="33"/>
        <v>0</v>
      </c>
      <c r="M224" s="1694"/>
    </row>
    <row r="225" spans="1:13" s="1634" customFormat="1">
      <c r="A225" s="1700" t="s">
        <v>2672</v>
      </c>
      <c r="B225" s="1713">
        <f t="shared" si="33"/>
        <v>563.51985000000002</v>
      </c>
      <c r="C225" s="1713">
        <f t="shared" si="33"/>
        <v>563.51985000000002</v>
      </c>
      <c r="D225" s="1713">
        <f t="shared" si="33"/>
        <v>563.51985000000002</v>
      </c>
      <c r="E225" s="1713">
        <f t="shared" si="33"/>
        <v>563.51985000000002</v>
      </c>
      <c r="F225" s="1713">
        <f t="shared" si="33"/>
        <v>563.51985000000002</v>
      </c>
      <c r="G225" s="1713">
        <f t="shared" si="33"/>
        <v>563.51985000000002</v>
      </c>
      <c r="H225" s="1713">
        <f t="shared" si="33"/>
        <v>563.51985000000002</v>
      </c>
      <c r="I225" s="1713">
        <f t="shared" si="33"/>
        <v>563.51985000000002</v>
      </c>
      <c r="J225" s="1713">
        <f t="shared" si="33"/>
        <v>563.51985000000002</v>
      </c>
      <c r="K225" s="1713">
        <f t="shared" si="33"/>
        <v>563.51985000000002</v>
      </c>
      <c r="L225" s="1713">
        <f t="shared" si="33"/>
        <v>563.51985000000002</v>
      </c>
      <c r="M225" s="1694"/>
    </row>
    <row r="226" spans="1:13" s="1634" customFormat="1">
      <c r="A226" s="1697" t="s">
        <v>2673</v>
      </c>
      <c r="B226" s="1714"/>
      <c r="C226" s="1714"/>
      <c r="D226" s="1714"/>
      <c r="E226" s="1714"/>
      <c r="F226" s="1714"/>
      <c r="G226" s="1714"/>
      <c r="H226" s="1714"/>
      <c r="I226" s="1714"/>
      <c r="J226" s="1714"/>
      <c r="K226" s="1714"/>
      <c r="L226" s="1714"/>
    </row>
    <row r="227" spans="1:13" s="1634" customFormat="1">
      <c r="A227" s="1695" t="s">
        <v>2674</v>
      </c>
      <c r="B227" s="1713">
        <f t="shared" ref="B227:L231" si="34">B179*B131</f>
        <v>533.75369849999993</v>
      </c>
      <c r="C227" s="1713">
        <f t="shared" si="34"/>
        <v>533.75369849999993</v>
      </c>
      <c r="D227" s="1713">
        <f t="shared" si="34"/>
        <v>533.75369849999993</v>
      </c>
      <c r="E227" s="1713">
        <f t="shared" si="34"/>
        <v>533.75369849999993</v>
      </c>
      <c r="F227" s="1713">
        <f t="shared" si="34"/>
        <v>533.75369849999993</v>
      </c>
      <c r="G227" s="1713">
        <f t="shared" si="34"/>
        <v>533.75369849999993</v>
      </c>
      <c r="H227" s="1713">
        <f t="shared" si="34"/>
        <v>533.75369849999993</v>
      </c>
      <c r="I227" s="1713">
        <f t="shared" si="34"/>
        <v>533.75369849999993</v>
      </c>
      <c r="J227" s="1713">
        <f t="shared" si="34"/>
        <v>533.75369849999993</v>
      </c>
      <c r="K227" s="1713">
        <f t="shared" si="34"/>
        <v>533.75369849999993</v>
      </c>
      <c r="L227" s="1713">
        <f t="shared" si="34"/>
        <v>533.75369849999993</v>
      </c>
    </row>
    <row r="228" spans="1:13" s="1634" customFormat="1">
      <c r="A228" s="1695" t="s">
        <v>2675</v>
      </c>
      <c r="B228" s="1713">
        <f t="shared" si="34"/>
        <v>593.059665</v>
      </c>
      <c r="C228" s="1713">
        <f t="shared" si="34"/>
        <v>593.059665</v>
      </c>
      <c r="D228" s="1713">
        <f t="shared" si="34"/>
        <v>593.059665</v>
      </c>
      <c r="E228" s="1713">
        <f t="shared" si="34"/>
        <v>593.059665</v>
      </c>
      <c r="F228" s="1713">
        <f t="shared" si="34"/>
        <v>593.059665</v>
      </c>
      <c r="G228" s="1713">
        <f t="shared" si="34"/>
        <v>593.059665</v>
      </c>
      <c r="H228" s="1713">
        <f t="shared" si="34"/>
        <v>593.059665</v>
      </c>
      <c r="I228" s="1713">
        <f t="shared" si="34"/>
        <v>593.059665</v>
      </c>
      <c r="J228" s="1713">
        <f t="shared" si="34"/>
        <v>593.059665</v>
      </c>
      <c r="K228" s="1713">
        <f t="shared" si="34"/>
        <v>593.059665</v>
      </c>
      <c r="L228" s="1713">
        <f t="shared" si="34"/>
        <v>593.059665</v>
      </c>
    </row>
    <row r="229" spans="1:13" s="1634" customFormat="1">
      <c r="A229" s="1696" t="s">
        <v>2676</v>
      </c>
      <c r="B229" s="1713">
        <f t="shared" si="34"/>
        <v>533.75369849999993</v>
      </c>
      <c r="C229" s="1713">
        <f t="shared" si="34"/>
        <v>533.75369849999993</v>
      </c>
      <c r="D229" s="1713">
        <f t="shared" si="34"/>
        <v>533.75369849999993</v>
      </c>
      <c r="E229" s="1713">
        <f t="shared" si="34"/>
        <v>533.75369849999993</v>
      </c>
      <c r="F229" s="1713">
        <f t="shared" si="34"/>
        <v>533.75369849999993</v>
      </c>
      <c r="G229" s="1713">
        <f t="shared" si="34"/>
        <v>533.75369849999993</v>
      </c>
      <c r="H229" s="1713">
        <f t="shared" si="34"/>
        <v>533.75369849999993</v>
      </c>
      <c r="I229" s="1713">
        <f t="shared" si="34"/>
        <v>533.75369849999993</v>
      </c>
      <c r="J229" s="1713">
        <f t="shared" si="34"/>
        <v>533.75369849999993</v>
      </c>
      <c r="K229" s="1713">
        <f t="shared" si="34"/>
        <v>533.75369849999993</v>
      </c>
      <c r="L229" s="1713">
        <f t="shared" si="34"/>
        <v>533.75369849999993</v>
      </c>
    </row>
    <row r="230" spans="1:13" s="1634" customFormat="1">
      <c r="A230" s="1696" t="s">
        <v>2677</v>
      </c>
      <c r="B230" s="1713">
        <f t="shared" si="34"/>
        <v>480.3783286499999</v>
      </c>
      <c r="C230" s="1713">
        <f t="shared" si="34"/>
        <v>480.3783286499999</v>
      </c>
      <c r="D230" s="1713">
        <f t="shared" si="34"/>
        <v>480.3783286499999</v>
      </c>
      <c r="E230" s="1713">
        <f t="shared" si="34"/>
        <v>480.3783286499999</v>
      </c>
      <c r="F230" s="1713">
        <f t="shared" si="34"/>
        <v>480.3783286499999</v>
      </c>
      <c r="G230" s="1713">
        <f t="shared" si="34"/>
        <v>480.3783286499999</v>
      </c>
      <c r="H230" s="1713">
        <f t="shared" si="34"/>
        <v>480.3783286499999</v>
      </c>
      <c r="I230" s="1713">
        <f t="shared" si="34"/>
        <v>480.3783286499999</v>
      </c>
      <c r="J230" s="1713">
        <f t="shared" si="34"/>
        <v>480.3783286499999</v>
      </c>
      <c r="K230" s="1713">
        <f t="shared" si="34"/>
        <v>480.3783286499999</v>
      </c>
      <c r="L230" s="1713">
        <f t="shared" si="34"/>
        <v>480.3783286499999</v>
      </c>
    </row>
    <row r="231" spans="1:13" s="1634" customFormat="1">
      <c r="A231" s="1700" t="s">
        <v>2678</v>
      </c>
      <c r="B231" s="1713">
        <f t="shared" si="34"/>
        <v>0</v>
      </c>
      <c r="C231" s="1713">
        <f t="shared" si="34"/>
        <v>0</v>
      </c>
      <c r="D231" s="1713">
        <f t="shared" si="34"/>
        <v>0</v>
      </c>
      <c r="E231" s="1713">
        <f t="shared" si="34"/>
        <v>0</v>
      </c>
      <c r="F231" s="1713">
        <f t="shared" si="34"/>
        <v>0</v>
      </c>
      <c r="G231" s="1713">
        <f t="shared" si="34"/>
        <v>0</v>
      </c>
      <c r="H231" s="1713">
        <f t="shared" si="34"/>
        <v>0</v>
      </c>
      <c r="I231" s="1713">
        <f t="shared" si="34"/>
        <v>0</v>
      </c>
      <c r="J231" s="1713">
        <f t="shared" si="34"/>
        <v>0</v>
      </c>
      <c r="K231" s="1713">
        <f t="shared" si="34"/>
        <v>0</v>
      </c>
      <c r="L231" s="1713">
        <f t="shared" si="34"/>
        <v>0</v>
      </c>
    </row>
    <row r="232" spans="1:13" s="1634" customFormat="1">
      <c r="A232" s="1697" t="s">
        <v>2679</v>
      </c>
      <c r="B232" s="1714"/>
      <c r="C232" s="1714"/>
      <c r="D232" s="1714"/>
      <c r="E232" s="1714"/>
      <c r="F232" s="1714"/>
      <c r="G232" s="1714"/>
      <c r="H232" s="1714"/>
      <c r="I232" s="1714"/>
      <c r="J232" s="1714"/>
      <c r="K232" s="1714"/>
      <c r="L232" s="1714"/>
    </row>
    <row r="233" spans="1:13" s="1634" customFormat="1">
      <c r="A233" s="1700" t="s">
        <v>2680</v>
      </c>
      <c r="B233" s="1713">
        <f t="shared" ref="B233:L233" si="35">B185*B137</f>
        <v>539.14514999999994</v>
      </c>
      <c r="C233" s="1713">
        <f t="shared" si="35"/>
        <v>539.14514999999994</v>
      </c>
      <c r="D233" s="1713">
        <f t="shared" si="35"/>
        <v>539.14514999999994</v>
      </c>
      <c r="E233" s="1713">
        <f t="shared" si="35"/>
        <v>539.14514999999994</v>
      </c>
      <c r="F233" s="1713">
        <f t="shared" si="35"/>
        <v>539.14514999999994</v>
      </c>
      <c r="G233" s="1713">
        <f t="shared" si="35"/>
        <v>539.14514999999994</v>
      </c>
      <c r="H233" s="1713">
        <f t="shared" si="35"/>
        <v>539.14514999999994</v>
      </c>
      <c r="I233" s="1713">
        <f t="shared" si="35"/>
        <v>539.14514999999994</v>
      </c>
      <c r="J233" s="1713">
        <f t="shared" si="35"/>
        <v>539.14514999999994</v>
      </c>
      <c r="K233" s="1713">
        <f t="shared" si="35"/>
        <v>539.14514999999994</v>
      </c>
      <c r="L233" s="1713">
        <f t="shared" si="35"/>
        <v>539.14514999999994</v>
      </c>
    </row>
    <row r="234" spans="1:13" s="1634" customFormat="1">
      <c r="A234" s="1697" t="s">
        <v>2708</v>
      </c>
      <c r="B234" s="1714"/>
      <c r="C234" s="1714"/>
      <c r="D234" s="1714"/>
      <c r="E234" s="1714"/>
      <c r="F234" s="1714"/>
      <c r="G234" s="1714"/>
      <c r="H234" s="1714"/>
      <c r="I234" s="1714"/>
      <c r="J234" s="1714"/>
      <c r="K234" s="1714"/>
      <c r="L234" s="1714"/>
    </row>
    <row r="235" spans="1:13" s="1634" customFormat="1">
      <c r="A235" s="1699" t="s">
        <v>2682</v>
      </c>
      <c r="B235" s="1713">
        <f t="shared" ref="B235:L249" si="36">B187*B139</f>
        <v>69.641999999999996</v>
      </c>
      <c r="C235" s="1713">
        <f t="shared" si="36"/>
        <v>69.641999999999996</v>
      </c>
      <c r="D235" s="1713">
        <f t="shared" si="36"/>
        <v>69.641999999999996</v>
      </c>
      <c r="E235" s="1713">
        <f t="shared" si="36"/>
        <v>69.641999999999996</v>
      </c>
      <c r="F235" s="1713">
        <f t="shared" si="36"/>
        <v>69.641999999999996</v>
      </c>
      <c r="G235" s="1713">
        <f t="shared" si="36"/>
        <v>69.641999999999996</v>
      </c>
      <c r="H235" s="1713">
        <f t="shared" si="36"/>
        <v>69.641999999999996</v>
      </c>
      <c r="I235" s="1713">
        <f t="shared" si="36"/>
        <v>69.641999999999996</v>
      </c>
      <c r="J235" s="1713">
        <f t="shared" si="36"/>
        <v>69.641999999999996</v>
      </c>
      <c r="K235" s="1713">
        <f t="shared" si="36"/>
        <v>69.641999999999996</v>
      </c>
      <c r="L235" s="1713">
        <f t="shared" si="36"/>
        <v>69.641999999999996</v>
      </c>
    </row>
    <row r="236" spans="1:13" s="1634" customFormat="1">
      <c r="A236" s="1699" t="s">
        <v>2683</v>
      </c>
      <c r="B236" s="1713">
        <f t="shared" si="36"/>
        <v>214.72950000000003</v>
      </c>
      <c r="C236" s="1713">
        <f t="shared" si="36"/>
        <v>214.72950000000003</v>
      </c>
      <c r="D236" s="1713">
        <f t="shared" si="36"/>
        <v>214.72950000000003</v>
      </c>
      <c r="E236" s="1713">
        <f t="shared" si="36"/>
        <v>214.72950000000003</v>
      </c>
      <c r="F236" s="1713">
        <f t="shared" si="36"/>
        <v>214.72950000000003</v>
      </c>
      <c r="G236" s="1713">
        <f t="shared" si="36"/>
        <v>214.72950000000003</v>
      </c>
      <c r="H236" s="1713">
        <f t="shared" si="36"/>
        <v>214.72950000000003</v>
      </c>
      <c r="I236" s="1713">
        <f t="shared" si="36"/>
        <v>214.72950000000003</v>
      </c>
      <c r="J236" s="1713">
        <f t="shared" si="36"/>
        <v>214.72950000000003</v>
      </c>
      <c r="K236" s="1713">
        <f t="shared" si="36"/>
        <v>214.72950000000003</v>
      </c>
      <c r="L236" s="1713">
        <f t="shared" si="36"/>
        <v>214.72950000000003</v>
      </c>
    </row>
    <row r="237" spans="1:13" s="1634" customFormat="1">
      <c r="A237" s="1699" t="s">
        <v>2684</v>
      </c>
      <c r="B237" s="1713">
        <f t="shared" si="36"/>
        <v>643.25994000000003</v>
      </c>
      <c r="C237" s="1713">
        <f t="shared" si="36"/>
        <v>643.25994000000003</v>
      </c>
      <c r="D237" s="1713">
        <f t="shared" si="36"/>
        <v>643.25994000000003</v>
      </c>
      <c r="E237" s="1713">
        <f t="shared" si="36"/>
        <v>643.25994000000003</v>
      </c>
      <c r="F237" s="1713">
        <f t="shared" si="36"/>
        <v>643.25994000000003</v>
      </c>
      <c r="G237" s="1713">
        <f t="shared" si="36"/>
        <v>643.25994000000003</v>
      </c>
      <c r="H237" s="1713">
        <f t="shared" si="36"/>
        <v>643.25994000000003</v>
      </c>
      <c r="I237" s="1713">
        <f t="shared" si="36"/>
        <v>643.25994000000003</v>
      </c>
      <c r="J237" s="1713">
        <f t="shared" si="36"/>
        <v>643.25994000000003</v>
      </c>
      <c r="K237" s="1713">
        <f t="shared" si="36"/>
        <v>643.25994000000003</v>
      </c>
      <c r="L237" s="1713">
        <f t="shared" si="36"/>
        <v>643.25994000000003</v>
      </c>
    </row>
    <row r="238" spans="1:13" s="1634" customFormat="1">
      <c r="A238" s="1699" t="s">
        <v>2685</v>
      </c>
      <c r="B238" s="1713">
        <f t="shared" si="36"/>
        <v>176.4264</v>
      </c>
      <c r="C238" s="1713">
        <f t="shared" si="36"/>
        <v>176.4264</v>
      </c>
      <c r="D238" s="1713">
        <f t="shared" si="36"/>
        <v>176.4264</v>
      </c>
      <c r="E238" s="1713">
        <f t="shared" si="36"/>
        <v>176.4264</v>
      </c>
      <c r="F238" s="1713">
        <f t="shared" si="36"/>
        <v>176.4264</v>
      </c>
      <c r="G238" s="1713">
        <f t="shared" si="36"/>
        <v>176.4264</v>
      </c>
      <c r="H238" s="1713">
        <f t="shared" si="36"/>
        <v>176.4264</v>
      </c>
      <c r="I238" s="1713">
        <f t="shared" si="36"/>
        <v>176.4264</v>
      </c>
      <c r="J238" s="1713">
        <f t="shared" si="36"/>
        <v>176.4264</v>
      </c>
      <c r="K238" s="1713">
        <f t="shared" si="36"/>
        <v>176.4264</v>
      </c>
      <c r="L238" s="1713">
        <f t="shared" si="36"/>
        <v>176.4264</v>
      </c>
    </row>
    <row r="239" spans="1:13" s="1634" customFormat="1">
      <c r="A239" s="1700" t="s">
        <v>2686</v>
      </c>
      <c r="B239" s="1713">
        <f t="shared" si="36"/>
        <v>132.31980000000001</v>
      </c>
      <c r="C239" s="1713">
        <f t="shared" si="36"/>
        <v>132.31980000000001</v>
      </c>
      <c r="D239" s="1713">
        <f t="shared" si="36"/>
        <v>132.31980000000001</v>
      </c>
      <c r="E239" s="1713">
        <f t="shared" si="36"/>
        <v>132.31980000000001</v>
      </c>
      <c r="F239" s="1713">
        <f t="shared" si="36"/>
        <v>132.31980000000001</v>
      </c>
      <c r="G239" s="1713">
        <f t="shared" si="36"/>
        <v>132.31980000000001</v>
      </c>
      <c r="H239" s="1713">
        <f t="shared" si="36"/>
        <v>132.31980000000001</v>
      </c>
      <c r="I239" s="1713">
        <f t="shared" si="36"/>
        <v>132.31980000000001</v>
      </c>
      <c r="J239" s="1713">
        <f t="shared" si="36"/>
        <v>132.31980000000001</v>
      </c>
      <c r="K239" s="1713">
        <f t="shared" si="36"/>
        <v>132.31980000000001</v>
      </c>
      <c r="L239" s="1713">
        <f t="shared" si="36"/>
        <v>132.31980000000001</v>
      </c>
    </row>
    <row r="240" spans="1:13" s="1634" customFormat="1">
      <c r="A240" s="1699" t="s">
        <v>2687</v>
      </c>
      <c r="B240" s="1713">
        <f t="shared" si="36"/>
        <v>524.63639999999998</v>
      </c>
      <c r="C240" s="1713">
        <f t="shared" si="36"/>
        <v>524.63639999999998</v>
      </c>
      <c r="D240" s="1713">
        <f t="shared" si="36"/>
        <v>524.63639999999998</v>
      </c>
      <c r="E240" s="1713">
        <f t="shared" si="36"/>
        <v>524.63639999999998</v>
      </c>
      <c r="F240" s="1713">
        <f t="shared" si="36"/>
        <v>524.63639999999998</v>
      </c>
      <c r="G240" s="1713">
        <f t="shared" si="36"/>
        <v>524.63639999999998</v>
      </c>
      <c r="H240" s="1713">
        <f t="shared" si="36"/>
        <v>524.63639999999998</v>
      </c>
      <c r="I240" s="1713">
        <f t="shared" si="36"/>
        <v>524.63639999999998</v>
      </c>
      <c r="J240" s="1713">
        <f t="shared" si="36"/>
        <v>524.63639999999998</v>
      </c>
      <c r="K240" s="1713">
        <f t="shared" si="36"/>
        <v>524.63639999999998</v>
      </c>
      <c r="L240" s="1713">
        <f t="shared" si="36"/>
        <v>524.63639999999998</v>
      </c>
    </row>
    <row r="241" spans="1:13" s="1634" customFormat="1">
      <c r="A241" s="1700" t="s">
        <v>2688</v>
      </c>
      <c r="B241" s="1713">
        <f t="shared" si="36"/>
        <v>393.47730000000001</v>
      </c>
      <c r="C241" s="1713">
        <f t="shared" si="36"/>
        <v>393.47730000000001</v>
      </c>
      <c r="D241" s="1713">
        <f t="shared" si="36"/>
        <v>393.47730000000001</v>
      </c>
      <c r="E241" s="1713">
        <f t="shared" si="36"/>
        <v>393.47730000000001</v>
      </c>
      <c r="F241" s="1713">
        <f t="shared" si="36"/>
        <v>393.47730000000001</v>
      </c>
      <c r="G241" s="1713">
        <f t="shared" si="36"/>
        <v>393.47730000000001</v>
      </c>
      <c r="H241" s="1713">
        <f t="shared" si="36"/>
        <v>393.47730000000001</v>
      </c>
      <c r="I241" s="1713">
        <f t="shared" si="36"/>
        <v>393.47730000000001</v>
      </c>
      <c r="J241" s="1713">
        <f t="shared" si="36"/>
        <v>393.47730000000001</v>
      </c>
      <c r="K241" s="1713">
        <f t="shared" si="36"/>
        <v>393.47730000000001</v>
      </c>
      <c r="L241" s="1713">
        <f t="shared" si="36"/>
        <v>393.47730000000001</v>
      </c>
    </row>
    <row r="242" spans="1:13" s="1634" customFormat="1">
      <c r="A242" s="1699" t="s">
        <v>2689</v>
      </c>
      <c r="B242" s="1713">
        <f t="shared" si="36"/>
        <v>464.28000000000003</v>
      </c>
      <c r="C242" s="1713">
        <f t="shared" si="36"/>
        <v>464.28000000000003</v>
      </c>
      <c r="D242" s="1713">
        <f t="shared" si="36"/>
        <v>464.28000000000003</v>
      </c>
      <c r="E242" s="1713">
        <f t="shared" si="36"/>
        <v>464.28000000000003</v>
      </c>
      <c r="F242" s="1713">
        <f t="shared" si="36"/>
        <v>464.28000000000003</v>
      </c>
      <c r="G242" s="1713">
        <f t="shared" si="36"/>
        <v>464.28000000000003</v>
      </c>
      <c r="H242" s="1713">
        <f t="shared" si="36"/>
        <v>464.28000000000003</v>
      </c>
      <c r="I242" s="1713">
        <f t="shared" si="36"/>
        <v>464.28000000000003</v>
      </c>
      <c r="J242" s="1713">
        <f t="shared" si="36"/>
        <v>464.28000000000003</v>
      </c>
      <c r="K242" s="1713">
        <f t="shared" si="36"/>
        <v>464.28000000000003</v>
      </c>
      <c r="L242" s="1713">
        <f t="shared" si="36"/>
        <v>464.28000000000003</v>
      </c>
    </row>
    <row r="243" spans="1:13" s="1634" customFormat="1">
      <c r="A243" s="1700" t="s">
        <v>2690</v>
      </c>
      <c r="B243" s="1713">
        <f t="shared" si="36"/>
        <v>348.21</v>
      </c>
      <c r="C243" s="1713">
        <f t="shared" si="36"/>
        <v>348.21</v>
      </c>
      <c r="D243" s="1713">
        <f t="shared" si="36"/>
        <v>348.21</v>
      </c>
      <c r="E243" s="1713">
        <f t="shared" si="36"/>
        <v>348.21</v>
      </c>
      <c r="F243" s="1713">
        <f t="shared" si="36"/>
        <v>348.21</v>
      </c>
      <c r="G243" s="1713">
        <f t="shared" si="36"/>
        <v>348.21</v>
      </c>
      <c r="H243" s="1713">
        <f t="shared" si="36"/>
        <v>348.21</v>
      </c>
      <c r="I243" s="1713">
        <f t="shared" si="36"/>
        <v>348.21</v>
      </c>
      <c r="J243" s="1713">
        <f t="shared" si="36"/>
        <v>348.21</v>
      </c>
      <c r="K243" s="1713">
        <f t="shared" si="36"/>
        <v>348.21</v>
      </c>
      <c r="L243" s="1713">
        <f t="shared" si="36"/>
        <v>348.21</v>
      </c>
    </row>
    <row r="244" spans="1:13" s="1634" customFormat="1">
      <c r="A244" s="1699" t="s">
        <v>2691</v>
      </c>
      <c r="B244" s="1713">
        <f t="shared" si="36"/>
        <v>222.8544</v>
      </c>
      <c r="C244" s="1713">
        <f t="shared" si="36"/>
        <v>222.8544</v>
      </c>
      <c r="D244" s="1713">
        <f t="shared" si="36"/>
        <v>222.8544</v>
      </c>
      <c r="E244" s="1713">
        <f t="shared" si="36"/>
        <v>222.8544</v>
      </c>
      <c r="F244" s="1713">
        <f t="shared" si="36"/>
        <v>222.8544</v>
      </c>
      <c r="G244" s="1713">
        <f t="shared" si="36"/>
        <v>222.8544</v>
      </c>
      <c r="H244" s="1713">
        <f t="shared" si="36"/>
        <v>222.8544</v>
      </c>
      <c r="I244" s="1713">
        <f t="shared" si="36"/>
        <v>222.8544</v>
      </c>
      <c r="J244" s="1713">
        <f t="shared" si="36"/>
        <v>222.8544</v>
      </c>
      <c r="K244" s="1713">
        <f t="shared" si="36"/>
        <v>222.8544</v>
      </c>
      <c r="L244" s="1713">
        <f t="shared" si="36"/>
        <v>222.8544</v>
      </c>
    </row>
    <row r="245" spans="1:13" s="1634" customFormat="1">
      <c r="A245" s="1700" t="s">
        <v>2692</v>
      </c>
      <c r="B245" s="1713">
        <f t="shared" si="36"/>
        <v>167.14079999999998</v>
      </c>
      <c r="C245" s="1713">
        <f t="shared" si="36"/>
        <v>167.14079999999998</v>
      </c>
      <c r="D245" s="1713">
        <f t="shared" si="36"/>
        <v>167.14079999999998</v>
      </c>
      <c r="E245" s="1713">
        <f t="shared" si="36"/>
        <v>167.14079999999998</v>
      </c>
      <c r="F245" s="1713">
        <f t="shared" si="36"/>
        <v>167.14079999999998</v>
      </c>
      <c r="G245" s="1713">
        <f t="shared" si="36"/>
        <v>167.14079999999998</v>
      </c>
      <c r="H245" s="1713">
        <f t="shared" si="36"/>
        <v>167.14079999999998</v>
      </c>
      <c r="I245" s="1713">
        <f t="shared" si="36"/>
        <v>167.14079999999998</v>
      </c>
      <c r="J245" s="1713">
        <f t="shared" si="36"/>
        <v>167.14079999999998</v>
      </c>
      <c r="K245" s="1713">
        <f t="shared" si="36"/>
        <v>167.14079999999998</v>
      </c>
      <c r="L245" s="1713">
        <f t="shared" si="36"/>
        <v>167.14079999999998</v>
      </c>
    </row>
    <row r="246" spans="1:13" s="1634" customFormat="1">
      <c r="A246" s="1699" t="s">
        <v>2693</v>
      </c>
      <c r="B246" s="1713">
        <f t="shared" si="36"/>
        <v>232.14000000000001</v>
      </c>
      <c r="C246" s="1713">
        <f t="shared" si="36"/>
        <v>232.14000000000001</v>
      </c>
      <c r="D246" s="1713">
        <f t="shared" si="36"/>
        <v>232.14000000000001</v>
      </c>
      <c r="E246" s="1713">
        <f t="shared" si="36"/>
        <v>232.14000000000001</v>
      </c>
      <c r="F246" s="1713">
        <f t="shared" si="36"/>
        <v>232.14000000000001</v>
      </c>
      <c r="G246" s="1713">
        <f t="shared" si="36"/>
        <v>232.14000000000001</v>
      </c>
      <c r="H246" s="1713">
        <f t="shared" si="36"/>
        <v>232.14000000000001</v>
      </c>
      <c r="I246" s="1713">
        <f t="shared" si="36"/>
        <v>232.14000000000001</v>
      </c>
      <c r="J246" s="1713">
        <f t="shared" si="36"/>
        <v>232.14000000000001</v>
      </c>
      <c r="K246" s="1713">
        <f t="shared" si="36"/>
        <v>232.14000000000001</v>
      </c>
      <c r="L246" s="1713">
        <f t="shared" si="36"/>
        <v>232.14000000000001</v>
      </c>
    </row>
    <row r="247" spans="1:13" s="1634" customFormat="1">
      <c r="A247" s="1701" t="s">
        <v>2694</v>
      </c>
      <c r="B247" s="1713">
        <f t="shared" si="36"/>
        <v>269.07379199999997</v>
      </c>
      <c r="C247" s="1713">
        <f t="shared" si="36"/>
        <v>269.07379199999997</v>
      </c>
      <c r="D247" s="1713">
        <f t="shared" si="36"/>
        <v>269.07379199999997</v>
      </c>
      <c r="E247" s="1713">
        <f t="shared" si="36"/>
        <v>269.07379199999997</v>
      </c>
      <c r="F247" s="1713">
        <f t="shared" si="36"/>
        <v>269.07379199999997</v>
      </c>
      <c r="G247" s="1713">
        <f t="shared" si="36"/>
        <v>269.07379199999997</v>
      </c>
      <c r="H247" s="1713">
        <f t="shared" si="36"/>
        <v>269.07379199999997</v>
      </c>
      <c r="I247" s="1713">
        <f t="shared" si="36"/>
        <v>269.07379199999997</v>
      </c>
      <c r="J247" s="1713">
        <f t="shared" si="36"/>
        <v>269.07379199999997</v>
      </c>
      <c r="K247" s="1713">
        <f t="shared" si="36"/>
        <v>269.07379199999997</v>
      </c>
      <c r="L247" s="1713">
        <f t="shared" si="36"/>
        <v>269.07379199999997</v>
      </c>
    </row>
    <row r="248" spans="1:13" s="1710" customFormat="1">
      <c r="A248" s="1709" t="s">
        <v>2695</v>
      </c>
      <c r="B248" s="1715">
        <f t="shared" si="36"/>
        <v>755.47641599999997</v>
      </c>
      <c r="C248" s="1715">
        <f t="shared" si="36"/>
        <v>755.47641599999997</v>
      </c>
      <c r="D248" s="1715">
        <f t="shared" si="36"/>
        <v>755.47641599999997</v>
      </c>
      <c r="E248" s="1715">
        <f t="shared" si="36"/>
        <v>755.47641599999997</v>
      </c>
      <c r="F248" s="1715">
        <f t="shared" si="36"/>
        <v>755.47641599999997</v>
      </c>
      <c r="G248" s="1715">
        <f t="shared" si="36"/>
        <v>755.47641599999997</v>
      </c>
      <c r="H248" s="1715">
        <f t="shared" si="36"/>
        <v>755.47641599999997</v>
      </c>
      <c r="I248" s="1715">
        <f t="shared" si="36"/>
        <v>755.47641599999997</v>
      </c>
      <c r="J248" s="1715">
        <f t="shared" si="36"/>
        <v>755.47641599999997</v>
      </c>
      <c r="K248" s="1715">
        <f t="shared" si="36"/>
        <v>755.47641599999997</v>
      </c>
      <c r="L248" s="1715">
        <f t="shared" si="36"/>
        <v>755.47641599999997</v>
      </c>
    </row>
    <row r="249" spans="1:13" s="1634" customFormat="1">
      <c r="A249" s="1703" t="s">
        <v>2696</v>
      </c>
      <c r="B249" s="1713">
        <f t="shared" si="36"/>
        <v>269.07379199999997</v>
      </c>
      <c r="C249" s="1713">
        <f t="shared" si="36"/>
        <v>269.07379199999997</v>
      </c>
      <c r="D249" s="1713">
        <f t="shared" si="36"/>
        <v>269.07379199999997</v>
      </c>
      <c r="E249" s="1713">
        <f t="shared" si="36"/>
        <v>269.07379199999997</v>
      </c>
      <c r="F249" s="1713">
        <f t="shared" si="36"/>
        <v>269.07379199999997</v>
      </c>
      <c r="G249" s="1713">
        <f t="shared" si="36"/>
        <v>269.07379199999997</v>
      </c>
      <c r="H249" s="1713">
        <f t="shared" si="36"/>
        <v>269.07379199999997</v>
      </c>
      <c r="I249" s="1713">
        <f t="shared" si="36"/>
        <v>269.07379199999997</v>
      </c>
      <c r="J249" s="1713">
        <f t="shared" si="36"/>
        <v>269.07379199999997</v>
      </c>
      <c r="K249" s="1713">
        <f t="shared" si="36"/>
        <v>269.07379199999997</v>
      </c>
      <c r="L249" s="1713">
        <f t="shared" si="36"/>
        <v>269.07379199999997</v>
      </c>
    </row>
    <row r="250" spans="1:13" s="1634" customFormat="1" ht="15.75">
      <c r="A250" s="1716" t="s">
        <v>2709</v>
      </c>
      <c r="B250" s="1717"/>
      <c r="C250" s="1717"/>
      <c r="D250" s="1717"/>
      <c r="E250" s="1717"/>
      <c r="F250" s="1717"/>
      <c r="G250" s="1717"/>
      <c r="H250" s="1717"/>
      <c r="I250" s="1717"/>
      <c r="J250" s="1717"/>
      <c r="K250" s="1717"/>
      <c r="L250" s="1717"/>
    </row>
    <row r="251" spans="1:13" s="1634" customFormat="1">
      <c r="A251" s="1648" t="s">
        <v>2650</v>
      </c>
      <c r="B251" s="1718">
        <v>0.7</v>
      </c>
      <c r="C251" s="1719">
        <v>0.7</v>
      </c>
      <c r="D251" s="1719">
        <v>0.7</v>
      </c>
      <c r="E251" s="1719">
        <v>0.7</v>
      </c>
      <c r="F251" s="1719">
        <v>0.7</v>
      </c>
      <c r="G251" s="1719">
        <v>0.7</v>
      </c>
      <c r="H251" s="1719">
        <v>0.7</v>
      </c>
      <c r="I251" s="1719">
        <v>0.7</v>
      </c>
      <c r="J251" s="1719">
        <v>0.7</v>
      </c>
      <c r="K251" s="1719">
        <v>0.7</v>
      </c>
      <c r="L251" s="1719">
        <v>0.7</v>
      </c>
    </row>
    <row r="252" spans="1:13" s="1634" customFormat="1">
      <c r="A252" s="1651" t="s">
        <v>2651</v>
      </c>
      <c r="B252" s="1718">
        <v>0.6</v>
      </c>
      <c r="C252" s="1719">
        <v>0.6</v>
      </c>
      <c r="D252" s="1719">
        <v>0.6</v>
      </c>
      <c r="E252" s="1719">
        <v>0.6</v>
      </c>
      <c r="F252" s="1719">
        <v>0.6</v>
      </c>
      <c r="G252" s="1719">
        <v>0.6</v>
      </c>
      <c r="H252" s="1719">
        <v>0.6</v>
      </c>
      <c r="I252" s="1719">
        <v>0.6</v>
      </c>
      <c r="J252" s="1719">
        <v>0.6</v>
      </c>
      <c r="K252" s="1719">
        <v>0.6</v>
      </c>
      <c r="L252" s="1719">
        <v>0.6</v>
      </c>
    </row>
    <row r="253" spans="1:13" s="1634" customFormat="1">
      <c r="A253" s="1651" t="s">
        <v>2652</v>
      </c>
      <c r="B253" s="1718">
        <v>0.5</v>
      </c>
      <c r="C253" s="1719">
        <v>0.5</v>
      </c>
      <c r="D253" s="1719">
        <v>0.5</v>
      </c>
      <c r="E253" s="1719">
        <v>0.5</v>
      </c>
      <c r="F253" s="1719">
        <v>0.5</v>
      </c>
      <c r="G253" s="1719">
        <v>0.5</v>
      </c>
      <c r="H253" s="1719">
        <v>0.5</v>
      </c>
      <c r="I253" s="1719">
        <v>0.5</v>
      </c>
      <c r="J253" s="1719">
        <v>0.5</v>
      </c>
      <c r="K253" s="1719">
        <v>0.5</v>
      </c>
      <c r="L253" s="1719">
        <v>0.5</v>
      </c>
      <c r="M253" s="1694"/>
    </row>
    <row r="254" spans="1:13" s="1634" customFormat="1">
      <c r="A254" s="1651" t="s">
        <v>2707</v>
      </c>
      <c r="B254" s="1720"/>
      <c r="C254" s="1720"/>
      <c r="D254" s="1720"/>
      <c r="E254" s="1720"/>
      <c r="F254" s="1720"/>
      <c r="G254" s="1720"/>
      <c r="H254" s="1720"/>
      <c r="I254" s="1720"/>
      <c r="J254" s="1720"/>
      <c r="K254" s="1720"/>
      <c r="L254" s="1720"/>
      <c r="M254" s="1694"/>
    </row>
    <row r="255" spans="1:13" s="1634" customFormat="1">
      <c r="A255" s="1695" t="s">
        <v>2654</v>
      </c>
      <c r="B255" s="1718">
        <v>0.7</v>
      </c>
      <c r="C255" s="1719">
        <v>0.7</v>
      </c>
      <c r="D255" s="1719">
        <v>0.7</v>
      </c>
      <c r="E255" s="1719">
        <v>0.7</v>
      </c>
      <c r="F255" s="1719">
        <v>0.7</v>
      </c>
      <c r="G255" s="1719">
        <v>0.7</v>
      </c>
      <c r="H255" s="1719">
        <v>0.7</v>
      </c>
      <c r="I255" s="1719">
        <v>0.7</v>
      </c>
      <c r="J255" s="1719">
        <v>0.7</v>
      </c>
      <c r="K255" s="1719">
        <v>0.7</v>
      </c>
      <c r="L255" s="1719">
        <v>0.7</v>
      </c>
    </row>
    <row r="256" spans="1:13" s="1634" customFormat="1">
      <c r="A256" s="1696" t="s">
        <v>2655</v>
      </c>
      <c r="B256" s="1718">
        <v>0.7</v>
      </c>
      <c r="C256" s="1719">
        <v>0.7</v>
      </c>
      <c r="D256" s="1719">
        <v>0.7</v>
      </c>
      <c r="E256" s="1719">
        <v>0.7</v>
      </c>
      <c r="F256" s="1719">
        <v>0.7</v>
      </c>
      <c r="G256" s="1719">
        <v>0.7</v>
      </c>
      <c r="H256" s="1719">
        <v>0.7</v>
      </c>
      <c r="I256" s="1719">
        <v>0.7</v>
      </c>
      <c r="J256" s="1719">
        <v>0.7</v>
      </c>
      <c r="K256" s="1719">
        <v>0.7</v>
      </c>
      <c r="L256" s="1719">
        <v>0.7</v>
      </c>
    </row>
    <row r="257" spans="1:13" s="1634" customFormat="1">
      <c r="A257" s="1697" t="s">
        <v>2656</v>
      </c>
      <c r="B257" s="1721"/>
      <c r="C257" s="1721"/>
      <c r="D257" s="1721"/>
      <c r="E257" s="1721"/>
      <c r="F257" s="1721"/>
      <c r="G257" s="1721"/>
      <c r="H257" s="1721"/>
      <c r="I257" s="1721"/>
      <c r="J257" s="1721"/>
      <c r="K257" s="1721"/>
      <c r="L257" s="1721"/>
      <c r="M257" s="1694"/>
    </row>
    <row r="258" spans="1:13" s="1634" customFormat="1">
      <c r="A258" s="1699" t="s">
        <v>2657</v>
      </c>
      <c r="B258" s="1718">
        <v>0.5</v>
      </c>
      <c r="C258" s="1719">
        <v>0.5</v>
      </c>
      <c r="D258" s="1719">
        <v>0.5</v>
      </c>
      <c r="E258" s="1719">
        <v>0.5</v>
      </c>
      <c r="F258" s="1719">
        <v>0.5</v>
      </c>
      <c r="G258" s="1719">
        <v>0.5</v>
      </c>
      <c r="H258" s="1719">
        <v>0.5</v>
      </c>
      <c r="I258" s="1719">
        <v>0.5</v>
      </c>
      <c r="J258" s="1719">
        <v>0.5</v>
      </c>
      <c r="K258" s="1719">
        <v>0.5</v>
      </c>
      <c r="L258" s="1719">
        <v>0.5</v>
      </c>
    </row>
    <row r="259" spans="1:13" s="1634" customFormat="1">
      <c r="A259" s="1700" t="s">
        <v>2658</v>
      </c>
      <c r="B259" s="1718">
        <v>0.5</v>
      </c>
      <c r="C259" s="1719">
        <v>0.5</v>
      </c>
      <c r="D259" s="1719">
        <v>0.5</v>
      </c>
      <c r="E259" s="1719">
        <v>0.5</v>
      </c>
      <c r="F259" s="1719">
        <v>0.5</v>
      </c>
      <c r="G259" s="1719">
        <v>0.5</v>
      </c>
      <c r="H259" s="1719">
        <v>0.5</v>
      </c>
      <c r="I259" s="1719">
        <v>0.5</v>
      </c>
      <c r="J259" s="1719">
        <v>0.5</v>
      </c>
      <c r="K259" s="1719">
        <v>0.5</v>
      </c>
      <c r="L259" s="1719">
        <v>0.5</v>
      </c>
    </row>
    <row r="260" spans="1:13" s="1634" customFormat="1">
      <c r="A260" s="1699" t="s">
        <v>2659</v>
      </c>
      <c r="B260" s="1718">
        <v>0.5</v>
      </c>
      <c r="C260" s="1719">
        <v>0.5</v>
      </c>
      <c r="D260" s="1719">
        <v>0.5</v>
      </c>
      <c r="E260" s="1719">
        <v>0.5</v>
      </c>
      <c r="F260" s="1719">
        <v>0.5</v>
      </c>
      <c r="G260" s="1719">
        <v>0.5</v>
      </c>
      <c r="H260" s="1719">
        <v>0.5</v>
      </c>
      <c r="I260" s="1719">
        <v>0.5</v>
      </c>
      <c r="J260" s="1719">
        <v>0.5</v>
      </c>
      <c r="K260" s="1719">
        <v>0.5</v>
      </c>
      <c r="L260" s="1719">
        <v>0.5</v>
      </c>
    </row>
    <row r="261" spans="1:13" s="1634" customFormat="1">
      <c r="A261" s="1699" t="s">
        <v>2660</v>
      </c>
      <c r="B261" s="1718">
        <v>0.6</v>
      </c>
      <c r="C261" s="1719">
        <v>0.6</v>
      </c>
      <c r="D261" s="1719">
        <v>0.6</v>
      </c>
      <c r="E261" s="1719">
        <v>0.6</v>
      </c>
      <c r="F261" s="1719">
        <v>0.6</v>
      </c>
      <c r="G261" s="1719">
        <v>0.6</v>
      </c>
      <c r="H261" s="1719">
        <v>0.6</v>
      </c>
      <c r="I261" s="1719">
        <v>0.6</v>
      </c>
      <c r="J261" s="1719">
        <v>0.6</v>
      </c>
      <c r="K261" s="1719">
        <v>0.6</v>
      </c>
      <c r="L261" s="1719">
        <v>0.6</v>
      </c>
    </row>
    <row r="262" spans="1:13" s="1634" customFormat="1">
      <c r="A262" s="1699" t="s">
        <v>2661</v>
      </c>
      <c r="B262" s="1718">
        <v>0.5</v>
      </c>
      <c r="C262" s="1719">
        <v>0.5</v>
      </c>
      <c r="D262" s="1719">
        <v>0.5</v>
      </c>
      <c r="E262" s="1719">
        <v>0.5</v>
      </c>
      <c r="F262" s="1719">
        <v>0.5</v>
      </c>
      <c r="G262" s="1719">
        <v>0.5</v>
      </c>
      <c r="H262" s="1719">
        <v>0.5</v>
      </c>
      <c r="I262" s="1719">
        <v>0.5</v>
      </c>
      <c r="J262" s="1719">
        <v>0.5</v>
      </c>
      <c r="K262" s="1719">
        <v>0.5</v>
      </c>
      <c r="L262" s="1719">
        <v>0.5</v>
      </c>
    </row>
    <row r="263" spans="1:13" s="1634" customFormat="1">
      <c r="A263" s="1700" t="s">
        <v>2662</v>
      </c>
      <c r="B263" s="1718">
        <v>0.6</v>
      </c>
      <c r="C263" s="1719">
        <v>0.6</v>
      </c>
      <c r="D263" s="1719">
        <v>0.6</v>
      </c>
      <c r="E263" s="1719">
        <v>0.6</v>
      </c>
      <c r="F263" s="1719">
        <v>0.6</v>
      </c>
      <c r="G263" s="1719">
        <v>0.6</v>
      </c>
      <c r="H263" s="1719">
        <v>0.6</v>
      </c>
      <c r="I263" s="1719">
        <v>0.6</v>
      </c>
      <c r="J263" s="1719">
        <v>0.6</v>
      </c>
      <c r="K263" s="1719">
        <v>0.6</v>
      </c>
      <c r="L263" s="1719">
        <v>0.6</v>
      </c>
    </row>
    <row r="264" spans="1:13" s="1634" customFormat="1">
      <c r="A264" s="1700" t="s">
        <v>2663</v>
      </c>
      <c r="B264" s="1718">
        <v>0.6</v>
      </c>
      <c r="C264" s="1719">
        <v>0.6</v>
      </c>
      <c r="D264" s="1719">
        <v>0.6</v>
      </c>
      <c r="E264" s="1719">
        <v>0.6</v>
      </c>
      <c r="F264" s="1719">
        <v>0.6</v>
      </c>
      <c r="G264" s="1719">
        <v>0.6</v>
      </c>
      <c r="H264" s="1719">
        <v>0.6</v>
      </c>
      <c r="I264" s="1719">
        <v>0.6</v>
      </c>
      <c r="J264" s="1719">
        <v>0.6</v>
      </c>
      <c r="K264" s="1719">
        <v>0.6</v>
      </c>
      <c r="L264" s="1719">
        <v>0.6</v>
      </c>
    </row>
    <row r="265" spans="1:13" s="1634" customFormat="1">
      <c r="A265" s="1700" t="s">
        <v>2664</v>
      </c>
      <c r="B265" s="1718">
        <v>0.6</v>
      </c>
      <c r="C265" s="1719">
        <v>0.6</v>
      </c>
      <c r="D265" s="1719">
        <v>0.6</v>
      </c>
      <c r="E265" s="1719">
        <v>0.6</v>
      </c>
      <c r="F265" s="1719">
        <v>0.6</v>
      </c>
      <c r="G265" s="1719">
        <v>0.6</v>
      </c>
      <c r="H265" s="1719">
        <v>0.6</v>
      </c>
      <c r="I265" s="1719">
        <v>0.6</v>
      </c>
      <c r="J265" s="1719">
        <v>0.6</v>
      </c>
      <c r="K265" s="1719">
        <v>0.6</v>
      </c>
      <c r="L265" s="1719">
        <v>0.6</v>
      </c>
      <c r="M265" s="1694"/>
    </row>
    <row r="266" spans="1:13" s="1634" customFormat="1">
      <c r="A266" s="1697" t="s">
        <v>2665</v>
      </c>
      <c r="B266" s="1721"/>
      <c r="C266" s="1721"/>
      <c r="D266" s="1721"/>
      <c r="E266" s="1721"/>
      <c r="F266" s="1721"/>
      <c r="G266" s="1721"/>
      <c r="H266" s="1721"/>
      <c r="I266" s="1721"/>
      <c r="J266" s="1721"/>
      <c r="K266" s="1721"/>
      <c r="L266" s="1721"/>
      <c r="M266" s="1694"/>
    </row>
    <row r="267" spans="1:13" s="1634" customFormat="1">
      <c r="A267" s="1699" t="s">
        <v>2666</v>
      </c>
      <c r="B267" s="1718">
        <v>0.8</v>
      </c>
      <c r="C267" s="1719">
        <v>0.8</v>
      </c>
      <c r="D267" s="1719">
        <v>0.8</v>
      </c>
      <c r="E267" s="1719">
        <v>0.8</v>
      </c>
      <c r="F267" s="1719">
        <v>0.8</v>
      </c>
      <c r="G267" s="1719">
        <v>0.8</v>
      </c>
      <c r="H267" s="1719">
        <v>0.8</v>
      </c>
      <c r="I267" s="1719">
        <v>0.8</v>
      </c>
      <c r="J267" s="1719">
        <v>0.8</v>
      </c>
      <c r="K267" s="1719">
        <v>0.8</v>
      </c>
      <c r="L267" s="1719">
        <v>0.8</v>
      </c>
    </row>
    <row r="268" spans="1:13" s="1634" customFormat="1">
      <c r="A268" s="1699" t="s">
        <v>2667</v>
      </c>
      <c r="B268" s="1718">
        <v>0.8</v>
      </c>
      <c r="C268" s="1719">
        <v>0.8</v>
      </c>
      <c r="D268" s="1719">
        <v>0.8</v>
      </c>
      <c r="E268" s="1719">
        <v>0.8</v>
      </c>
      <c r="F268" s="1719">
        <v>0.8</v>
      </c>
      <c r="G268" s="1719">
        <v>0.8</v>
      </c>
      <c r="H268" s="1719">
        <v>0.8</v>
      </c>
      <c r="I268" s="1719">
        <v>0.8</v>
      </c>
      <c r="J268" s="1719">
        <v>0.8</v>
      </c>
      <c r="K268" s="1719">
        <v>0.8</v>
      </c>
      <c r="L268" s="1719">
        <v>0.8</v>
      </c>
    </row>
    <row r="269" spans="1:13" s="1634" customFormat="1">
      <c r="A269" s="1695" t="s">
        <v>2668</v>
      </c>
      <c r="B269" s="1718">
        <v>0.8</v>
      </c>
      <c r="C269" s="1719">
        <v>0.8</v>
      </c>
      <c r="D269" s="1719">
        <v>0.8</v>
      </c>
      <c r="E269" s="1719">
        <v>0.8</v>
      </c>
      <c r="F269" s="1719">
        <v>0.8</v>
      </c>
      <c r="G269" s="1719">
        <v>0.8</v>
      </c>
      <c r="H269" s="1719">
        <v>0.8</v>
      </c>
      <c r="I269" s="1719">
        <v>0.8</v>
      </c>
      <c r="J269" s="1719">
        <v>0.8</v>
      </c>
      <c r="K269" s="1719">
        <v>0.8</v>
      </c>
      <c r="L269" s="1719">
        <v>0.8</v>
      </c>
    </row>
    <row r="270" spans="1:13" s="1634" customFormat="1">
      <c r="A270" s="1695" t="s">
        <v>2669</v>
      </c>
      <c r="B270" s="1718">
        <v>0.8</v>
      </c>
      <c r="C270" s="1719">
        <v>0.8</v>
      </c>
      <c r="D270" s="1719">
        <v>0.8</v>
      </c>
      <c r="E270" s="1719">
        <v>0.8</v>
      </c>
      <c r="F270" s="1719">
        <v>0.8</v>
      </c>
      <c r="G270" s="1719">
        <v>0.8</v>
      </c>
      <c r="H270" s="1719">
        <v>0.8</v>
      </c>
      <c r="I270" s="1719">
        <v>0.8</v>
      </c>
      <c r="J270" s="1719">
        <v>0.8</v>
      </c>
      <c r="K270" s="1719">
        <v>0.8</v>
      </c>
      <c r="L270" s="1719">
        <v>0.8</v>
      </c>
    </row>
    <row r="271" spans="1:13" s="1634" customFormat="1">
      <c r="A271" s="1699" t="s">
        <v>2670</v>
      </c>
      <c r="B271" s="1718">
        <v>0.8</v>
      </c>
      <c r="C271" s="1719">
        <v>0.8</v>
      </c>
      <c r="D271" s="1719">
        <v>0.8</v>
      </c>
      <c r="E271" s="1719">
        <v>0.8</v>
      </c>
      <c r="F271" s="1719">
        <v>0.8</v>
      </c>
      <c r="G271" s="1719">
        <v>0.8</v>
      </c>
      <c r="H271" s="1719">
        <v>0.8</v>
      </c>
      <c r="I271" s="1719">
        <v>0.8</v>
      </c>
      <c r="J271" s="1719">
        <v>0.8</v>
      </c>
      <c r="K271" s="1719">
        <v>0.8</v>
      </c>
      <c r="L271" s="1719">
        <v>0.8</v>
      </c>
      <c r="M271" s="1694"/>
    </row>
    <row r="272" spans="1:13" s="1634" customFormat="1">
      <c r="A272" s="1700" t="s">
        <v>2671</v>
      </c>
      <c r="B272" s="1718">
        <v>0.8</v>
      </c>
      <c r="C272" s="1719">
        <v>0.8</v>
      </c>
      <c r="D272" s="1719">
        <v>0.8</v>
      </c>
      <c r="E272" s="1719">
        <v>0.8</v>
      </c>
      <c r="F272" s="1719">
        <v>0.8</v>
      </c>
      <c r="G272" s="1719">
        <v>0.8</v>
      </c>
      <c r="H272" s="1719">
        <v>0.8</v>
      </c>
      <c r="I272" s="1719">
        <v>0.8</v>
      </c>
      <c r="J272" s="1719">
        <v>0.8</v>
      </c>
      <c r="K272" s="1719">
        <v>0.8</v>
      </c>
      <c r="L272" s="1719">
        <v>0.8</v>
      </c>
      <c r="M272" s="1694"/>
    </row>
    <row r="273" spans="1:13" s="1634" customFormat="1">
      <c r="A273" s="1700" t="s">
        <v>2672</v>
      </c>
      <c r="B273" s="1718">
        <v>0.8</v>
      </c>
      <c r="C273" s="1719">
        <v>0.8</v>
      </c>
      <c r="D273" s="1719">
        <v>0.8</v>
      </c>
      <c r="E273" s="1719">
        <v>0.8</v>
      </c>
      <c r="F273" s="1719">
        <v>0.8</v>
      </c>
      <c r="G273" s="1719">
        <v>0.8</v>
      </c>
      <c r="H273" s="1719">
        <v>0.8</v>
      </c>
      <c r="I273" s="1719">
        <v>0.8</v>
      </c>
      <c r="J273" s="1719">
        <v>0.8</v>
      </c>
      <c r="K273" s="1719">
        <v>0.8</v>
      </c>
      <c r="L273" s="1719">
        <v>0.8</v>
      </c>
      <c r="M273" s="1694"/>
    </row>
    <row r="274" spans="1:13" s="1634" customFormat="1">
      <c r="A274" s="1697" t="s">
        <v>2673</v>
      </c>
      <c r="B274" s="1721"/>
      <c r="C274" s="1721"/>
      <c r="D274" s="1721"/>
      <c r="E274" s="1721"/>
      <c r="F274" s="1721"/>
      <c r="G274" s="1721"/>
      <c r="H274" s="1721"/>
      <c r="I274" s="1721"/>
      <c r="J274" s="1721"/>
      <c r="K274" s="1721"/>
      <c r="L274" s="1721"/>
      <c r="M274" s="1694"/>
    </row>
    <row r="275" spans="1:13" s="1634" customFormat="1">
      <c r="A275" s="1695" t="s">
        <v>2674</v>
      </c>
      <c r="B275" s="1718">
        <v>0.7</v>
      </c>
      <c r="C275" s="1719">
        <v>0.7</v>
      </c>
      <c r="D275" s="1719">
        <v>0.7</v>
      </c>
      <c r="E275" s="1719">
        <v>0.7</v>
      </c>
      <c r="F275" s="1719">
        <v>0.7</v>
      </c>
      <c r="G275" s="1719">
        <v>0.7</v>
      </c>
      <c r="H275" s="1719">
        <v>0.7</v>
      </c>
      <c r="I275" s="1719">
        <v>0.7</v>
      </c>
      <c r="J275" s="1719">
        <v>0.7</v>
      </c>
      <c r="K275" s="1719">
        <v>0.7</v>
      </c>
      <c r="L275" s="1719">
        <v>0.7</v>
      </c>
    </row>
    <row r="276" spans="1:13" s="1634" customFormat="1">
      <c r="A276" s="1695" t="s">
        <v>2675</v>
      </c>
      <c r="B276" s="1718">
        <v>0.7</v>
      </c>
      <c r="C276" s="1719">
        <v>0.7</v>
      </c>
      <c r="D276" s="1719">
        <v>0.7</v>
      </c>
      <c r="E276" s="1719">
        <v>0.7</v>
      </c>
      <c r="F276" s="1719">
        <v>0.7</v>
      </c>
      <c r="G276" s="1719">
        <v>0.7</v>
      </c>
      <c r="H276" s="1719">
        <v>0.7</v>
      </c>
      <c r="I276" s="1719">
        <v>0.7</v>
      </c>
      <c r="J276" s="1719">
        <v>0.7</v>
      </c>
      <c r="K276" s="1719">
        <v>0.7</v>
      </c>
      <c r="L276" s="1719">
        <v>0.7</v>
      </c>
    </row>
    <row r="277" spans="1:13" s="1634" customFormat="1">
      <c r="A277" s="1696" t="s">
        <v>2676</v>
      </c>
      <c r="B277" s="1718">
        <v>0.7</v>
      </c>
      <c r="C277" s="1719">
        <v>0.7</v>
      </c>
      <c r="D277" s="1719">
        <v>0.7</v>
      </c>
      <c r="E277" s="1719">
        <v>0.7</v>
      </c>
      <c r="F277" s="1719">
        <v>0.7</v>
      </c>
      <c r="G277" s="1719">
        <v>0.7</v>
      </c>
      <c r="H277" s="1719">
        <v>0.7</v>
      </c>
      <c r="I277" s="1719">
        <v>0.7</v>
      </c>
      <c r="J277" s="1719">
        <v>0.7</v>
      </c>
      <c r="K277" s="1719">
        <v>0.7</v>
      </c>
      <c r="L277" s="1719">
        <v>0.7</v>
      </c>
    </row>
    <row r="278" spans="1:13" s="1634" customFormat="1">
      <c r="A278" s="1696" t="s">
        <v>2677</v>
      </c>
      <c r="B278" s="1718">
        <v>0.7</v>
      </c>
      <c r="C278" s="1719">
        <v>0.7</v>
      </c>
      <c r="D278" s="1719">
        <v>0.7</v>
      </c>
      <c r="E278" s="1719">
        <v>0.7</v>
      </c>
      <c r="F278" s="1719">
        <v>0.7</v>
      </c>
      <c r="G278" s="1719">
        <v>0.7</v>
      </c>
      <c r="H278" s="1719">
        <v>0.7</v>
      </c>
      <c r="I278" s="1719">
        <v>0.7</v>
      </c>
      <c r="J278" s="1719">
        <v>0.7</v>
      </c>
      <c r="K278" s="1719">
        <v>0.7</v>
      </c>
      <c r="L278" s="1719">
        <v>0.7</v>
      </c>
    </row>
    <row r="279" spans="1:13" s="1634" customFormat="1">
      <c r="A279" s="1700" t="s">
        <v>2678</v>
      </c>
      <c r="B279" s="1718">
        <v>0.7</v>
      </c>
      <c r="C279" s="1719">
        <v>0.7</v>
      </c>
      <c r="D279" s="1719">
        <v>0.7</v>
      </c>
      <c r="E279" s="1719">
        <v>0.7</v>
      </c>
      <c r="F279" s="1719">
        <v>0.7</v>
      </c>
      <c r="G279" s="1719">
        <v>0.7</v>
      </c>
      <c r="H279" s="1719">
        <v>0.7</v>
      </c>
      <c r="I279" s="1719">
        <v>0.7</v>
      </c>
      <c r="J279" s="1719">
        <v>0.7</v>
      </c>
      <c r="K279" s="1719">
        <v>0.7</v>
      </c>
      <c r="L279" s="1719">
        <v>0.7</v>
      </c>
    </row>
    <row r="280" spans="1:13" s="1634" customFormat="1">
      <c r="A280" s="1697" t="s">
        <v>2679</v>
      </c>
      <c r="B280" s="1721"/>
      <c r="C280" s="1721"/>
      <c r="D280" s="1721"/>
      <c r="E280" s="1721"/>
      <c r="F280" s="1721"/>
      <c r="G280" s="1721"/>
      <c r="H280" s="1721"/>
      <c r="I280" s="1721"/>
      <c r="J280" s="1721"/>
      <c r="K280" s="1721"/>
      <c r="L280" s="1721"/>
      <c r="M280" s="1694"/>
    </row>
    <row r="281" spans="1:13" s="1634" customFormat="1">
      <c r="A281" s="1700" t="s">
        <v>2680</v>
      </c>
      <c r="B281" s="1718">
        <v>0.7</v>
      </c>
      <c r="C281" s="1719">
        <v>0.7</v>
      </c>
      <c r="D281" s="1719">
        <v>0.7</v>
      </c>
      <c r="E281" s="1719">
        <v>0.7</v>
      </c>
      <c r="F281" s="1719">
        <v>0.7</v>
      </c>
      <c r="G281" s="1719">
        <v>0.7</v>
      </c>
      <c r="H281" s="1719">
        <v>0.7</v>
      </c>
      <c r="I281" s="1719">
        <v>0.7</v>
      </c>
      <c r="J281" s="1719">
        <v>0.7</v>
      </c>
      <c r="K281" s="1719">
        <v>0.7</v>
      </c>
      <c r="L281" s="1719">
        <v>0.7</v>
      </c>
    </row>
    <row r="282" spans="1:13" s="1634" customFormat="1">
      <c r="A282" s="1697" t="s">
        <v>2708</v>
      </c>
      <c r="B282" s="1721"/>
      <c r="C282" s="1721"/>
      <c r="D282" s="1721"/>
      <c r="E282" s="1721"/>
      <c r="F282" s="1721"/>
      <c r="G282" s="1721"/>
      <c r="H282" s="1721"/>
      <c r="I282" s="1721"/>
      <c r="J282" s="1721"/>
      <c r="K282" s="1721"/>
      <c r="L282" s="1721"/>
      <c r="M282" s="1694"/>
    </row>
    <row r="283" spans="1:13" s="1634" customFormat="1">
      <c r="A283" s="1699" t="s">
        <v>2682</v>
      </c>
      <c r="B283" s="1718">
        <v>0.75</v>
      </c>
      <c r="C283" s="1719">
        <v>0.75</v>
      </c>
      <c r="D283" s="1719">
        <v>0.75</v>
      </c>
      <c r="E283" s="1719">
        <v>0.75</v>
      </c>
      <c r="F283" s="1719">
        <v>0.75</v>
      </c>
      <c r="G283" s="1719">
        <v>0.75</v>
      </c>
      <c r="H283" s="1719">
        <v>0.75</v>
      </c>
      <c r="I283" s="1719">
        <v>0.75</v>
      </c>
      <c r="J283" s="1719">
        <v>0.75</v>
      </c>
      <c r="K283" s="1719">
        <v>0.75</v>
      </c>
      <c r="L283" s="1719">
        <v>0.75</v>
      </c>
    </row>
    <row r="284" spans="1:13" s="1634" customFormat="1">
      <c r="A284" s="1699" t="s">
        <v>2683</v>
      </c>
      <c r="B284" s="1718">
        <v>0.75</v>
      </c>
      <c r="C284" s="1719">
        <v>0.75</v>
      </c>
      <c r="D284" s="1719">
        <v>0.75</v>
      </c>
      <c r="E284" s="1719">
        <v>0.75</v>
      </c>
      <c r="F284" s="1719">
        <v>0.75</v>
      </c>
      <c r="G284" s="1719">
        <v>0.75</v>
      </c>
      <c r="H284" s="1719">
        <v>0.75</v>
      </c>
      <c r="I284" s="1719">
        <v>0.75</v>
      </c>
      <c r="J284" s="1719">
        <v>0.75</v>
      </c>
      <c r="K284" s="1719">
        <v>0.75</v>
      </c>
      <c r="L284" s="1719">
        <v>0.75</v>
      </c>
    </row>
    <row r="285" spans="1:13" s="1634" customFormat="1">
      <c r="A285" s="1699" t="s">
        <v>2684</v>
      </c>
      <c r="B285" s="1718">
        <v>0.75</v>
      </c>
      <c r="C285" s="1719">
        <v>0.75</v>
      </c>
      <c r="D285" s="1719">
        <v>0.75</v>
      </c>
      <c r="E285" s="1719">
        <v>0.75</v>
      </c>
      <c r="F285" s="1719">
        <v>0.75</v>
      </c>
      <c r="G285" s="1719">
        <v>0.75</v>
      </c>
      <c r="H285" s="1719">
        <v>0.75</v>
      </c>
      <c r="I285" s="1719">
        <v>0.75</v>
      </c>
      <c r="J285" s="1719">
        <v>0.75</v>
      </c>
      <c r="K285" s="1719">
        <v>0.75</v>
      </c>
      <c r="L285" s="1719">
        <v>0.75</v>
      </c>
    </row>
    <row r="286" spans="1:13" s="1634" customFormat="1">
      <c r="A286" s="1699" t="s">
        <v>2685</v>
      </c>
      <c r="B286" s="1718">
        <v>0.75</v>
      </c>
      <c r="C286" s="1719">
        <v>0.75</v>
      </c>
      <c r="D286" s="1719">
        <v>0.75</v>
      </c>
      <c r="E286" s="1719">
        <v>0.75</v>
      </c>
      <c r="F286" s="1719">
        <v>0.75</v>
      </c>
      <c r="G286" s="1719">
        <v>0.75</v>
      </c>
      <c r="H286" s="1719">
        <v>0.75</v>
      </c>
      <c r="I286" s="1719">
        <v>0.75</v>
      </c>
      <c r="J286" s="1719">
        <v>0.75</v>
      </c>
      <c r="K286" s="1719">
        <v>0.75</v>
      </c>
      <c r="L286" s="1719">
        <v>0.75</v>
      </c>
    </row>
    <row r="287" spans="1:13" s="1634" customFormat="1">
      <c r="A287" s="1700" t="s">
        <v>2686</v>
      </c>
      <c r="B287" s="1718">
        <v>0.75</v>
      </c>
      <c r="C287" s="1719">
        <v>0.75</v>
      </c>
      <c r="D287" s="1719">
        <v>0.75</v>
      </c>
      <c r="E287" s="1719">
        <v>0.75</v>
      </c>
      <c r="F287" s="1719">
        <v>0.75</v>
      </c>
      <c r="G287" s="1719">
        <v>0.75</v>
      </c>
      <c r="H287" s="1719">
        <v>0.75</v>
      </c>
      <c r="I287" s="1719">
        <v>0.75</v>
      </c>
      <c r="J287" s="1719">
        <v>0.75</v>
      </c>
      <c r="K287" s="1719">
        <v>0.75</v>
      </c>
      <c r="L287" s="1719">
        <v>0.75</v>
      </c>
    </row>
    <row r="288" spans="1:13" s="1634" customFormat="1">
      <c r="A288" s="1699" t="s">
        <v>2687</v>
      </c>
      <c r="B288" s="1718">
        <v>0.75</v>
      </c>
      <c r="C288" s="1719">
        <v>0.75</v>
      </c>
      <c r="D288" s="1719">
        <v>0.75</v>
      </c>
      <c r="E288" s="1719">
        <v>0.75</v>
      </c>
      <c r="F288" s="1719">
        <v>0.75</v>
      </c>
      <c r="G288" s="1719">
        <v>0.75</v>
      </c>
      <c r="H288" s="1719">
        <v>0.75</v>
      </c>
      <c r="I288" s="1719">
        <v>0.75</v>
      </c>
      <c r="J288" s="1719">
        <v>0.75</v>
      </c>
      <c r="K288" s="1719">
        <v>0.75</v>
      </c>
      <c r="L288" s="1719">
        <v>0.75</v>
      </c>
    </row>
    <row r="289" spans="1:13" s="1634" customFormat="1">
      <c r="A289" s="1700" t="s">
        <v>2688</v>
      </c>
      <c r="B289" s="1718">
        <v>0.75</v>
      </c>
      <c r="C289" s="1719">
        <v>0.75</v>
      </c>
      <c r="D289" s="1719">
        <v>0.75</v>
      </c>
      <c r="E289" s="1719">
        <v>0.75</v>
      </c>
      <c r="F289" s="1719">
        <v>0.75</v>
      </c>
      <c r="G289" s="1719">
        <v>0.75</v>
      </c>
      <c r="H289" s="1719">
        <v>0.75</v>
      </c>
      <c r="I289" s="1719">
        <v>0.75</v>
      </c>
      <c r="J289" s="1719">
        <v>0.75</v>
      </c>
      <c r="K289" s="1719">
        <v>0.75</v>
      </c>
      <c r="L289" s="1719">
        <v>0.75</v>
      </c>
    </row>
    <row r="290" spans="1:13" s="1634" customFormat="1">
      <c r="A290" s="1699" t="s">
        <v>2689</v>
      </c>
      <c r="B290" s="1718">
        <v>0.75</v>
      </c>
      <c r="C290" s="1719">
        <v>0.75</v>
      </c>
      <c r="D290" s="1719">
        <v>0.75</v>
      </c>
      <c r="E290" s="1719">
        <v>0.75</v>
      </c>
      <c r="F290" s="1719">
        <v>0.75</v>
      </c>
      <c r="G290" s="1719">
        <v>0.75</v>
      </c>
      <c r="H290" s="1719">
        <v>0.75</v>
      </c>
      <c r="I290" s="1719">
        <v>0.75</v>
      </c>
      <c r="J290" s="1719">
        <v>0.75</v>
      </c>
      <c r="K290" s="1719">
        <v>0.75</v>
      </c>
      <c r="L290" s="1719">
        <v>0.75</v>
      </c>
    </row>
    <row r="291" spans="1:13" s="1634" customFormat="1">
      <c r="A291" s="1700" t="s">
        <v>2690</v>
      </c>
      <c r="B291" s="1718">
        <v>0.75</v>
      </c>
      <c r="C291" s="1719">
        <v>0.75</v>
      </c>
      <c r="D291" s="1719">
        <v>0.75</v>
      </c>
      <c r="E291" s="1719">
        <v>0.75</v>
      </c>
      <c r="F291" s="1719">
        <v>0.75</v>
      </c>
      <c r="G291" s="1719">
        <v>0.75</v>
      </c>
      <c r="H291" s="1719">
        <v>0.75</v>
      </c>
      <c r="I291" s="1719">
        <v>0.75</v>
      </c>
      <c r="J291" s="1719">
        <v>0.75</v>
      </c>
      <c r="K291" s="1719">
        <v>0.75</v>
      </c>
      <c r="L291" s="1719">
        <v>0.75</v>
      </c>
    </row>
    <row r="292" spans="1:13" s="1634" customFormat="1">
      <c r="A292" s="1699" t="s">
        <v>2691</v>
      </c>
      <c r="B292" s="1718">
        <v>0.75</v>
      </c>
      <c r="C292" s="1719">
        <v>0.75</v>
      </c>
      <c r="D292" s="1719">
        <v>0.75</v>
      </c>
      <c r="E292" s="1719">
        <v>0.75</v>
      </c>
      <c r="F292" s="1719">
        <v>0.75</v>
      </c>
      <c r="G292" s="1719">
        <v>0.75</v>
      </c>
      <c r="H292" s="1719">
        <v>0.75</v>
      </c>
      <c r="I292" s="1719">
        <v>0.75</v>
      </c>
      <c r="J292" s="1719">
        <v>0.75</v>
      </c>
      <c r="K292" s="1719">
        <v>0.75</v>
      </c>
      <c r="L292" s="1719">
        <v>0.75</v>
      </c>
    </row>
    <row r="293" spans="1:13" s="1634" customFormat="1">
      <c r="A293" s="1700" t="s">
        <v>2692</v>
      </c>
      <c r="B293" s="1718">
        <v>0.75</v>
      </c>
      <c r="C293" s="1719">
        <v>0.75</v>
      </c>
      <c r="D293" s="1719">
        <v>0.75</v>
      </c>
      <c r="E293" s="1719">
        <v>0.75</v>
      </c>
      <c r="F293" s="1719">
        <v>0.75</v>
      </c>
      <c r="G293" s="1719">
        <v>0.75</v>
      </c>
      <c r="H293" s="1719">
        <v>0.75</v>
      </c>
      <c r="I293" s="1719">
        <v>0.75</v>
      </c>
      <c r="J293" s="1719">
        <v>0.75</v>
      </c>
      <c r="K293" s="1719">
        <v>0.75</v>
      </c>
      <c r="L293" s="1719">
        <v>0.75</v>
      </c>
    </row>
    <row r="294" spans="1:13" s="1634" customFormat="1">
      <c r="A294" s="1699" t="s">
        <v>2693</v>
      </c>
      <c r="B294" s="1718">
        <v>0.75</v>
      </c>
      <c r="C294" s="1719">
        <v>0.75</v>
      </c>
      <c r="D294" s="1719">
        <v>0.75</v>
      </c>
      <c r="E294" s="1719">
        <v>0.75</v>
      </c>
      <c r="F294" s="1719">
        <v>0.75</v>
      </c>
      <c r="G294" s="1719">
        <v>0.75</v>
      </c>
      <c r="H294" s="1719">
        <v>0.75</v>
      </c>
      <c r="I294" s="1719">
        <v>0.75</v>
      </c>
      <c r="J294" s="1719">
        <v>0.75</v>
      </c>
      <c r="K294" s="1719">
        <v>0.75</v>
      </c>
      <c r="L294" s="1719">
        <v>0.75</v>
      </c>
    </row>
    <row r="295" spans="1:13" s="1634" customFormat="1">
      <c r="A295" s="1701" t="s">
        <v>2694</v>
      </c>
      <c r="B295" s="1718">
        <v>0.75</v>
      </c>
      <c r="C295" s="1719">
        <v>0.75</v>
      </c>
      <c r="D295" s="1719">
        <v>0.75</v>
      </c>
      <c r="E295" s="1719">
        <v>0.75</v>
      </c>
      <c r="F295" s="1719">
        <v>0.75</v>
      </c>
      <c r="G295" s="1719">
        <v>0.75</v>
      </c>
      <c r="H295" s="1719">
        <v>0.75</v>
      </c>
      <c r="I295" s="1719">
        <v>0.75</v>
      </c>
      <c r="J295" s="1719">
        <v>0.75</v>
      </c>
      <c r="K295" s="1719">
        <v>0.75</v>
      </c>
      <c r="L295" s="1719">
        <v>0.75</v>
      </c>
    </row>
    <row r="296" spans="1:13" s="1634" customFormat="1">
      <c r="A296" s="1709" t="s">
        <v>2695</v>
      </c>
      <c r="B296" s="1718">
        <v>0.75</v>
      </c>
      <c r="C296" s="1719">
        <v>0.75</v>
      </c>
      <c r="D296" s="1719">
        <v>0.75</v>
      </c>
      <c r="E296" s="1719">
        <v>0.75</v>
      </c>
      <c r="F296" s="1719">
        <v>0.75</v>
      </c>
      <c r="G296" s="1719">
        <v>0.75</v>
      </c>
      <c r="H296" s="1719">
        <v>0.75</v>
      </c>
      <c r="I296" s="1719">
        <v>0.75</v>
      </c>
      <c r="J296" s="1719">
        <v>0.75</v>
      </c>
      <c r="K296" s="1719">
        <v>0.75</v>
      </c>
      <c r="L296" s="1719">
        <v>0.75</v>
      </c>
    </row>
    <row r="297" spans="1:13" s="1634" customFormat="1">
      <c r="A297" s="1703" t="s">
        <v>2696</v>
      </c>
      <c r="B297" s="1718">
        <v>0.75</v>
      </c>
      <c r="C297" s="1719">
        <v>0.75</v>
      </c>
      <c r="D297" s="1719">
        <v>0.75</v>
      </c>
      <c r="E297" s="1719">
        <v>0.75</v>
      </c>
      <c r="F297" s="1719">
        <v>0.75</v>
      </c>
      <c r="G297" s="1719">
        <v>0.75</v>
      </c>
      <c r="H297" s="1719">
        <v>0.75</v>
      </c>
      <c r="I297" s="1719">
        <v>0.75</v>
      </c>
      <c r="J297" s="1719">
        <v>0.75</v>
      </c>
      <c r="K297" s="1719">
        <v>0.75</v>
      </c>
      <c r="L297" s="1719">
        <v>0.75</v>
      </c>
    </row>
    <row r="298" spans="1:13" s="1634" customFormat="1" ht="15.75">
      <c r="A298" s="1716" t="s">
        <v>2710</v>
      </c>
      <c r="B298" s="1717">
        <f t="shared" ref="B298:L298" si="37">SUM(B299:B302,B305,B314,B322,B328,B330)</f>
        <v>2396460190.0151191</v>
      </c>
      <c r="C298" s="1717">
        <f t="shared" si="37"/>
        <v>2872697194.8761797</v>
      </c>
      <c r="D298" s="1717">
        <f t="shared" si="37"/>
        <v>3350351888.6763735</v>
      </c>
      <c r="E298" s="1717">
        <f t="shared" si="37"/>
        <v>3896248961.0908518</v>
      </c>
      <c r="F298" s="1717">
        <f t="shared" si="37"/>
        <v>4628357554.7557421</v>
      </c>
      <c r="G298" s="1717">
        <f t="shared" si="37"/>
        <v>5263777941.9512444</v>
      </c>
      <c r="H298" s="1717">
        <f t="shared" si="37"/>
        <v>5985696392.4732265</v>
      </c>
      <c r="I298" s="1717">
        <f t="shared" si="37"/>
        <v>6736607662.4498901</v>
      </c>
      <c r="J298" s="1717">
        <f t="shared" si="37"/>
        <v>7459169730.3637867</v>
      </c>
      <c r="K298" s="1717">
        <f t="shared" si="37"/>
        <v>8201121742.0581226</v>
      </c>
      <c r="L298" s="1717">
        <f t="shared" si="37"/>
        <v>9154011546.9647465</v>
      </c>
      <c r="M298" s="1722">
        <f t="shared" ref="M298:M306" si="38">(L298/B298)^(1/10)-1</f>
        <v>0.14341562780126194</v>
      </c>
    </row>
    <row r="299" spans="1:13" s="1634" customFormat="1">
      <c r="A299" s="1648" t="s">
        <v>2711</v>
      </c>
      <c r="B299" s="1723">
        <f t="shared" ref="B299:L301" si="39">B251*B203*B59</f>
        <v>663453882.69073963</v>
      </c>
      <c r="C299" s="1724">
        <f t="shared" si="39"/>
        <v>726162903.26583695</v>
      </c>
      <c r="D299" s="1723">
        <f t="shared" si="39"/>
        <v>791071467.77017021</v>
      </c>
      <c r="E299" s="1724">
        <f t="shared" si="39"/>
        <v>858107667.50924623</v>
      </c>
      <c r="F299" s="1723">
        <f t="shared" si="39"/>
        <v>927345624.88070822</v>
      </c>
      <c r="G299" s="1724">
        <f t="shared" si="39"/>
        <v>998817869.42988527</v>
      </c>
      <c r="H299" s="1723">
        <f t="shared" si="39"/>
        <v>1073385759.9311001</v>
      </c>
      <c r="I299" s="1724">
        <f t="shared" si="39"/>
        <v>1150098552.0534585</v>
      </c>
      <c r="J299" s="1723">
        <f t="shared" si="39"/>
        <v>1229488890.7897649</v>
      </c>
      <c r="K299" s="1724">
        <f t="shared" si="39"/>
        <v>1308217753.1228707</v>
      </c>
      <c r="L299" s="1723">
        <f t="shared" si="39"/>
        <v>1394462522.6303203</v>
      </c>
      <c r="M299" s="1722">
        <f t="shared" si="38"/>
        <v>7.7108890699195021E-2</v>
      </c>
    </row>
    <row r="300" spans="1:13" s="1634" customFormat="1">
      <c r="A300" s="1651" t="s">
        <v>2712</v>
      </c>
      <c r="B300" s="1723">
        <f t="shared" si="39"/>
        <v>341204853.95523751</v>
      </c>
      <c r="C300" s="1724">
        <f t="shared" si="39"/>
        <v>361006700.48073035</v>
      </c>
      <c r="D300" s="1723">
        <f t="shared" si="39"/>
        <v>379714304.52968174</v>
      </c>
      <c r="E300" s="1724">
        <f t="shared" si="39"/>
        <v>397181263.24713683</v>
      </c>
      <c r="F300" s="1723">
        <f t="shared" si="39"/>
        <v>413331192.80397284</v>
      </c>
      <c r="G300" s="1724">
        <f t="shared" si="39"/>
        <v>428064801.18423653</v>
      </c>
      <c r="H300" s="1723">
        <f t="shared" si="39"/>
        <v>441621569.80022407</v>
      </c>
      <c r="I300" s="1724">
        <f t="shared" si="39"/>
        <v>453467429.09536362</v>
      </c>
      <c r="J300" s="1723">
        <f t="shared" si="39"/>
        <v>463692953.0978542</v>
      </c>
      <c r="K300" s="1724">
        <f t="shared" si="39"/>
        <v>470958391.12423337</v>
      </c>
      <c r="L300" s="1723">
        <f t="shared" si="39"/>
        <v>478101436.33039558</v>
      </c>
      <c r="M300" s="1722">
        <f t="shared" si="38"/>
        <v>3.4309431226122289E-2</v>
      </c>
    </row>
    <row r="301" spans="1:13" s="1634" customFormat="1">
      <c r="A301" s="1651" t="s">
        <v>2652</v>
      </c>
      <c r="B301" s="1723">
        <f t="shared" si="39"/>
        <v>22510042.448435809</v>
      </c>
      <c r="C301" s="1724">
        <f t="shared" si="39"/>
        <v>23340950.462116189</v>
      </c>
      <c r="D301" s="1723">
        <f t="shared" si="39"/>
        <v>24014669.557308741</v>
      </c>
      <c r="E301" s="1724">
        <f t="shared" si="39"/>
        <v>24517361.928835608</v>
      </c>
      <c r="F301" s="1723">
        <f t="shared" si="39"/>
        <v>24839614.95216183</v>
      </c>
      <c r="G301" s="1724">
        <f t="shared" si="39"/>
        <v>24970446.735747132</v>
      </c>
      <c r="H301" s="1723">
        <f t="shared" si="39"/>
        <v>24917883.712686252</v>
      </c>
      <c r="I301" s="1724">
        <f t="shared" si="39"/>
        <v>24644968.972574111</v>
      </c>
      <c r="J301" s="1723">
        <f t="shared" si="39"/>
        <v>24150674.640513241</v>
      </c>
      <c r="K301" s="1724">
        <f t="shared" si="39"/>
        <v>23361031.305765547</v>
      </c>
      <c r="L301" s="1723">
        <f t="shared" si="39"/>
        <v>22411004.827987291</v>
      </c>
      <c r="M301" s="1722">
        <f t="shared" si="38"/>
        <v>-4.4084434887325941E-4</v>
      </c>
    </row>
    <row r="302" spans="1:13" s="1634" customFormat="1">
      <c r="A302" s="1651" t="s">
        <v>2713</v>
      </c>
      <c r="B302" s="1725">
        <f>SUM(B303:B304)</f>
        <v>75108508.302947491</v>
      </c>
      <c r="C302" s="1725">
        <f t="shared" ref="C302:L302" si="40">SUM(C303:C304)</f>
        <v>81209218.015229464</v>
      </c>
      <c r="D302" s="1725">
        <f t="shared" si="40"/>
        <v>93544201.063822657</v>
      </c>
      <c r="E302" s="1725">
        <f t="shared" si="40"/>
        <v>106033504.11522587</v>
      </c>
      <c r="F302" s="1725">
        <f t="shared" si="40"/>
        <v>119519395.28670864</v>
      </c>
      <c r="G302" s="1725">
        <f t="shared" si="40"/>
        <v>130745259.10837202</v>
      </c>
      <c r="H302" s="1725">
        <f t="shared" si="40"/>
        <v>144048368.98275366</v>
      </c>
      <c r="I302" s="1725">
        <f t="shared" si="40"/>
        <v>159614510.71581918</v>
      </c>
      <c r="J302" s="1725">
        <f t="shared" si="40"/>
        <v>176267723.976226</v>
      </c>
      <c r="K302" s="1725">
        <f t="shared" si="40"/>
        <v>187554818.53938228</v>
      </c>
      <c r="L302" s="1725">
        <f t="shared" si="40"/>
        <v>212702016.78521162</v>
      </c>
      <c r="M302" s="1722">
        <f t="shared" si="38"/>
        <v>0.10970679953140294</v>
      </c>
    </row>
    <row r="303" spans="1:13" s="1634" customFormat="1">
      <c r="A303" s="1695" t="s">
        <v>2654</v>
      </c>
      <c r="B303" s="1723">
        <f t="shared" ref="B303:L304" si="41">B255*B207*B63</f>
        <v>25542974.483593479</v>
      </c>
      <c r="C303" s="1724">
        <f t="shared" si="41"/>
        <v>18638181.183823146</v>
      </c>
      <c r="D303" s="1723">
        <f t="shared" si="41"/>
        <v>10152083.836383851</v>
      </c>
      <c r="E303" s="1724">
        <f t="shared" si="41"/>
        <v>7708667.2131247269</v>
      </c>
      <c r="F303" s="1723">
        <f t="shared" si="41"/>
        <v>4760374.2077209689</v>
      </c>
      <c r="G303" s="1724">
        <f t="shared" si="41"/>
        <v>2563632.5315367053</v>
      </c>
      <c r="H303" s="1723">
        <f t="shared" si="41"/>
        <v>1377511.7252449119</v>
      </c>
      <c r="I303" s="1724">
        <f t="shared" si="41"/>
        <v>1475959.8084686049</v>
      </c>
      <c r="J303" s="1723">
        <f t="shared" si="41"/>
        <v>1577844.0765135316</v>
      </c>
      <c r="K303" s="1724">
        <f t="shared" si="41"/>
        <v>1678879.4498410171</v>
      </c>
      <c r="L303" s="1723">
        <f t="shared" si="41"/>
        <v>1789560.2373755779</v>
      </c>
      <c r="M303" s="1722">
        <f t="shared" si="38"/>
        <v>-0.23343764948210743</v>
      </c>
    </row>
    <row r="304" spans="1:13" s="1634" customFormat="1">
      <c r="A304" s="1696" t="s">
        <v>2714</v>
      </c>
      <c r="B304" s="1723">
        <f t="shared" si="41"/>
        <v>49565533.81935402</v>
      </c>
      <c r="C304" s="1724">
        <f t="shared" si="41"/>
        <v>62571036.83140631</v>
      </c>
      <c r="D304" s="1723">
        <f t="shared" si="41"/>
        <v>83392117.227438807</v>
      </c>
      <c r="E304" s="1724">
        <f t="shared" si="41"/>
        <v>98324836.902101144</v>
      </c>
      <c r="F304" s="1723">
        <f t="shared" si="41"/>
        <v>114759021.07898767</v>
      </c>
      <c r="G304" s="1724">
        <f t="shared" si="41"/>
        <v>128181626.57683532</v>
      </c>
      <c r="H304" s="1723">
        <f t="shared" si="41"/>
        <v>142670857.25750875</v>
      </c>
      <c r="I304" s="1724">
        <f t="shared" si="41"/>
        <v>158138550.90735057</v>
      </c>
      <c r="J304" s="1723">
        <f t="shared" si="41"/>
        <v>174689879.89971247</v>
      </c>
      <c r="K304" s="1724">
        <f t="shared" si="41"/>
        <v>185875939.08954126</v>
      </c>
      <c r="L304" s="1723">
        <f t="shared" si="41"/>
        <v>210912456.54783604</v>
      </c>
      <c r="M304" s="1722">
        <f t="shared" si="38"/>
        <v>0.15582542683662726</v>
      </c>
    </row>
    <row r="305" spans="1:13" s="1634" customFormat="1">
      <c r="A305" s="1697" t="s">
        <v>2699</v>
      </c>
      <c r="B305" s="1717">
        <f t="shared" ref="B305:L305" si="42">SUM(B306:B313)</f>
        <v>161013148.89458513</v>
      </c>
      <c r="C305" s="1717">
        <f t="shared" si="42"/>
        <v>224114619.4593592</v>
      </c>
      <c r="D305" s="1717">
        <f t="shared" si="42"/>
        <v>296309944.52952749</v>
      </c>
      <c r="E305" s="1717">
        <f t="shared" si="42"/>
        <v>449556041.05705696</v>
      </c>
      <c r="F305" s="1717">
        <f t="shared" si="42"/>
        <v>631281003.04927921</v>
      </c>
      <c r="G305" s="1717">
        <f t="shared" si="42"/>
        <v>714263142.30787468</v>
      </c>
      <c r="H305" s="1717">
        <f t="shared" si="42"/>
        <v>793742187.39479029</v>
      </c>
      <c r="I305" s="1717">
        <f t="shared" si="42"/>
        <v>883676557.87946022</v>
      </c>
      <c r="J305" s="1717">
        <f t="shared" si="42"/>
        <v>985162139.24739301</v>
      </c>
      <c r="K305" s="1717">
        <f t="shared" si="42"/>
        <v>1092681557.7826874</v>
      </c>
      <c r="L305" s="1717">
        <f t="shared" si="42"/>
        <v>1216663410.8966999</v>
      </c>
      <c r="M305" s="1722">
        <f t="shared" si="38"/>
        <v>0.22413949611764594</v>
      </c>
    </row>
    <row r="306" spans="1:13" s="1634" customFormat="1">
      <c r="A306" s="1699" t="s">
        <v>2657</v>
      </c>
      <c r="B306" s="1723">
        <f t="shared" ref="B306:L313" si="43">B258*B210*B66</f>
        <v>22327592.630695857</v>
      </c>
      <c r="C306" s="1724">
        <f t="shared" si="43"/>
        <v>21722644.563409466</v>
      </c>
      <c r="D306" s="1723">
        <f t="shared" si="43"/>
        <v>20706295.668884207</v>
      </c>
      <c r="E306" s="1724">
        <f t="shared" si="43"/>
        <v>19252258.454618156</v>
      </c>
      <c r="F306" s="1723">
        <f t="shared" si="43"/>
        <v>18725095.335537676</v>
      </c>
      <c r="G306" s="1724">
        <f t="shared" si="43"/>
        <v>18151445.797015775</v>
      </c>
      <c r="H306" s="1723">
        <f t="shared" si="43"/>
        <v>17555906.470334813</v>
      </c>
      <c r="I306" s="1724">
        <f t="shared" si="43"/>
        <v>16929533.657622449</v>
      </c>
      <c r="J306" s="1723">
        <f t="shared" si="43"/>
        <v>16288348.654140074</v>
      </c>
      <c r="K306" s="1724">
        <f t="shared" si="43"/>
        <v>15598218.360673457</v>
      </c>
      <c r="L306" s="1723">
        <f t="shared" si="43"/>
        <v>14963883.332615452</v>
      </c>
      <c r="M306" s="1722">
        <f t="shared" si="38"/>
        <v>-3.9228213402064505E-2</v>
      </c>
    </row>
    <row r="307" spans="1:13" s="1634" customFormat="1">
      <c r="A307" s="1700" t="s">
        <v>2658</v>
      </c>
      <c r="B307" s="1723">
        <f t="shared" si="43"/>
        <v>0</v>
      </c>
      <c r="C307" s="1724">
        <f t="shared" si="43"/>
        <v>0</v>
      </c>
      <c r="D307" s="1723">
        <f t="shared" si="43"/>
        <v>0</v>
      </c>
      <c r="E307" s="1724">
        <f t="shared" si="43"/>
        <v>0</v>
      </c>
      <c r="F307" s="1723">
        <f t="shared" si="43"/>
        <v>743059.3387118117</v>
      </c>
      <c r="G307" s="1724">
        <f t="shared" si="43"/>
        <v>1520623.7660639312</v>
      </c>
      <c r="H307" s="1723">
        <f t="shared" si="43"/>
        <v>2330810.6277977335</v>
      </c>
      <c r="I307" s="1724">
        <f t="shared" si="43"/>
        <v>3169196.0202366579</v>
      </c>
      <c r="J307" s="1723">
        <f t="shared" si="43"/>
        <v>4034326.0060995957</v>
      </c>
      <c r="K307" s="1724">
        <f t="shared" si="43"/>
        <v>4911636.2042465629</v>
      </c>
      <c r="L307" s="1723">
        <f t="shared" si="43"/>
        <v>5829242.6454481464</v>
      </c>
      <c r="M307" s="1722">
        <f>(L307/F307)^(1/10)-1</f>
        <v>0.22873679524357016</v>
      </c>
    </row>
    <row r="308" spans="1:13" s="1634" customFormat="1">
      <c r="A308" s="1699" t="s">
        <v>2659</v>
      </c>
      <c r="B308" s="1723">
        <f t="shared" si="43"/>
        <v>138685556.26388928</v>
      </c>
      <c r="C308" s="1724">
        <f t="shared" si="43"/>
        <v>202391974.89594972</v>
      </c>
      <c r="D308" s="1723">
        <f t="shared" si="43"/>
        <v>275603648.86064327</v>
      </c>
      <c r="E308" s="1724">
        <f t="shared" si="43"/>
        <v>358750298.42368698</v>
      </c>
      <c r="F308" s="1723">
        <f t="shared" si="43"/>
        <v>452312828.53556556</v>
      </c>
      <c r="G308" s="1724">
        <f t="shared" si="43"/>
        <v>438456074.23298389</v>
      </c>
      <c r="H308" s="1723">
        <f t="shared" si="43"/>
        <v>424070562.5691793</v>
      </c>
      <c r="I308" s="1724">
        <f t="shared" si="43"/>
        <v>408940254.62901026</v>
      </c>
      <c r="J308" s="1723">
        <f t="shared" si="43"/>
        <v>393452151.7733047</v>
      </c>
      <c r="K308" s="1724">
        <f t="shared" si="43"/>
        <v>376781754.13300335</v>
      </c>
      <c r="L308" s="1723">
        <f t="shared" si="43"/>
        <v>361459115.41534764</v>
      </c>
      <c r="M308" s="1722">
        <f>(L308/B308)^(1/10)-1</f>
        <v>0.10053230377344735</v>
      </c>
    </row>
    <row r="309" spans="1:13" s="1634" customFormat="1">
      <c r="A309" s="1699" t="s">
        <v>2660</v>
      </c>
      <c r="B309" s="1723">
        <f t="shared" si="43"/>
        <v>0</v>
      </c>
      <c r="C309" s="1724">
        <f t="shared" si="43"/>
        <v>0</v>
      </c>
      <c r="D309" s="1723">
        <f t="shared" si="43"/>
        <v>0</v>
      </c>
      <c r="E309" s="1724">
        <f t="shared" si="43"/>
        <v>71553484.178751841</v>
      </c>
      <c r="F309" s="1723">
        <f t="shared" si="43"/>
        <v>154653810.96229747</v>
      </c>
      <c r="G309" s="1724">
        <f t="shared" si="43"/>
        <v>208216583.19739878</v>
      </c>
      <c r="H309" s="1723">
        <f t="shared" si="43"/>
        <v>268513476.45171779</v>
      </c>
      <c r="I309" s="1724">
        <f t="shared" si="43"/>
        <v>335654214.29609281</v>
      </c>
      <c r="J309" s="1723">
        <f t="shared" si="43"/>
        <v>410084735.17283267</v>
      </c>
      <c r="K309" s="1724">
        <f t="shared" si="43"/>
        <v>490887027.70207947</v>
      </c>
      <c r="L309" s="1723">
        <f t="shared" si="43"/>
        <v>581387719.91462171</v>
      </c>
      <c r="M309" s="1722">
        <f>(L309/E309)^(1/10)-1</f>
        <v>0.23305800463922433</v>
      </c>
    </row>
    <row r="310" spans="1:13" s="1634" customFormat="1">
      <c r="A310" s="1699" t="s">
        <v>2661</v>
      </c>
      <c r="B310" s="1723">
        <f t="shared" si="43"/>
        <v>0</v>
      </c>
      <c r="C310" s="1724">
        <f t="shared" si="43"/>
        <v>0</v>
      </c>
      <c r="D310" s="1723">
        <f t="shared" si="43"/>
        <v>0</v>
      </c>
      <c r="E310" s="1724">
        <f t="shared" si="43"/>
        <v>0</v>
      </c>
      <c r="F310" s="1723">
        <f t="shared" si="43"/>
        <v>4846208.8771667732</v>
      </c>
      <c r="G310" s="1724">
        <f t="shared" si="43"/>
        <v>10439430.338880569</v>
      </c>
      <c r="H310" s="1723">
        <f t="shared" si="43"/>
        <v>16828196.927348379</v>
      </c>
      <c r="I310" s="1724">
        <f t="shared" si="43"/>
        <v>24041167.232746046</v>
      </c>
      <c r="J310" s="1723">
        <f t="shared" si="43"/>
        <v>32125886.06157364</v>
      </c>
      <c r="K310" s="1724">
        <f t="shared" si="43"/>
        <v>37601331.963977583</v>
      </c>
      <c r="L310" s="1723">
        <f t="shared" si="43"/>
        <v>43723870.41940321</v>
      </c>
      <c r="M310" s="1722">
        <f>(L310/F310)^(1/10)-1</f>
        <v>0.2460390326453552</v>
      </c>
    </row>
    <row r="311" spans="1:13" s="1634" customFormat="1">
      <c r="A311" s="1700" t="s">
        <v>2662</v>
      </c>
      <c r="B311" s="1723">
        <f t="shared" si="43"/>
        <v>0</v>
      </c>
      <c r="C311" s="1724">
        <f t="shared" si="43"/>
        <v>0</v>
      </c>
      <c r="D311" s="1723">
        <f t="shared" si="43"/>
        <v>0</v>
      </c>
      <c r="E311" s="1724">
        <f t="shared" si="43"/>
        <v>0</v>
      </c>
      <c r="F311" s="1723">
        <f t="shared" si="43"/>
        <v>0</v>
      </c>
      <c r="G311" s="1724">
        <f t="shared" si="43"/>
        <v>37478984.975531779</v>
      </c>
      <c r="H311" s="1723">
        <f t="shared" si="43"/>
        <v>64443234.348412275</v>
      </c>
      <c r="I311" s="1724">
        <f t="shared" si="43"/>
        <v>94942192.043751955</v>
      </c>
      <c r="J311" s="1723">
        <f t="shared" si="43"/>
        <v>129176691.57944226</v>
      </c>
      <c r="K311" s="1724">
        <f t="shared" si="43"/>
        <v>166901589.41870701</v>
      </c>
      <c r="L311" s="1723">
        <f t="shared" si="43"/>
        <v>209299579.16926381</v>
      </c>
      <c r="M311" s="1722">
        <f>(L311/G311)^(1/10)-1</f>
        <v>0.18767619939208835</v>
      </c>
    </row>
    <row r="312" spans="1:13" s="1634" customFormat="1">
      <c r="A312" s="1700" t="s">
        <v>2663</v>
      </c>
      <c r="B312" s="1723">
        <f t="shared" si="43"/>
        <v>0</v>
      </c>
      <c r="C312" s="1724">
        <f t="shared" si="43"/>
        <v>0</v>
      </c>
      <c r="D312" s="1723">
        <f t="shared" si="43"/>
        <v>0</v>
      </c>
      <c r="E312" s="1724">
        <f t="shared" si="43"/>
        <v>0</v>
      </c>
      <c r="F312" s="1723">
        <f t="shared" si="43"/>
        <v>0</v>
      </c>
      <c r="G312" s="1724">
        <f t="shared" si="43"/>
        <v>0</v>
      </c>
      <c r="H312" s="1723">
        <f t="shared" si="43"/>
        <v>0</v>
      </c>
      <c r="I312" s="1724">
        <f t="shared" si="43"/>
        <v>0</v>
      </c>
      <c r="J312" s="1723">
        <f t="shared" si="43"/>
        <v>0</v>
      </c>
      <c r="K312" s="1724">
        <f t="shared" si="43"/>
        <v>0</v>
      </c>
      <c r="L312" s="1723">
        <f t="shared" si="43"/>
        <v>0</v>
      </c>
      <c r="M312" s="1722"/>
    </row>
    <row r="313" spans="1:13" s="1634" customFormat="1">
      <c r="A313" s="1700" t="s">
        <v>2664</v>
      </c>
      <c r="B313" s="1723">
        <f t="shared" si="43"/>
        <v>0</v>
      </c>
      <c r="C313" s="1724">
        <f t="shared" si="43"/>
        <v>0</v>
      </c>
      <c r="D313" s="1723">
        <f t="shared" si="43"/>
        <v>0</v>
      </c>
      <c r="E313" s="1724">
        <f t="shared" si="43"/>
        <v>0</v>
      </c>
      <c r="F313" s="1723">
        <f t="shared" si="43"/>
        <v>0</v>
      </c>
      <c r="G313" s="1724">
        <f t="shared" si="43"/>
        <v>0</v>
      </c>
      <c r="H313" s="1723">
        <f t="shared" si="43"/>
        <v>0</v>
      </c>
      <c r="I313" s="1724">
        <f t="shared" si="43"/>
        <v>0</v>
      </c>
      <c r="J313" s="1723">
        <f t="shared" si="43"/>
        <v>0</v>
      </c>
      <c r="K313" s="1724">
        <f t="shared" si="43"/>
        <v>0</v>
      </c>
      <c r="L313" s="1723">
        <f t="shared" si="43"/>
        <v>0</v>
      </c>
      <c r="M313" s="1722"/>
    </row>
    <row r="314" spans="1:13" s="1634" customFormat="1">
      <c r="A314" s="1697" t="s">
        <v>2700</v>
      </c>
      <c r="B314" s="1717">
        <f t="shared" ref="B314:L314" si="44">SUM(B315:B321)</f>
        <v>581128733.76142871</v>
      </c>
      <c r="C314" s="1717">
        <f t="shared" si="44"/>
        <v>804716647.28138077</v>
      </c>
      <c r="D314" s="1717">
        <f t="shared" si="44"/>
        <v>990921962.19686234</v>
      </c>
      <c r="E314" s="1717">
        <f t="shared" si="44"/>
        <v>1197265569.9438224</v>
      </c>
      <c r="F314" s="1717">
        <f t="shared" si="44"/>
        <v>1435872378.8239236</v>
      </c>
      <c r="G314" s="1717">
        <f t="shared" si="44"/>
        <v>1699744092.9333987</v>
      </c>
      <c r="H314" s="1717">
        <f t="shared" si="44"/>
        <v>2014276719.4486356</v>
      </c>
      <c r="I314" s="1717">
        <f t="shared" si="44"/>
        <v>2303928184.6045089</v>
      </c>
      <c r="J314" s="1717">
        <f t="shared" si="44"/>
        <v>2571978398.4393845</v>
      </c>
      <c r="K314" s="1717">
        <f t="shared" si="44"/>
        <v>2843208348.0845399</v>
      </c>
      <c r="L314" s="1717">
        <f t="shared" si="44"/>
        <v>3115821239.6612959</v>
      </c>
      <c r="M314" s="1722">
        <f>(L314/B314)^(1/10)-1</f>
        <v>0.18285093740959257</v>
      </c>
    </row>
    <row r="315" spans="1:13" s="1634" customFormat="1">
      <c r="A315" s="1699" t="s">
        <v>2666</v>
      </c>
      <c r="B315" s="1723">
        <f t="shared" ref="B315:L321" si="45">B267*B219*B75</f>
        <v>469598976.77691209</v>
      </c>
      <c r="C315" s="1724">
        <f t="shared" si="45"/>
        <v>642481273.46091664</v>
      </c>
      <c r="D315" s="1723">
        <f t="shared" si="45"/>
        <v>769900888.48984468</v>
      </c>
      <c r="E315" s="1724">
        <f t="shared" si="45"/>
        <v>911065169.27553093</v>
      </c>
      <c r="F315" s="1723">
        <f t="shared" si="45"/>
        <v>1066624105.8746966</v>
      </c>
      <c r="G315" s="1724">
        <f t="shared" si="45"/>
        <v>1237202400.9338179</v>
      </c>
      <c r="H315" s="1723">
        <f t="shared" si="45"/>
        <v>1424536244.2514172</v>
      </c>
      <c r="I315" s="1724">
        <f t="shared" si="45"/>
        <v>1587398881.5028133</v>
      </c>
      <c r="J315" s="1723">
        <f t="shared" si="45"/>
        <v>1740487892.6380064</v>
      </c>
      <c r="K315" s="1724">
        <f t="shared" si="45"/>
        <v>1898236418.9979818</v>
      </c>
      <c r="L315" s="1723">
        <f t="shared" si="45"/>
        <v>2072729093.6377082</v>
      </c>
      <c r="M315" s="1722">
        <f>(L315/B315)^(1/10)-1</f>
        <v>0.1600629061721377</v>
      </c>
    </row>
    <row r="316" spans="1:13" s="1634" customFormat="1">
      <c r="A316" s="1699" t="s">
        <v>2667</v>
      </c>
      <c r="B316" s="1723">
        <f t="shared" si="45"/>
        <v>0</v>
      </c>
      <c r="C316" s="1724">
        <f t="shared" si="45"/>
        <v>12087500.212647906</v>
      </c>
      <c r="D316" s="1723">
        <f t="shared" si="45"/>
        <v>17557266.176110521</v>
      </c>
      <c r="E316" s="1724">
        <f t="shared" si="45"/>
        <v>22219267.870706085</v>
      </c>
      <c r="F316" s="1723">
        <f t="shared" si="45"/>
        <v>21610862.442220032</v>
      </c>
      <c r="G316" s="1724">
        <f t="shared" si="45"/>
        <v>20948806.466274645</v>
      </c>
      <c r="H316" s="1723">
        <f t="shared" si="45"/>
        <v>20261487.217041835</v>
      </c>
      <c r="I316" s="1724">
        <f t="shared" si="45"/>
        <v>19538582.66299222</v>
      </c>
      <c r="J316" s="1723">
        <f t="shared" si="45"/>
        <v>18798583.177703932</v>
      </c>
      <c r="K316" s="1724">
        <f t="shared" si="45"/>
        <v>18002095.33227168</v>
      </c>
      <c r="L316" s="1723">
        <f t="shared" si="45"/>
        <v>17270001.487727862</v>
      </c>
      <c r="M316" s="1722">
        <f>(L316/D316)^(1/10)-1</f>
        <v>-1.6483313123877297E-3</v>
      </c>
    </row>
    <row r="317" spans="1:13" s="1634" customFormat="1">
      <c r="A317" s="1695" t="s">
        <v>2715</v>
      </c>
      <c r="B317" s="1723">
        <f t="shared" si="45"/>
        <v>0</v>
      </c>
      <c r="C317" s="1724">
        <f t="shared" si="45"/>
        <v>3662143.2587272245</v>
      </c>
      <c r="D317" s="1723">
        <f t="shared" si="45"/>
        <v>3989486.4221746488</v>
      </c>
      <c r="E317" s="1724">
        <f t="shared" si="45"/>
        <v>4327559.5540587706</v>
      </c>
      <c r="F317" s="1723">
        <f t="shared" si="45"/>
        <v>4676736.4642198225</v>
      </c>
      <c r="G317" s="1724">
        <f t="shared" si="45"/>
        <v>5037181.2038019719</v>
      </c>
      <c r="H317" s="1723">
        <f t="shared" si="45"/>
        <v>5413237.7281553838</v>
      </c>
      <c r="I317" s="1724">
        <f t="shared" si="45"/>
        <v>5800111.2977987397</v>
      </c>
      <c r="J317" s="1723">
        <f t="shared" si="45"/>
        <v>6200488.1175228953</v>
      </c>
      <c r="K317" s="1724">
        <f t="shared" si="45"/>
        <v>6597529.0172490813</v>
      </c>
      <c r="L317" s="1723">
        <f t="shared" si="45"/>
        <v>7032473.710556509</v>
      </c>
      <c r="M317" s="1722">
        <f>(L317/D317)^(1/10)-1</f>
        <v>5.832513974423259E-2</v>
      </c>
    </row>
    <row r="318" spans="1:13" s="1634" customFormat="1">
      <c r="A318" s="1695" t="s">
        <v>2669</v>
      </c>
      <c r="B318" s="1723">
        <f t="shared" si="45"/>
        <v>111529756.98451661</v>
      </c>
      <c r="C318" s="1724">
        <f t="shared" si="45"/>
        <v>146485730.349089</v>
      </c>
      <c r="D318" s="1723">
        <f t="shared" si="45"/>
        <v>186176033.03481698</v>
      </c>
      <c r="E318" s="1724">
        <f t="shared" si="45"/>
        <v>230803176.21646786</v>
      </c>
      <c r="F318" s="1723">
        <f t="shared" si="45"/>
        <v>280604187.85318935</v>
      </c>
      <c r="G318" s="1724">
        <f t="shared" si="45"/>
        <v>335812080.25346476</v>
      </c>
      <c r="H318" s="1723">
        <f t="shared" si="45"/>
        <v>387948703.85113585</v>
      </c>
      <c r="I318" s="1724">
        <f t="shared" si="45"/>
        <v>444675199.49790341</v>
      </c>
      <c r="J318" s="1723">
        <f t="shared" si="45"/>
        <v>496039049.40183175</v>
      </c>
      <c r="K318" s="1724">
        <f t="shared" si="45"/>
        <v>549794084.77075684</v>
      </c>
      <c r="L318" s="1723">
        <f t="shared" si="45"/>
        <v>597760265.39730322</v>
      </c>
      <c r="M318" s="1722">
        <f>(L318/B318)^(1/10)-1</f>
        <v>0.18280629908270596</v>
      </c>
    </row>
    <row r="319" spans="1:13" s="1634" customFormat="1">
      <c r="A319" s="1699" t="s">
        <v>2670</v>
      </c>
      <c r="B319" s="1723">
        <f t="shared" si="45"/>
        <v>0</v>
      </c>
      <c r="C319" s="1724">
        <f t="shared" si="45"/>
        <v>0</v>
      </c>
      <c r="D319" s="1723">
        <f t="shared" si="45"/>
        <v>13298288.073915498</v>
      </c>
      <c r="E319" s="1724">
        <f t="shared" si="45"/>
        <v>28850397.027058482</v>
      </c>
      <c r="F319" s="1723">
        <f t="shared" si="45"/>
        <v>62356486.189597636</v>
      </c>
      <c r="G319" s="1724">
        <f t="shared" si="45"/>
        <v>100743624.07603943</v>
      </c>
      <c r="H319" s="1723">
        <f t="shared" si="45"/>
        <v>144353006.08414361</v>
      </c>
      <c r="I319" s="1724">
        <f t="shared" si="45"/>
        <v>193337043.259958</v>
      </c>
      <c r="J319" s="1723">
        <f t="shared" si="45"/>
        <v>237685377.83837768</v>
      </c>
      <c r="K319" s="1724">
        <f t="shared" si="45"/>
        <v>285892924.0807935</v>
      </c>
      <c r="L319" s="1723">
        <f t="shared" si="45"/>
        <v>328182106.4926371</v>
      </c>
      <c r="M319" s="1722">
        <f>(L319/D319)^(1/10)-1</f>
        <v>0.3779451043882871</v>
      </c>
    </row>
    <row r="320" spans="1:13" s="1634" customFormat="1">
      <c r="A320" s="1700" t="s">
        <v>2671</v>
      </c>
      <c r="B320" s="1723">
        <f t="shared" si="45"/>
        <v>0</v>
      </c>
      <c r="C320" s="1724">
        <f t="shared" si="45"/>
        <v>0</v>
      </c>
      <c r="D320" s="1723">
        <f t="shared" si="45"/>
        <v>0</v>
      </c>
      <c r="E320" s="1724">
        <f t="shared" si="45"/>
        <v>0</v>
      </c>
      <c r="F320" s="1723">
        <f t="shared" si="45"/>
        <v>0</v>
      </c>
      <c r="G320" s="1724">
        <f t="shared" si="45"/>
        <v>0</v>
      </c>
      <c r="H320" s="1723">
        <f t="shared" si="45"/>
        <v>0</v>
      </c>
      <c r="I320" s="1724">
        <f t="shared" si="45"/>
        <v>0</v>
      </c>
      <c r="J320" s="1723">
        <f t="shared" si="45"/>
        <v>0</v>
      </c>
      <c r="K320" s="1724">
        <f t="shared" si="45"/>
        <v>0</v>
      </c>
      <c r="L320" s="1723">
        <f t="shared" si="45"/>
        <v>0</v>
      </c>
      <c r="M320" s="1722"/>
    </row>
    <row r="321" spans="1:13" s="1634" customFormat="1">
      <c r="A321" s="1700" t="s">
        <v>2672</v>
      </c>
      <c r="B321" s="1723">
        <f t="shared" si="45"/>
        <v>0</v>
      </c>
      <c r="C321" s="1724">
        <f t="shared" si="45"/>
        <v>0</v>
      </c>
      <c r="D321" s="1723">
        <f t="shared" si="45"/>
        <v>0</v>
      </c>
      <c r="E321" s="1724">
        <f t="shared" si="45"/>
        <v>0</v>
      </c>
      <c r="F321" s="1723">
        <f t="shared" si="45"/>
        <v>0</v>
      </c>
      <c r="G321" s="1724">
        <f t="shared" si="45"/>
        <v>0</v>
      </c>
      <c r="H321" s="1723">
        <f t="shared" si="45"/>
        <v>31764040.316742051</v>
      </c>
      <c r="I321" s="1724">
        <f t="shared" si="45"/>
        <v>53178366.383043252</v>
      </c>
      <c r="J321" s="1723">
        <f t="shared" si="45"/>
        <v>72767007.265942067</v>
      </c>
      <c r="K321" s="1724">
        <f t="shared" si="45"/>
        <v>84685295.885487184</v>
      </c>
      <c r="L321" s="1723">
        <f t="shared" si="45"/>
        <v>92847298.935362831</v>
      </c>
      <c r="M321" s="1722">
        <f>(L321/H321)^(1/10)-1</f>
        <v>0.11322603223727867</v>
      </c>
    </row>
    <row r="322" spans="1:13" s="1634" customFormat="1">
      <c r="A322" s="1697" t="s">
        <v>2701</v>
      </c>
      <c r="B322" s="1717">
        <f>SUM(B323:B327)</f>
        <v>0</v>
      </c>
      <c r="C322" s="1717">
        <f t="shared" ref="C322:L322" si="46">SUM(C323:C327)</f>
        <v>0</v>
      </c>
      <c r="D322" s="1717">
        <f t="shared" si="46"/>
        <v>12125938.993715053</v>
      </c>
      <c r="E322" s="1717">
        <f t="shared" si="46"/>
        <v>40191260.332102843</v>
      </c>
      <c r="F322" s="1717">
        <f t="shared" si="46"/>
        <v>173736657.24535921</v>
      </c>
      <c r="G322" s="1717">
        <f t="shared" si="46"/>
        <v>280690294.71185988</v>
      </c>
      <c r="H322" s="1717">
        <f t="shared" si="46"/>
        <v>400365911.44686073</v>
      </c>
      <c r="I322" s="1717">
        <f t="shared" si="46"/>
        <v>532796188.68902111</v>
      </c>
      <c r="J322" s="1717">
        <f t="shared" si="46"/>
        <v>633442409.9886055</v>
      </c>
      <c r="K322" s="1717">
        <f t="shared" si="46"/>
        <v>757558375.7525481</v>
      </c>
      <c r="L322" s="1717">
        <f t="shared" si="46"/>
        <v>852625749.03909457</v>
      </c>
      <c r="M322" s="1722">
        <f>(L322/D322)^(1/10)-1</f>
        <v>0.5300453611691478</v>
      </c>
    </row>
    <row r="323" spans="1:13" s="1634" customFormat="1">
      <c r="A323" s="1695" t="s">
        <v>2674</v>
      </c>
      <c r="B323" s="1723">
        <f t="shared" ref="B323:L327" si="47">B275*B227*B83</f>
        <v>0</v>
      </c>
      <c r="C323" s="1724">
        <f t="shared" si="47"/>
        <v>0</v>
      </c>
      <c r="D323" s="1723">
        <f t="shared" si="47"/>
        <v>12125938.993715053</v>
      </c>
      <c r="E323" s="1724">
        <f t="shared" si="47"/>
        <v>32883758.45353869</v>
      </c>
      <c r="F323" s="1723">
        <f t="shared" si="47"/>
        <v>142148174.10983935</v>
      </c>
      <c r="G323" s="1724">
        <f t="shared" si="47"/>
        <v>229655695.67333987</v>
      </c>
      <c r="H323" s="1723">
        <f t="shared" si="47"/>
        <v>329067872.4220773</v>
      </c>
      <c r="I323" s="1724">
        <f t="shared" si="47"/>
        <v>440732141.37878585</v>
      </c>
      <c r="J323" s="1723">
        <f t="shared" si="47"/>
        <v>518271062.71794999</v>
      </c>
      <c r="K323" s="1724">
        <f t="shared" si="47"/>
        <v>601590474.86231756</v>
      </c>
      <c r="L323" s="1723">
        <f t="shared" si="47"/>
        <v>662625582.12230468</v>
      </c>
      <c r="M323" s="1722">
        <f>(L323/E323)^(1/10)-1</f>
        <v>0.35029504793445176</v>
      </c>
    </row>
    <row r="324" spans="1:13" s="1634" customFormat="1">
      <c r="A324" s="1695" t="s">
        <v>2675</v>
      </c>
      <c r="B324" s="1723">
        <f t="shared" si="47"/>
        <v>0</v>
      </c>
      <c r="C324" s="1724">
        <f t="shared" si="47"/>
        <v>0</v>
      </c>
      <c r="D324" s="1723">
        <f t="shared" si="47"/>
        <v>0</v>
      </c>
      <c r="E324" s="1724">
        <f t="shared" si="47"/>
        <v>7307501.8785641557</v>
      </c>
      <c r="F324" s="1723">
        <f t="shared" si="47"/>
        <v>31588483.135519858</v>
      </c>
      <c r="G324" s="1724">
        <f t="shared" si="47"/>
        <v>51034599.038519986</v>
      </c>
      <c r="H324" s="1723">
        <f t="shared" si="47"/>
        <v>71298039.024783432</v>
      </c>
      <c r="I324" s="1724">
        <f t="shared" si="47"/>
        <v>92064047.310235292</v>
      </c>
      <c r="J324" s="1723">
        <f t="shared" si="47"/>
        <v>115171347.27065557</v>
      </c>
      <c r="K324" s="1724">
        <f t="shared" si="47"/>
        <v>155967900.89023054</v>
      </c>
      <c r="L324" s="1723">
        <f t="shared" si="47"/>
        <v>190000166.91678992</v>
      </c>
      <c r="M324" s="1722">
        <f>(L324/E324)^(1/10)-1</f>
        <v>0.38515541668850539</v>
      </c>
    </row>
    <row r="325" spans="1:13" s="1634" customFormat="1">
      <c r="A325" s="1696" t="s">
        <v>2676</v>
      </c>
      <c r="B325" s="1723">
        <f t="shared" si="47"/>
        <v>0</v>
      </c>
      <c r="C325" s="1724">
        <f t="shared" si="47"/>
        <v>0</v>
      </c>
      <c r="D325" s="1723">
        <f t="shared" si="47"/>
        <v>0</v>
      </c>
      <c r="E325" s="1724">
        <f t="shared" si="47"/>
        <v>0</v>
      </c>
      <c r="F325" s="1723">
        <f t="shared" si="47"/>
        <v>0</v>
      </c>
      <c r="G325" s="1724">
        <f t="shared" si="47"/>
        <v>0</v>
      </c>
      <c r="H325" s="1723">
        <f t="shared" si="47"/>
        <v>0</v>
      </c>
      <c r="I325" s="1724">
        <f t="shared" si="47"/>
        <v>0</v>
      </c>
      <c r="J325" s="1723">
        <f t="shared" si="47"/>
        <v>0</v>
      </c>
      <c r="K325" s="1724">
        <f t="shared" si="47"/>
        <v>0</v>
      </c>
      <c r="L325" s="1723">
        <f t="shared" si="47"/>
        <v>0</v>
      </c>
      <c r="M325" s="1722"/>
    </row>
    <row r="326" spans="1:13" s="1634" customFormat="1">
      <c r="A326" s="1696" t="s">
        <v>2677</v>
      </c>
      <c r="B326" s="1723">
        <f t="shared" si="47"/>
        <v>0</v>
      </c>
      <c r="C326" s="1724">
        <f t="shared" si="47"/>
        <v>0</v>
      </c>
      <c r="D326" s="1723">
        <f t="shared" si="47"/>
        <v>0</v>
      </c>
      <c r="E326" s="1724">
        <f t="shared" si="47"/>
        <v>0</v>
      </c>
      <c r="F326" s="1723">
        <f t="shared" si="47"/>
        <v>0</v>
      </c>
      <c r="G326" s="1724">
        <f t="shared" si="47"/>
        <v>0</v>
      </c>
      <c r="H326" s="1723">
        <f t="shared" si="47"/>
        <v>0</v>
      </c>
      <c r="I326" s="1724">
        <f t="shared" si="47"/>
        <v>0</v>
      </c>
      <c r="J326" s="1723">
        <f t="shared" si="47"/>
        <v>0</v>
      </c>
      <c r="K326" s="1724">
        <f t="shared" si="47"/>
        <v>0</v>
      </c>
      <c r="L326" s="1723">
        <f t="shared" si="47"/>
        <v>0</v>
      </c>
      <c r="M326" s="1722"/>
    </row>
    <row r="327" spans="1:13" s="1634" customFormat="1">
      <c r="A327" s="1700" t="s">
        <v>2678</v>
      </c>
      <c r="B327" s="1723">
        <f t="shared" si="47"/>
        <v>0</v>
      </c>
      <c r="C327" s="1724">
        <f t="shared" si="47"/>
        <v>0</v>
      </c>
      <c r="D327" s="1723">
        <f t="shared" si="47"/>
        <v>0</v>
      </c>
      <c r="E327" s="1724">
        <f t="shared" si="47"/>
        <v>0</v>
      </c>
      <c r="F327" s="1723">
        <f t="shared" si="47"/>
        <v>0</v>
      </c>
      <c r="G327" s="1724">
        <f t="shared" si="47"/>
        <v>0</v>
      </c>
      <c r="H327" s="1723">
        <f t="shared" si="47"/>
        <v>0</v>
      </c>
      <c r="I327" s="1724">
        <f t="shared" si="47"/>
        <v>0</v>
      </c>
      <c r="J327" s="1723">
        <f t="shared" si="47"/>
        <v>0</v>
      </c>
      <c r="K327" s="1724">
        <f t="shared" si="47"/>
        <v>0</v>
      </c>
      <c r="L327" s="1723">
        <f t="shared" si="47"/>
        <v>0</v>
      </c>
      <c r="M327" s="1722"/>
    </row>
    <row r="328" spans="1:13" s="1634" customFormat="1">
      <c r="A328" s="1697" t="s">
        <v>2702</v>
      </c>
      <c r="B328" s="1717">
        <f t="shared" ref="B328:L328" si="48">SUM(B329:B329)</f>
        <v>0</v>
      </c>
      <c r="C328" s="1717">
        <f t="shared" si="48"/>
        <v>0</v>
      </c>
      <c r="D328" s="1717">
        <f t="shared" si="48"/>
        <v>0</v>
      </c>
      <c r="E328" s="1717">
        <f t="shared" si="48"/>
        <v>0</v>
      </c>
      <c r="F328" s="1717">
        <f t="shared" si="48"/>
        <v>0</v>
      </c>
      <c r="G328" s="1717">
        <f t="shared" si="48"/>
        <v>0</v>
      </c>
      <c r="H328" s="1717">
        <f t="shared" si="48"/>
        <v>16619589.516266534</v>
      </c>
      <c r="I328" s="1717">
        <f t="shared" si="48"/>
        <v>53422077.742883146</v>
      </c>
      <c r="J328" s="1717">
        <f t="shared" si="48"/>
        <v>95182931.628640965</v>
      </c>
      <c r="K328" s="1717">
        <f t="shared" si="48"/>
        <v>131661215.03720757</v>
      </c>
      <c r="L328" s="1717">
        <f t="shared" si="48"/>
        <v>172727424.46980903</v>
      </c>
      <c r="M328" s="1722">
        <f>(L328/H328)^(1/10)-1</f>
        <v>0.26378763078859735</v>
      </c>
    </row>
    <row r="329" spans="1:13" s="1634" customFormat="1">
      <c r="A329" s="1700" t="s">
        <v>2680</v>
      </c>
      <c r="B329" s="1723">
        <f t="shared" ref="B329:L329" si="49">B281*B233*B89</f>
        <v>0</v>
      </c>
      <c r="C329" s="1724">
        <f t="shared" si="49"/>
        <v>0</v>
      </c>
      <c r="D329" s="1723">
        <f t="shared" si="49"/>
        <v>0</v>
      </c>
      <c r="E329" s="1724">
        <f t="shared" si="49"/>
        <v>0</v>
      </c>
      <c r="F329" s="1723">
        <f t="shared" si="49"/>
        <v>0</v>
      </c>
      <c r="G329" s="1724">
        <f t="shared" si="49"/>
        <v>0</v>
      </c>
      <c r="H329" s="1723">
        <f t="shared" si="49"/>
        <v>16619589.516266534</v>
      </c>
      <c r="I329" s="1724">
        <f t="shared" si="49"/>
        <v>53422077.742883146</v>
      </c>
      <c r="J329" s="1723">
        <f t="shared" si="49"/>
        <v>95182931.628640965</v>
      </c>
      <c r="K329" s="1724">
        <f t="shared" si="49"/>
        <v>131661215.03720757</v>
      </c>
      <c r="L329" s="1723">
        <f t="shared" si="49"/>
        <v>172727424.46980903</v>
      </c>
      <c r="M329" s="1722">
        <f>(L329/I329)^(1/10)-1</f>
        <v>0.12451189112094352</v>
      </c>
    </row>
    <row r="330" spans="1:13" s="1634" customFormat="1">
      <c r="A330" s="1697" t="s">
        <v>2681</v>
      </c>
      <c r="B330" s="1717">
        <f t="shared" ref="B330:L330" si="50">SUM(B331:B345)</f>
        <v>552041019.9617449</v>
      </c>
      <c r="C330" s="1717">
        <f t="shared" si="50"/>
        <v>652146155.91152644</v>
      </c>
      <c r="D330" s="1717">
        <f t="shared" si="50"/>
        <v>762649400.035285</v>
      </c>
      <c r="E330" s="1717">
        <f t="shared" si="50"/>
        <v>823396292.95742488</v>
      </c>
      <c r="F330" s="1717">
        <f t="shared" si="50"/>
        <v>902431687.71362865</v>
      </c>
      <c r="G330" s="1717">
        <f t="shared" si="50"/>
        <v>986482035.53987002</v>
      </c>
      <c r="H330" s="1717">
        <f t="shared" si="50"/>
        <v>1076718402.2399094</v>
      </c>
      <c r="I330" s="1717">
        <f t="shared" si="50"/>
        <v>1174959192.6968021</v>
      </c>
      <c r="J330" s="1717">
        <f t="shared" si="50"/>
        <v>1279803608.5554044</v>
      </c>
      <c r="K330" s="1717">
        <f t="shared" si="50"/>
        <v>1385920251.308887</v>
      </c>
      <c r="L330" s="1717">
        <f t="shared" si="50"/>
        <v>1688496742.3239329</v>
      </c>
      <c r="M330" s="1722">
        <f>(L330/B330)^(1/10)-1</f>
        <v>0.11828599952310426</v>
      </c>
    </row>
    <row r="331" spans="1:13" s="1634" customFormat="1">
      <c r="A331" s="1699" t="s">
        <v>2682</v>
      </c>
      <c r="B331" s="1723">
        <f t="shared" ref="B331:L345" si="51">B283*B235*B91</f>
        <v>56867475.659206256</v>
      </c>
      <c r="C331" s="1724">
        <f t="shared" si="51"/>
        <v>62242534.565643169</v>
      </c>
      <c r="D331" s="1723">
        <f t="shared" si="51"/>
        <v>67806125.808871746</v>
      </c>
      <c r="E331" s="1724">
        <f t="shared" si="51"/>
        <v>73552085.786506802</v>
      </c>
      <c r="F331" s="1723">
        <f t="shared" si="51"/>
        <v>79486767.846917853</v>
      </c>
      <c r="G331" s="1724">
        <f t="shared" si="51"/>
        <v>85612960.236847311</v>
      </c>
      <c r="H331" s="1723">
        <f t="shared" si="51"/>
        <v>92004493.708380014</v>
      </c>
      <c r="I331" s="1724">
        <f t="shared" si="51"/>
        <v>98579875.890296444</v>
      </c>
      <c r="J331" s="1723">
        <f t="shared" si="51"/>
        <v>105384762.06769414</v>
      </c>
      <c r="K331" s="1724">
        <f t="shared" si="51"/>
        <v>112132950.26767462</v>
      </c>
      <c r="L331" s="1723">
        <f t="shared" si="51"/>
        <v>119525359.08259889</v>
      </c>
      <c r="M331" s="1722">
        <f>(L331/B331)^(1/10)-1</f>
        <v>7.7108890699195021E-2</v>
      </c>
    </row>
    <row r="332" spans="1:13" s="1634" customFormat="1">
      <c r="A332" s="1699" t="s">
        <v>2683</v>
      </c>
      <c r="B332" s="1723">
        <f t="shared" si="51"/>
        <v>87670691.64127633</v>
      </c>
      <c r="C332" s="1724">
        <f t="shared" si="51"/>
        <v>95957240.78869991</v>
      </c>
      <c r="D332" s="1723">
        <f t="shared" si="51"/>
        <v>104534443.95534396</v>
      </c>
      <c r="E332" s="1724">
        <f t="shared" si="51"/>
        <v>113392798.92086469</v>
      </c>
      <c r="F332" s="1723">
        <f t="shared" si="51"/>
        <v>122542100.43066506</v>
      </c>
      <c r="G332" s="1724">
        <f t="shared" si="51"/>
        <v>131986647.03180629</v>
      </c>
      <c r="H332" s="1723">
        <f t="shared" si="51"/>
        <v>141840261.13375255</v>
      </c>
      <c r="I332" s="1724">
        <f t="shared" si="51"/>
        <v>151977308.66420704</v>
      </c>
      <c r="J332" s="1723">
        <f t="shared" si="51"/>
        <v>162468174.85436183</v>
      </c>
      <c r="K332" s="1724">
        <f t="shared" si="51"/>
        <v>172871631.66266507</v>
      </c>
      <c r="L332" s="1723">
        <f t="shared" si="51"/>
        <v>368536523.83801329</v>
      </c>
      <c r="M332" s="1722">
        <f>(L332/B332)^(1/10)-1</f>
        <v>0.15441672531330197</v>
      </c>
    </row>
    <row r="333" spans="1:13" s="1634" customFormat="1">
      <c r="A333" s="1699" t="s">
        <v>2684</v>
      </c>
      <c r="B333" s="1723">
        <f t="shared" si="51"/>
        <v>131316479.20971714</v>
      </c>
      <c r="C333" s="1724">
        <f t="shared" si="51"/>
        <v>143728386.06783104</v>
      </c>
      <c r="D333" s="1723">
        <f t="shared" si="51"/>
        <v>156575645.51365304</v>
      </c>
      <c r="E333" s="1724">
        <f t="shared" si="51"/>
        <v>169844024.76200867</v>
      </c>
      <c r="F333" s="1723">
        <f t="shared" si="51"/>
        <v>183548194.75317451</v>
      </c>
      <c r="G333" s="1724">
        <f t="shared" si="51"/>
        <v>197694594.01358661</v>
      </c>
      <c r="H333" s="1723">
        <f t="shared" si="51"/>
        <v>212453710.05493423</v>
      </c>
      <c r="I333" s="1724">
        <f t="shared" si="51"/>
        <v>227637363.41000956</v>
      </c>
      <c r="J333" s="1723">
        <f t="shared" si="51"/>
        <v>243350979.74131709</v>
      </c>
      <c r="K333" s="1724">
        <f t="shared" si="51"/>
        <v>258933670.99310535</v>
      </c>
      <c r="L333" s="1723">
        <f t="shared" si="51"/>
        <v>276003975.01490128</v>
      </c>
      <c r="M333" s="1722">
        <f>(L333/B333)^(1/10)-1</f>
        <v>7.7108890699195021E-2</v>
      </c>
    </row>
    <row r="334" spans="1:13" s="1634" customFormat="1">
      <c r="A334" s="1699" t="s">
        <v>2685</v>
      </c>
      <c r="B334" s="1723">
        <f t="shared" si="51"/>
        <v>32414461.125747565</v>
      </c>
      <c r="C334" s="1724">
        <f t="shared" si="51"/>
        <v>35478244.702416606</v>
      </c>
      <c r="D334" s="1723">
        <f t="shared" si="51"/>
        <v>38649491.711056888</v>
      </c>
      <c r="E334" s="1724">
        <f t="shared" si="51"/>
        <v>39828454.45339343</v>
      </c>
      <c r="F334" s="1723">
        <f t="shared" si="51"/>
        <v>40889980.549650706</v>
      </c>
      <c r="G334" s="1724">
        <f t="shared" si="51"/>
        <v>41839374.716348149</v>
      </c>
      <c r="H334" s="1723">
        <f t="shared" si="51"/>
        <v>42714794.037529863</v>
      </c>
      <c r="I334" s="1724">
        <f t="shared" si="51"/>
        <v>44394511.152885832</v>
      </c>
      <c r="J334" s="1723">
        <f t="shared" si="51"/>
        <v>46035256.223693609</v>
      </c>
      <c r="K334" s="1724">
        <f t="shared" si="51"/>
        <v>47513577.158090189</v>
      </c>
      <c r="L334" s="1723">
        <f t="shared" si="51"/>
        <v>49126550.553035326</v>
      </c>
      <c r="M334" s="1722">
        <f>(L334/B334)^(1/10)-1</f>
        <v>4.2456031606961986E-2</v>
      </c>
    </row>
    <row r="335" spans="1:13" s="1634" customFormat="1">
      <c r="A335" s="1700" t="s">
        <v>2686</v>
      </c>
      <c r="B335" s="1723">
        <f t="shared" si="51"/>
        <v>0</v>
      </c>
      <c r="C335" s="1724">
        <f t="shared" si="51"/>
        <v>0</v>
      </c>
      <c r="D335" s="1723">
        <f t="shared" si="51"/>
        <v>0</v>
      </c>
      <c r="E335" s="1724">
        <f t="shared" si="51"/>
        <v>1729393.417055245</v>
      </c>
      <c r="F335" s="1723">
        <f t="shared" si="51"/>
        <v>4849030.6574253477</v>
      </c>
      <c r="G335" s="1724">
        <f t="shared" si="51"/>
        <v>8404462.2839240655</v>
      </c>
      <c r="H335" s="1723">
        <f t="shared" si="51"/>
        <v>12428181.833720466</v>
      </c>
      <c r="I335" s="1724">
        <f t="shared" si="51"/>
        <v>16251851.511081457</v>
      </c>
      <c r="J335" s="1723">
        <f t="shared" si="51"/>
        <v>20560250.241457593</v>
      </c>
      <c r="K335" s="1724">
        <f t="shared" si="51"/>
        <v>25323484.66461397</v>
      </c>
      <c r="L335" s="1723">
        <f t="shared" si="51"/>
        <v>30731574.398326352</v>
      </c>
      <c r="M335" s="1722">
        <f>(L335/F335)^(1/10)-1</f>
        <v>0.20279880516916982</v>
      </c>
    </row>
    <row r="336" spans="1:13" s="1634" customFormat="1">
      <c r="A336" s="1699" t="s">
        <v>2687</v>
      </c>
      <c r="B336" s="1723">
        <f t="shared" si="51"/>
        <v>128520494.98980618</v>
      </c>
      <c r="C336" s="1724">
        <f t="shared" si="51"/>
        <v>164112816.1380792</v>
      </c>
      <c r="D336" s="1723">
        <f t="shared" si="51"/>
        <v>204322459.10406685</v>
      </c>
      <c r="E336" s="1724">
        <f t="shared" si="51"/>
        <v>210555104.2448402</v>
      </c>
      <c r="F336" s="1723">
        <f t="shared" si="51"/>
        <v>216166914.71862137</v>
      </c>
      <c r="G336" s="1724">
        <f t="shared" si="51"/>
        <v>221185934.17297512</v>
      </c>
      <c r="H336" s="1723">
        <f t="shared" si="51"/>
        <v>225813881.92939773</v>
      </c>
      <c r="I336" s="1724">
        <f t="shared" si="51"/>
        <v>234693789.9544374</v>
      </c>
      <c r="J336" s="1723">
        <f t="shared" si="51"/>
        <v>243367670.32876629</v>
      </c>
      <c r="K336" s="1724">
        <f t="shared" si="51"/>
        <v>251182887.43224293</v>
      </c>
      <c r="L336" s="1723">
        <f t="shared" si="51"/>
        <v>259709951.46166047</v>
      </c>
      <c r="M336" s="1722">
        <f>(L336/B336)^(1/10)-1</f>
        <v>7.2881162690811685E-2</v>
      </c>
    </row>
    <row r="337" spans="1:13" s="1634" customFormat="1">
      <c r="A337" s="1700" t="s">
        <v>2688</v>
      </c>
      <c r="B337" s="1723">
        <f t="shared" si="51"/>
        <v>0</v>
      </c>
      <c r="C337" s="1724">
        <f t="shared" si="51"/>
        <v>0</v>
      </c>
      <c r="D337" s="1723">
        <f t="shared" si="51"/>
        <v>0</v>
      </c>
      <c r="E337" s="1724">
        <f t="shared" si="51"/>
        <v>9142524.2632628027</v>
      </c>
      <c r="F337" s="1723">
        <f t="shared" si="51"/>
        <v>25634641.604166713</v>
      </c>
      <c r="G337" s="1724">
        <f t="shared" si="51"/>
        <v>44430607.629633598</v>
      </c>
      <c r="H337" s="1723">
        <f t="shared" si="51"/>
        <v>65702201.039083563</v>
      </c>
      <c r="I337" s="1724">
        <f t="shared" si="51"/>
        <v>85916220.853904247</v>
      </c>
      <c r="J337" s="1723">
        <f t="shared" si="51"/>
        <v>108692784.90220851</v>
      </c>
      <c r="K337" s="1724">
        <f t="shared" si="51"/>
        <v>133873860.44918728</v>
      </c>
      <c r="L337" s="1723">
        <f t="shared" si="51"/>
        <v>162463995.64963171</v>
      </c>
      <c r="M337" s="1722">
        <f>(L337/F337)^(1/10)-1</f>
        <v>0.20279880516916982</v>
      </c>
    </row>
    <row r="338" spans="1:13" s="1634" customFormat="1">
      <c r="A338" s="1699" t="s">
        <v>2689</v>
      </c>
      <c r="B338" s="1723">
        <f t="shared" si="51"/>
        <v>47389563.049338557</v>
      </c>
      <c r="C338" s="1724">
        <f t="shared" si="51"/>
        <v>62242534.565643184</v>
      </c>
      <c r="D338" s="1723">
        <f t="shared" si="51"/>
        <v>79107146.777017042</v>
      </c>
      <c r="E338" s="1724">
        <f t="shared" si="51"/>
        <v>81520228.413378388</v>
      </c>
      <c r="F338" s="1723">
        <f t="shared" si="51"/>
        <v>83692942.645483941</v>
      </c>
      <c r="G338" s="1724">
        <f t="shared" si="51"/>
        <v>85636147.080244794</v>
      </c>
      <c r="H338" s="1723">
        <f t="shared" si="51"/>
        <v>87427941.012488067</v>
      </c>
      <c r="I338" s="1724">
        <f t="shared" si="51"/>
        <v>90865958.50005874</v>
      </c>
      <c r="J338" s="1723">
        <f t="shared" si="51"/>
        <v>94224208.644986942</v>
      </c>
      <c r="K338" s="1724">
        <f t="shared" si="51"/>
        <v>97250011.727085233</v>
      </c>
      <c r="L338" s="1723">
        <f t="shared" si="51"/>
        <v>100551419.26059866</v>
      </c>
      <c r="M338" s="1722">
        <f>(L338/B338)^(1/10)-1</f>
        <v>7.8128558151879801E-2</v>
      </c>
    </row>
    <row r="339" spans="1:13" s="1634" customFormat="1">
      <c r="A339" s="1700" t="s">
        <v>2690</v>
      </c>
      <c r="B339" s="1723">
        <f t="shared" si="51"/>
        <v>0</v>
      </c>
      <c r="C339" s="1724">
        <f t="shared" si="51"/>
        <v>0</v>
      </c>
      <c r="D339" s="1723">
        <f t="shared" si="51"/>
        <v>0</v>
      </c>
      <c r="E339" s="1724">
        <f t="shared" si="51"/>
        <v>3539694.1284756456</v>
      </c>
      <c r="F339" s="1723">
        <f t="shared" si="51"/>
        <v>9924916.5502857938</v>
      </c>
      <c r="G339" s="1724">
        <f t="shared" si="51"/>
        <v>17202115.785809487</v>
      </c>
      <c r="H339" s="1723">
        <f t="shared" si="51"/>
        <v>25437799.074866433</v>
      </c>
      <c r="I339" s="1724">
        <f t="shared" si="51"/>
        <v>33264023.560693029</v>
      </c>
      <c r="J339" s="1723">
        <f t="shared" si="51"/>
        <v>42082383.535147116</v>
      </c>
      <c r="K339" s="1724">
        <f t="shared" si="51"/>
        <v>51831693.7579818</v>
      </c>
      <c r="L339" s="1723">
        <f t="shared" si="51"/>
        <v>62900883.271428205</v>
      </c>
      <c r="M339" s="1722">
        <f>(L339/I339)^(1/10)-1</f>
        <v>6.5781546670891533E-2</v>
      </c>
    </row>
    <row r="340" spans="1:13" s="1634" customFormat="1">
      <c r="A340" s="1699" t="s">
        <v>2691</v>
      </c>
      <c r="B340" s="1723">
        <f t="shared" si="51"/>
        <v>54592776.632838018</v>
      </c>
      <c r="C340" s="1724">
        <f t="shared" si="51"/>
        <v>69711638.713520363</v>
      </c>
      <c r="D340" s="1723">
        <f t="shared" si="51"/>
        <v>86791841.035355836</v>
      </c>
      <c r="E340" s="1724">
        <f t="shared" si="51"/>
        <v>89439336.316392303</v>
      </c>
      <c r="F340" s="1723">
        <f t="shared" si="51"/>
        <v>91823114.216759518</v>
      </c>
      <c r="G340" s="1724">
        <f t="shared" si="51"/>
        <v>93955087.082325712</v>
      </c>
      <c r="H340" s="1723">
        <f t="shared" si="51"/>
        <v>95920940.996558338</v>
      </c>
      <c r="I340" s="1724">
        <f t="shared" si="51"/>
        <v>99692937.325778723</v>
      </c>
      <c r="J340" s="1723">
        <f t="shared" si="51"/>
        <v>103377417.48478569</v>
      </c>
      <c r="K340" s="1724">
        <f t="shared" si="51"/>
        <v>106697155.72343063</v>
      </c>
      <c r="L340" s="1723">
        <f t="shared" si="51"/>
        <v>110319271.4173425</v>
      </c>
      <c r="M340" s="1722">
        <f>(L340/B340)^(1/10)-1</f>
        <v>7.2881162690811685E-2</v>
      </c>
    </row>
    <row r="341" spans="1:13" s="1634" customFormat="1">
      <c r="A341" s="1700" t="s">
        <v>2692</v>
      </c>
      <c r="B341" s="1723">
        <f t="shared" si="51"/>
        <v>0</v>
      </c>
      <c r="C341" s="1724">
        <f t="shared" si="51"/>
        <v>0</v>
      </c>
      <c r="D341" s="1723">
        <f t="shared" si="51"/>
        <v>0</v>
      </c>
      <c r="E341" s="1724">
        <f t="shared" si="51"/>
        <v>3883550.1295275614</v>
      </c>
      <c r="F341" s="1723">
        <f t="shared" si="51"/>
        <v>10889051.300884973</v>
      </c>
      <c r="G341" s="1724">
        <f t="shared" si="51"/>
        <v>18873178.462145239</v>
      </c>
      <c r="H341" s="1723">
        <f t="shared" si="51"/>
        <v>27908899.556424871</v>
      </c>
      <c r="I341" s="1724">
        <f t="shared" si="51"/>
        <v>36495385.849446043</v>
      </c>
      <c r="J341" s="1723">
        <f t="shared" si="51"/>
        <v>46170386.507132806</v>
      </c>
      <c r="K341" s="1724">
        <f t="shared" si="51"/>
        <v>56866772.580185734</v>
      </c>
      <c r="L341" s="1723">
        <f t="shared" si="51"/>
        <v>69011254.789224073</v>
      </c>
      <c r="M341" s="1722">
        <f>(L341/F341)^(1/10)-1</f>
        <v>0.20279880516916982</v>
      </c>
    </row>
    <row r="342" spans="1:13" s="1634" customFormat="1">
      <c r="A342" s="1699" t="s">
        <v>2693</v>
      </c>
      <c r="B342" s="1723">
        <f t="shared" si="51"/>
        <v>13269077.653814796</v>
      </c>
      <c r="C342" s="1724">
        <f t="shared" si="51"/>
        <v>18672760.369692955</v>
      </c>
      <c r="D342" s="1723">
        <f t="shared" si="51"/>
        <v>24862246.129919641</v>
      </c>
      <c r="E342" s="1724">
        <f t="shared" si="51"/>
        <v>26969098.12171917</v>
      </c>
      <c r="F342" s="1723">
        <f t="shared" si="51"/>
        <v>29145148.210536554</v>
      </c>
      <c r="G342" s="1724">
        <f t="shared" si="51"/>
        <v>31391418.753510688</v>
      </c>
      <c r="H342" s="1723">
        <f t="shared" si="51"/>
        <v>33734981.026406012</v>
      </c>
      <c r="I342" s="1724">
        <f t="shared" si="51"/>
        <v>36145954.493108705</v>
      </c>
      <c r="J342" s="1723">
        <f t="shared" si="51"/>
        <v>38641079.424821191</v>
      </c>
      <c r="K342" s="1724">
        <f t="shared" si="51"/>
        <v>41115415.09814737</v>
      </c>
      <c r="L342" s="1723">
        <f t="shared" si="51"/>
        <v>43825964.996952936</v>
      </c>
      <c r="M342" s="1722">
        <f>(L342/B342)^(1/10)-1</f>
        <v>0.12690959112260702</v>
      </c>
    </row>
    <row r="343" spans="1:13" s="1634" customFormat="1">
      <c r="A343" s="1701" t="s">
        <v>2694</v>
      </c>
      <c r="B343" s="1723">
        <f t="shared" si="51"/>
        <v>0</v>
      </c>
      <c r="C343" s="1724">
        <f t="shared" si="51"/>
        <v>0</v>
      </c>
      <c r="D343" s="1723">
        <f t="shared" si="51"/>
        <v>0</v>
      </c>
      <c r="E343" s="1724">
        <f t="shared" si="51"/>
        <v>0</v>
      </c>
      <c r="F343" s="1723">
        <f t="shared" si="51"/>
        <v>3838884.2290560766</v>
      </c>
      <c r="G343" s="1724">
        <f t="shared" si="51"/>
        <v>8269508.2907131203</v>
      </c>
      <c r="H343" s="1723">
        <f t="shared" si="51"/>
        <v>13330316.836367037</v>
      </c>
      <c r="I343" s="1724">
        <f t="shared" si="51"/>
        <v>19044011.530894745</v>
      </c>
      <c r="J343" s="1723">
        <f t="shared" si="51"/>
        <v>25448254.599031676</v>
      </c>
      <c r="K343" s="1724">
        <f t="shared" si="51"/>
        <v>30327139.794476669</v>
      </c>
      <c r="L343" s="1723">
        <f t="shared" si="51"/>
        <v>35790018.590218984</v>
      </c>
      <c r="M343" s="1722">
        <f>(L343/F343)^(1/10)-1</f>
        <v>0.25013147841830596</v>
      </c>
    </row>
    <row r="344" spans="1:13" s="1634" customFormat="1">
      <c r="A344" s="1709" t="s">
        <v>2695</v>
      </c>
      <c r="B344" s="1723">
        <f t="shared" si="51"/>
        <v>0</v>
      </c>
      <c r="C344" s="1724">
        <f t="shared" si="51"/>
        <v>0</v>
      </c>
      <c r="D344" s="1723">
        <f t="shared" si="51"/>
        <v>0</v>
      </c>
      <c r="E344" s="1724">
        <f t="shared" si="51"/>
        <v>0</v>
      </c>
      <c r="F344" s="1723">
        <f t="shared" si="51"/>
        <v>0</v>
      </c>
      <c r="G344" s="1724">
        <f t="shared" si="51"/>
        <v>0</v>
      </c>
      <c r="H344" s="1723">
        <f t="shared" si="51"/>
        <v>0</v>
      </c>
      <c r="I344" s="1724">
        <f t="shared" si="51"/>
        <v>0</v>
      </c>
      <c r="J344" s="1723">
        <f t="shared" si="51"/>
        <v>0</v>
      </c>
      <c r="K344" s="1724">
        <f t="shared" si="51"/>
        <v>0</v>
      </c>
      <c r="L344" s="1723">
        <f t="shared" si="51"/>
        <v>0</v>
      </c>
      <c r="M344" s="1722"/>
    </row>
    <row r="345" spans="1:13" s="1634" customFormat="1">
      <c r="A345" s="1703" t="s">
        <v>2696</v>
      </c>
      <c r="B345" s="1723">
        <f t="shared" si="51"/>
        <v>0</v>
      </c>
      <c r="C345" s="1724">
        <f t="shared" si="51"/>
        <v>0</v>
      </c>
      <c r="D345" s="1723">
        <f t="shared" si="51"/>
        <v>0</v>
      </c>
      <c r="E345" s="1724">
        <f t="shared" si="51"/>
        <v>0</v>
      </c>
      <c r="F345" s="1723">
        <f t="shared" si="51"/>
        <v>0</v>
      </c>
      <c r="G345" s="1724">
        <f t="shared" si="51"/>
        <v>0</v>
      </c>
      <c r="H345" s="1723">
        <f t="shared" si="51"/>
        <v>0</v>
      </c>
      <c r="I345" s="1724">
        <f t="shared" si="51"/>
        <v>0</v>
      </c>
      <c r="J345" s="1723">
        <f t="shared" si="51"/>
        <v>0</v>
      </c>
      <c r="K345" s="1724">
        <f t="shared" si="51"/>
        <v>0</v>
      </c>
      <c r="L345" s="1723">
        <f t="shared" si="51"/>
        <v>0</v>
      </c>
      <c r="M345" s="1722"/>
    </row>
    <row r="349" spans="1:13">
      <c r="B349" s="1727"/>
      <c r="C349" s="1727"/>
      <c r="D349" s="1727"/>
      <c r="E349" s="1727"/>
      <c r="F349" s="1727"/>
      <c r="G349" s="1727"/>
      <c r="H349" s="1727"/>
      <c r="I349" s="1727"/>
      <c r="J349" s="1727"/>
      <c r="K349" s="1727"/>
      <c r="L349" s="1727"/>
      <c r="M349" s="1727"/>
    </row>
    <row r="350" spans="1:13">
      <c r="A350" s="1728"/>
      <c r="B350" s="1729"/>
      <c r="C350" s="1729"/>
      <c r="D350" s="1729"/>
      <c r="E350" s="1729"/>
      <c r="F350" s="1729"/>
      <c r="G350" s="1729"/>
      <c r="H350" s="1729"/>
      <c r="I350" s="1729"/>
      <c r="J350" s="1729"/>
      <c r="K350" s="1729"/>
      <c r="L350" s="1729"/>
      <c r="M350" s="1729"/>
    </row>
    <row r="351" spans="1:13">
      <c r="A351" s="1728"/>
      <c r="B351" s="1729"/>
      <c r="C351" s="1729"/>
      <c r="D351" s="1729"/>
      <c r="E351" s="1729"/>
      <c r="F351" s="1729"/>
      <c r="G351" s="1729"/>
      <c r="H351" s="1729"/>
      <c r="I351" s="1729"/>
      <c r="J351" s="1729"/>
      <c r="K351" s="1729"/>
      <c r="L351" s="1729"/>
      <c r="M351" s="1729"/>
    </row>
    <row r="352" spans="1:13">
      <c r="A352" s="1728"/>
      <c r="B352" s="1729"/>
      <c r="C352" s="1729"/>
      <c r="D352" s="1729"/>
      <c r="E352" s="1729"/>
      <c r="F352" s="1729"/>
      <c r="G352" s="1729"/>
      <c r="H352" s="1729"/>
      <c r="I352" s="1729"/>
      <c r="J352" s="1729"/>
      <c r="K352" s="1729"/>
      <c r="L352" s="1729"/>
      <c r="M352" s="1729"/>
    </row>
    <row r="353" spans="1:13">
      <c r="A353" s="1728"/>
      <c r="B353" s="1729"/>
      <c r="C353" s="1729"/>
      <c r="D353" s="1729"/>
      <c r="E353" s="1729"/>
      <c r="F353" s="1729"/>
      <c r="G353" s="1729"/>
      <c r="H353" s="1729"/>
      <c r="I353" s="1729"/>
      <c r="J353" s="1729"/>
      <c r="K353" s="1729"/>
      <c r="L353" s="1729"/>
      <c r="M353" s="1729"/>
    </row>
    <row r="354" spans="1:13">
      <c r="A354" s="1728"/>
      <c r="B354" s="1729"/>
      <c r="C354" s="1729"/>
      <c r="D354" s="1729"/>
      <c r="E354" s="1729"/>
      <c r="F354" s="1729"/>
      <c r="G354" s="1729"/>
      <c r="H354" s="1729"/>
      <c r="I354" s="1729"/>
      <c r="J354" s="1729"/>
      <c r="K354" s="1729"/>
      <c r="L354" s="1729"/>
      <c r="M354" s="1729"/>
    </row>
    <row r="355" spans="1:13">
      <c r="A355" s="1728"/>
      <c r="B355" s="1729"/>
      <c r="C355" s="1729"/>
      <c r="D355" s="1729"/>
      <c r="E355" s="1729"/>
      <c r="F355" s="1729"/>
      <c r="G355" s="1729"/>
      <c r="H355" s="1729"/>
      <c r="I355" s="1729"/>
      <c r="J355" s="1729"/>
      <c r="K355" s="1729"/>
      <c r="L355" s="1729"/>
      <c r="M355" s="1729"/>
    </row>
    <row r="356" spans="1:13">
      <c r="A356" s="1728"/>
      <c r="B356" s="1729"/>
      <c r="C356" s="1729"/>
      <c r="D356" s="1729"/>
      <c r="E356" s="1729"/>
      <c r="F356" s="1729"/>
      <c r="G356" s="1729"/>
      <c r="H356" s="1729"/>
      <c r="I356" s="1729"/>
      <c r="J356" s="1729"/>
      <c r="K356" s="1729"/>
      <c r="L356" s="1729"/>
      <c r="M356" s="1729"/>
    </row>
    <row r="357" spans="1:13">
      <c r="A357" s="1728"/>
      <c r="B357" s="1729"/>
      <c r="C357" s="1729"/>
      <c r="D357" s="1729"/>
      <c r="E357" s="1729"/>
      <c r="F357" s="1729"/>
      <c r="G357" s="1729"/>
      <c r="H357" s="1729"/>
      <c r="I357" s="1729"/>
      <c r="J357" s="1729"/>
      <c r="K357" s="1729"/>
      <c r="L357" s="1729"/>
      <c r="M357" s="1729"/>
    </row>
    <row r="358" spans="1:13">
      <c r="A358" s="1728"/>
      <c r="B358" s="1729"/>
      <c r="C358" s="1729"/>
      <c r="D358" s="1729"/>
      <c r="E358" s="1729"/>
      <c r="F358" s="1729"/>
      <c r="G358" s="1729"/>
      <c r="H358" s="1729"/>
      <c r="I358" s="1729"/>
      <c r="J358" s="1729"/>
      <c r="K358" s="1729"/>
      <c r="L358" s="1729"/>
      <c r="M358" s="1729"/>
    </row>
    <row r="359" spans="1:13">
      <c r="A359" s="1728"/>
      <c r="B359" s="1730"/>
      <c r="C359" s="1730"/>
      <c r="D359" s="1730"/>
      <c r="E359" s="1730"/>
      <c r="F359" s="1730"/>
      <c r="G359" s="1730"/>
      <c r="H359" s="1730"/>
      <c r="I359" s="1730"/>
      <c r="J359" s="1730"/>
      <c r="K359" s="1730"/>
      <c r="L359" s="1730"/>
      <c r="M359" s="1729"/>
    </row>
    <row r="360" spans="1:13">
      <c r="A360" s="1728"/>
      <c r="B360" s="1730"/>
      <c r="C360" s="1730"/>
      <c r="D360" s="1730"/>
      <c r="E360" s="1730"/>
      <c r="F360" s="1730"/>
      <c r="G360" s="1730"/>
      <c r="H360" s="1730"/>
      <c r="I360" s="1730"/>
      <c r="J360" s="1730"/>
      <c r="K360" s="1730"/>
      <c r="L360" s="1730"/>
      <c r="M360" s="1729"/>
    </row>
    <row r="361" spans="1:13">
      <c r="A361" s="1728"/>
      <c r="B361" s="1731"/>
      <c r="C361" s="1731"/>
      <c r="D361" s="1731"/>
      <c r="E361" s="1731"/>
      <c r="F361" s="1731"/>
      <c r="G361" s="1731"/>
      <c r="H361" s="1731"/>
      <c r="I361" s="1731"/>
      <c r="J361" s="1731"/>
      <c r="K361" s="1731"/>
      <c r="L361" s="1731"/>
      <c r="M361" s="1729"/>
    </row>
    <row r="362" spans="1:13">
      <c r="A362" s="1728"/>
      <c r="B362" s="1729"/>
      <c r="C362" s="1729"/>
      <c r="D362" s="1729"/>
      <c r="E362" s="1729"/>
      <c r="F362" s="1729"/>
      <c r="G362" s="1729"/>
      <c r="H362" s="1729"/>
      <c r="I362" s="1729"/>
      <c r="J362" s="1729"/>
      <c r="K362" s="1729"/>
      <c r="L362" s="1729"/>
      <c r="M362" s="1729"/>
    </row>
    <row r="363" spans="1:13">
      <c r="A363" s="1728"/>
      <c r="B363" s="1729"/>
      <c r="C363" s="1729"/>
      <c r="D363" s="1729"/>
      <c r="E363" s="1729"/>
      <c r="F363" s="1729"/>
      <c r="G363" s="1729"/>
      <c r="H363" s="1729"/>
      <c r="I363" s="1729"/>
      <c r="J363" s="1729"/>
      <c r="K363" s="1729"/>
      <c r="L363" s="1729"/>
      <c r="M363" s="1729"/>
    </row>
    <row r="364" spans="1:13">
      <c r="A364" s="1728"/>
      <c r="B364" s="1729"/>
      <c r="C364" s="1729"/>
      <c r="D364" s="1729"/>
      <c r="E364" s="1729"/>
      <c r="F364" s="1729"/>
      <c r="G364" s="1729"/>
      <c r="H364" s="1729"/>
      <c r="I364" s="1729"/>
      <c r="J364" s="1729"/>
      <c r="K364" s="1729"/>
      <c r="L364" s="1729"/>
      <c r="M364" s="1729"/>
    </row>
    <row r="365" spans="1:13">
      <c r="A365" s="1728"/>
      <c r="B365" s="1729"/>
      <c r="C365" s="1729"/>
      <c r="D365" s="1729"/>
      <c r="E365" s="1729"/>
      <c r="F365" s="1729"/>
      <c r="G365" s="1729"/>
      <c r="H365" s="1729"/>
      <c r="I365" s="1729"/>
      <c r="J365" s="1729"/>
      <c r="K365" s="1729"/>
      <c r="L365" s="1729"/>
      <c r="M365" s="1729"/>
    </row>
    <row r="366" spans="1:13">
      <c r="A366" s="1728"/>
      <c r="B366" s="1729"/>
      <c r="C366" s="1729"/>
      <c r="D366" s="1729"/>
      <c r="E366" s="1729"/>
      <c r="F366" s="1729"/>
      <c r="G366" s="1729"/>
      <c r="H366" s="1729"/>
      <c r="I366" s="1729"/>
      <c r="J366" s="1729"/>
      <c r="K366" s="1729"/>
      <c r="L366" s="1729"/>
      <c r="M366" s="1729"/>
    </row>
    <row r="367" spans="1:13">
      <c r="A367" s="1728"/>
      <c r="B367" s="1729"/>
      <c r="C367" s="1729"/>
      <c r="D367" s="1729"/>
      <c r="E367" s="1729"/>
      <c r="F367" s="1729"/>
      <c r="G367" s="1729"/>
      <c r="H367" s="1729"/>
      <c r="I367" s="1729"/>
      <c r="J367" s="1729"/>
      <c r="K367" s="1729"/>
      <c r="L367" s="1729"/>
      <c r="M367" s="1729"/>
    </row>
    <row r="368" spans="1:13">
      <c r="A368" s="1728"/>
      <c r="B368" s="1729"/>
      <c r="C368" s="1729"/>
      <c r="D368" s="1729"/>
      <c r="E368" s="1729"/>
      <c r="F368" s="1729"/>
      <c r="G368" s="1729"/>
      <c r="H368" s="1729"/>
      <c r="I368" s="1729"/>
      <c r="J368" s="1729"/>
      <c r="K368" s="1729"/>
      <c r="L368" s="1729"/>
      <c r="M368" s="1729"/>
    </row>
    <row r="369" spans="1:13">
      <c r="A369" s="1728"/>
      <c r="B369" s="1729"/>
      <c r="C369" s="1729"/>
      <c r="D369" s="1729"/>
      <c r="E369" s="1729"/>
      <c r="F369" s="1729"/>
      <c r="G369" s="1729"/>
      <c r="H369" s="1729"/>
      <c r="I369" s="1729"/>
      <c r="J369" s="1729"/>
      <c r="K369" s="1729"/>
      <c r="L369" s="1729"/>
      <c r="M369" s="1729"/>
    </row>
    <row r="370" spans="1:13">
      <c r="A370" s="1728"/>
      <c r="B370" s="1729"/>
      <c r="C370" s="1729"/>
      <c r="D370" s="1729"/>
      <c r="E370" s="1729"/>
      <c r="F370" s="1729"/>
      <c r="G370" s="1729"/>
      <c r="H370" s="1729"/>
      <c r="I370" s="1729"/>
      <c r="J370" s="1729"/>
      <c r="K370" s="1729"/>
      <c r="L370" s="1729"/>
      <c r="M370" s="1729"/>
    </row>
    <row r="371" spans="1:13">
      <c r="A371" s="1728"/>
      <c r="B371" s="1729"/>
      <c r="C371" s="1729"/>
      <c r="D371" s="1729"/>
      <c r="E371" s="1729"/>
      <c r="F371" s="1729"/>
      <c r="G371" s="1729"/>
      <c r="H371" s="1729"/>
      <c r="I371" s="1729"/>
      <c r="J371" s="1729"/>
      <c r="K371" s="1729"/>
      <c r="L371" s="1729"/>
      <c r="M371" s="1729"/>
    </row>
    <row r="372" spans="1:13">
      <c r="A372" s="1728"/>
      <c r="B372" s="1729"/>
      <c r="C372" s="1729"/>
      <c r="D372" s="1729"/>
      <c r="E372" s="1729"/>
      <c r="F372" s="1729"/>
      <c r="G372" s="1729"/>
      <c r="H372" s="1729"/>
      <c r="I372" s="1729"/>
      <c r="J372" s="1729"/>
      <c r="K372" s="1729"/>
      <c r="L372" s="1729"/>
      <c r="M372" s="1729"/>
    </row>
    <row r="373" spans="1:13">
      <c r="A373" s="1728"/>
      <c r="B373" s="1729"/>
      <c r="C373" s="1729"/>
      <c r="D373" s="1729"/>
      <c r="E373" s="1729"/>
      <c r="F373" s="1729"/>
      <c r="G373" s="1729"/>
      <c r="H373" s="1729"/>
      <c r="I373" s="1729"/>
      <c r="J373" s="1729"/>
      <c r="K373" s="1729"/>
      <c r="L373" s="1729"/>
      <c r="M373" s="1729"/>
    </row>
    <row r="374" spans="1:13">
      <c r="A374" s="1728"/>
      <c r="B374" s="1729"/>
      <c r="C374" s="1729"/>
      <c r="D374" s="1729"/>
      <c r="E374" s="1729"/>
      <c r="F374" s="1729"/>
      <c r="G374" s="1729"/>
      <c r="H374" s="1729"/>
      <c r="I374" s="1729"/>
      <c r="J374" s="1729"/>
      <c r="K374" s="1729"/>
      <c r="L374" s="1729"/>
      <c r="M374" s="1729"/>
    </row>
    <row r="375" spans="1:13">
      <c r="B375" s="1732"/>
      <c r="C375" s="1732"/>
      <c r="D375" s="1732"/>
      <c r="E375" s="1732"/>
      <c r="F375" s="1732"/>
      <c r="G375" s="1732"/>
      <c r="H375" s="1732"/>
      <c r="I375" s="1732"/>
      <c r="J375" s="1732"/>
      <c r="K375" s="1732"/>
      <c r="L375" s="1732"/>
      <c r="M375" s="1732"/>
    </row>
  </sheetData>
  <mergeCells count="1">
    <mergeCell ref="A2:M2"/>
  </mergeCells>
  <pageMargins left="0.7" right="0.7" top="0.75" bottom="0.75" header="0.3" footer="0.3"/>
  <pageSetup paperSize="9" orientation="portrait"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B2:E47"/>
  <sheetViews>
    <sheetView showGridLines="0" workbookViewId="0"/>
  </sheetViews>
  <sheetFormatPr defaultColWidth="9.33203125" defaultRowHeight="12.75"/>
  <cols>
    <col min="1" max="1" width="2.83203125" style="310" customWidth="1"/>
    <col min="2" max="2" width="18.1640625" style="310" bestFit="1" customWidth="1"/>
    <col min="3" max="3" width="23.1640625" style="310" bestFit="1" customWidth="1"/>
    <col min="4" max="4" width="18.33203125" style="310" bestFit="1" customWidth="1"/>
    <col min="5" max="5" width="20.5" style="310" bestFit="1" customWidth="1"/>
    <col min="6" max="16384" width="9.33203125" style="310"/>
  </cols>
  <sheetData>
    <row r="2" spans="2:5">
      <c r="B2" s="1" t="s">
        <v>322</v>
      </c>
      <c r="C2" s="1" t="s">
        <v>189</v>
      </c>
      <c r="D2" s="1" t="s">
        <v>337</v>
      </c>
      <c r="E2" s="1" t="s">
        <v>338</v>
      </c>
    </row>
    <row r="3" spans="2:5">
      <c r="B3" s="310" t="s">
        <v>334</v>
      </c>
      <c r="C3" s="310" t="s">
        <v>335</v>
      </c>
      <c r="D3" s="310" t="s">
        <v>339</v>
      </c>
      <c r="E3" s="310" t="s">
        <v>341</v>
      </c>
    </row>
    <row r="4" spans="2:5">
      <c r="B4" s="310" t="s">
        <v>291</v>
      </c>
      <c r="C4" s="310" t="s">
        <v>191</v>
      </c>
      <c r="D4" s="310" t="s">
        <v>340</v>
      </c>
      <c r="E4" s="310" t="s">
        <v>342</v>
      </c>
    </row>
    <row r="5" spans="2:5">
      <c r="B5" s="310" t="s">
        <v>116</v>
      </c>
      <c r="C5" s="310" t="s">
        <v>1</v>
      </c>
      <c r="E5" s="310" t="s">
        <v>343</v>
      </c>
    </row>
    <row r="6" spans="2:5">
      <c r="B6" s="310" t="s">
        <v>292</v>
      </c>
    </row>
    <row r="7" spans="2:5">
      <c r="B7" s="310" t="s">
        <v>293</v>
      </c>
    </row>
    <row r="8" spans="2:5">
      <c r="B8" s="310" t="s">
        <v>295</v>
      </c>
    </row>
    <row r="9" spans="2:5">
      <c r="B9" s="310" t="s">
        <v>294</v>
      </c>
    </row>
    <row r="10" spans="2:5">
      <c r="B10" s="310" t="s">
        <v>323</v>
      </c>
    </row>
    <row r="11" spans="2:5">
      <c r="B11" s="255" t="s">
        <v>330</v>
      </c>
    </row>
    <row r="12" spans="2:5">
      <c r="B12" s="255" t="s">
        <v>331</v>
      </c>
    </row>
    <row r="13" spans="2:5">
      <c r="B13" s="255" t="s">
        <v>332</v>
      </c>
    </row>
    <row r="14" spans="2:5">
      <c r="B14" s="255" t="s">
        <v>333</v>
      </c>
    </row>
    <row r="15" spans="2:5">
      <c r="B15" s="310" t="s">
        <v>415</v>
      </c>
    </row>
    <row r="16" spans="2:5">
      <c r="B16" s="310" t="s">
        <v>296</v>
      </c>
    </row>
    <row r="17" spans="2:2">
      <c r="B17" s="310" t="s">
        <v>297</v>
      </c>
    </row>
    <row r="18" spans="2:2">
      <c r="B18" s="310" t="s">
        <v>298</v>
      </c>
    </row>
    <row r="19" spans="2:2">
      <c r="B19" s="310" t="s">
        <v>299</v>
      </c>
    </row>
    <row r="20" spans="2:2">
      <c r="B20" s="310" t="s">
        <v>300</v>
      </c>
    </row>
    <row r="21" spans="2:2">
      <c r="B21" s="310" t="s">
        <v>301</v>
      </c>
    </row>
    <row r="22" spans="2:2">
      <c r="B22" s="310" t="s">
        <v>302</v>
      </c>
    </row>
    <row r="23" spans="2:2">
      <c r="B23" s="310" t="s">
        <v>303</v>
      </c>
    </row>
    <row r="24" spans="2:2">
      <c r="B24" s="310" t="s">
        <v>304</v>
      </c>
    </row>
    <row r="25" spans="2:2">
      <c r="B25" s="310" t="s">
        <v>305</v>
      </c>
    </row>
    <row r="26" spans="2:2">
      <c r="B26" s="310" t="s">
        <v>306</v>
      </c>
    </row>
    <row r="27" spans="2:2">
      <c r="B27" s="310" t="s">
        <v>307</v>
      </c>
    </row>
    <row r="28" spans="2:2">
      <c r="B28" s="310" t="s">
        <v>308</v>
      </c>
    </row>
    <row r="29" spans="2:2">
      <c r="B29" s="310" t="s">
        <v>309</v>
      </c>
    </row>
    <row r="30" spans="2:2">
      <c r="B30" s="310" t="s">
        <v>310</v>
      </c>
    </row>
    <row r="31" spans="2:2">
      <c r="B31" s="310" t="s">
        <v>311</v>
      </c>
    </row>
    <row r="32" spans="2:2">
      <c r="B32" s="310" t="s">
        <v>312</v>
      </c>
    </row>
    <row r="33" spans="2:2">
      <c r="B33" s="310" t="s">
        <v>313</v>
      </c>
    </row>
    <row r="34" spans="2:2">
      <c r="B34" s="310" t="s">
        <v>314</v>
      </c>
    </row>
    <row r="35" spans="2:2">
      <c r="B35" s="310" t="s">
        <v>319</v>
      </c>
    </row>
    <row r="36" spans="2:2">
      <c r="B36" s="310" t="s">
        <v>320</v>
      </c>
    </row>
    <row r="37" spans="2:2">
      <c r="B37" s="310" t="s">
        <v>324</v>
      </c>
    </row>
    <row r="38" spans="2:2">
      <c r="B38" s="310" t="s">
        <v>315</v>
      </c>
    </row>
    <row r="39" spans="2:2">
      <c r="B39" s="310" t="s">
        <v>325</v>
      </c>
    </row>
    <row r="40" spans="2:2">
      <c r="B40" s="310" t="s">
        <v>326</v>
      </c>
    </row>
    <row r="41" spans="2:2">
      <c r="B41" s="310" t="s">
        <v>327</v>
      </c>
    </row>
    <row r="42" spans="2:2">
      <c r="B42" s="310" t="s">
        <v>316</v>
      </c>
    </row>
    <row r="43" spans="2:2">
      <c r="B43" s="310" t="s">
        <v>321</v>
      </c>
    </row>
    <row r="44" spans="2:2">
      <c r="B44" s="310" t="s">
        <v>328</v>
      </c>
    </row>
    <row r="45" spans="2:2">
      <c r="B45" s="310" t="s">
        <v>329</v>
      </c>
    </row>
    <row r="46" spans="2:2">
      <c r="B46" s="310" t="s">
        <v>317</v>
      </c>
    </row>
    <row r="47" spans="2:2">
      <c r="B47" s="310" t="s">
        <v>318</v>
      </c>
    </row>
  </sheetData>
  <sortState ref="B3:B46">
    <sortCondition ref="B3:B46"/>
  </sortState>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5:H24"/>
  <sheetViews>
    <sheetView showGridLines="0" workbookViewId="0"/>
  </sheetViews>
  <sheetFormatPr defaultColWidth="9.33203125" defaultRowHeight="12.75"/>
  <cols>
    <col min="1" max="1" width="9.33203125" style="310"/>
    <col min="2" max="2" width="5.33203125" style="310" customWidth="1"/>
    <col min="3" max="3" width="34.5" style="310" bestFit="1" customWidth="1"/>
    <col min="4" max="4" width="9.33203125" style="144"/>
    <col min="5" max="16384" width="9.33203125" style="310"/>
  </cols>
  <sheetData>
    <row r="5" spans="1:5">
      <c r="B5" s="310" t="s">
        <v>350</v>
      </c>
    </row>
    <row r="7" spans="1:5">
      <c r="A7" s="310" t="s">
        <v>75</v>
      </c>
      <c r="B7" s="316">
        <v>1</v>
      </c>
      <c r="C7" s="310" t="s">
        <v>351</v>
      </c>
      <c r="D7" s="144" t="s">
        <v>384</v>
      </c>
    </row>
    <row r="8" spans="1:5">
      <c r="A8" s="310" t="s">
        <v>75</v>
      </c>
      <c r="B8" s="316">
        <f t="shared" ref="B8:B13" si="0">+B7+1</f>
        <v>2</v>
      </c>
      <c r="C8" s="310" t="s">
        <v>352</v>
      </c>
      <c r="D8" s="144" t="s">
        <v>384</v>
      </c>
    </row>
    <row r="9" spans="1:5">
      <c r="A9" s="310" t="s">
        <v>75</v>
      </c>
      <c r="B9" s="316">
        <f t="shared" si="0"/>
        <v>3</v>
      </c>
      <c r="C9" s="310" t="s">
        <v>353</v>
      </c>
      <c r="D9" s="144" t="s">
        <v>384</v>
      </c>
    </row>
    <row r="10" spans="1:5">
      <c r="A10" s="310" t="s">
        <v>75</v>
      </c>
      <c r="B10" s="316">
        <f t="shared" si="0"/>
        <v>4</v>
      </c>
      <c r="C10" s="310" t="s">
        <v>371</v>
      </c>
      <c r="D10" s="144" t="s">
        <v>384</v>
      </c>
    </row>
    <row r="11" spans="1:5">
      <c r="A11" s="310" t="s">
        <v>365</v>
      </c>
      <c r="B11" s="316">
        <f t="shared" si="0"/>
        <v>5</v>
      </c>
      <c r="C11" s="310" t="s">
        <v>366</v>
      </c>
      <c r="D11" s="144" t="s">
        <v>384</v>
      </c>
    </row>
    <row r="12" spans="1:5">
      <c r="A12" s="310" t="s">
        <v>365</v>
      </c>
      <c r="B12" s="316">
        <f t="shared" si="0"/>
        <v>6</v>
      </c>
      <c r="C12" s="310" t="s">
        <v>367</v>
      </c>
      <c r="D12" s="144" t="s">
        <v>384</v>
      </c>
    </row>
    <row r="13" spans="1:5">
      <c r="A13" s="310" t="s">
        <v>368</v>
      </c>
      <c r="B13" s="316">
        <f t="shared" si="0"/>
        <v>7</v>
      </c>
      <c r="C13" s="310" t="s">
        <v>369</v>
      </c>
      <c r="D13" s="144" t="s">
        <v>384</v>
      </c>
      <c r="E13" s="310" t="s">
        <v>388</v>
      </c>
    </row>
    <row r="14" spans="1:5">
      <c r="A14" s="310" t="s">
        <v>370</v>
      </c>
      <c r="B14" s="316">
        <f t="shared" ref="B14:B22" si="1">+B13+1</f>
        <v>8</v>
      </c>
      <c r="C14" s="310" t="s">
        <v>366</v>
      </c>
      <c r="D14" s="144" t="s">
        <v>384</v>
      </c>
    </row>
    <row r="15" spans="1:5">
      <c r="A15" s="310" t="s">
        <v>370</v>
      </c>
      <c r="B15" s="316">
        <f t="shared" si="1"/>
        <v>9</v>
      </c>
      <c r="C15" s="310" t="s">
        <v>367</v>
      </c>
      <c r="D15" s="144" t="s">
        <v>384</v>
      </c>
    </row>
    <row r="16" spans="1:5">
      <c r="A16" s="310" t="s">
        <v>372</v>
      </c>
      <c r="B16" s="316">
        <f t="shared" si="1"/>
        <v>10</v>
      </c>
      <c r="C16" s="310" t="s">
        <v>373</v>
      </c>
    </row>
    <row r="17" spans="1:8">
      <c r="A17" s="310" t="s">
        <v>8</v>
      </c>
      <c r="B17" s="316">
        <f t="shared" si="1"/>
        <v>11</v>
      </c>
      <c r="C17" s="310" t="s">
        <v>374</v>
      </c>
    </row>
    <row r="18" spans="1:8">
      <c r="A18" s="310" t="s">
        <v>370</v>
      </c>
      <c r="B18" s="316">
        <f t="shared" si="1"/>
        <v>12</v>
      </c>
      <c r="C18" s="310" t="s">
        <v>389</v>
      </c>
      <c r="E18" s="310" t="s">
        <v>390</v>
      </c>
    </row>
    <row r="19" spans="1:8">
      <c r="B19" s="316">
        <f t="shared" si="1"/>
        <v>13</v>
      </c>
      <c r="C19" s="310" t="s">
        <v>405</v>
      </c>
      <c r="D19" s="144" t="s">
        <v>407</v>
      </c>
      <c r="G19" s="1" t="s">
        <v>384</v>
      </c>
    </row>
    <row r="20" spans="1:8">
      <c r="B20" s="316">
        <f t="shared" si="1"/>
        <v>14</v>
      </c>
      <c r="C20" s="310" t="s">
        <v>406</v>
      </c>
      <c r="D20" s="144" t="s">
        <v>407</v>
      </c>
      <c r="G20" s="1" t="s">
        <v>384</v>
      </c>
    </row>
    <row r="21" spans="1:8">
      <c r="B21" s="316">
        <f t="shared" si="1"/>
        <v>15</v>
      </c>
      <c r="C21" s="310" t="s">
        <v>408</v>
      </c>
      <c r="D21" s="144" t="s">
        <v>407</v>
      </c>
      <c r="G21" s="1" t="s">
        <v>384</v>
      </c>
      <c r="H21" s="310" t="s">
        <v>411</v>
      </c>
    </row>
    <row r="22" spans="1:8">
      <c r="B22" s="316">
        <f t="shared" si="1"/>
        <v>16</v>
      </c>
      <c r="C22" s="310" t="s">
        <v>409</v>
      </c>
      <c r="D22" s="144" t="s">
        <v>407</v>
      </c>
    </row>
    <row r="23" spans="1:8">
      <c r="C23" s="310" t="s">
        <v>410</v>
      </c>
      <c r="D23" s="144" t="s">
        <v>407</v>
      </c>
      <c r="G23" s="1" t="s">
        <v>384</v>
      </c>
      <c r="H23" s="310" t="s">
        <v>412</v>
      </c>
    </row>
    <row r="24" spans="1:8">
      <c r="C24" s="310" t="s">
        <v>413</v>
      </c>
      <c r="D24" s="144" t="s">
        <v>407</v>
      </c>
      <c r="G24" s="1" t="s">
        <v>384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84</vt:i4>
      </vt:variant>
      <vt:variant>
        <vt:lpstr>Named Ranges</vt:lpstr>
      </vt:variant>
      <vt:variant>
        <vt:i4>70</vt:i4>
      </vt:variant>
    </vt:vector>
  </HeadingPairs>
  <TitlesOfParts>
    <vt:vector size="154" baseType="lpstr">
      <vt:lpstr>Model Guidelines</vt:lpstr>
      <vt:lpstr>Change Log</vt:lpstr>
      <vt:lpstr>MASTER PubCo Inputs</vt:lpstr>
      <vt:lpstr>Notes &amp; Assumptions</vt:lpstr>
      <vt:lpstr>Checklist</vt:lpstr>
      <vt:lpstr>Exhibits--&gt;&gt;</vt:lpstr>
      <vt:lpstr>Title</vt:lpstr>
      <vt:lpstr>Outline</vt:lpstr>
      <vt:lpstr>Val Summ</vt:lpstr>
      <vt:lpstr>CHART VAL</vt:lpstr>
      <vt:lpstr>Allocation Method &gt;&gt;</vt:lpstr>
      <vt:lpstr>Hybrid OPM</vt:lpstr>
      <vt:lpstr>IPO Waterfall</vt:lpstr>
      <vt:lpstr>OPM Hybrid (Liquidation)</vt:lpstr>
      <vt:lpstr>OPM Hybrid (Redemption)</vt:lpstr>
      <vt:lpstr>Financial Statements &gt;&gt;</vt:lpstr>
      <vt:lpstr>Projections</vt:lpstr>
      <vt:lpstr>Hist IS</vt:lpstr>
      <vt:lpstr>Hist BS</vt:lpstr>
      <vt:lpstr>Discount Rate FP &gt;&gt;</vt:lpstr>
      <vt:lpstr>WACC IPO</vt:lpstr>
      <vt:lpstr>RoR Stage of Dev</vt:lpstr>
      <vt:lpstr>GCM FP &gt;&gt;</vt:lpstr>
      <vt:lpstr>Comp.1</vt:lpstr>
      <vt:lpstr>Market Trends since Prior Val</vt:lpstr>
      <vt:lpstr>Comp.6</vt:lpstr>
      <vt:lpstr>GTM FP &gt;&gt;</vt:lpstr>
      <vt:lpstr>Trans.1</vt:lpstr>
      <vt:lpstr>Trans.2</vt:lpstr>
      <vt:lpstr>Sec. Trans</vt:lpstr>
      <vt:lpstr>Cap Structure FP &gt;&gt;</vt:lpstr>
      <vt:lpstr>Cap Table</vt:lpstr>
      <vt:lpstr>Econ Rights</vt:lpstr>
      <vt:lpstr>Support FP &gt;&gt;</vt:lpstr>
      <vt:lpstr>DLOM</vt:lpstr>
      <vt:lpstr>Asset Vol OPM Liquidation</vt:lpstr>
      <vt:lpstr>Asset Vol OPM Redemption</vt:lpstr>
      <vt:lpstr>Asset Vol_DLOM</vt:lpstr>
      <vt:lpstr>Equity Vol</vt:lpstr>
      <vt:lpstr>Risk-Free Rates</vt:lpstr>
      <vt:lpstr>IPO Data_BioPharma</vt:lpstr>
      <vt:lpstr>Workpapers -&gt;&gt;&gt;</vt:lpstr>
      <vt:lpstr>Title WPS</vt:lpstr>
      <vt:lpstr>Outline WPS</vt:lpstr>
      <vt:lpstr>rNPV Analysis</vt:lpstr>
      <vt:lpstr>Comp.5</vt:lpstr>
      <vt:lpstr>Cost of Capital_Avance</vt:lpstr>
      <vt:lpstr>WACC CAPM</vt:lpstr>
      <vt:lpstr>Beta Calc</vt:lpstr>
      <vt:lpstr>Diabetes Type II_China Summary</vt:lpstr>
      <vt:lpstr>Comparative Sheet</vt:lpstr>
      <vt:lpstr>PBC -&gt;&gt;&gt;</vt:lpstr>
      <vt:lpstr>IS Forecast</vt:lpstr>
      <vt:lpstr>统计</vt:lpstr>
      <vt:lpstr>汇总</vt:lpstr>
      <vt:lpstr>ESOP All_June</vt:lpstr>
      <vt:lpstr>Cayman Consolidated_June</vt:lpstr>
      <vt:lpstr>Onshore Structure_June</vt:lpstr>
      <vt:lpstr>ESOP All_March</vt:lpstr>
      <vt:lpstr>Cayman Consolidated_March</vt:lpstr>
      <vt:lpstr>Onshore Structure_March</vt:lpstr>
      <vt:lpstr>Series D</vt:lpstr>
      <vt:lpstr>Series E</vt:lpstr>
      <vt:lpstr>ESOP All</vt:lpstr>
      <vt:lpstr>Cayman Consolidated</vt:lpstr>
      <vt:lpstr>Onshore Structure</vt:lpstr>
      <vt:lpstr>China Revenues</vt:lpstr>
      <vt:lpstr>Scope</vt:lpstr>
      <vt:lpstr>Ordinary Share</vt:lpstr>
      <vt:lpstr>Series A-1</vt:lpstr>
      <vt:lpstr>Series A-2</vt:lpstr>
      <vt:lpstr>Series B</vt:lpstr>
      <vt:lpstr>Series C (Cayman)</vt:lpstr>
      <vt:lpstr>Series C (JV)</vt:lpstr>
      <vt:lpstr>Sheet6</vt:lpstr>
      <vt:lpstr>CAPIQ -&gt;&gt;&gt;</vt:lpstr>
      <vt:lpstr>Capital IQ Sheet-GPC</vt:lpstr>
      <vt:lpstr>Capital IQ Sheet-STM</vt:lpstr>
      <vt:lpstr>STM</vt:lpstr>
      <vt:lpstr>Capital IQ DATA</vt:lpstr>
      <vt:lpstr>&lt;DO NOT INCLUDE&gt;</vt:lpstr>
      <vt:lpstr>China</vt:lpstr>
      <vt:lpstr>List Data</vt:lpstr>
      <vt:lpstr>Template Details</vt:lpstr>
      <vt:lpstr>'Allocation Method &gt;&gt;'!Print_Area</vt:lpstr>
      <vt:lpstr>'Asset Vol OPM Liquidation'!Print_Area</vt:lpstr>
      <vt:lpstr>'Asset Vol OPM Redemption'!Print_Area</vt:lpstr>
      <vt:lpstr>'Asset Vol_DLOM'!Print_Area</vt:lpstr>
      <vt:lpstr>'Beta Calc'!Print_Area</vt:lpstr>
      <vt:lpstr>'Cap Structure FP &gt;&gt;'!Print_Area</vt:lpstr>
      <vt:lpstr>'Cap Table'!Print_Area</vt:lpstr>
      <vt:lpstr>'Capital IQ DATA'!Print_Area</vt:lpstr>
      <vt:lpstr>'Capital IQ Sheet-GPC'!Print_Area</vt:lpstr>
      <vt:lpstr>'Capital IQ Sheet-STM'!Print_Area</vt:lpstr>
      <vt:lpstr>'CHART VAL'!Print_Area</vt:lpstr>
      <vt:lpstr>Checklist!Print_Area</vt:lpstr>
      <vt:lpstr>'China Revenues'!Print_Area</vt:lpstr>
      <vt:lpstr>Comp.1!Print_Area</vt:lpstr>
      <vt:lpstr>Comp.5!Print_Area</vt:lpstr>
      <vt:lpstr>Comp.6!Print_Area</vt:lpstr>
      <vt:lpstr>'Comparative Sheet'!Print_Area</vt:lpstr>
      <vt:lpstr>'Cost of Capital_Avance'!Print_Area</vt:lpstr>
      <vt:lpstr>'Diabetes Type II_China Summary'!Print_Area</vt:lpstr>
      <vt:lpstr>'Discount Rate FP &gt;&gt;'!Print_Area</vt:lpstr>
      <vt:lpstr>DLOM!Print_Area</vt:lpstr>
      <vt:lpstr>'Econ Rights'!Print_Area</vt:lpstr>
      <vt:lpstr>'Equity Vol'!Print_Area</vt:lpstr>
      <vt:lpstr>'Financial Statements &gt;&gt;'!Print_Area</vt:lpstr>
      <vt:lpstr>'GCM FP &gt;&gt;'!Print_Area</vt:lpstr>
      <vt:lpstr>'GTM FP &gt;&gt;'!Print_Area</vt:lpstr>
      <vt:lpstr>'Hist BS'!Print_Area</vt:lpstr>
      <vt:lpstr>'Hist IS'!Print_Area</vt:lpstr>
      <vt:lpstr>'Hybrid OPM'!Print_Area</vt:lpstr>
      <vt:lpstr>'IPO Data_BioPharma'!Print_Area</vt:lpstr>
      <vt:lpstr>'IPO Waterfall'!Print_Area</vt:lpstr>
      <vt:lpstr>'Market Trends since Prior Val'!Print_Area</vt:lpstr>
      <vt:lpstr>'OPM Hybrid (Liquidation)'!Print_Area</vt:lpstr>
      <vt:lpstr>'OPM Hybrid (Redemption)'!Print_Area</vt:lpstr>
      <vt:lpstr>Outline!Print_Area</vt:lpstr>
      <vt:lpstr>Projections!Print_Area</vt:lpstr>
      <vt:lpstr>'Risk-Free Rates'!Print_Area</vt:lpstr>
      <vt:lpstr>'rNPV Analysis'!Print_Area</vt:lpstr>
      <vt:lpstr>'RoR Stage of Dev'!Print_Area</vt:lpstr>
      <vt:lpstr>'Sec. Trans'!Print_Area</vt:lpstr>
      <vt:lpstr>STM!Print_Area</vt:lpstr>
      <vt:lpstr>'Support FP &gt;&gt;'!Print_Area</vt:lpstr>
      <vt:lpstr>Title!Print_Area</vt:lpstr>
      <vt:lpstr>'Title WPS'!Print_Area</vt:lpstr>
      <vt:lpstr>Trans.1!Print_Area</vt:lpstr>
      <vt:lpstr>Trans.2!Print_Area</vt:lpstr>
      <vt:lpstr>'Val Summ'!Print_Area</vt:lpstr>
      <vt:lpstr>'WACC CAPM'!Print_Area</vt:lpstr>
      <vt:lpstr>'WACC IPO'!Print_Area</vt:lpstr>
      <vt:lpstr>'Asset Vol OPM Liquidation'!Print_Titles</vt:lpstr>
      <vt:lpstr>'Asset Vol OPM Redemption'!Print_Titles</vt:lpstr>
      <vt:lpstr>'Asset Vol_DLOM'!Print_Titles</vt:lpstr>
      <vt:lpstr>'Beta Calc'!Print_Titles</vt:lpstr>
      <vt:lpstr>Comp.1!Print_Titles</vt:lpstr>
      <vt:lpstr>Comp.5!Print_Titles</vt:lpstr>
      <vt:lpstr>Comp.6!Print_Titles</vt:lpstr>
      <vt:lpstr>'Comparative Sheet'!Print_Titles</vt:lpstr>
      <vt:lpstr>'Diabetes Type II_China Summary'!Print_Titles</vt:lpstr>
      <vt:lpstr>'Equity Vol'!Print_Titles</vt:lpstr>
      <vt:lpstr>'Hybrid OPM'!Print_Titles</vt:lpstr>
      <vt:lpstr>'IPO Data_BioPharma'!Print_Titles</vt:lpstr>
      <vt:lpstr>'IPO Waterfall'!Print_Titles</vt:lpstr>
      <vt:lpstr>'Market Trends since Prior Val'!Print_Titles</vt:lpstr>
      <vt:lpstr>'OPM Hybrid (Liquidation)'!Print_Titles</vt:lpstr>
      <vt:lpstr>'OPM Hybrid (Redemption)'!Print_Titles</vt:lpstr>
      <vt:lpstr>'Risk-Free Rates'!Print_Titles</vt:lpstr>
      <vt:lpstr>'rNPV Analysis'!Print_Titles</vt:lpstr>
      <vt:lpstr>'Sec. Trans'!Print_Titles</vt:lpstr>
      <vt:lpstr>Trans.1!Print_Titles</vt:lpstr>
      <vt:lpstr>Trans.2!Print_Titles</vt:lpstr>
    </vt:vector>
  </TitlesOfParts>
  <Company>Burr Pilger Mayer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Manan Dave</cp:lastModifiedBy>
  <cp:lastPrinted>2018-08-23T13:45:52Z</cp:lastPrinted>
  <dcterms:created xsi:type="dcterms:W3CDTF">2014-03-18T02:31:57Z</dcterms:created>
  <dcterms:modified xsi:type="dcterms:W3CDTF">2018-08-23T13:51:56Z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utoColor">
    <vt:lpwstr>False</vt:lpwstr>
  </property>
</Properties>
</file>